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codeName="ThisWorkbook"/>
  <mc:AlternateContent xmlns:mc="http://schemas.openxmlformats.org/markup-compatibility/2006">
    <mc:Choice Requires="x15">
      <x15ac:absPath xmlns:x15ac="http://schemas.microsoft.com/office/spreadsheetml/2010/11/ac" url="S:\Transmission Rates\Attachment H\50 Basis Pts Adder - Sixth Circuit Court Case\Compliance Filing Implementation\PJM Package Due July 17, 2026\"/>
    </mc:Choice>
  </mc:AlternateContent>
  <xr:revisionPtr revIDLastSave="0" documentId="13_ncr:1_{20EA0007-B48D-44D3-A1AC-632830A79D43}" xr6:coauthVersionLast="47" xr6:coauthVersionMax="47" xr10:uidLastSave="{00000000-0000-0000-0000-000000000000}"/>
  <bookViews>
    <workbookView xWindow="-120" yWindow="-120" windowWidth="29040" windowHeight="15720" tabRatio="841" xr2:uid="{00000000-000D-0000-FFFF-FFFF00000000}"/>
  </bookViews>
  <sheets>
    <sheet name="INPUT" sheetId="67" r:id="rId1"/>
    <sheet name="DEOK" sheetId="79" r:id="rId2"/>
    <sheet name="Sch 1A - Appx A" sheetId="50" r:id="rId3"/>
    <sheet name="Appx B - DEOK(RTEP)" sheetId="42" r:id="rId4"/>
    <sheet name="Appx C - DEOK(MTEP)" sheetId="52" r:id="rId5"/>
    <sheet name="Appx D DEO" sheetId="63" r:id="rId6"/>
    <sheet name="Appx D DEK" sheetId="64" r:id="rId7"/>
    <sheet name="DEO DIT Protected" sheetId="85" r:id="rId8"/>
    <sheet name="DEO DIT Unprotected" sheetId="86" r:id="rId9"/>
    <sheet name="DEK DIT Protected" sheetId="87" r:id="rId10"/>
    <sheet name="DEK DIT Unprotected" sheetId="88" r:id="rId11"/>
    <sheet name="DEK DIT Unprotected State" sheetId="94" r:id="rId12"/>
    <sheet name="DEO" sheetId="2" r:id="rId13"/>
    <sheet name="Appx B - DEO(RTEP) Pg1" sheetId="40" r:id="rId14"/>
    <sheet name="Appx B - DEO(RTEP) Pg2" sheetId="97" r:id="rId15"/>
    <sheet name="Appx C - DEO(MTEP) Pg1" sheetId="53" r:id="rId16"/>
    <sheet name="Appx C - DEO(MTEP) Pg2" sheetId="98" r:id="rId17"/>
    <sheet name="DEK" sheetId="1" r:id="rId18"/>
    <sheet name="Appx B - DEK(RTEP) Pg1" sheetId="41" r:id="rId19"/>
    <sheet name="Appx B - DEK(RTEP) Pg2" sheetId="99" r:id="rId20"/>
    <sheet name="Appx C - DEK(MTEP) Pg1" sheetId="54" r:id="rId21"/>
    <sheet name="Appx C - DEK(MTEP) Pg2" sheetId="100" r:id="rId22"/>
    <sheet name="P1 ADIT" sheetId="22" r:id="rId23"/>
    <sheet name="P2 Allocate M&amp;S" sheetId="12" r:id="rId24"/>
    <sheet name="P3 Land Held for Future Use" sheetId="32" r:id="rId25"/>
    <sheet name="P4 Advertising - EPRI Adj." sheetId="19" r:id="rId26"/>
    <sheet name="P5 A&amp;G Adjusments" sheetId="9" r:id="rId27"/>
    <sheet name="P6 Statetax" sheetId="5" r:id="rId28"/>
    <sheet name="P7 Trans Plant In OATT" sheetId="37" r:id="rId29"/>
    <sheet name="P8 Rev Cred Support" sheetId="20" r:id="rId30"/>
    <sheet name="P9 Capital Structure" sheetId="26" r:id="rId31"/>
    <sheet name="P10 KW Demand" sheetId="13" r:id="rId32"/>
    <sheet name="P11 PBOP - DEO" sheetId="73" r:id="rId33"/>
    <sheet name="P12 PBOP - DEK" sheetId="74" r:id="rId34"/>
    <sheet name="P13 Sch 1A Denominator" sheetId="75" r:id="rId35"/>
    <sheet name="P14 Sch 1A Rev Cr" sheetId="77" r:id="rId36"/>
    <sheet name="P15 Pole Counts" sheetId="76" r:id="rId37"/>
    <sheet name="P16 Prior Yr Corr" sheetId="71" r:id="rId38"/>
    <sheet name="P17 LSE Expenses" sheetId="81" r:id="rId39"/>
    <sheet name="P18 Prepayment Adjusments" sheetId="84" r:id="rId40"/>
    <sheet name="P19 Perm Tax Diff" sheetId="93" r:id="rId41"/>
  </sheets>
  <externalReferences>
    <externalReference r:id="rId42"/>
    <externalReference r:id="rId43"/>
    <externalReference r:id="rId44"/>
  </externalReferences>
  <definedNames>
    <definedName name="______kim1" hidden="1">{#N/A,#N/A,FALSE,"Aging Summary";#N/A,#N/A,FALSE,"Ratio Analysis";#N/A,#N/A,FALSE,"Test 120 Day Accts";#N/A,#N/A,FALSE,"Tickmarks"}</definedName>
    <definedName name="______kim6" hidden="1">{#N/A,#N/A,FALSE,"Aging Summary";#N/A,#N/A,FALSE,"Ratio Analysis";#N/A,#N/A,FALSE,"Test 120 Day Accts";#N/A,#N/A,FALSE,"Tickmarks"}</definedName>
    <definedName name="_____kim1" hidden="1">{#N/A,#N/A,FALSE,"Aging Summary";#N/A,#N/A,FALSE,"Ratio Analysis";#N/A,#N/A,FALSE,"Test 120 Day Accts";#N/A,#N/A,FALSE,"Tickmarks"}</definedName>
    <definedName name="_____kim6" hidden="1">{#N/A,#N/A,FALSE,"Aging Summary";#N/A,#N/A,FALSE,"Ratio Analysis";#N/A,#N/A,FALSE,"Test 120 Day Accts";#N/A,#N/A,FALSE,"Tickmarks"}</definedName>
    <definedName name="____kim1" hidden="1">{#N/A,#N/A,FALSE,"Aging Summary";#N/A,#N/A,FALSE,"Ratio Analysis";#N/A,#N/A,FALSE,"Test 120 Day Accts";#N/A,#N/A,FALSE,"Tickmarks"}</definedName>
    <definedName name="____kim6" hidden="1">{#N/A,#N/A,FALSE,"Aging Summary";#N/A,#N/A,FALSE,"Ratio Analysis";#N/A,#N/A,FALSE,"Test 120 Day Accts";#N/A,#N/A,FALSE,"Tickmarks"}</definedName>
    <definedName name="___kim1" hidden="1">{#N/A,#N/A,FALSE,"Aging Summary";#N/A,#N/A,FALSE,"Ratio Analysis";#N/A,#N/A,FALSE,"Test 120 Day Accts";#N/A,#N/A,FALSE,"Tickmarks"}</definedName>
    <definedName name="___kim6" hidden="1">{#N/A,#N/A,FALSE,"Aging Summary";#N/A,#N/A,FALSE,"Ratio Analysis";#N/A,#N/A,FALSE,"Test 120 Day Accts";#N/A,#N/A,FALSE,"Tickmarks"}</definedName>
    <definedName name="__kim1" hidden="1">{#N/A,#N/A,FALSE,"Aging Summary";#N/A,#N/A,FALSE,"Ratio Analysis";#N/A,#N/A,FALSE,"Test 120 Day Accts";#N/A,#N/A,FALSE,"Tickmarks"}</definedName>
    <definedName name="__kim6" hidden="1">{#N/A,#N/A,FALSE,"Aging Summary";#N/A,#N/A,FALSE,"Ratio Analysis";#N/A,#N/A,FALSE,"Test 120 Day Accts";#N/A,#N/A,FALSE,"Tickmarks"}</definedName>
    <definedName name="_ftn1" localSheetId="22">'P1 ADIT'!$M$28</definedName>
    <definedName name="_ftnref1" localSheetId="22">'P1 ADIT'!$M$25</definedName>
    <definedName name="_Key1" hidden="1">'[1]TAX_EQUITY_Field Serv'!$A$10</definedName>
    <definedName name="_kim1" hidden="1">{#N/A,#N/A,FALSE,"Aging Summary";#N/A,#N/A,FALSE,"Ratio Analysis";#N/A,#N/A,FALSE,"Test 120 Day Accts";#N/A,#N/A,FALSE,"Tickmarks"}</definedName>
    <definedName name="_kim6" hidden="1">{#N/A,#N/A,FALSE,"Aging Summary";#N/A,#N/A,FALSE,"Ratio Analysis";#N/A,#N/A,FALSE,"Test 120 Day Accts";#N/A,#N/A,FALSE,"Tickmarks"}</definedName>
    <definedName name="_Order1" hidden="1">255</definedName>
    <definedName name="_Sort" hidden="1">'[1]TAX_EQUITY_Field Serv'!$A$10:$E$76</definedName>
    <definedName name="ADIT_DEK_P3">'DEK DIT Protected'!$A$1:$I$71</definedName>
    <definedName name="ADIT_DEK_P4" localSheetId="11">'DEK DIT Unprotected State'!$A$1:$I$71</definedName>
    <definedName name="ADIT_DEK_P4">'DEK DIT Unprotected'!$A$1:$I$74</definedName>
    <definedName name="ADIT_DEO_P1">'DEO DIT Protected'!$A$1:$I$71</definedName>
    <definedName name="ADIT_DEO_P2">'DEO DIT Unprotected'!$A$1:$I$71</definedName>
    <definedName name="ADIT_STATE_DEK_P5">'DEK DIT Unprotected State'!$A$1:$I$62</definedName>
    <definedName name="anscount" hidden="1">1</definedName>
    <definedName name="Appendix_A">'Sch 1A - Appx A'!$A$1:$H$38</definedName>
    <definedName name="AppxB_DEK_Pg1_RTEP" localSheetId="19">'Appx B - DEK(RTEP) Pg2'!$A$1:$I$45</definedName>
    <definedName name="AppxB_DEK_Pg1_RTEP">'Appx B - DEK(RTEP) Pg1'!$A$1:$I$45</definedName>
    <definedName name="AppxB_DEK_Pg2_RTEP" localSheetId="19">'Appx B - DEK(RTEP) Pg2'!$K$49:$X$100</definedName>
    <definedName name="AppxB_DEK_Pg2_RTEP">'Appx B - DEK(RTEP) Pg1'!$K$49:$X$100</definedName>
    <definedName name="AppxB_DEO_Pg1_RTEP" localSheetId="14">'Appx B - DEO(RTEP) Pg2'!$A$1:$I$45</definedName>
    <definedName name="AppxB_DEO_Pg1_RTEP">'Appx B - DEO(RTEP) Pg1'!$A$1:$I$45</definedName>
    <definedName name="AppxB_DEO_Pg2_RTEP" localSheetId="14">'Appx B - DEO(RTEP) Pg2'!$K$49:$X$100</definedName>
    <definedName name="AppxB_DEO_Pg2_RTEP">'Appx B - DEO(RTEP) Pg1'!$K$49:$X$100</definedName>
    <definedName name="AppxB_DEOK_Pg1_RTEP">'Appx B - DEOK(RTEP)'!$B$1:$O$52</definedName>
    <definedName name="AppxC_DEK_Pg1_MTEP" localSheetId="21">'Appx C - DEK(MTEP) Pg2'!$A$1:$I$45</definedName>
    <definedName name="AppxC_DEK_Pg1_MTEP">'Appx C - DEK(MTEP) Pg1'!$A$1:$I$45</definedName>
    <definedName name="AppxC_DEK_Pg2_MTEP" localSheetId="21">'Appx C - DEK(MTEP) Pg2'!$K$49:$X$100</definedName>
    <definedName name="AppxC_DEK_Pg2_MTEP">'Appx C - DEK(MTEP) Pg1'!$K$49:$X$100</definedName>
    <definedName name="AppxC_DEO_Pg1_MTEP" localSheetId="16">'Appx C - DEO(MTEP) Pg2'!$A$1:$I$45</definedName>
    <definedName name="AppxC_DEO_Pg1_MTEP">'Appx C - DEO(MTEP) Pg1'!$A$1:$I$45</definedName>
    <definedName name="AppxC_DEO_Pg2_MTEP" localSheetId="16">'Appx C - DEO(MTEP) Pg2'!$K$49:$X$100</definedName>
    <definedName name="AppxC_DEO_Pg2_MTEP">'Appx C - DEO(MTEP) Pg1'!$K$49:$X$100</definedName>
    <definedName name="AppxC_DEOK_Pg1_MTEP">'Appx C - DEOK(MTEP)'!$B$1:$O$52</definedName>
    <definedName name="AppxD_DEK">'Appx D DEK'!$A$1:$G$50</definedName>
    <definedName name="AppxD_DEO_P1">'Appx D DEO'!$A$1:$G$57</definedName>
    <definedName name="AppxD_DEO_P2">'Appx D DEO'!$A$60:$G$110</definedName>
    <definedName name="AS2DocOpenMode" hidden="1">"AS2DocumentEdit"</definedName>
    <definedName name="AS2NamedRange" hidden="1">7</definedName>
    <definedName name="BNE_MESSAGES_HIDDEN" localSheetId="1" hidden="1">#REF!</definedName>
    <definedName name="BNE_MESSAGES_HIDDEN" localSheetId="32" hidden="1">#REF!</definedName>
    <definedName name="BNE_MESSAGES_HIDDEN" localSheetId="33" hidden="1">#REF!</definedName>
    <definedName name="BNE_MESSAGES_HIDDEN" localSheetId="39" hidden="1">#REF!</definedName>
    <definedName name="BNE_MESSAGES_HIDDEN" localSheetId="40" hidden="1">#REF!</definedName>
    <definedName name="BNE_MESSAGES_HIDDEN" hidden="1">#REF!</definedName>
    <definedName name="d" hidden="1">{"edcredit",#N/A,FALSE,"edcredit"}</definedName>
    <definedName name="DEK_1of6">DEK!$A$1:$J$34</definedName>
    <definedName name="DEK_2of6">DEK!$A$35:$J$95</definedName>
    <definedName name="DEK_3of6">DEK!$A$96:$J$169</definedName>
    <definedName name="DEK_4of6">DEK!$A$170:$L$245</definedName>
    <definedName name="DEK_5of6">DEK!$A$247:$L$309</definedName>
    <definedName name="DEK_6of6">DEK!$A$310:$L$340</definedName>
    <definedName name="DEK_CE_Alloc">DEK!$L$213</definedName>
    <definedName name="DEK_GP_Alloc">DEK!$H$58</definedName>
    <definedName name="DEK_NP_Alloc">DEK!$H$74</definedName>
    <definedName name="DEK_TE_Alloc">DEK!$J$200</definedName>
    <definedName name="DEK_TP_Alloc">DEK!$J$190</definedName>
    <definedName name="DEK_WS_Alloc">DEK!$J$208</definedName>
    <definedName name="DEO_1of6">DEO!$A$1:$J$34</definedName>
    <definedName name="DEO_2of6">DEO!$A$35:$J$95</definedName>
    <definedName name="DEO_3of6">DEO!$A$96:$J$169</definedName>
    <definedName name="DEO_4of6">DEO!$A$170:$L$245</definedName>
    <definedName name="DEO_5of6">DEO!$A$247:$L$309</definedName>
    <definedName name="DEO_6of6">DEO!$A$311:$L$341</definedName>
    <definedName name="DEO_CE_Alloc">DEO!$L$213</definedName>
    <definedName name="DEO_GP_Alloc">DEO!$H$58</definedName>
    <definedName name="DEO_NP_Alloc">DEO!$H$74</definedName>
    <definedName name="DEO_TE_Alloc">DEO!$J$200</definedName>
    <definedName name="DEO_TP_Alloc">DEO!$J$190</definedName>
    <definedName name="DEO_WS_Alloc">DEO!$J$208</definedName>
    <definedName name="DEOK_1of1">DEOK!$A$1:$G$56</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uh" hidden="1">{"edcredit",#N/A,FALSE,"edcredit"}</definedName>
    <definedName name="Duke_Energy_Ohio_and_Duke_Energy_Kentucky">'P19 Perm Tax Diff'!$A$1:$G$31</definedName>
    <definedName name="ej" hidden="1">{"Page 1",#N/A,FALSE,"Sheet1";"Page 2",#N/A,FALSE,"Sheet1"}</definedName>
    <definedName name="f" hidden="1">{"edcredit",#N/A,FALSE,"edcredit"}</definedName>
    <definedName name="FERCrefund">INPUT!$C$168</definedName>
    <definedName name="finance" hidden="1">{#N/A,#N/A,TRUE,"CIN-11";#N/A,#N/A,TRUE,"CIN-13";#N/A,#N/A,TRUE,"CIN-14";#N/A,#N/A,TRUE,"CIN-16";#N/A,#N/A,TRUE,"CIN-17";#N/A,#N/A,TRUE,"CIN-18";#N/A,#N/A,TRUE,"CIN Earnings To Fixed Charges";#N/A,#N/A,TRUE,"CIN Financial Ratios";#N/A,#N/A,TRUE,"CIN-IS";#N/A,#N/A,TRUE,"CIN-BS";#N/A,#N/A,TRUE,"CIN-CS";#N/A,#N/A,TRUE,"Invest In Unconsol Subs"}</definedName>
    <definedName name="FIT">INPUT!$C$87</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40661.3016898148</definedName>
    <definedName name="IQ_NTM" hidden="1">6000</definedName>
    <definedName name="IQ_OPENED55" hidden="1">1</definedName>
    <definedName name="IQ_TODAY" hidden="1">0</definedName>
    <definedName name="IQ_WEEK" hidden="1">50000</definedName>
    <definedName name="IQ_YTD" hidden="1">3000</definedName>
    <definedName name="IQ_YTDMONTH" hidden="1">130000</definedName>
    <definedName name="jj" hidden="1">{"Page 1",#N/A,FALSE,"Sheet1";"Page 2",#N/A,FALSE,"Sheet1"}</definedName>
    <definedName name="lkjh" hidden="1">{#N/A,#N/A,TRUE,"CIN-11";#N/A,#N/A,TRUE,"CIN-13";#N/A,#N/A,TRUE,"CIN-14";#N/A,#N/A,TRUE,"CIN-16";#N/A,#N/A,TRUE,"CIN-17";#N/A,#N/A,TRUE,"CIN-18";#N/A,#N/A,TRUE,"CIN Earnings To Fixed Charges";#N/A,#N/A,TRUE,"CIN Financial Ratios";#N/A,#N/A,TRUE,"CIN-IS";#N/A,#N/A,TRUE,"CIN-BS";#N/A,#N/A,TRUE,"CIN-CS";#N/A,#N/A,TRUE,"Invest In Unconsol Subs"}</definedName>
    <definedName name="May1Forecast" hidden="1">{"Page 1",#N/A,FALSE,"Sheet1";"Page 2",#N/A,FALSE,"Sheet1"}</definedName>
    <definedName name="MayForecast" hidden="1">{"Page 1",#N/A,FALSE,"Sheet1";"Page 2",#N/A,FALSE,"Sheet1"}</definedName>
    <definedName name="mypassword" hidden="1">"chuck"</definedName>
    <definedName name="PeakKW_DEOK">'P10 KW Demand'!$D$13:$D$24</definedName>
    <definedName name="PG1_Support_Corrections" localSheetId="37">'P16 Prior Yr Corr'!$A$1:$F$12</definedName>
    <definedName name="_xlnm.Print_Area" localSheetId="18">'Appx B - DEK(RTEP) Pg1'!$A$1:$I$46</definedName>
    <definedName name="_xlnm.Print_Area" localSheetId="19">'Appx B - DEK(RTEP) Pg2'!$K$49:$X$100</definedName>
    <definedName name="_xlnm.Print_Area" localSheetId="13">'Appx B - DEO(RTEP) Pg1'!$A$1:$I$46</definedName>
    <definedName name="_xlnm.Print_Area" localSheetId="14">'Appx B - DEO(RTEP) Pg2'!$K$49:$X$100</definedName>
    <definedName name="_xlnm.Print_Area" localSheetId="3">'Appx B - DEOK(RTEP)'!$B$1:$O$52</definedName>
    <definedName name="_xlnm.Print_Area" localSheetId="20">'Appx C - DEK(MTEP) Pg1'!$A$1:$I$46</definedName>
    <definedName name="_xlnm.Print_Area" localSheetId="21">'Appx C - DEK(MTEP) Pg2'!$K$49:$X$101</definedName>
    <definedName name="_xlnm.Print_Area" localSheetId="15">'Appx C - DEO(MTEP) Pg1'!$A$1:$I$45</definedName>
    <definedName name="_xlnm.Print_Area" localSheetId="16">'Appx C - DEO(MTEP) Pg2'!$K$49:$X$100</definedName>
    <definedName name="_xlnm.Print_Area" localSheetId="4">'Appx C - DEOK(MTEP)'!$B$1:$O$52</definedName>
    <definedName name="_xlnm.Print_Area" localSheetId="6">'Appx D DEK'!$A$1:$G$50</definedName>
    <definedName name="_xlnm.Print_Area" localSheetId="5">'Appx D DEO'!$A$1:$G$110</definedName>
    <definedName name="_xlnm.Print_Area" localSheetId="17">DEK!$A$1:$L$340</definedName>
    <definedName name="_xlnm.Print_Area" localSheetId="9">'DEK DIT Protected'!$A$1:$I$71</definedName>
    <definedName name="_xlnm.Print_Area" localSheetId="10">'DEK DIT Unprotected'!$A$1:$I$74</definedName>
    <definedName name="_xlnm.Print_Area" localSheetId="11">'DEK DIT Unprotected State'!$A$1:$I$62</definedName>
    <definedName name="_xlnm.Print_Area" localSheetId="12">DEO!$A$1:$L$341</definedName>
    <definedName name="_xlnm.Print_Area" localSheetId="7">'DEO DIT Protected'!$A$1:$I$71</definedName>
    <definedName name="_xlnm.Print_Area" localSheetId="8">'DEO DIT Unprotected'!$A$1:$I$71</definedName>
    <definedName name="_xlnm.Print_Area" localSheetId="1">DEOK!$A$1:$G$56</definedName>
    <definedName name="_xlnm.Print_Area" localSheetId="22">'P1 ADIT'!$A$1:$G$51</definedName>
    <definedName name="_xlnm.Print_Area" localSheetId="31">'P10 KW Demand'!$A$1:$H$34</definedName>
    <definedName name="_xlnm.Print_Area" localSheetId="32">'P11 PBOP - DEO'!$B$1:$L$43</definedName>
    <definedName name="_xlnm.Print_Area" localSheetId="33">'P12 PBOP - DEK'!$B$1:$L$43</definedName>
    <definedName name="_xlnm.Print_Area" localSheetId="34">'P13 Sch 1A Denominator'!$A$1:$G$48</definedName>
    <definedName name="_xlnm.Print_Area" localSheetId="35">'P14 Sch 1A Rev Cr'!$A$1:$J$36</definedName>
    <definedName name="_xlnm.Print_Area" localSheetId="36">'P15 Pole Counts'!$A$1:$K$25</definedName>
    <definedName name="_xlnm.Print_Area" localSheetId="37">'P16 Prior Yr Corr'!$A$1:$G$36</definedName>
    <definedName name="_xlnm.Print_Area" localSheetId="38">'P17 LSE Expenses'!$A$1:$H$21</definedName>
    <definedName name="_xlnm.Print_Area" localSheetId="39">'P18 Prepayment Adjusments'!$A$1:$F$29</definedName>
    <definedName name="_xlnm.Print_Area" localSheetId="40">'P19 Perm Tax Diff'!$A$1:$H$31</definedName>
    <definedName name="_xlnm.Print_Area" localSheetId="23">'P2 Allocate M&amp;S'!$A$1:$L$36</definedName>
    <definedName name="_xlnm.Print_Area" localSheetId="24">'P3 Land Held for Future Use'!$A$1:$F$27</definedName>
    <definedName name="_xlnm.Print_Area" localSheetId="25">'P4 Advertising - EPRI Adj.'!$A$1:$G$38</definedName>
    <definedName name="_xlnm.Print_Area" localSheetId="26">'P5 A&amp;G Adjusments'!$A$1:$F$22</definedName>
    <definedName name="_xlnm.Print_Area" localSheetId="27">'P6 Statetax'!$A$1:$F$18</definedName>
    <definedName name="_xlnm.Print_Area" localSheetId="28">'P7 Trans Plant In OATT'!$A$1:$E$15</definedName>
    <definedName name="_xlnm.Print_Area" localSheetId="29">'P8 Rev Cred Support'!$A$1:$G$48</definedName>
    <definedName name="_xlnm.Print_Area" localSheetId="30">'P9 Capital Structure'!$A$1:$E$21</definedName>
    <definedName name="_xlnm.Print_Area" localSheetId="2">'Sch 1A - Appx A'!$A$1:$H$40</definedName>
    <definedName name="_xlnm.Print_Titles" localSheetId="0">INPUT!$A:$B,INPUT!$1:$6</definedName>
    <definedName name="PriorYrCorr">'P16 Prior Yr Corr'!$G$36</definedName>
    <definedName name="R_DEK">DEK!$J$232</definedName>
    <definedName name="R_DEO">DEO!$J$232</definedName>
    <definedName name="rngCopyFormulasSource" localSheetId="1" hidden="1">'[2]CIN-14'!#REF!</definedName>
    <definedName name="rngCopyFormulasSource" localSheetId="32" hidden="1">'[2]CIN-14'!#REF!</definedName>
    <definedName name="rngCopyFormulasSource" localSheetId="33" hidden="1">'[2]CIN-14'!#REF!</definedName>
    <definedName name="rngCopyFormulasSource" localSheetId="39" hidden="1">'[2]CIN-14'!#REF!</definedName>
    <definedName name="rngCopyFormulasSource" localSheetId="40" hidden="1">'[2]CIN-14'!#REF!</definedName>
    <definedName name="rngCopyFormulasSource" hidden="1">'[2]CIN-14'!#REF!</definedName>
    <definedName name="ROE">INPUT!$C$162</definedName>
    <definedName name="SCH_1A">'Sch 1A - Appx A'!$A$1:$H$40</definedName>
    <definedName name="sdfg" hidden="1">{#N/A,#N/A,TRUE,"CIN-11";#N/A,#N/A,TRUE,"CIN-13";#N/A,#N/A,TRUE,"CIN-14";#N/A,#N/A,TRUE,"CIN-16";#N/A,#N/A,TRUE,"CIN-17";#N/A,#N/A,TRUE,"CIN-18";#N/A,#N/A,TRUE,"CIN Earnings To Fixed Charges";#N/A,#N/A,TRUE,"CIN Financial Ratios";#N/A,#N/A,TRUE,"CIN-IS";#N/A,#N/A,TRUE,"CIN-BS";#N/A,#N/A,TRUE,"CIN-CS";#N/A,#N/A,TRUE,"Invest In Unconsol Subs"}</definedName>
    <definedName name="SIT_DEK">INPUT!$D$88</definedName>
    <definedName name="SIT_DEO">INPUT!$C$88</definedName>
    <definedName name="spoc" hidden="1">{"Page 1",#N/A,FALSE,"Sheet1";"Page 2",#N/A,FALSE,"Sheet1"}</definedName>
    <definedName name="test1" hidden="1">{"Page 1",#N/A,FALSE,"Sheet1";"Page 2",#N/A,FALSE,"Sheet1"}</definedName>
    <definedName name="test2" hidden="1">{"Page 1",#N/A,FALSE,"Sheet1";"Page 2",#N/A,FALSE,"Sheet1"}</definedName>
    <definedName name="TP_Footer_User" hidden="1">"combsk"</definedName>
    <definedName name="TP_Footer_Version" hidden="1">"v4.00"</definedName>
    <definedName name="WCLTD_DEK">DEK!$J$229</definedName>
    <definedName name="WCLTD_DEO">DEO!$J$229</definedName>
    <definedName name="Workpaper">INPUT!$D$2</definedName>
    <definedName name="Workpaper_P1">'P1 ADIT'!$A$1:$G$51</definedName>
    <definedName name="Workpaper_P10">'P10 KW Demand'!$A$1:$H$34</definedName>
    <definedName name="Workpaper_P11">'P11 PBOP - DEO'!$B$1:$L$43</definedName>
    <definedName name="Workpaper_P12">'P12 PBOP - DEK'!$B$1:$L$43</definedName>
    <definedName name="Workpaper_P13">'P13 Sch 1A Denominator'!$A$1:$G$48</definedName>
    <definedName name="Workpaper_P14">'P14 Sch 1A Rev Cr'!$A$1:$J$36</definedName>
    <definedName name="Workpaper_P15">'P15 Pole Counts'!$A$1:$K$25</definedName>
    <definedName name="Workpaper_P16">'P16 Prior Yr Corr'!$A$1:$G$36</definedName>
    <definedName name="Workpaper_P17">'P17 LSE Expenses'!$A$1:$H$21</definedName>
    <definedName name="Workpaper_P18">'P18 Prepayment Adjusments'!$A$1:$F$29</definedName>
    <definedName name="Workpaper_P19">'P19 Perm Tax Diff'!$A$1:$H$31</definedName>
    <definedName name="Workpaper_P2">'P2 Allocate M&amp;S'!$A$1:$L$36</definedName>
    <definedName name="Workpaper_P3">'P3 Land Held for Future Use'!$A$1:$F$27</definedName>
    <definedName name="Workpaper_P4">'P4 Advertising - EPRI Adj.'!$A$1:$G$38</definedName>
    <definedName name="Workpaper_P5">'P5 A&amp;G Adjusments'!$A$1:$F$22</definedName>
    <definedName name="Workpaper_P6">'P6 Statetax'!$A$1:$F$18</definedName>
    <definedName name="Workpaper_P7">'P7 Trans Plant In OATT'!$A$1:$E$15</definedName>
    <definedName name="Workpaper_P8">'P8 Rev Cred Support'!$A$1:$G$48</definedName>
    <definedName name="Workpaper_P9">'P9 Capital Structure'!$A$1:$E$21</definedName>
    <definedName name="wrn.Aging._.and._.Trend._.Analysis." hidden="1">{#N/A,#N/A,FALSE,"Aging Summary";#N/A,#N/A,FALSE,"Ratio Analysis";#N/A,#N/A,FALSE,"Test 120 Day Accts";#N/A,#N/A,FALSE,"Tickmarks"}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edcredit." hidden="1">{"edcredit",#N/A,FALSE,"edcredit"}</definedName>
    <definedName name="wrn.Page._.1." hidden="1">{"Page 1",#N/A,FALSE,"Sheet1";"Page 2",#N/A,FALSE,"Sheet1"}</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x"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Xbrl_Tag_02ead093_8098_4561_b1a6_35aad0b3b539" localSheetId="1" hidden="1">'[3]Adj. Income Statement'!#REF!</definedName>
    <definedName name="Xbrl_Tag_02ead093_8098_4561_b1a6_35aad0b3b539" localSheetId="32" hidden="1">'[3]Adj. Income Statement'!#REF!</definedName>
    <definedName name="Xbrl_Tag_02ead093_8098_4561_b1a6_35aad0b3b539" localSheetId="33" hidden="1">'[3]Adj. Income Statement'!#REF!</definedName>
    <definedName name="Xbrl_Tag_02ead093_8098_4561_b1a6_35aad0b3b539" localSheetId="39" hidden="1">'[3]Adj. Income Statement'!#REF!</definedName>
    <definedName name="Xbrl_Tag_02ead093_8098_4561_b1a6_35aad0b3b539" localSheetId="40" hidden="1">'[3]Adj. Income Statement'!#REF!</definedName>
    <definedName name="Xbrl_Tag_02ead093_8098_4561_b1a6_35aad0b3b539" hidden="1">'[3]Adj. Income Statement'!#REF!</definedName>
    <definedName name="Xbrl_Tag_075d33f9_8d44_4b5e_8fc8_85eada4f464a" localSheetId="1" hidden="1">'[3]Adj. Income Statement'!#REF!</definedName>
    <definedName name="Xbrl_Tag_075d33f9_8d44_4b5e_8fc8_85eada4f464a" localSheetId="32" hidden="1">'[3]Adj. Income Statement'!#REF!</definedName>
    <definedName name="Xbrl_Tag_075d33f9_8d44_4b5e_8fc8_85eada4f464a" localSheetId="33" hidden="1">'[3]Adj. Income Statement'!#REF!</definedName>
    <definedName name="Xbrl_Tag_075d33f9_8d44_4b5e_8fc8_85eada4f464a" localSheetId="39" hidden="1">'[3]Adj. Income Statement'!#REF!</definedName>
    <definedName name="Xbrl_Tag_075d33f9_8d44_4b5e_8fc8_85eada4f464a" localSheetId="40" hidden="1">'[3]Adj. Income Statement'!#REF!</definedName>
    <definedName name="Xbrl_Tag_075d33f9_8d44_4b5e_8fc8_85eada4f464a" hidden="1">'[3]Adj. Income Statement'!#REF!</definedName>
    <definedName name="Xbrl_Tag_0a527475_1b41_4c03_bf3e_82e631232d6b" localSheetId="1" hidden="1">'[3]Adj. Income Statement'!#REF!</definedName>
    <definedName name="Xbrl_Tag_0a527475_1b41_4c03_bf3e_82e631232d6b" localSheetId="32" hidden="1">'[3]Adj. Income Statement'!#REF!</definedName>
    <definedName name="Xbrl_Tag_0a527475_1b41_4c03_bf3e_82e631232d6b" localSheetId="33" hidden="1">'[3]Adj. Income Statement'!#REF!</definedName>
    <definedName name="Xbrl_Tag_0a527475_1b41_4c03_bf3e_82e631232d6b" localSheetId="39" hidden="1">'[3]Adj. Income Statement'!#REF!</definedName>
    <definedName name="Xbrl_Tag_0a527475_1b41_4c03_bf3e_82e631232d6b" localSheetId="40" hidden="1">'[3]Adj. Income Statement'!#REF!</definedName>
    <definedName name="Xbrl_Tag_0a527475_1b41_4c03_bf3e_82e631232d6b" hidden="1">'[3]Adj. Income Statement'!#REF!</definedName>
    <definedName name="Xbrl_Tag_0bc4560b_9d42_4e7c_bfcf_072f8e0e087b" localSheetId="1" hidden="1">'[3]Adj. Income Statement'!#REF!</definedName>
    <definedName name="Xbrl_Tag_0bc4560b_9d42_4e7c_bfcf_072f8e0e087b" localSheetId="32" hidden="1">'[3]Adj. Income Statement'!#REF!</definedName>
    <definedName name="Xbrl_Tag_0bc4560b_9d42_4e7c_bfcf_072f8e0e087b" localSheetId="33" hidden="1">'[3]Adj. Income Statement'!#REF!</definedName>
    <definedName name="Xbrl_Tag_0bc4560b_9d42_4e7c_bfcf_072f8e0e087b" localSheetId="39" hidden="1">'[3]Adj. Income Statement'!#REF!</definedName>
    <definedName name="Xbrl_Tag_0bc4560b_9d42_4e7c_bfcf_072f8e0e087b" localSheetId="40" hidden="1">'[3]Adj. Income Statement'!#REF!</definedName>
    <definedName name="Xbrl_Tag_0bc4560b_9d42_4e7c_bfcf_072f8e0e087b" hidden="1">'[3]Adj. Income Statement'!#REF!</definedName>
    <definedName name="Xbrl_Tag_0c54907b_74c4_4d3a_b16d_9d5b6191a8f0" localSheetId="1" hidden="1">'[3]Adj. Income Statement'!#REF!</definedName>
    <definedName name="Xbrl_Tag_0c54907b_74c4_4d3a_b16d_9d5b6191a8f0" localSheetId="32" hidden="1">'[3]Adj. Income Statement'!#REF!</definedName>
    <definedName name="Xbrl_Tag_0c54907b_74c4_4d3a_b16d_9d5b6191a8f0" localSheetId="33" hidden="1">'[3]Adj. Income Statement'!#REF!</definedName>
    <definedName name="Xbrl_Tag_0c54907b_74c4_4d3a_b16d_9d5b6191a8f0" localSheetId="39" hidden="1">'[3]Adj. Income Statement'!#REF!</definedName>
    <definedName name="Xbrl_Tag_0c54907b_74c4_4d3a_b16d_9d5b6191a8f0" localSheetId="40" hidden="1">'[3]Adj. Income Statement'!#REF!</definedName>
    <definedName name="Xbrl_Tag_0c54907b_74c4_4d3a_b16d_9d5b6191a8f0" hidden="1">'[3]Adj. Income Statement'!#REF!</definedName>
    <definedName name="Xbrl_Tag_0f074d5a_3373_452d_affc_9e3adc16f0cc" localSheetId="1" hidden="1">'[3]Adj. Income Statement'!#REF!</definedName>
    <definedName name="Xbrl_Tag_0f074d5a_3373_452d_affc_9e3adc16f0cc" localSheetId="32" hidden="1">'[3]Adj. Income Statement'!#REF!</definedName>
    <definedName name="Xbrl_Tag_0f074d5a_3373_452d_affc_9e3adc16f0cc" localSheetId="33" hidden="1">'[3]Adj. Income Statement'!#REF!</definedName>
    <definedName name="Xbrl_Tag_0f074d5a_3373_452d_affc_9e3adc16f0cc" localSheetId="39" hidden="1">'[3]Adj. Income Statement'!#REF!</definedName>
    <definedName name="Xbrl_Tag_0f074d5a_3373_452d_affc_9e3adc16f0cc" localSheetId="40" hidden="1">'[3]Adj. Income Statement'!#REF!</definedName>
    <definedName name="Xbrl_Tag_0f074d5a_3373_452d_affc_9e3adc16f0cc" hidden="1">'[3]Adj. Income Statement'!#REF!</definedName>
    <definedName name="Xbrl_Tag_10857a19_f8a4_4178_b6d5_1f56875498d8" localSheetId="1" hidden="1">'[3]Adj. Income Statement'!#REF!</definedName>
    <definedName name="Xbrl_Tag_10857a19_f8a4_4178_b6d5_1f56875498d8" localSheetId="32" hidden="1">'[3]Adj. Income Statement'!#REF!</definedName>
    <definedName name="Xbrl_Tag_10857a19_f8a4_4178_b6d5_1f56875498d8" localSheetId="33" hidden="1">'[3]Adj. Income Statement'!#REF!</definedName>
    <definedName name="Xbrl_Tag_10857a19_f8a4_4178_b6d5_1f56875498d8" localSheetId="39" hidden="1">'[3]Adj. Income Statement'!#REF!</definedName>
    <definedName name="Xbrl_Tag_10857a19_f8a4_4178_b6d5_1f56875498d8" localSheetId="40" hidden="1">'[3]Adj. Income Statement'!#REF!</definedName>
    <definedName name="Xbrl_Tag_10857a19_f8a4_4178_b6d5_1f56875498d8" hidden="1">'[3]Adj. Income Statement'!#REF!</definedName>
    <definedName name="Xbrl_Tag_157035cb_bd67_4700_bac9_8654f3e0e9d9" localSheetId="1" hidden="1">'[3]Adj. Income Statement'!#REF!</definedName>
    <definedName name="Xbrl_Tag_157035cb_bd67_4700_bac9_8654f3e0e9d9" localSheetId="32" hidden="1">'[3]Adj. Income Statement'!#REF!</definedName>
    <definedName name="Xbrl_Tag_157035cb_bd67_4700_bac9_8654f3e0e9d9" localSheetId="33" hidden="1">'[3]Adj. Income Statement'!#REF!</definedName>
    <definedName name="Xbrl_Tag_157035cb_bd67_4700_bac9_8654f3e0e9d9" localSheetId="39" hidden="1">'[3]Adj. Income Statement'!#REF!</definedName>
    <definedName name="Xbrl_Tag_157035cb_bd67_4700_bac9_8654f3e0e9d9" localSheetId="40" hidden="1">'[3]Adj. Income Statement'!#REF!</definedName>
    <definedName name="Xbrl_Tag_157035cb_bd67_4700_bac9_8654f3e0e9d9" hidden="1">'[3]Adj. Income Statement'!#REF!</definedName>
    <definedName name="Xbrl_Tag_1a17ee58_77be_41d6_a839_b459b55e8e50" localSheetId="1" hidden="1">'[3]Adj. Income Statement'!#REF!</definedName>
    <definedName name="Xbrl_Tag_1a17ee58_77be_41d6_a839_b459b55e8e50" localSheetId="32" hidden="1">'[3]Adj. Income Statement'!#REF!</definedName>
    <definedName name="Xbrl_Tag_1a17ee58_77be_41d6_a839_b459b55e8e50" localSheetId="33" hidden="1">'[3]Adj. Income Statement'!#REF!</definedName>
    <definedName name="Xbrl_Tag_1a17ee58_77be_41d6_a839_b459b55e8e50" localSheetId="39" hidden="1">'[3]Adj. Income Statement'!#REF!</definedName>
    <definedName name="Xbrl_Tag_1a17ee58_77be_41d6_a839_b459b55e8e50" localSheetId="40" hidden="1">'[3]Adj. Income Statement'!#REF!</definedName>
    <definedName name="Xbrl_Tag_1a17ee58_77be_41d6_a839_b459b55e8e50" hidden="1">'[3]Adj. Income Statement'!#REF!</definedName>
    <definedName name="Xbrl_Tag_1d7e0664_9af3_4cfd_93bd_b4acb420ada8" localSheetId="1" hidden="1">'[3]Adj. Income Statement'!#REF!</definedName>
    <definedName name="Xbrl_Tag_1d7e0664_9af3_4cfd_93bd_b4acb420ada8" localSheetId="32" hidden="1">'[3]Adj. Income Statement'!#REF!</definedName>
    <definedName name="Xbrl_Tag_1d7e0664_9af3_4cfd_93bd_b4acb420ada8" localSheetId="33" hidden="1">'[3]Adj. Income Statement'!#REF!</definedName>
    <definedName name="Xbrl_Tag_1d7e0664_9af3_4cfd_93bd_b4acb420ada8" localSheetId="39" hidden="1">'[3]Adj. Income Statement'!#REF!</definedName>
    <definedName name="Xbrl_Tag_1d7e0664_9af3_4cfd_93bd_b4acb420ada8" localSheetId="40" hidden="1">'[3]Adj. Income Statement'!#REF!</definedName>
    <definedName name="Xbrl_Tag_1d7e0664_9af3_4cfd_93bd_b4acb420ada8" hidden="1">'[3]Adj. Income Statement'!#REF!</definedName>
    <definedName name="Xbrl_Tag_1f22c9c6_d780_4c43_95fb_8b6123261b05" localSheetId="1" hidden="1">'[3]Adj. Income Statement'!#REF!</definedName>
    <definedName name="Xbrl_Tag_1f22c9c6_d780_4c43_95fb_8b6123261b05" localSheetId="32" hidden="1">'[3]Adj. Income Statement'!#REF!</definedName>
    <definedName name="Xbrl_Tag_1f22c9c6_d780_4c43_95fb_8b6123261b05" localSheetId="33" hidden="1">'[3]Adj. Income Statement'!#REF!</definedName>
    <definedName name="Xbrl_Tag_1f22c9c6_d780_4c43_95fb_8b6123261b05" localSheetId="39" hidden="1">'[3]Adj. Income Statement'!#REF!</definedName>
    <definedName name="Xbrl_Tag_1f22c9c6_d780_4c43_95fb_8b6123261b05" localSheetId="40" hidden="1">'[3]Adj. Income Statement'!#REF!</definedName>
    <definedName name="Xbrl_Tag_1f22c9c6_d780_4c43_95fb_8b6123261b05" hidden="1">'[3]Adj. Income Statement'!#REF!</definedName>
    <definedName name="Xbrl_Tag_25b41a93_9486_45f9_8873_cc646f7592ac" localSheetId="1" hidden="1">'[3]Adj. Income Statement'!#REF!</definedName>
    <definedName name="Xbrl_Tag_25b41a93_9486_45f9_8873_cc646f7592ac" localSheetId="32" hidden="1">'[3]Adj. Income Statement'!#REF!</definedName>
    <definedName name="Xbrl_Tag_25b41a93_9486_45f9_8873_cc646f7592ac" localSheetId="33" hidden="1">'[3]Adj. Income Statement'!#REF!</definedName>
    <definedName name="Xbrl_Tag_25b41a93_9486_45f9_8873_cc646f7592ac" localSheetId="39" hidden="1">'[3]Adj. Income Statement'!#REF!</definedName>
    <definedName name="Xbrl_Tag_25b41a93_9486_45f9_8873_cc646f7592ac" localSheetId="40" hidden="1">'[3]Adj. Income Statement'!#REF!</definedName>
    <definedName name="Xbrl_Tag_25b41a93_9486_45f9_8873_cc646f7592ac" hidden="1">'[3]Adj. Income Statement'!#REF!</definedName>
    <definedName name="Xbrl_Tag_3389f7d8_f533_46e1_b4e3_fbec1f4d27f5" localSheetId="1" hidden="1">'[3]Adj. Income Statement'!#REF!</definedName>
    <definedName name="Xbrl_Tag_3389f7d8_f533_46e1_b4e3_fbec1f4d27f5" localSheetId="32" hidden="1">'[3]Adj. Income Statement'!#REF!</definedName>
    <definedName name="Xbrl_Tag_3389f7d8_f533_46e1_b4e3_fbec1f4d27f5" localSheetId="33" hidden="1">'[3]Adj. Income Statement'!#REF!</definedName>
    <definedName name="Xbrl_Tag_3389f7d8_f533_46e1_b4e3_fbec1f4d27f5" localSheetId="39" hidden="1">'[3]Adj. Income Statement'!#REF!</definedName>
    <definedName name="Xbrl_Tag_3389f7d8_f533_46e1_b4e3_fbec1f4d27f5" localSheetId="40" hidden="1">'[3]Adj. Income Statement'!#REF!</definedName>
    <definedName name="Xbrl_Tag_3389f7d8_f533_46e1_b4e3_fbec1f4d27f5" hidden="1">'[3]Adj. Income Statement'!#REF!</definedName>
    <definedName name="Xbrl_Tag_359d872e_df59_485a_a441_e3067597753f" localSheetId="1" hidden="1">'[3]Adj. Income Statement'!#REF!</definedName>
    <definedName name="Xbrl_Tag_359d872e_df59_485a_a441_e3067597753f" localSheetId="32" hidden="1">'[3]Adj. Income Statement'!#REF!</definedName>
    <definedName name="Xbrl_Tag_359d872e_df59_485a_a441_e3067597753f" localSheetId="33" hidden="1">'[3]Adj. Income Statement'!#REF!</definedName>
    <definedName name="Xbrl_Tag_359d872e_df59_485a_a441_e3067597753f" localSheetId="39" hidden="1">'[3]Adj. Income Statement'!#REF!</definedName>
    <definedName name="Xbrl_Tag_359d872e_df59_485a_a441_e3067597753f" localSheetId="40" hidden="1">'[3]Adj. Income Statement'!#REF!</definedName>
    <definedName name="Xbrl_Tag_359d872e_df59_485a_a441_e3067597753f" hidden="1">'[3]Adj. Income Statement'!#REF!</definedName>
    <definedName name="Xbrl_Tag_359eab43_6bae_4f5a_8af7_8f81553cd43d" localSheetId="1" hidden="1">'[3]Adj. Income Statement'!#REF!</definedName>
    <definedName name="Xbrl_Tag_359eab43_6bae_4f5a_8af7_8f81553cd43d" localSheetId="32" hidden="1">'[3]Adj. Income Statement'!#REF!</definedName>
    <definedName name="Xbrl_Tag_359eab43_6bae_4f5a_8af7_8f81553cd43d" localSheetId="33" hidden="1">'[3]Adj. Income Statement'!#REF!</definedName>
    <definedName name="Xbrl_Tag_359eab43_6bae_4f5a_8af7_8f81553cd43d" localSheetId="39" hidden="1">'[3]Adj. Income Statement'!#REF!</definedName>
    <definedName name="Xbrl_Tag_359eab43_6bae_4f5a_8af7_8f81553cd43d" localSheetId="40" hidden="1">'[3]Adj. Income Statement'!#REF!</definedName>
    <definedName name="Xbrl_Tag_359eab43_6bae_4f5a_8af7_8f81553cd43d" hidden="1">'[3]Adj. Income Statement'!#REF!</definedName>
    <definedName name="Xbrl_Tag_3a2d5606_5470_4db9_9313_3dc1f43a8b30" localSheetId="1" hidden="1">'[3]Adj. Income Statement'!#REF!</definedName>
    <definedName name="Xbrl_Tag_3a2d5606_5470_4db9_9313_3dc1f43a8b30" localSheetId="32" hidden="1">'[3]Adj. Income Statement'!#REF!</definedName>
    <definedName name="Xbrl_Tag_3a2d5606_5470_4db9_9313_3dc1f43a8b30" localSheetId="33" hidden="1">'[3]Adj. Income Statement'!#REF!</definedName>
    <definedName name="Xbrl_Tag_3a2d5606_5470_4db9_9313_3dc1f43a8b30" localSheetId="39" hidden="1">'[3]Adj. Income Statement'!#REF!</definedName>
    <definedName name="Xbrl_Tag_3a2d5606_5470_4db9_9313_3dc1f43a8b30" localSheetId="40" hidden="1">'[3]Adj. Income Statement'!#REF!</definedName>
    <definedName name="Xbrl_Tag_3a2d5606_5470_4db9_9313_3dc1f43a8b30" hidden="1">'[3]Adj. Income Statement'!#REF!</definedName>
    <definedName name="Xbrl_Tag_3b572db0_b5be_49cb_9497_3be0c26ec438" localSheetId="1" hidden="1">'[3]Adj. Income Statement'!#REF!</definedName>
    <definedName name="Xbrl_Tag_3b572db0_b5be_49cb_9497_3be0c26ec438" localSheetId="32" hidden="1">'[3]Adj. Income Statement'!#REF!</definedName>
    <definedName name="Xbrl_Tag_3b572db0_b5be_49cb_9497_3be0c26ec438" localSheetId="33" hidden="1">'[3]Adj. Income Statement'!#REF!</definedName>
    <definedName name="Xbrl_Tag_3b572db0_b5be_49cb_9497_3be0c26ec438" localSheetId="39" hidden="1">'[3]Adj. Income Statement'!#REF!</definedName>
    <definedName name="Xbrl_Tag_3b572db0_b5be_49cb_9497_3be0c26ec438" localSheetId="40" hidden="1">'[3]Adj. Income Statement'!#REF!</definedName>
    <definedName name="Xbrl_Tag_3b572db0_b5be_49cb_9497_3be0c26ec438" hidden="1">'[3]Adj. Income Statement'!#REF!</definedName>
    <definedName name="Xbrl_Tag_3e2a4b0f_a9ba_404c_8c83_bbd3862592e4" localSheetId="1" hidden="1">'[3]Adj. Income Statement'!#REF!</definedName>
    <definedName name="Xbrl_Tag_3e2a4b0f_a9ba_404c_8c83_bbd3862592e4" localSheetId="32" hidden="1">'[3]Adj. Income Statement'!#REF!</definedName>
    <definedName name="Xbrl_Tag_3e2a4b0f_a9ba_404c_8c83_bbd3862592e4" localSheetId="33" hidden="1">'[3]Adj. Income Statement'!#REF!</definedName>
    <definedName name="Xbrl_Tag_3e2a4b0f_a9ba_404c_8c83_bbd3862592e4" localSheetId="39" hidden="1">'[3]Adj. Income Statement'!#REF!</definedName>
    <definedName name="Xbrl_Tag_3e2a4b0f_a9ba_404c_8c83_bbd3862592e4" localSheetId="40" hidden="1">'[3]Adj. Income Statement'!#REF!</definedName>
    <definedName name="Xbrl_Tag_3e2a4b0f_a9ba_404c_8c83_bbd3862592e4" hidden="1">'[3]Adj. Income Statement'!#REF!</definedName>
    <definedName name="Xbrl_Tag_3f1c33f0_bff2_4296_9181_d7cc1cb508ad" localSheetId="1" hidden="1">'[3]Adj. Income Statement'!#REF!</definedName>
    <definedName name="Xbrl_Tag_3f1c33f0_bff2_4296_9181_d7cc1cb508ad" localSheetId="32" hidden="1">'[3]Adj. Income Statement'!#REF!</definedName>
    <definedName name="Xbrl_Tag_3f1c33f0_bff2_4296_9181_d7cc1cb508ad" localSheetId="33" hidden="1">'[3]Adj. Income Statement'!#REF!</definedName>
    <definedName name="Xbrl_Tag_3f1c33f0_bff2_4296_9181_d7cc1cb508ad" localSheetId="39" hidden="1">'[3]Adj. Income Statement'!#REF!</definedName>
    <definedName name="Xbrl_Tag_3f1c33f0_bff2_4296_9181_d7cc1cb508ad" localSheetId="40" hidden="1">'[3]Adj. Income Statement'!#REF!</definedName>
    <definedName name="Xbrl_Tag_3f1c33f0_bff2_4296_9181_d7cc1cb508ad" hidden="1">'[3]Adj. Income Statement'!#REF!</definedName>
    <definedName name="Xbrl_Tag_43160aa8_61a0_4559_8ee5_d6da660cfd7b" localSheetId="1" hidden="1">'[3]Adj. Income Statement'!#REF!</definedName>
    <definedName name="Xbrl_Tag_43160aa8_61a0_4559_8ee5_d6da660cfd7b" localSheetId="32" hidden="1">'[3]Adj. Income Statement'!#REF!</definedName>
    <definedName name="Xbrl_Tag_43160aa8_61a0_4559_8ee5_d6da660cfd7b" localSheetId="33" hidden="1">'[3]Adj. Income Statement'!#REF!</definedName>
    <definedName name="Xbrl_Tag_43160aa8_61a0_4559_8ee5_d6da660cfd7b" localSheetId="39" hidden="1">'[3]Adj. Income Statement'!#REF!</definedName>
    <definedName name="Xbrl_Tag_43160aa8_61a0_4559_8ee5_d6da660cfd7b" localSheetId="40" hidden="1">'[3]Adj. Income Statement'!#REF!</definedName>
    <definedName name="Xbrl_Tag_43160aa8_61a0_4559_8ee5_d6da660cfd7b" hidden="1">'[3]Adj. Income Statement'!#REF!</definedName>
    <definedName name="Xbrl_Tag_47e22a59_7971_444b_8e73_01e5291185bb" localSheetId="1" hidden="1">'[3]Adj. Income Statement'!#REF!</definedName>
    <definedName name="Xbrl_Tag_47e22a59_7971_444b_8e73_01e5291185bb" localSheetId="32" hidden="1">'[3]Adj. Income Statement'!#REF!</definedName>
    <definedName name="Xbrl_Tag_47e22a59_7971_444b_8e73_01e5291185bb" localSheetId="33" hidden="1">'[3]Adj. Income Statement'!#REF!</definedName>
    <definedName name="Xbrl_Tag_47e22a59_7971_444b_8e73_01e5291185bb" localSheetId="39" hidden="1">'[3]Adj. Income Statement'!#REF!</definedName>
    <definedName name="Xbrl_Tag_47e22a59_7971_444b_8e73_01e5291185bb" localSheetId="40" hidden="1">'[3]Adj. Income Statement'!#REF!</definedName>
    <definedName name="Xbrl_Tag_47e22a59_7971_444b_8e73_01e5291185bb" hidden="1">'[3]Adj. Income Statement'!#REF!</definedName>
    <definedName name="Xbrl_Tag_5225a8bc_9d76_4e4d_8197_37f70d298267" localSheetId="1" hidden="1">'[3]Adj. Income Statement'!#REF!</definedName>
    <definedName name="Xbrl_Tag_5225a8bc_9d76_4e4d_8197_37f70d298267" localSheetId="32" hidden="1">'[3]Adj. Income Statement'!#REF!</definedName>
    <definedName name="Xbrl_Tag_5225a8bc_9d76_4e4d_8197_37f70d298267" localSheetId="33" hidden="1">'[3]Adj. Income Statement'!#REF!</definedName>
    <definedName name="Xbrl_Tag_5225a8bc_9d76_4e4d_8197_37f70d298267" localSheetId="39" hidden="1">'[3]Adj. Income Statement'!#REF!</definedName>
    <definedName name="Xbrl_Tag_5225a8bc_9d76_4e4d_8197_37f70d298267" localSheetId="40" hidden="1">'[3]Adj. Income Statement'!#REF!</definedName>
    <definedName name="Xbrl_Tag_5225a8bc_9d76_4e4d_8197_37f70d298267" hidden="1">'[3]Adj. Income Statement'!#REF!</definedName>
    <definedName name="Xbrl_Tag_56e27846_9e07_4473_ad08_7bb4a5bf7faa" localSheetId="1" hidden="1">'[3]Adj. Income Statement'!#REF!</definedName>
    <definedName name="Xbrl_Tag_56e27846_9e07_4473_ad08_7bb4a5bf7faa" localSheetId="32" hidden="1">'[3]Adj. Income Statement'!#REF!</definedName>
    <definedName name="Xbrl_Tag_56e27846_9e07_4473_ad08_7bb4a5bf7faa" localSheetId="33" hidden="1">'[3]Adj. Income Statement'!#REF!</definedName>
    <definedName name="Xbrl_Tag_56e27846_9e07_4473_ad08_7bb4a5bf7faa" localSheetId="39" hidden="1">'[3]Adj. Income Statement'!#REF!</definedName>
    <definedName name="Xbrl_Tag_56e27846_9e07_4473_ad08_7bb4a5bf7faa" localSheetId="40" hidden="1">'[3]Adj. Income Statement'!#REF!</definedName>
    <definedName name="Xbrl_Tag_56e27846_9e07_4473_ad08_7bb4a5bf7faa" hidden="1">'[3]Adj. Income Statement'!#REF!</definedName>
    <definedName name="Xbrl_Tag_5b7286ee_d427_4e54_9399_1a836cd32976" localSheetId="1" hidden="1">'[3]Adj. Income Statement'!#REF!</definedName>
    <definedName name="Xbrl_Tag_5b7286ee_d427_4e54_9399_1a836cd32976" localSheetId="32" hidden="1">'[3]Adj. Income Statement'!#REF!</definedName>
    <definedName name="Xbrl_Tag_5b7286ee_d427_4e54_9399_1a836cd32976" localSheetId="33" hidden="1">'[3]Adj. Income Statement'!#REF!</definedName>
    <definedName name="Xbrl_Tag_5b7286ee_d427_4e54_9399_1a836cd32976" localSheetId="39" hidden="1">'[3]Adj. Income Statement'!#REF!</definedName>
    <definedName name="Xbrl_Tag_5b7286ee_d427_4e54_9399_1a836cd32976" localSheetId="40" hidden="1">'[3]Adj. Income Statement'!#REF!</definedName>
    <definedName name="Xbrl_Tag_5b7286ee_d427_4e54_9399_1a836cd32976" hidden="1">'[3]Adj. Income Statement'!#REF!</definedName>
    <definedName name="Xbrl_Tag_5e2f6e4c_effc_4374_9096_f6a66490bc43" localSheetId="1" hidden="1">'[3]Adj. Income Statement'!#REF!</definedName>
    <definedName name="Xbrl_Tag_5e2f6e4c_effc_4374_9096_f6a66490bc43" localSheetId="32" hidden="1">'[3]Adj. Income Statement'!#REF!</definedName>
    <definedName name="Xbrl_Tag_5e2f6e4c_effc_4374_9096_f6a66490bc43" localSheetId="33" hidden="1">'[3]Adj. Income Statement'!#REF!</definedName>
    <definedName name="Xbrl_Tag_5e2f6e4c_effc_4374_9096_f6a66490bc43" localSheetId="39" hidden="1">'[3]Adj. Income Statement'!#REF!</definedName>
    <definedName name="Xbrl_Tag_5e2f6e4c_effc_4374_9096_f6a66490bc43" localSheetId="40" hidden="1">'[3]Adj. Income Statement'!#REF!</definedName>
    <definedName name="Xbrl_Tag_5e2f6e4c_effc_4374_9096_f6a66490bc43" hidden="1">'[3]Adj. Income Statement'!#REF!</definedName>
    <definedName name="Xbrl_Tag_5e4ed468_08c0_4e10_b780_063e9fad75bb" localSheetId="1" hidden="1">'[3]Adj. Income Statement'!#REF!</definedName>
    <definedName name="Xbrl_Tag_5e4ed468_08c0_4e10_b780_063e9fad75bb" localSheetId="32" hidden="1">'[3]Adj. Income Statement'!#REF!</definedName>
    <definedName name="Xbrl_Tag_5e4ed468_08c0_4e10_b780_063e9fad75bb" localSheetId="33" hidden="1">'[3]Adj. Income Statement'!#REF!</definedName>
    <definedName name="Xbrl_Tag_5e4ed468_08c0_4e10_b780_063e9fad75bb" localSheetId="39" hidden="1">'[3]Adj. Income Statement'!#REF!</definedName>
    <definedName name="Xbrl_Tag_5e4ed468_08c0_4e10_b780_063e9fad75bb" localSheetId="40" hidden="1">'[3]Adj. Income Statement'!#REF!</definedName>
    <definedName name="Xbrl_Tag_5e4ed468_08c0_4e10_b780_063e9fad75bb" hidden="1">'[3]Adj. Income Statement'!#REF!</definedName>
    <definedName name="Xbrl_Tag_5efedf90_6eb4_4d47_8343_cb1307f08d80" localSheetId="1" hidden="1">'[3]Adj. Income Statement'!#REF!</definedName>
    <definedName name="Xbrl_Tag_5efedf90_6eb4_4d47_8343_cb1307f08d80" localSheetId="32" hidden="1">'[3]Adj. Income Statement'!#REF!</definedName>
    <definedName name="Xbrl_Tag_5efedf90_6eb4_4d47_8343_cb1307f08d80" localSheetId="33" hidden="1">'[3]Adj. Income Statement'!#REF!</definedName>
    <definedName name="Xbrl_Tag_5efedf90_6eb4_4d47_8343_cb1307f08d80" localSheetId="39" hidden="1">'[3]Adj. Income Statement'!#REF!</definedName>
    <definedName name="Xbrl_Tag_5efedf90_6eb4_4d47_8343_cb1307f08d80" localSheetId="40" hidden="1">'[3]Adj. Income Statement'!#REF!</definedName>
    <definedName name="Xbrl_Tag_5efedf90_6eb4_4d47_8343_cb1307f08d80" hidden="1">'[3]Adj. Income Statement'!#REF!</definedName>
    <definedName name="Xbrl_Tag_60671786_7f0e_4efe_b101_fc89065bbbc4" localSheetId="1" hidden="1">'[3]Adj. Income Statement'!#REF!</definedName>
    <definedName name="Xbrl_Tag_60671786_7f0e_4efe_b101_fc89065bbbc4" localSheetId="32" hidden="1">'[3]Adj. Income Statement'!#REF!</definedName>
    <definedName name="Xbrl_Tag_60671786_7f0e_4efe_b101_fc89065bbbc4" localSheetId="33" hidden="1">'[3]Adj. Income Statement'!#REF!</definedName>
    <definedName name="Xbrl_Tag_60671786_7f0e_4efe_b101_fc89065bbbc4" localSheetId="39" hidden="1">'[3]Adj. Income Statement'!#REF!</definedName>
    <definedName name="Xbrl_Tag_60671786_7f0e_4efe_b101_fc89065bbbc4" localSheetId="40" hidden="1">'[3]Adj. Income Statement'!#REF!</definedName>
    <definedName name="Xbrl_Tag_60671786_7f0e_4efe_b101_fc89065bbbc4" hidden="1">'[3]Adj. Income Statement'!#REF!</definedName>
    <definedName name="Xbrl_Tag_60802841_ecf0_4e57_a96e_084d65541dcb" localSheetId="1" hidden="1">'[3]Adj. Income Statement'!#REF!</definedName>
    <definedName name="Xbrl_Tag_60802841_ecf0_4e57_a96e_084d65541dcb" localSheetId="32" hidden="1">'[3]Adj. Income Statement'!#REF!</definedName>
    <definedName name="Xbrl_Tag_60802841_ecf0_4e57_a96e_084d65541dcb" localSheetId="33" hidden="1">'[3]Adj. Income Statement'!#REF!</definedName>
    <definedName name="Xbrl_Tag_60802841_ecf0_4e57_a96e_084d65541dcb" localSheetId="39" hidden="1">'[3]Adj. Income Statement'!#REF!</definedName>
    <definedName name="Xbrl_Tag_60802841_ecf0_4e57_a96e_084d65541dcb" localSheetId="40" hidden="1">'[3]Adj. Income Statement'!#REF!</definedName>
    <definedName name="Xbrl_Tag_60802841_ecf0_4e57_a96e_084d65541dcb" hidden="1">'[3]Adj. Income Statement'!#REF!</definedName>
    <definedName name="Xbrl_Tag_6b90dd42_fcd8_4968_8afd_6736492259b1" localSheetId="1" hidden="1">'[3]Adj. Income Statement'!#REF!</definedName>
    <definedName name="Xbrl_Tag_6b90dd42_fcd8_4968_8afd_6736492259b1" localSheetId="32" hidden="1">'[3]Adj. Income Statement'!#REF!</definedName>
    <definedName name="Xbrl_Tag_6b90dd42_fcd8_4968_8afd_6736492259b1" localSheetId="33" hidden="1">'[3]Adj. Income Statement'!#REF!</definedName>
    <definedName name="Xbrl_Tag_6b90dd42_fcd8_4968_8afd_6736492259b1" localSheetId="39" hidden="1">'[3]Adj. Income Statement'!#REF!</definedName>
    <definedName name="Xbrl_Tag_6b90dd42_fcd8_4968_8afd_6736492259b1" localSheetId="40" hidden="1">'[3]Adj. Income Statement'!#REF!</definedName>
    <definedName name="Xbrl_Tag_6b90dd42_fcd8_4968_8afd_6736492259b1" hidden="1">'[3]Adj. Income Statement'!#REF!</definedName>
    <definedName name="Xbrl_Tag_6e1527a0_8e9b_41c7_b670_b6099df9c72f" localSheetId="1" hidden="1">'[3]Adj. Income Statement'!#REF!</definedName>
    <definedName name="Xbrl_Tag_6e1527a0_8e9b_41c7_b670_b6099df9c72f" localSheetId="32" hidden="1">'[3]Adj. Income Statement'!#REF!</definedName>
    <definedName name="Xbrl_Tag_6e1527a0_8e9b_41c7_b670_b6099df9c72f" localSheetId="33" hidden="1">'[3]Adj. Income Statement'!#REF!</definedName>
    <definedName name="Xbrl_Tag_6e1527a0_8e9b_41c7_b670_b6099df9c72f" localSheetId="39" hidden="1">'[3]Adj. Income Statement'!#REF!</definedName>
    <definedName name="Xbrl_Tag_6e1527a0_8e9b_41c7_b670_b6099df9c72f" localSheetId="40" hidden="1">'[3]Adj. Income Statement'!#REF!</definedName>
    <definedName name="Xbrl_Tag_6e1527a0_8e9b_41c7_b670_b6099df9c72f" hidden="1">'[3]Adj. Income Statement'!#REF!</definedName>
    <definedName name="Xbrl_Tag_7003e101_ef6f_40fd_959a_81c14d2cf88a" localSheetId="1" hidden="1">'[3]Adj. Income Statement'!#REF!</definedName>
    <definedName name="Xbrl_Tag_7003e101_ef6f_40fd_959a_81c14d2cf88a" localSheetId="32" hidden="1">'[3]Adj. Income Statement'!#REF!</definedName>
    <definedName name="Xbrl_Tag_7003e101_ef6f_40fd_959a_81c14d2cf88a" localSheetId="33" hidden="1">'[3]Adj. Income Statement'!#REF!</definedName>
    <definedName name="Xbrl_Tag_7003e101_ef6f_40fd_959a_81c14d2cf88a" localSheetId="39" hidden="1">'[3]Adj. Income Statement'!#REF!</definedName>
    <definedName name="Xbrl_Tag_7003e101_ef6f_40fd_959a_81c14d2cf88a" localSheetId="40" hidden="1">'[3]Adj. Income Statement'!#REF!</definedName>
    <definedName name="Xbrl_Tag_7003e101_ef6f_40fd_959a_81c14d2cf88a" hidden="1">'[3]Adj. Income Statement'!#REF!</definedName>
    <definedName name="Xbrl_Tag_7120f3c6_2d5d_417b_9dd0_ecab9471dbc9" localSheetId="1" hidden="1">'[3]Adj. Income Statement'!#REF!</definedName>
    <definedName name="Xbrl_Tag_7120f3c6_2d5d_417b_9dd0_ecab9471dbc9" localSheetId="32" hidden="1">'[3]Adj. Income Statement'!#REF!</definedName>
    <definedName name="Xbrl_Tag_7120f3c6_2d5d_417b_9dd0_ecab9471dbc9" localSheetId="33" hidden="1">'[3]Adj. Income Statement'!#REF!</definedName>
    <definedName name="Xbrl_Tag_7120f3c6_2d5d_417b_9dd0_ecab9471dbc9" localSheetId="39" hidden="1">'[3]Adj. Income Statement'!#REF!</definedName>
    <definedName name="Xbrl_Tag_7120f3c6_2d5d_417b_9dd0_ecab9471dbc9" localSheetId="40" hidden="1">'[3]Adj. Income Statement'!#REF!</definedName>
    <definedName name="Xbrl_Tag_7120f3c6_2d5d_417b_9dd0_ecab9471dbc9" hidden="1">'[3]Adj. Income Statement'!#REF!</definedName>
    <definedName name="Xbrl_Tag_717e1b49_4a4d_41a2_8691_a3ef7d067cf1" localSheetId="1" hidden="1">'[3]Adj. Income Statement'!#REF!</definedName>
    <definedName name="Xbrl_Tag_717e1b49_4a4d_41a2_8691_a3ef7d067cf1" localSheetId="32" hidden="1">'[3]Adj. Income Statement'!#REF!</definedName>
    <definedName name="Xbrl_Tag_717e1b49_4a4d_41a2_8691_a3ef7d067cf1" localSheetId="33" hidden="1">'[3]Adj. Income Statement'!#REF!</definedName>
    <definedName name="Xbrl_Tag_717e1b49_4a4d_41a2_8691_a3ef7d067cf1" localSheetId="39" hidden="1">'[3]Adj. Income Statement'!#REF!</definedName>
    <definedName name="Xbrl_Tag_717e1b49_4a4d_41a2_8691_a3ef7d067cf1" localSheetId="40" hidden="1">'[3]Adj. Income Statement'!#REF!</definedName>
    <definedName name="Xbrl_Tag_717e1b49_4a4d_41a2_8691_a3ef7d067cf1" hidden="1">'[3]Adj. Income Statement'!#REF!</definedName>
    <definedName name="Xbrl_Tag_729b319e_8812_4e23_9b44_cd813ffaf1fe" localSheetId="1" hidden="1">'[3]Adj. Income Statement'!#REF!</definedName>
    <definedName name="Xbrl_Tag_729b319e_8812_4e23_9b44_cd813ffaf1fe" localSheetId="32" hidden="1">'[3]Adj. Income Statement'!#REF!</definedName>
    <definedName name="Xbrl_Tag_729b319e_8812_4e23_9b44_cd813ffaf1fe" localSheetId="33" hidden="1">'[3]Adj. Income Statement'!#REF!</definedName>
    <definedName name="Xbrl_Tag_729b319e_8812_4e23_9b44_cd813ffaf1fe" localSheetId="39" hidden="1">'[3]Adj. Income Statement'!#REF!</definedName>
    <definedName name="Xbrl_Tag_729b319e_8812_4e23_9b44_cd813ffaf1fe" localSheetId="40" hidden="1">'[3]Adj. Income Statement'!#REF!</definedName>
    <definedName name="Xbrl_Tag_729b319e_8812_4e23_9b44_cd813ffaf1fe" hidden="1">'[3]Adj. Income Statement'!#REF!</definedName>
    <definedName name="Xbrl_Tag_74e27f18_3a0d_499e_a65b_355cefde250d" localSheetId="1" hidden="1">'[3]Adj. Income Statement'!#REF!</definedName>
    <definedName name="Xbrl_Tag_74e27f18_3a0d_499e_a65b_355cefde250d" localSheetId="32" hidden="1">'[3]Adj. Income Statement'!#REF!</definedName>
    <definedName name="Xbrl_Tag_74e27f18_3a0d_499e_a65b_355cefde250d" localSheetId="33" hidden="1">'[3]Adj. Income Statement'!#REF!</definedName>
    <definedName name="Xbrl_Tag_74e27f18_3a0d_499e_a65b_355cefde250d" localSheetId="39" hidden="1">'[3]Adj. Income Statement'!#REF!</definedName>
    <definedName name="Xbrl_Tag_74e27f18_3a0d_499e_a65b_355cefde250d" localSheetId="40" hidden="1">'[3]Adj. Income Statement'!#REF!</definedName>
    <definedName name="Xbrl_Tag_74e27f18_3a0d_499e_a65b_355cefde250d" hidden="1">'[3]Adj. Income Statement'!#REF!</definedName>
    <definedName name="Xbrl_Tag_76377ee8_44ec_4706_b36c_e475d4a6cffc" localSheetId="1" hidden="1">'[3]Adj. Income Statement'!#REF!</definedName>
    <definedName name="Xbrl_Tag_76377ee8_44ec_4706_b36c_e475d4a6cffc" localSheetId="32" hidden="1">'[3]Adj. Income Statement'!#REF!</definedName>
    <definedName name="Xbrl_Tag_76377ee8_44ec_4706_b36c_e475d4a6cffc" localSheetId="33" hidden="1">'[3]Adj. Income Statement'!#REF!</definedName>
    <definedName name="Xbrl_Tag_76377ee8_44ec_4706_b36c_e475d4a6cffc" localSheetId="39" hidden="1">'[3]Adj. Income Statement'!#REF!</definedName>
    <definedName name="Xbrl_Tag_76377ee8_44ec_4706_b36c_e475d4a6cffc" localSheetId="40" hidden="1">'[3]Adj. Income Statement'!#REF!</definedName>
    <definedName name="Xbrl_Tag_76377ee8_44ec_4706_b36c_e475d4a6cffc" hidden="1">'[3]Adj. Income Statement'!#REF!</definedName>
    <definedName name="Xbrl_Tag_7bfd249d_4459_4a20_97f6_779ca44ada3b" localSheetId="1" hidden="1">'[3]Adj. Income Statement'!#REF!</definedName>
    <definedName name="Xbrl_Tag_7bfd249d_4459_4a20_97f6_779ca44ada3b" localSheetId="32" hidden="1">'[3]Adj. Income Statement'!#REF!</definedName>
    <definedName name="Xbrl_Tag_7bfd249d_4459_4a20_97f6_779ca44ada3b" localSheetId="33" hidden="1">'[3]Adj. Income Statement'!#REF!</definedName>
    <definedName name="Xbrl_Tag_7bfd249d_4459_4a20_97f6_779ca44ada3b" localSheetId="39" hidden="1">'[3]Adj. Income Statement'!#REF!</definedName>
    <definedName name="Xbrl_Tag_7bfd249d_4459_4a20_97f6_779ca44ada3b" localSheetId="40" hidden="1">'[3]Adj. Income Statement'!#REF!</definedName>
    <definedName name="Xbrl_Tag_7bfd249d_4459_4a20_97f6_779ca44ada3b" hidden="1">'[3]Adj. Income Statement'!#REF!</definedName>
    <definedName name="Xbrl_Tag_848a3bbd_ffb9_4097_93bf_014229938d6a" localSheetId="1" hidden="1">'[3]Adj. Income Statement'!#REF!</definedName>
    <definedName name="Xbrl_Tag_848a3bbd_ffb9_4097_93bf_014229938d6a" localSheetId="32" hidden="1">'[3]Adj. Income Statement'!#REF!</definedName>
    <definedName name="Xbrl_Tag_848a3bbd_ffb9_4097_93bf_014229938d6a" localSheetId="33" hidden="1">'[3]Adj. Income Statement'!#REF!</definedName>
    <definedName name="Xbrl_Tag_848a3bbd_ffb9_4097_93bf_014229938d6a" localSheetId="39" hidden="1">'[3]Adj. Income Statement'!#REF!</definedName>
    <definedName name="Xbrl_Tag_848a3bbd_ffb9_4097_93bf_014229938d6a" localSheetId="40" hidden="1">'[3]Adj. Income Statement'!#REF!</definedName>
    <definedName name="Xbrl_Tag_848a3bbd_ffb9_4097_93bf_014229938d6a" hidden="1">'[3]Adj. Income Statement'!#REF!</definedName>
    <definedName name="Xbrl_Tag_8d5cd3d4_55e4_4713_bce9_54948c631266" localSheetId="1" hidden="1">'[3]Adj. Income Statement'!#REF!</definedName>
    <definedName name="Xbrl_Tag_8d5cd3d4_55e4_4713_bce9_54948c631266" localSheetId="32" hidden="1">'[3]Adj. Income Statement'!#REF!</definedName>
    <definedName name="Xbrl_Tag_8d5cd3d4_55e4_4713_bce9_54948c631266" localSheetId="33" hidden="1">'[3]Adj. Income Statement'!#REF!</definedName>
    <definedName name="Xbrl_Tag_8d5cd3d4_55e4_4713_bce9_54948c631266" localSheetId="39" hidden="1">'[3]Adj. Income Statement'!#REF!</definedName>
    <definedName name="Xbrl_Tag_8d5cd3d4_55e4_4713_bce9_54948c631266" localSheetId="40" hidden="1">'[3]Adj. Income Statement'!#REF!</definedName>
    <definedName name="Xbrl_Tag_8d5cd3d4_55e4_4713_bce9_54948c631266" hidden="1">'[3]Adj. Income Statement'!#REF!</definedName>
    <definedName name="Xbrl_Tag_9265a09f_3d1f_4e90_8181_a55f534abcf7" localSheetId="1" hidden="1">'[3]Adj. Income Statement'!#REF!</definedName>
    <definedName name="Xbrl_Tag_9265a09f_3d1f_4e90_8181_a55f534abcf7" localSheetId="32" hidden="1">'[3]Adj. Income Statement'!#REF!</definedName>
    <definedName name="Xbrl_Tag_9265a09f_3d1f_4e90_8181_a55f534abcf7" localSheetId="33" hidden="1">'[3]Adj. Income Statement'!#REF!</definedName>
    <definedName name="Xbrl_Tag_9265a09f_3d1f_4e90_8181_a55f534abcf7" localSheetId="39" hidden="1">'[3]Adj. Income Statement'!#REF!</definedName>
    <definedName name="Xbrl_Tag_9265a09f_3d1f_4e90_8181_a55f534abcf7" localSheetId="40" hidden="1">'[3]Adj. Income Statement'!#REF!</definedName>
    <definedName name="Xbrl_Tag_9265a09f_3d1f_4e90_8181_a55f534abcf7" hidden="1">'[3]Adj. Income Statement'!#REF!</definedName>
    <definedName name="Xbrl_Tag_94cf5a67_ea28_42d1_b071_8f24a2864445" localSheetId="1" hidden="1">'[3]Adj. Income Statement'!#REF!</definedName>
    <definedName name="Xbrl_Tag_94cf5a67_ea28_42d1_b071_8f24a2864445" localSheetId="32" hidden="1">'[3]Adj. Income Statement'!#REF!</definedName>
    <definedName name="Xbrl_Tag_94cf5a67_ea28_42d1_b071_8f24a2864445" localSheetId="33" hidden="1">'[3]Adj. Income Statement'!#REF!</definedName>
    <definedName name="Xbrl_Tag_94cf5a67_ea28_42d1_b071_8f24a2864445" localSheetId="39" hidden="1">'[3]Adj. Income Statement'!#REF!</definedName>
    <definedName name="Xbrl_Tag_94cf5a67_ea28_42d1_b071_8f24a2864445" localSheetId="40" hidden="1">'[3]Adj. Income Statement'!#REF!</definedName>
    <definedName name="Xbrl_Tag_94cf5a67_ea28_42d1_b071_8f24a2864445" hidden="1">'[3]Adj. Income Statement'!#REF!</definedName>
    <definedName name="Xbrl_Tag_95086fc4_6c0f_4a0f_bf5f_c393cf959e9a" localSheetId="1" hidden="1">'[3]Adj. Income Statement'!#REF!</definedName>
    <definedName name="Xbrl_Tag_95086fc4_6c0f_4a0f_bf5f_c393cf959e9a" localSheetId="32" hidden="1">'[3]Adj. Income Statement'!#REF!</definedName>
    <definedName name="Xbrl_Tag_95086fc4_6c0f_4a0f_bf5f_c393cf959e9a" localSheetId="33" hidden="1">'[3]Adj. Income Statement'!#REF!</definedName>
    <definedName name="Xbrl_Tag_95086fc4_6c0f_4a0f_bf5f_c393cf959e9a" localSheetId="39" hidden="1">'[3]Adj. Income Statement'!#REF!</definedName>
    <definedName name="Xbrl_Tag_95086fc4_6c0f_4a0f_bf5f_c393cf959e9a" localSheetId="40" hidden="1">'[3]Adj. Income Statement'!#REF!</definedName>
    <definedName name="Xbrl_Tag_95086fc4_6c0f_4a0f_bf5f_c393cf959e9a" hidden="1">'[3]Adj. Income Statement'!#REF!</definedName>
    <definedName name="Xbrl_Tag_99933dd6_f0fc_421a_9b9b_634b2b60dec3" localSheetId="1" hidden="1">'[3]Adj. Income Statement'!#REF!</definedName>
    <definedName name="Xbrl_Tag_99933dd6_f0fc_421a_9b9b_634b2b60dec3" localSheetId="32" hidden="1">'[3]Adj. Income Statement'!#REF!</definedName>
    <definedName name="Xbrl_Tag_99933dd6_f0fc_421a_9b9b_634b2b60dec3" localSheetId="33" hidden="1">'[3]Adj. Income Statement'!#REF!</definedName>
    <definedName name="Xbrl_Tag_99933dd6_f0fc_421a_9b9b_634b2b60dec3" localSheetId="39" hidden="1">'[3]Adj. Income Statement'!#REF!</definedName>
    <definedName name="Xbrl_Tag_99933dd6_f0fc_421a_9b9b_634b2b60dec3" localSheetId="40" hidden="1">'[3]Adj. Income Statement'!#REF!</definedName>
    <definedName name="Xbrl_Tag_99933dd6_f0fc_421a_9b9b_634b2b60dec3" hidden="1">'[3]Adj. Income Statement'!#REF!</definedName>
    <definedName name="Xbrl_Tag_a862d720_9241_4a30_a271_b70e9c381f31" localSheetId="1" hidden="1">'[3]Adj. Income Statement'!#REF!</definedName>
    <definedName name="Xbrl_Tag_a862d720_9241_4a30_a271_b70e9c381f31" localSheetId="32" hidden="1">'[3]Adj. Income Statement'!#REF!</definedName>
    <definedName name="Xbrl_Tag_a862d720_9241_4a30_a271_b70e9c381f31" localSheetId="33" hidden="1">'[3]Adj. Income Statement'!#REF!</definedName>
    <definedName name="Xbrl_Tag_a862d720_9241_4a30_a271_b70e9c381f31" localSheetId="39" hidden="1">'[3]Adj. Income Statement'!#REF!</definedName>
    <definedName name="Xbrl_Tag_a862d720_9241_4a30_a271_b70e9c381f31" localSheetId="40" hidden="1">'[3]Adj. Income Statement'!#REF!</definedName>
    <definedName name="Xbrl_Tag_a862d720_9241_4a30_a271_b70e9c381f31" hidden="1">'[3]Adj. Income Statement'!#REF!</definedName>
    <definedName name="Xbrl_Tag_adfbba3c_68ad_4b08_a539_0ed55d3f9d5a" localSheetId="1" hidden="1">'[3]Adj. Income Statement'!#REF!</definedName>
    <definedName name="Xbrl_Tag_adfbba3c_68ad_4b08_a539_0ed55d3f9d5a" localSheetId="32" hidden="1">'[3]Adj. Income Statement'!#REF!</definedName>
    <definedName name="Xbrl_Tag_adfbba3c_68ad_4b08_a539_0ed55d3f9d5a" localSheetId="33" hidden="1">'[3]Adj. Income Statement'!#REF!</definedName>
    <definedName name="Xbrl_Tag_adfbba3c_68ad_4b08_a539_0ed55d3f9d5a" localSheetId="39" hidden="1">'[3]Adj. Income Statement'!#REF!</definedName>
    <definedName name="Xbrl_Tag_adfbba3c_68ad_4b08_a539_0ed55d3f9d5a" localSheetId="40" hidden="1">'[3]Adj. Income Statement'!#REF!</definedName>
    <definedName name="Xbrl_Tag_adfbba3c_68ad_4b08_a539_0ed55d3f9d5a" hidden="1">'[3]Adj. Income Statement'!#REF!</definedName>
    <definedName name="Xbrl_Tag_ae50734f_518c_403d_9d12_e2a921b026bb" localSheetId="1" hidden="1">'[3]Adj. Income Statement'!#REF!</definedName>
    <definedName name="Xbrl_Tag_ae50734f_518c_403d_9d12_e2a921b026bb" localSheetId="32" hidden="1">'[3]Adj. Income Statement'!#REF!</definedName>
    <definedName name="Xbrl_Tag_ae50734f_518c_403d_9d12_e2a921b026bb" localSheetId="33" hidden="1">'[3]Adj. Income Statement'!#REF!</definedName>
    <definedName name="Xbrl_Tag_ae50734f_518c_403d_9d12_e2a921b026bb" localSheetId="39" hidden="1">'[3]Adj. Income Statement'!#REF!</definedName>
    <definedName name="Xbrl_Tag_ae50734f_518c_403d_9d12_e2a921b026bb" localSheetId="40" hidden="1">'[3]Adj. Income Statement'!#REF!</definedName>
    <definedName name="Xbrl_Tag_ae50734f_518c_403d_9d12_e2a921b026bb" hidden="1">'[3]Adj. Income Statement'!#REF!</definedName>
    <definedName name="Xbrl_Tag_b0241925_c1ae_46bf_a767_386c3caff01d" localSheetId="1" hidden="1">'[3]Adj. Income Statement'!#REF!</definedName>
    <definedName name="Xbrl_Tag_b0241925_c1ae_46bf_a767_386c3caff01d" localSheetId="32" hidden="1">'[3]Adj. Income Statement'!#REF!</definedName>
    <definedName name="Xbrl_Tag_b0241925_c1ae_46bf_a767_386c3caff01d" localSheetId="33" hidden="1">'[3]Adj. Income Statement'!#REF!</definedName>
    <definedName name="Xbrl_Tag_b0241925_c1ae_46bf_a767_386c3caff01d" localSheetId="39" hidden="1">'[3]Adj. Income Statement'!#REF!</definedName>
    <definedName name="Xbrl_Tag_b0241925_c1ae_46bf_a767_386c3caff01d" localSheetId="40" hidden="1">'[3]Adj. Income Statement'!#REF!</definedName>
    <definedName name="Xbrl_Tag_b0241925_c1ae_46bf_a767_386c3caff01d" hidden="1">'[3]Adj. Income Statement'!#REF!</definedName>
    <definedName name="Xbrl_Tag_b5d40829_0fdd_433d_a950_71e472d9ef83" localSheetId="1" hidden="1">'[3]Adj. Income Statement'!#REF!</definedName>
    <definedName name="Xbrl_Tag_b5d40829_0fdd_433d_a950_71e472d9ef83" localSheetId="32" hidden="1">'[3]Adj. Income Statement'!#REF!</definedName>
    <definedName name="Xbrl_Tag_b5d40829_0fdd_433d_a950_71e472d9ef83" localSheetId="33" hidden="1">'[3]Adj. Income Statement'!#REF!</definedName>
    <definedName name="Xbrl_Tag_b5d40829_0fdd_433d_a950_71e472d9ef83" localSheetId="39" hidden="1">'[3]Adj. Income Statement'!#REF!</definedName>
    <definedName name="Xbrl_Tag_b5d40829_0fdd_433d_a950_71e472d9ef83" localSheetId="40" hidden="1">'[3]Adj. Income Statement'!#REF!</definedName>
    <definedName name="Xbrl_Tag_b5d40829_0fdd_433d_a950_71e472d9ef83" hidden="1">'[3]Adj. Income Statement'!#REF!</definedName>
    <definedName name="Xbrl_Tag_b649d62e_a6bc_4241_a6b7_068087ca85f4" localSheetId="1" hidden="1">'[3]Adj. Income Statement'!#REF!</definedName>
    <definedName name="Xbrl_Tag_b649d62e_a6bc_4241_a6b7_068087ca85f4" localSheetId="32" hidden="1">'[3]Adj. Income Statement'!#REF!</definedName>
    <definedName name="Xbrl_Tag_b649d62e_a6bc_4241_a6b7_068087ca85f4" localSheetId="33" hidden="1">'[3]Adj. Income Statement'!#REF!</definedName>
    <definedName name="Xbrl_Tag_b649d62e_a6bc_4241_a6b7_068087ca85f4" localSheetId="39" hidden="1">'[3]Adj. Income Statement'!#REF!</definedName>
    <definedName name="Xbrl_Tag_b649d62e_a6bc_4241_a6b7_068087ca85f4" localSheetId="40" hidden="1">'[3]Adj. Income Statement'!#REF!</definedName>
    <definedName name="Xbrl_Tag_b649d62e_a6bc_4241_a6b7_068087ca85f4" hidden="1">'[3]Adj. Income Statement'!#REF!</definedName>
    <definedName name="Xbrl_Tag_b8bf6112_e4b6_49dc_ba78_da6302bc43e7" localSheetId="1" hidden="1">'[3]Adj. Income Statement'!#REF!</definedName>
    <definedName name="Xbrl_Tag_b8bf6112_e4b6_49dc_ba78_da6302bc43e7" localSheetId="32" hidden="1">'[3]Adj. Income Statement'!#REF!</definedName>
    <definedName name="Xbrl_Tag_b8bf6112_e4b6_49dc_ba78_da6302bc43e7" localSheetId="33" hidden="1">'[3]Adj. Income Statement'!#REF!</definedName>
    <definedName name="Xbrl_Tag_b8bf6112_e4b6_49dc_ba78_da6302bc43e7" localSheetId="39" hidden="1">'[3]Adj. Income Statement'!#REF!</definedName>
    <definedName name="Xbrl_Tag_b8bf6112_e4b6_49dc_ba78_da6302bc43e7" localSheetId="40" hidden="1">'[3]Adj. Income Statement'!#REF!</definedName>
    <definedName name="Xbrl_Tag_b8bf6112_e4b6_49dc_ba78_da6302bc43e7" hidden="1">'[3]Adj. Income Statement'!#REF!</definedName>
    <definedName name="Xbrl_Tag_bae390fc_4591_4996_aba5_07899907ff02" localSheetId="1" hidden="1">'[3]Adj. Income Statement'!#REF!</definedName>
    <definedName name="Xbrl_Tag_bae390fc_4591_4996_aba5_07899907ff02" localSheetId="32" hidden="1">'[3]Adj. Income Statement'!#REF!</definedName>
    <definedName name="Xbrl_Tag_bae390fc_4591_4996_aba5_07899907ff02" localSheetId="33" hidden="1">'[3]Adj. Income Statement'!#REF!</definedName>
    <definedName name="Xbrl_Tag_bae390fc_4591_4996_aba5_07899907ff02" localSheetId="39" hidden="1">'[3]Adj. Income Statement'!#REF!</definedName>
    <definedName name="Xbrl_Tag_bae390fc_4591_4996_aba5_07899907ff02" localSheetId="40" hidden="1">'[3]Adj. Income Statement'!#REF!</definedName>
    <definedName name="Xbrl_Tag_bae390fc_4591_4996_aba5_07899907ff02" hidden="1">'[3]Adj. Income Statement'!#REF!</definedName>
    <definedName name="Xbrl_Tag_c251f426_b699_40b7_ba72_06cdc2336bb3" localSheetId="1" hidden="1">'[3]Adj. Income Statement'!#REF!</definedName>
    <definedName name="Xbrl_Tag_c251f426_b699_40b7_ba72_06cdc2336bb3" localSheetId="32" hidden="1">'[3]Adj. Income Statement'!#REF!</definedName>
    <definedName name="Xbrl_Tag_c251f426_b699_40b7_ba72_06cdc2336bb3" localSheetId="33" hidden="1">'[3]Adj. Income Statement'!#REF!</definedName>
    <definedName name="Xbrl_Tag_c251f426_b699_40b7_ba72_06cdc2336bb3" localSheetId="39" hidden="1">'[3]Adj. Income Statement'!#REF!</definedName>
    <definedName name="Xbrl_Tag_c251f426_b699_40b7_ba72_06cdc2336bb3" localSheetId="40" hidden="1">'[3]Adj. Income Statement'!#REF!</definedName>
    <definedName name="Xbrl_Tag_c251f426_b699_40b7_ba72_06cdc2336bb3" hidden="1">'[3]Adj. Income Statement'!#REF!</definedName>
    <definedName name="Xbrl_Tag_c9749016_30d3_4a1c_a478_72760a5958e3" localSheetId="1" hidden="1">'[3]Adj. Income Statement'!#REF!</definedName>
    <definedName name="Xbrl_Tag_c9749016_30d3_4a1c_a478_72760a5958e3" localSheetId="32" hidden="1">'[3]Adj. Income Statement'!#REF!</definedName>
    <definedName name="Xbrl_Tag_c9749016_30d3_4a1c_a478_72760a5958e3" localSheetId="33" hidden="1">'[3]Adj. Income Statement'!#REF!</definedName>
    <definedName name="Xbrl_Tag_c9749016_30d3_4a1c_a478_72760a5958e3" localSheetId="39" hidden="1">'[3]Adj. Income Statement'!#REF!</definedName>
    <definedName name="Xbrl_Tag_c9749016_30d3_4a1c_a478_72760a5958e3" localSheetId="40" hidden="1">'[3]Adj. Income Statement'!#REF!</definedName>
    <definedName name="Xbrl_Tag_c9749016_30d3_4a1c_a478_72760a5958e3" hidden="1">'[3]Adj. Income Statement'!#REF!</definedName>
    <definedName name="Xbrl_Tag_c9f670e1_f64d_4c34_a82b_5400bfb21c56" localSheetId="1" hidden="1">'[3]Adj. Income Statement'!#REF!</definedName>
    <definedName name="Xbrl_Tag_c9f670e1_f64d_4c34_a82b_5400bfb21c56" localSheetId="32" hidden="1">'[3]Adj. Income Statement'!#REF!</definedName>
    <definedName name="Xbrl_Tag_c9f670e1_f64d_4c34_a82b_5400bfb21c56" localSheetId="33" hidden="1">'[3]Adj. Income Statement'!#REF!</definedName>
    <definedName name="Xbrl_Tag_c9f670e1_f64d_4c34_a82b_5400bfb21c56" localSheetId="39" hidden="1">'[3]Adj. Income Statement'!#REF!</definedName>
    <definedName name="Xbrl_Tag_c9f670e1_f64d_4c34_a82b_5400bfb21c56" localSheetId="40" hidden="1">'[3]Adj. Income Statement'!#REF!</definedName>
    <definedName name="Xbrl_Tag_c9f670e1_f64d_4c34_a82b_5400bfb21c56" hidden="1">'[3]Adj. Income Statement'!#REF!</definedName>
    <definedName name="Xbrl_Tag_cd60a268_2a82_4c24_ac15_f0f7ad874107" localSheetId="1" hidden="1">'[3]Adj. Income Statement'!#REF!</definedName>
    <definedName name="Xbrl_Tag_cd60a268_2a82_4c24_ac15_f0f7ad874107" localSheetId="32" hidden="1">'[3]Adj. Income Statement'!#REF!</definedName>
    <definedName name="Xbrl_Tag_cd60a268_2a82_4c24_ac15_f0f7ad874107" localSheetId="33" hidden="1">'[3]Adj. Income Statement'!#REF!</definedName>
    <definedName name="Xbrl_Tag_cd60a268_2a82_4c24_ac15_f0f7ad874107" localSheetId="39" hidden="1">'[3]Adj. Income Statement'!#REF!</definedName>
    <definedName name="Xbrl_Tag_cd60a268_2a82_4c24_ac15_f0f7ad874107" localSheetId="40" hidden="1">'[3]Adj. Income Statement'!#REF!</definedName>
    <definedName name="Xbrl_Tag_cd60a268_2a82_4c24_ac15_f0f7ad874107" hidden="1">'[3]Adj. Income Statement'!#REF!</definedName>
    <definedName name="Xbrl_Tag_cedeaf5a_67a1_461e_8505_b0f9b2659e01" localSheetId="1" hidden="1">'[3]Adj. Income Statement'!#REF!</definedName>
    <definedName name="Xbrl_Tag_cedeaf5a_67a1_461e_8505_b0f9b2659e01" localSheetId="32" hidden="1">'[3]Adj. Income Statement'!#REF!</definedName>
    <definedName name="Xbrl_Tag_cedeaf5a_67a1_461e_8505_b0f9b2659e01" localSheetId="33" hidden="1">'[3]Adj. Income Statement'!#REF!</definedName>
    <definedName name="Xbrl_Tag_cedeaf5a_67a1_461e_8505_b0f9b2659e01" localSheetId="39" hidden="1">'[3]Adj. Income Statement'!#REF!</definedName>
    <definedName name="Xbrl_Tag_cedeaf5a_67a1_461e_8505_b0f9b2659e01" localSheetId="40" hidden="1">'[3]Adj. Income Statement'!#REF!</definedName>
    <definedName name="Xbrl_Tag_cedeaf5a_67a1_461e_8505_b0f9b2659e01" hidden="1">'[3]Adj. Income Statement'!#REF!</definedName>
    <definedName name="Xbrl_Tag_d4afa79e_d64b_4386_af66_81110932cac7" localSheetId="1" hidden="1">'[3]Adj. Income Statement'!#REF!</definedName>
    <definedName name="Xbrl_Tag_d4afa79e_d64b_4386_af66_81110932cac7" localSheetId="32" hidden="1">'[3]Adj. Income Statement'!#REF!</definedName>
    <definedName name="Xbrl_Tag_d4afa79e_d64b_4386_af66_81110932cac7" localSheetId="33" hidden="1">'[3]Adj. Income Statement'!#REF!</definedName>
    <definedName name="Xbrl_Tag_d4afa79e_d64b_4386_af66_81110932cac7" localSheetId="39" hidden="1">'[3]Adj. Income Statement'!#REF!</definedName>
    <definedName name="Xbrl_Tag_d4afa79e_d64b_4386_af66_81110932cac7" localSheetId="40" hidden="1">'[3]Adj. Income Statement'!#REF!</definedName>
    <definedName name="Xbrl_Tag_d4afa79e_d64b_4386_af66_81110932cac7" hidden="1">'[3]Adj. Income Statement'!#REF!</definedName>
    <definedName name="Xbrl_Tag_d646885a_13e7_48b6_a22b_b23dd67119ff" localSheetId="1" hidden="1">'[3]Adj. Income Statement'!#REF!</definedName>
    <definedName name="Xbrl_Tag_d646885a_13e7_48b6_a22b_b23dd67119ff" localSheetId="32" hidden="1">'[3]Adj. Income Statement'!#REF!</definedName>
    <definedName name="Xbrl_Tag_d646885a_13e7_48b6_a22b_b23dd67119ff" localSheetId="33" hidden="1">'[3]Adj. Income Statement'!#REF!</definedName>
    <definedName name="Xbrl_Tag_d646885a_13e7_48b6_a22b_b23dd67119ff" localSheetId="39" hidden="1">'[3]Adj. Income Statement'!#REF!</definedName>
    <definedName name="Xbrl_Tag_d646885a_13e7_48b6_a22b_b23dd67119ff" localSheetId="40" hidden="1">'[3]Adj. Income Statement'!#REF!</definedName>
    <definedName name="Xbrl_Tag_d646885a_13e7_48b6_a22b_b23dd67119ff" hidden="1">'[3]Adj. Income Statement'!#REF!</definedName>
    <definedName name="Xbrl_Tag_d9ae9ca8_593c_41e1_a638_114bebca7596" localSheetId="1" hidden="1">'[3]Adj. Income Statement'!#REF!</definedName>
    <definedName name="Xbrl_Tag_d9ae9ca8_593c_41e1_a638_114bebca7596" localSheetId="32" hidden="1">'[3]Adj. Income Statement'!#REF!</definedName>
    <definedName name="Xbrl_Tag_d9ae9ca8_593c_41e1_a638_114bebca7596" localSheetId="33" hidden="1">'[3]Adj. Income Statement'!#REF!</definedName>
    <definedName name="Xbrl_Tag_d9ae9ca8_593c_41e1_a638_114bebca7596" localSheetId="39" hidden="1">'[3]Adj. Income Statement'!#REF!</definedName>
    <definedName name="Xbrl_Tag_d9ae9ca8_593c_41e1_a638_114bebca7596" localSheetId="40" hidden="1">'[3]Adj. Income Statement'!#REF!</definedName>
    <definedName name="Xbrl_Tag_d9ae9ca8_593c_41e1_a638_114bebca7596" hidden="1">'[3]Adj. Income Statement'!#REF!</definedName>
    <definedName name="Xbrl_Tag_e18ec5c4_a090_4244_ac37_0dcecc7c81d8" localSheetId="1" hidden="1">'[3]Adj. Income Statement'!#REF!</definedName>
    <definedName name="Xbrl_Tag_e18ec5c4_a090_4244_ac37_0dcecc7c81d8" localSheetId="32" hidden="1">'[3]Adj. Income Statement'!#REF!</definedName>
    <definedName name="Xbrl_Tag_e18ec5c4_a090_4244_ac37_0dcecc7c81d8" localSheetId="33" hidden="1">'[3]Adj. Income Statement'!#REF!</definedName>
    <definedName name="Xbrl_Tag_e18ec5c4_a090_4244_ac37_0dcecc7c81d8" localSheetId="39" hidden="1">'[3]Adj. Income Statement'!#REF!</definedName>
    <definedName name="Xbrl_Tag_e18ec5c4_a090_4244_ac37_0dcecc7c81d8" localSheetId="40" hidden="1">'[3]Adj. Income Statement'!#REF!</definedName>
    <definedName name="Xbrl_Tag_e18ec5c4_a090_4244_ac37_0dcecc7c81d8" hidden="1">'[3]Adj. Income Statement'!#REF!</definedName>
    <definedName name="Xbrl_Tag_e1ea8c88_b797_4407_a87d_9da2892362e4" localSheetId="1" hidden="1">'[3]Adj. Income Statement'!#REF!</definedName>
    <definedName name="Xbrl_Tag_e1ea8c88_b797_4407_a87d_9da2892362e4" localSheetId="32" hidden="1">'[3]Adj. Income Statement'!#REF!</definedName>
    <definedName name="Xbrl_Tag_e1ea8c88_b797_4407_a87d_9da2892362e4" localSheetId="33" hidden="1">'[3]Adj. Income Statement'!#REF!</definedName>
    <definedName name="Xbrl_Tag_e1ea8c88_b797_4407_a87d_9da2892362e4" localSheetId="39" hidden="1">'[3]Adj. Income Statement'!#REF!</definedName>
    <definedName name="Xbrl_Tag_e1ea8c88_b797_4407_a87d_9da2892362e4" localSheetId="40" hidden="1">'[3]Adj. Income Statement'!#REF!</definedName>
    <definedName name="Xbrl_Tag_e1ea8c88_b797_4407_a87d_9da2892362e4" hidden="1">'[3]Adj. Income Statement'!#REF!</definedName>
    <definedName name="Xbrl_Tag_e75da760_6958_4085_aa7d_1b3c5e32dd34" localSheetId="1" hidden="1">'[3]Adj. Income Statement'!#REF!</definedName>
    <definedName name="Xbrl_Tag_e75da760_6958_4085_aa7d_1b3c5e32dd34" localSheetId="32" hidden="1">'[3]Adj. Income Statement'!#REF!</definedName>
    <definedName name="Xbrl_Tag_e75da760_6958_4085_aa7d_1b3c5e32dd34" localSheetId="33" hidden="1">'[3]Adj. Income Statement'!#REF!</definedName>
    <definedName name="Xbrl_Tag_e75da760_6958_4085_aa7d_1b3c5e32dd34" localSheetId="39" hidden="1">'[3]Adj. Income Statement'!#REF!</definedName>
    <definedName name="Xbrl_Tag_e75da760_6958_4085_aa7d_1b3c5e32dd34" localSheetId="40" hidden="1">'[3]Adj. Income Statement'!#REF!</definedName>
    <definedName name="Xbrl_Tag_e75da760_6958_4085_aa7d_1b3c5e32dd34" hidden="1">'[3]Adj. Income Statement'!#REF!</definedName>
    <definedName name="Xbrl_Tag_e8bfc542_785c_45ec_9dbe_3b93db69332e" localSheetId="1" hidden="1">'[3]Adj. Income Statement'!#REF!</definedName>
    <definedName name="Xbrl_Tag_e8bfc542_785c_45ec_9dbe_3b93db69332e" localSheetId="32" hidden="1">'[3]Adj. Income Statement'!#REF!</definedName>
    <definedName name="Xbrl_Tag_e8bfc542_785c_45ec_9dbe_3b93db69332e" localSheetId="33" hidden="1">'[3]Adj. Income Statement'!#REF!</definedName>
    <definedName name="Xbrl_Tag_e8bfc542_785c_45ec_9dbe_3b93db69332e" localSheetId="39" hidden="1">'[3]Adj. Income Statement'!#REF!</definedName>
    <definedName name="Xbrl_Tag_e8bfc542_785c_45ec_9dbe_3b93db69332e" localSheetId="40" hidden="1">'[3]Adj. Income Statement'!#REF!</definedName>
    <definedName name="Xbrl_Tag_e8bfc542_785c_45ec_9dbe_3b93db69332e" hidden="1">'[3]Adj. Income Statement'!#REF!</definedName>
    <definedName name="Xbrl_Tag_eade47b0_2243_4d32_861b_8c3268e26cf3" localSheetId="1" hidden="1">'[3]Adj. Income Statement'!#REF!</definedName>
    <definedName name="Xbrl_Tag_eade47b0_2243_4d32_861b_8c3268e26cf3" localSheetId="32" hidden="1">'[3]Adj. Income Statement'!#REF!</definedName>
    <definedName name="Xbrl_Tag_eade47b0_2243_4d32_861b_8c3268e26cf3" localSheetId="33" hidden="1">'[3]Adj. Income Statement'!#REF!</definedName>
    <definedName name="Xbrl_Tag_eade47b0_2243_4d32_861b_8c3268e26cf3" localSheetId="39" hidden="1">'[3]Adj. Income Statement'!#REF!</definedName>
    <definedName name="Xbrl_Tag_eade47b0_2243_4d32_861b_8c3268e26cf3" localSheetId="40" hidden="1">'[3]Adj. Income Statement'!#REF!</definedName>
    <definedName name="Xbrl_Tag_eade47b0_2243_4d32_861b_8c3268e26cf3" hidden="1">'[3]Adj. Income Statement'!#REF!</definedName>
    <definedName name="Xbrl_Tag_ed34a669_2210_43e3_8d94_63f3a7a48c96" localSheetId="1" hidden="1">'[3]Adj. Income Statement'!#REF!</definedName>
    <definedName name="Xbrl_Tag_ed34a669_2210_43e3_8d94_63f3a7a48c96" localSheetId="32" hidden="1">'[3]Adj. Income Statement'!#REF!</definedName>
    <definedName name="Xbrl_Tag_ed34a669_2210_43e3_8d94_63f3a7a48c96" localSheetId="33" hidden="1">'[3]Adj. Income Statement'!#REF!</definedName>
    <definedName name="Xbrl_Tag_ed34a669_2210_43e3_8d94_63f3a7a48c96" localSheetId="39" hidden="1">'[3]Adj. Income Statement'!#REF!</definedName>
    <definedName name="Xbrl_Tag_ed34a669_2210_43e3_8d94_63f3a7a48c96" localSheetId="40" hidden="1">'[3]Adj. Income Statement'!#REF!</definedName>
    <definedName name="Xbrl_Tag_ed34a669_2210_43e3_8d94_63f3a7a48c96" hidden="1">'[3]Adj. Income Statement'!#REF!</definedName>
    <definedName name="Xbrl_Tag_ee7a2416_a975_4201_9277_8290d8908ccf" localSheetId="1" hidden="1">'[3]Adj. Income Statement'!#REF!</definedName>
    <definedName name="Xbrl_Tag_ee7a2416_a975_4201_9277_8290d8908ccf" localSheetId="32" hidden="1">'[3]Adj. Income Statement'!#REF!</definedName>
    <definedName name="Xbrl_Tag_ee7a2416_a975_4201_9277_8290d8908ccf" localSheetId="33" hidden="1">'[3]Adj. Income Statement'!#REF!</definedName>
    <definedName name="Xbrl_Tag_ee7a2416_a975_4201_9277_8290d8908ccf" localSheetId="39" hidden="1">'[3]Adj. Income Statement'!#REF!</definedName>
    <definedName name="Xbrl_Tag_ee7a2416_a975_4201_9277_8290d8908ccf" localSheetId="40" hidden="1">'[3]Adj. Income Statement'!#REF!</definedName>
    <definedName name="Xbrl_Tag_ee7a2416_a975_4201_9277_8290d8908ccf" hidden="1">'[3]Adj. Income Statement'!#REF!</definedName>
    <definedName name="Xbrl_Tag_ee8a51a9_161a_4f09_82e8_d18efd1119a1" localSheetId="1" hidden="1">'[3]Adj. Income Statement'!#REF!</definedName>
    <definedName name="Xbrl_Tag_ee8a51a9_161a_4f09_82e8_d18efd1119a1" localSheetId="32" hidden="1">'[3]Adj. Income Statement'!#REF!</definedName>
    <definedName name="Xbrl_Tag_ee8a51a9_161a_4f09_82e8_d18efd1119a1" localSheetId="33" hidden="1">'[3]Adj. Income Statement'!#REF!</definedName>
    <definedName name="Xbrl_Tag_ee8a51a9_161a_4f09_82e8_d18efd1119a1" localSheetId="39" hidden="1">'[3]Adj. Income Statement'!#REF!</definedName>
    <definedName name="Xbrl_Tag_ee8a51a9_161a_4f09_82e8_d18efd1119a1" localSheetId="40" hidden="1">'[3]Adj. Income Statement'!#REF!</definedName>
    <definedName name="Xbrl_Tag_ee8a51a9_161a_4f09_82e8_d18efd1119a1" hidden="1">'[3]Adj. Income Statement'!#REF!</definedName>
    <definedName name="Xbrl_Tag_efa044fd_a1b2_40a5_b1f9_72090c947b21" localSheetId="1" hidden="1">'[3]Adj. Income Statement'!#REF!</definedName>
    <definedName name="Xbrl_Tag_efa044fd_a1b2_40a5_b1f9_72090c947b21" localSheetId="32" hidden="1">'[3]Adj. Income Statement'!#REF!</definedName>
    <definedName name="Xbrl_Tag_efa044fd_a1b2_40a5_b1f9_72090c947b21" localSheetId="33" hidden="1">'[3]Adj. Income Statement'!#REF!</definedName>
    <definedName name="Xbrl_Tag_efa044fd_a1b2_40a5_b1f9_72090c947b21" localSheetId="39" hidden="1">'[3]Adj. Income Statement'!#REF!</definedName>
    <definedName name="Xbrl_Tag_efa044fd_a1b2_40a5_b1f9_72090c947b21" localSheetId="40" hidden="1">'[3]Adj. Income Statement'!#REF!</definedName>
    <definedName name="Xbrl_Tag_efa044fd_a1b2_40a5_b1f9_72090c947b21" hidden="1">'[3]Adj. Income Statement'!#REF!</definedName>
    <definedName name="Xbrl_Tag_f5d3fddf_4f85_4525_871f_f5d116e6ca67" localSheetId="1" hidden="1">'[3]Adj. Income Statement'!#REF!</definedName>
    <definedName name="Xbrl_Tag_f5d3fddf_4f85_4525_871f_f5d116e6ca67" localSheetId="32" hidden="1">'[3]Adj. Income Statement'!#REF!</definedName>
    <definedName name="Xbrl_Tag_f5d3fddf_4f85_4525_871f_f5d116e6ca67" localSheetId="33" hidden="1">'[3]Adj. Income Statement'!#REF!</definedName>
    <definedName name="Xbrl_Tag_f5d3fddf_4f85_4525_871f_f5d116e6ca67" localSheetId="39" hidden="1">'[3]Adj. Income Statement'!#REF!</definedName>
    <definedName name="Xbrl_Tag_f5d3fddf_4f85_4525_871f_f5d116e6ca67" localSheetId="40" hidden="1">'[3]Adj. Income Statement'!#REF!</definedName>
    <definedName name="Xbrl_Tag_f5d3fddf_4f85_4525_871f_f5d116e6ca67" hidden="1">'[3]Adj. Income Statement'!#REF!</definedName>
    <definedName name="Xbrl_Tag_f80d63c5_ffff_4f9e_a25e_9c37480fc1ae" localSheetId="1" hidden="1">'[3]Adj. Income Statement'!#REF!</definedName>
    <definedName name="Xbrl_Tag_f80d63c5_ffff_4f9e_a25e_9c37480fc1ae" localSheetId="32" hidden="1">'[3]Adj. Income Statement'!#REF!</definedName>
    <definedName name="Xbrl_Tag_f80d63c5_ffff_4f9e_a25e_9c37480fc1ae" localSheetId="33" hidden="1">'[3]Adj. Income Statement'!#REF!</definedName>
    <definedName name="Xbrl_Tag_f80d63c5_ffff_4f9e_a25e_9c37480fc1ae" localSheetId="39" hidden="1">'[3]Adj. Income Statement'!#REF!</definedName>
    <definedName name="Xbrl_Tag_f80d63c5_ffff_4f9e_a25e_9c37480fc1ae" localSheetId="40" hidden="1">'[3]Adj. Income Statement'!#REF!</definedName>
    <definedName name="Xbrl_Tag_f80d63c5_ffff_4f9e_a25e_9c37480fc1ae" hidden="1">'[3]Adj. Income Statement'!#REF!</definedName>
    <definedName name="Xbrl_Tag_f91e44a0_2671_4cea_8dec_43ad8dbe440f" localSheetId="1" hidden="1">'[3]Adj. Income Statement'!#REF!</definedName>
    <definedName name="Xbrl_Tag_f91e44a0_2671_4cea_8dec_43ad8dbe440f" localSheetId="32" hidden="1">'[3]Adj. Income Statement'!#REF!</definedName>
    <definedName name="Xbrl_Tag_f91e44a0_2671_4cea_8dec_43ad8dbe440f" localSheetId="33" hidden="1">'[3]Adj. Income Statement'!#REF!</definedName>
    <definedName name="Xbrl_Tag_f91e44a0_2671_4cea_8dec_43ad8dbe440f" localSheetId="39" hidden="1">'[3]Adj. Income Statement'!#REF!</definedName>
    <definedName name="Xbrl_Tag_f91e44a0_2671_4cea_8dec_43ad8dbe440f" localSheetId="40" hidden="1">'[3]Adj. Income Statement'!#REF!</definedName>
    <definedName name="Xbrl_Tag_f91e44a0_2671_4cea_8dec_43ad8dbe440f" hidden="1">'[3]Adj. Income Statement'!#REF!</definedName>
    <definedName name="Xbrl_Tag_fab5f0e9_4198_47ff_9b56_c2280e7e2d27" localSheetId="1" hidden="1">'[3]Adj. Income Statement'!#REF!</definedName>
    <definedName name="Xbrl_Tag_fab5f0e9_4198_47ff_9b56_c2280e7e2d27" localSheetId="32" hidden="1">'[3]Adj. Income Statement'!#REF!</definedName>
    <definedName name="Xbrl_Tag_fab5f0e9_4198_47ff_9b56_c2280e7e2d27" localSheetId="33" hidden="1">'[3]Adj. Income Statement'!#REF!</definedName>
    <definedName name="Xbrl_Tag_fab5f0e9_4198_47ff_9b56_c2280e7e2d27" localSheetId="39" hidden="1">'[3]Adj. Income Statement'!#REF!</definedName>
    <definedName name="Xbrl_Tag_fab5f0e9_4198_47ff_9b56_c2280e7e2d27" localSheetId="40" hidden="1">'[3]Adj. Income Statement'!#REF!</definedName>
    <definedName name="Xbrl_Tag_fab5f0e9_4198_47ff_9b56_c2280e7e2d27" hidden="1">'[3]Adj. Income Statement'!#REF!</definedName>
    <definedName name="Xbrl_Tag_fc82f321_49fd_456c_a7a3_9e9b572f9fad" localSheetId="1" hidden="1">'[3]Adj. Income Statement'!#REF!</definedName>
    <definedName name="Xbrl_Tag_fc82f321_49fd_456c_a7a3_9e9b572f9fad" localSheetId="32" hidden="1">'[3]Adj. Income Statement'!#REF!</definedName>
    <definedName name="Xbrl_Tag_fc82f321_49fd_456c_a7a3_9e9b572f9fad" localSheetId="33" hidden="1">'[3]Adj. Income Statement'!#REF!</definedName>
    <definedName name="Xbrl_Tag_fc82f321_49fd_456c_a7a3_9e9b572f9fad" localSheetId="39" hidden="1">'[3]Adj. Income Statement'!#REF!</definedName>
    <definedName name="Xbrl_Tag_fc82f321_49fd_456c_a7a3_9e9b572f9fad" localSheetId="40" hidden="1">'[3]Adj. Income Statement'!#REF!</definedName>
    <definedName name="Xbrl_Tag_fc82f321_49fd_456c_a7a3_9e9b572f9fad" hidden="1">'[3]Adj. Income Statement'!#REF!</definedName>
    <definedName name="Xbrl_Tag_fd0762ba_faef_48ae_8f93_3b1682db973d" localSheetId="1" hidden="1">'[3]Adj. Income Statement'!#REF!</definedName>
    <definedName name="Xbrl_Tag_fd0762ba_faef_48ae_8f93_3b1682db973d" localSheetId="32" hidden="1">'[3]Adj. Income Statement'!#REF!</definedName>
    <definedName name="Xbrl_Tag_fd0762ba_faef_48ae_8f93_3b1682db973d" localSheetId="33" hidden="1">'[3]Adj. Income Statement'!#REF!</definedName>
    <definedName name="Xbrl_Tag_fd0762ba_faef_48ae_8f93_3b1682db973d" localSheetId="39" hidden="1">'[3]Adj. Income Statement'!#REF!</definedName>
    <definedName name="Xbrl_Tag_fd0762ba_faef_48ae_8f93_3b1682db973d" localSheetId="40" hidden="1">'[3]Adj. Income Statement'!#REF!</definedName>
    <definedName name="Xbrl_Tag_fd0762ba_faef_48ae_8f93_3b1682db973d" hidden="1">'[3]Adj. Income Statement'!#REF!</definedName>
    <definedName name="Xbrl_Tag_fdbfb964_4eb0_44bd_ba7a_9dfdfb13f3a4" localSheetId="1" hidden="1">'[3]Adj. Income Statement'!#REF!</definedName>
    <definedName name="Xbrl_Tag_fdbfb964_4eb0_44bd_ba7a_9dfdfb13f3a4" localSheetId="32" hidden="1">'[3]Adj. Income Statement'!#REF!</definedName>
    <definedName name="Xbrl_Tag_fdbfb964_4eb0_44bd_ba7a_9dfdfb13f3a4" localSheetId="33" hidden="1">'[3]Adj. Income Statement'!#REF!</definedName>
    <definedName name="Xbrl_Tag_fdbfb964_4eb0_44bd_ba7a_9dfdfb13f3a4" localSheetId="39" hidden="1">'[3]Adj. Income Statement'!#REF!</definedName>
    <definedName name="Xbrl_Tag_fdbfb964_4eb0_44bd_ba7a_9dfdfb13f3a4" localSheetId="40" hidden="1">'[3]Adj. Income Statement'!#REF!</definedName>
    <definedName name="Xbrl_Tag_fdbfb964_4eb0_44bd_ba7a_9dfdfb13f3a4" hidden="1">'[3]Adj. Income Statement'!#REF!</definedName>
    <definedName name="XXXXX" localSheetId="39" hidden="1">#REF!</definedName>
    <definedName name="XXXXX" localSheetId="40" hidden="1">#REF!</definedName>
    <definedName name="XXXXX" hidden="1">#REF!</definedName>
    <definedName name="z" hidden="1">{"edcredit",#N/A,FALSE,"edcredit"}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1" i="1" l="1"/>
  <c r="C162" i="67"/>
  <c r="D162" i="67"/>
  <c r="G5" i="93"/>
  <c r="M88" i="100"/>
  <c r="W86" i="100"/>
  <c r="K58" i="100"/>
  <c r="K55" i="100"/>
  <c r="K54" i="100"/>
  <c r="E43" i="100"/>
  <c r="E42" i="100"/>
  <c r="E39" i="100"/>
  <c r="E38" i="100"/>
  <c r="E33" i="100"/>
  <c r="E32" i="100"/>
  <c r="E29" i="100"/>
  <c r="E28" i="100"/>
  <c r="E25" i="100"/>
  <c r="E24" i="100"/>
  <c r="E21" i="100"/>
  <c r="E20" i="100"/>
  <c r="A9" i="100"/>
  <c r="K57" i="100" s="1"/>
  <c r="I4" i="100"/>
  <c r="X52" i="100" s="1"/>
  <c r="W86" i="99"/>
  <c r="K58" i="99"/>
  <c r="K57" i="99"/>
  <c r="K55" i="99"/>
  <c r="K54" i="99"/>
  <c r="E43" i="99"/>
  <c r="E42" i="99"/>
  <c r="E39" i="99"/>
  <c r="E38" i="99"/>
  <c r="E33" i="99"/>
  <c r="E32" i="99"/>
  <c r="E29" i="99"/>
  <c r="E28" i="99"/>
  <c r="E25" i="99"/>
  <c r="E24" i="99"/>
  <c r="E21" i="99"/>
  <c r="E20" i="99"/>
  <c r="A9" i="99"/>
  <c r="I4" i="99"/>
  <c r="X52" i="99" s="1"/>
  <c r="M88" i="98"/>
  <c r="W86" i="98"/>
  <c r="K58" i="98"/>
  <c r="K55" i="98"/>
  <c r="K54" i="98"/>
  <c r="A9" i="98"/>
  <c r="K57" i="98" s="1"/>
  <c r="I4" i="98"/>
  <c r="X52" i="98" s="1"/>
  <c r="W86" i="97"/>
  <c r="K58" i="97"/>
  <c r="K55" i="97"/>
  <c r="K54" i="97"/>
  <c r="A9" i="97"/>
  <c r="K57" i="97" s="1"/>
  <c r="I4" i="97"/>
  <c r="X52" i="97" s="1"/>
  <c r="E23" i="71" l="1"/>
  <c r="G23" i="71" s="1"/>
  <c r="C168" i="1" l="1"/>
  <c r="B168" i="1"/>
  <c r="G20" i="22"/>
  <c r="G19" i="22" l="1"/>
  <c r="G22" i="22" s="1"/>
  <c r="F19" i="22"/>
  <c r="F22" i="22" s="1"/>
  <c r="E24" i="19" l="1"/>
  <c r="F24" i="19"/>
  <c r="A1" i="9"/>
  <c r="F17" i="9"/>
  <c r="F42" i="22"/>
  <c r="E18" i="42" l="1"/>
  <c r="D18" i="42"/>
  <c r="F29" i="22" l="1"/>
  <c r="E17" i="9" l="1"/>
  <c r="E13" i="37" l="1"/>
  <c r="D113" i="67" l="1"/>
  <c r="C113" i="67"/>
  <c r="D13" i="67"/>
  <c r="C13" i="67"/>
  <c r="C12" i="67"/>
  <c r="G29" i="22"/>
  <c r="F34" i="22"/>
  <c r="F35" i="22" s="1"/>
  <c r="G13" i="22"/>
  <c r="E18" i="19"/>
  <c r="F18" i="19"/>
  <c r="J36" i="74"/>
  <c r="J35" i="73"/>
  <c r="J35" i="74" s="1"/>
  <c r="J32" i="74"/>
  <c r="J31" i="74"/>
  <c r="J22" i="74"/>
  <c r="J23" i="74"/>
  <c r="J21" i="74"/>
  <c r="J17" i="74"/>
  <c r="J16" i="74"/>
  <c r="J14" i="74"/>
  <c r="G17" i="74"/>
  <c r="G16" i="74"/>
  <c r="G14" i="74"/>
  <c r="G6" i="93"/>
  <c r="D88" i="67"/>
  <c r="E148" i="1" s="1"/>
  <c r="G13" i="93" s="1"/>
  <c r="G15" i="93" s="1"/>
  <c r="E155" i="1" s="1"/>
  <c r="C88" i="67"/>
  <c r="E148" i="2"/>
  <c r="F13" i="93" s="1"/>
  <c r="F15" i="93" s="1"/>
  <c r="E155" i="2" s="1"/>
  <c r="C338" i="1"/>
  <c r="C335" i="1"/>
  <c r="C336" i="1"/>
  <c r="C337" i="1"/>
  <c r="C263" i="1"/>
  <c r="C262" i="1"/>
  <c r="G29" i="85"/>
  <c r="G26" i="85"/>
  <c r="D76" i="67"/>
  <c r="C76" i="67"/>
  <c r="D70" i="67"/>
  <c r="C70" i="67"/>
  <c r="C72" i="67" s="1"/>
  <c r="D20" i="67"/>
  <c r="D17" i="67"/>
  <c r="C20" i="67"/>
  <c r="D12" i="67"/>
  <c r="E16" i="9"/>
  <c r="C93" i="67" a="1"/>
  <c r="C93" i="67" s="1"/>
  <c r="E154" i="2" s="1"/>
  <c r="D93" i="67" a="1"/>
  <c r="D93" i="67" s="1"/>
  <c r="C45" i="94"/>
  <c r="C46" i="94" s="1"/>
  <c r="F35" i="94"/>
  <c r="E35" i="94"/>
  <c r="D35" i="94"/>
  <c r="G34" i="94"/>
  <c r="G35" i="94" s="1"/>
  <c r="G33" i="94"/>
  <c r="G32" i="94"/>
  <c r="F30" i="94"/>
  <c r="E30" i="94"/>
  <c r="E37" i="94" s="1"/>
  <c r="D30" i="94"/>
  <c r="G29" i="94"/>
  <c r="G28" i="94"/>
  <c r="G27" i="94"/>
  <c r="G26" i="94"/>
  <c r="G25" i="94"/>
  <c r="G24" i="94"/>
  <c r="F22" i="94"/>
  <c r="E22" i="94"/>
  <c r="D22" i="94"/>
  <c r="G21" i="94"/>
  <c r="G20" i="94"/>
  <c r="G19" i="94"/>
  <c r="F17" i="94"/>
  <c r="E17" i="94"/>
  <c r="D17" i="94"/>
  <c r="G16" i="94"/>
  <c r="G15" i="94"/>
  <c r="I5" i="94"/>
  <c r="I2" i="94"/>
  <c r="C45" i="88"/>
  <c r="C46" i="88" s="1"/>
  <c r="F35" i="88"/>
  <c r="E35" i="88"/>
  <c r="D35" i="88"/>
  <c r="G34" i="88"/>
  <c r="G35" i="88" s="1"/>
  <c r="G33" i="88"/>
  <c r="G32" i="88"/>
  <c r="F30" i="88"/>
  <c r="E30" i="88"/>
  <c r="D30" i="88"/>
  <c r="G29" i="88"/>
  <c r="G26" i="88"/>
  <c r="G28" i="88"/>
  <c r="G27" i="88"/>
  <c r="G25" i="88"/>
  <c r="G24" i="88"/>
  <c r="F22" i="88"/>
  <c r="E22" i="88"/>
  <c r="D22" i="88"/>
  <c r="G21" i="88"/>
  <c r="G20" i="88"/>
  <c r="G19" i="88"/>
  <c r="F17" i="88"/>
  <c r="E17" i="88"/>
  <c r="D17" i="88"/>
  <c r="G16" i="88"/>
  <c r="G15" i="88"/>
  <c r="C45" i="87"/>
  <c r="C46" i="87" s="1"/>
  <c r="F35" i="87"/>
  <c r="E35" i="87"/>
  <c r="D35" i="87"/>
  <c r="G34" i="87"/>
  <c r="G35" i="87" s="1"/>
  <c r="G33" i="87"/>
  <c r="G32" i="87"/>
  <c r="F30" i="87"/>
  <c r="E30" i="87"/>
  <c r="D30" i="87"/>
  <c r="G29" i="87"/>
  <c r="G28" i="87"/>
  <c r="G27" i="87"/>
  <c r="G26" i="87"/>
  <c r="G25" i="87"/>
  <c r="G24" i="87"/>
  <c r="F22" i="87"/>
  <c r="E22" i="87"/>
  <c r="D22" i="87"/>
  <c r="G21" i="87"/>
  <c r="G22" i="87" s="1"/>
  <c r="G20" i="87"/>
  <c r="G19" i="87"/>
  <c r="F17" i="87"/>
  <c r="E17" i="87"/>
  <c r="D17" i="87"/>
  <c r="G16" i="87"/>
  <c r="G15" i="87"/>
  <c r="C45" i="86"/>
  <c r="C46" i="86" s="1"/>
  <c r="F35" i="86"/>
  <c r="E35" i="86"/>
  <c r="D35" i="86"/>
  <c r="G34" i="86"/>
  <c r="G35" i="86" s="1"/>
  <c r="G33" i="86"/>
  <c r="G32" i="86"/>
  <c r="F30" i="86"/>
  <c r="E30" i="86"/>
  <c r="D30" i="86"/>
  <c r="G29" i="86"/>
  <c r="G28" i="86"/>
  <c r="G27" i="86"/>
  <c r="G26" i="86"/>
  <c r="G25" i="86"/>
  <c r="G24" i="86"/>
  <c r="F22" i="86"/>
  <c r="E22" i="86"/>
  <c r="D22" i="86"/>
  <c r="G21" i="86"/>
  <c r="G20" i="86"/>
  <c r="G19" i="86"/>
  <c r="F17" i="86"/>
  <c r="E17" i="86"/>
  <c r="D17" i="86"/>
  <c r="G16" i="86"/>
  <c r="G15" i="86"/>
  <c r="G17" i="94"/>
  <c r="E30" i="85"/>
  <c r="F30" i="85"/>
  <c r="D30" i="85"/>
  <c r="G24" i="85"/>
  <c r="G25" i="85"/>
  <c r="C45" i="85"/>
  <c r="C46" i="85" s="1"/>
  <c r="G33" i="85"/>
  <c r="G34" i="85"/>
  <c r="G35" i="85" s="1"/>
  <c r="G32" i="85"/>
  <c r="G28" i="85"/>
  <c r="G27" i="85"/>
  <c r="G20" i="85"/>
  <c r="F17" i="85"/>
  <c r="E17" i="85"/>
  <c r="D17" i="85"/>
  <c r="G16" i="85"/>
  <c r="G15" i="85"/>
  <c r="E16" i="20"/>
  <c r="E18" i="20" s="1"/>
  <c r="E24" i="20" s="1"/>
  <c r="G16" i="20"/>
  <c r="G18" i="20" s="1"/>
  <c r="G24" i="20" s="1"/>
  <c r="E18" i="71"/>
  <c r="G18" i="71" s="1"/>
  <c r="G26" i="71" s="1"/>
  <c r="G28" i="71" s="1"/>
  <c r="F20" i="12"/>
  <c r="F19" i="12"/>
  <c r="F18" i="12"/>
  <c r="F17" i="12"/>
  <c r="F28" i="12"/>
  <c r="F27" i="12"/>
  <c r="F26" i="12"/>
  <c r="C160" i="1"/>
  <c r="C155" i="1"/>
  <c r="D155" i="1"/>
  <c r="G85" i="1"/>
  <c r="G79" i="2"/>
  <c r="G79" i="1" s="1"/>
  <c r="G78" i="1"/>
  <c r="D161" i="67"/>
  <c r="C161" i="67"/>
  <c r="F18" i="9"/>
  <c r="F20" i="9" s="1"/>
  <c r="D57" i="67" s="1"/>
  <c r="E15" i="37"/>
  <c r="D98" i="67" s="1"/>
  <c r="E17" i="84"/>
  <c r="C46" i="67" s="1"/>
  <c r="D81" i="2"/>
  <c r="D81" i="1" s="1"/>
  <c r="I2" i="88"/>
  <c r="I2" i="87"/>
  <c r="I2" i="86"/>
  <c r="F17" i="84"/>
  <c r="D46" i="67" s="1"/>
  <c r="I5" i="88"/>
  <c r="I5" i="87"/>
  <c r="I5" i="86"/>
  <c r="I5" i="85"/>
  <c r="F35" i="85"/>
  <c r="E35" i="85"/>
  <c r="D35" i="85"/>
  <c r="F22" i="85"/>
  <c r="E22" i="85"/>
  <c r="D22" i="85"/>
  <c r="G21" i="85"/>
  <c r="G22" i="85" s="1"/>
  <c r="G19" i="85"/>
  <c r="E129" i="67"/>
  <c r="F4" i="84"/>
  <c r="F5" i="84"/>
  <c r="A1" i="84"/>
  <c r="C298" i="1"/>
  <c r="C299" i="1"/>
  <c r="C272" i="1"/>
  <c r="C273" i="1"/>
  <c r="C274" i="1"/>
  <c r="G16" i="77"/>
  <c r="I16" i="77" s="1"/>
  <c r="G17" i="77"/>
  <c r="I17" i="77" s="1"/>
  <c r="G18" i="77"/>
  <c r="I18" i="77" s="1"/>
  <c r="G19" i="77"/>
  <c r="I19" i="77" s="1"/>
  <c r="G20" i="77"/>
  <c r="I20" i="77" s="1"/>
  <c r="G21" i="77"/>
  <c r="I21" i="77" s="1"/>
  <c r="G22" i="77"/>
  <c r="I22" i="77" s="1"/>
  <c r="G23" i="77"/>
  <c r="I23" i="77" s="1"/>
  <c r="G24" i="77"/>
  <c r="I24" i="77" s="1"/>
  <c r="G25" i="77"/>
  <c r="I25" i="77" s="1"/>
  <c r="G26" i="77"/>
  <c r="I26" i="77" s="1"/>
  <c r="G15" i="77"/>
  <c r="I15" i="77" s="1"/>
  <c r="C159" i="1"/>
  <c r="C154" i="1"/>
  <c r="D154" i="1"/>
  <c r="C81" i="1"/>
  <c r="E43" i="41"/>
  <c r="E42" i="41"/>
  <c r="E39" i="41"/>
  <c r="E38" i="41"/>
  <c r="E33" i="41"/>
  <c r="E32" i="41"/>
  <c r="E29" i="41"/>
  <c r="E28" i="41"/>
  <c r="E25" i="41"/>
  <c r="E24" i="41"/>
  <c r="E21" i="41"/>
  <c r="E20" i="41"/>
  <c r="E43" i="54"/>
  <c r="E42" i="54"/>
  <c r="E39" i="54"/>
  <c r="E38" i="54"/>
  <c r="E33" i="54"/>
  <c r="E32" i="54"/>
  <c r="E29" i="54"/>
  <c r="E28" i="54"/>
  <c r="E25" i="54"/>
  <c r="E24" i="54"/>
  <c r="E21" i="54"/>
  <c r="E20" i="54"/>
  <c r="D25" i="13"/>
  <c r="D27" i="13" s="1"/>
  <c r="G34" i="79" s="1"/>
  <c r="G33" i="74"/>
  <c r="G38" i="74" s="1"/>
  <c r="F33" i="74"/>
  <c r="F38" i="74" s="1"/>
  <c r="F19" i="74"/>
  <c r="F26" i="74" s="1"/>
  <c r="B13" i="74"/>
  <c r="B14" i="74" s="1"/>
  <c r="B15" i="74" s="1"/>
  <c r="B16" i="74" s="1"/>
  <c r="B17" i="74" s="1"/>
  <c r="B18" i="74" s="1"/>
  <c r="B19" i="74" s="1"/>
  <c r="B20" i="74" s="1"/>
  <c r="B21" i="74" s="1"/>
  <c r="B22" i="74" s="1"/>
  <c r="B23" i="74" s="1"/>
  <c r="B24" i="74" s="1"/>
  <c r="B25" i="74" s="1"/>
  <c r="B26" i="74" s="1"/>
  <c r="B27" i="74" s="1"/>
  <c r="B28" i="74" s="1"/>
  <c r="B29" i="74" s="1"/>
  <c r="B30" i="74" s="1"/>
  <c r="B31" i="74" s="1"/>
  <c r="B32" i="74" s="1"/>
  <c r="B33" i="74" s="1"/>
  <c r="B34" i="74" s="1"/>
  <c r="B35" i="74" s="1"/>
  <c r="B36" i="74" s="1"/>
  <c r="B37" i="74" s="1"/>
  <c r="B38" i="74" s="1"/>
  <c r="B39" i="74" s="1"/>
  <c r="B40" i="74" s="1"/>
  <c r="B41" i="74" s="1"/>
  <c r="G33" i="73"/>
  <c r="G38" i="73" s="1"/>
  <c r="F33" i="73"/>
  <c r="F38" i="73" s="1"/>
  <c r="G19" i="73"/>
  <c r="G26" i="73" s="1"/>
  <c r="F19" i="73"/>
  <c r="F26" i="73" s="1"/>
  <c r="B13" i="73"/>
  <c r="B14" i="73" s="1"/>
  <c r="B15" i="73" s="1"/>
  <c r="B16" i="73" s="1"/>
  <c r="B17" i="73" s="1"/>
  <c r="B18" i="73" s="1"/>
  <c r="B19" i="73" s="1"/>
  <c r="B20" i="73" s="1"/>
  <c r="B21" i="73" s="1"/>
  <c r="B22" i="73" s="1"/>
  <c r="B23" i="73" s="1"/>
  <c r="B24" i="73" s="1"/>
  <c r="B25" i="73" s="1"/>
  <c r="B26" i="73" s="1"/>
  <c r="B27" i="73" s="1"/>
  <c r="B28" i="73" s="1"/>
  <c r="B29" i="73" s="1"/>
  <c r="B30" i="73" s="1"/>
  <c r="B31" i="73" s="1"/>
  <c r="B32" i="73" s="1"/>
  <c r="B33" i="73" s="1"/>
  <c r="B34" i="73" s="1"/>
  <c r="B35" i="73" s="1"/>
  <c r="B36" i="73" s="1"/>
  <c r="B37" i="73" s="1"/>
  <c r="B38" i="73" s="1"/>
  <c r="B39" i="73" s="1"/>
  <c r="B40" i="73" s="1"/>
  <c r="B41" i="73" s="1"/>
  <c r="C41" i="67"/>
  <c r="H4" i="81"/>
  <c r="G4" i="71"/>
  <c r="K4" i="76"/>
  <c r="J4" i="77"/>
  <c r="G4" i="75"/>
  <c r="K6" i="74"/>
  <c r="K6" i="73"/>
  <c r="F26" i="19"/>
  <c r="F30" i="19" s="1"/>
  <c r="D62" i="67" s="1"/>
  <c r="B4" i="74"/>
  <c r="B2" i="74"/>
  <c r="F48" i="22"/>
  <c r="F50" i="22" s="1"/>
  <c r="C35" i="67" s="1"/>
  <c r="G48" i="22"/>
  <c r="G50" i="22" s="1"/>
  <c r="D35" i="67" s="1"/>
  <c r="G35" i="22"/>
  <c r="E29" i="12"/>
  <c r="E21" i="12"/>
  <c r="D21" i="12"/>
  <c r="D29" i="12"/>
  <c r="A1" i="81"/>
  <c r="A1" i="71"/>
  <c r="A1" i="77"/>
  <c r="A6" i="50"/>
  <c r="E40" i="75"/>
  <c r="E23" i="75"/>
  <c r="D145" i="67"/>
  <c r="E229" i="1" s="1"/>
  <c r="E144" i="67"/>
  <c r="E143" i="67"/>
  <c r="E142" i="67"/>
  <c r="E141" i="67"/>
  <c r="C145" i="67"/>
  <c r="C105" i="67"/>
  <c r="J195" i="2" s="1"/>
  <c r="E104" i="67"/>
  <c r="E103" i="67"/>
  <c r="E102" i="67"/>
  <c r="D105" i="67"/>
  <c r="J195" i="1" s="1"/>
  <c r="E128" i="67"/>
  <c r="E127" i="67"/>
  <c r="E126" i="67"/>
  <c r="E125" i="67"/>
  <c r="E124" i="67"/>
  <c r="D130" i="67"/>
  <c r="C130" i="67"/>
  <c r="A66" i="63"/>
  <c r="A65" i="63"/>
  <c r="C166" i="1"/>
  <c r="C163" i="1"/>
  <c r="C161" i="1"/>
  <c r="C158" i="1"/>
  <c r="C157" i="1"/>
  <c r="C153" i="1"/>
  <c r="C152" i="1"/>
  <c r="C151" i="1"/>
  <c r="C150" i="1"/>
  <c r="C149" i="1"/>
  <c r="C148" i="1"/>
  <c r="C147" i="1"/>
  <c r="E45" i="20"/>
  <c r="E47" i="20" s="1"/>
  <c r="N19" i="52"/>
  <c r="N20" i="52"/>
  <c r="N18" i="52"/>
  <c r="L19" i="52"/>
  <c r="L20" i="52"/>
  <c r="L18" i="52"/>
  <c r="I19" i="52"/>
  <c r="I20" i="52"/>
  <c r="I18" i="52"/>
  <c r="F19" i="52"/>
  <c r="F20" i="52"/>
  <c r="F18" i="52"/>
  <c r="F19" i="42"/>
  <c r="F20" i="42"/>
  <c r="F18" i="42"/>
  <c r="N19" i="42"/>
  <c r="N20" i="42"/>
  <c r="N18" i="42"/>
  <c r="L19" i="42"/>
  <c r="L20" i="42"/>
  <c r="L18" i="42"/>
  <c r="I19" i="42"/>
  <c r="I20" i="42"/>
  <c r="I18" i="42"/>
  <c r="K58" i="40"/>
  <c r="K54" i="40"/>
  <c r="K55" i="40"/>
  <c r="B9" i="52"/>
  <c r="B9" i="42"/>
  <c r="G17" i="81"/>
  <c r="H17" i="81"/>
  <c r="H5" i="81"/>
  <c r="G33" i="79"/>
  <c r="G7" i="79"/>
  <c r="O4" i="42" s="1"/>
  <c r="D15" i="37"/>
  <c r="C98" i="67" s="1"/>
  <c r="C164" i="1"/>
  <c r="A320" i="1"/>
  <c r="A257" i="1"/>
  <c r="A180" i="1"/>
  <c r="A106" i="1"/>
  <c r="A45" i="1"/>
  <c r="A321" i="2"/>
  <c r="A257" i="2"/>
  <c r="A180" i="2"/>
  <c r="A106" i="2"/>
  <c r="A45" i="2"/>
  <c r="G5" i="71"/>
  <c r="D15" i="1"/>
  <c r="A9" i="54"/>
  <c r="K57" i="54" s="1"/>
  <c r="A9" i="41"/>
  <c r="K57" i="41" s="1"/>
  <c r="A9" i="53"/>
  <c r="K57" i="53" s="1"/>
  <c r="A9" i="40"/>
  <c r="K57" i="40" s="1"/>
  <c r="J5" i="77"/>
  <c r="F28" i="77"/>
  <c r="G20" i="50" s="1"/>
  <c r="J23" i="1"/>
  <c r="E288" i="2"/>
  <c r="E288" i="1"/>
  <c r="K17" i="76"/>
  <c r="I17" i="76"/>
  <c r="G17" i="76"/>
  <c r="K5" i="76"/>
  <c r="K13" i="76"/>
  <c r="I13" i="76"/>
  <c r="A1" i="76"/>
  <c r="E17" i="76"/>
  <c r="G64" i="2"/>
  <c r="A1" i="75"/>
  <c r="G5" i="75"/>
  <c r="K7" i="74"/>
  <c r="K7" i="73"/>
  <c r="F24" i="22"/>
  <c r="C36" i="67" s="1"/>
  <c r="D41" i="67"/>
  <c r="E85" i="1" s="1"/>
  <c r="J85" i="1" s="1"/>
  <c r="M88" i="54"/>
  <c r="M88" i="53"/>
  <c r="J206" i="1"/>
  <c r="I4" i="54"/>
  <c r="X52" i="54" s="1"/>
  <c r="I4" i="53"/>
  <c r="X52" i="53" s="1"/>
  <c r="I4" i="41"/>
  <c r="X52" i="41" s="1"/>
  <c r="I4" i="40"/>
  <c r="G5" i="50"/>
  <c r="C334" i="1"/>
  <c r="C333" i="1"/>
  <c r="C332" i="1"/>
  <c r="C331" i="1"/>
  <c r="C330" i="1"/>
  <c r="C329" i="1"/>
  <c r="C328" i="1"/>
  <c r="C327" i="1"/>
  <c r="C326" i="1"/>
  <c r="C325" i="1"/>
  <c r="C309" i="1"/>
  <c r="C308" i="1"/>
  <c r="C307" i="1"/>
  <c r="C306" i="1"/>
  <c r="C305" i="1"/>
  <c r="C304" i="1"/>
  <c r="C303" i="1"/>
  <c r="C302" i="1"/>
  <c r="C301" i="1"/>
  <c r="C300" i="1"/>
  <c r="C297" i="1"/>
  <c r="C296" i="1"/>
  <c r="C295" i="1"/>
  <c r="C294" i="1"/>
  <c r="C293" i="1"/>
  <c r="C292" i="1"/>
  <c r="C291" i="1"/>
  <c r="C264" i="1"/>
  <c r="C265" i="1"/>
  <c r="C266" i="1"/>
  <c r="C267" i="1"/>
  <c r="C268" i="1"/>
  <c r="C269" i="1"/>
  <c r="C270" i="1"/>
  <c r="C271" i="1"/>
  <c r="C275" i="1"/>
  <c r="C276" i="1"/>
  <c r="C277" i="1"/>
  <c r="C278" i="1"/>
  <c r="C279" i="1"/>
  <c r="C280" i="1"/>
  <c r="C281" i="1"/>
  <c r="C282" i="1"/>
  <c r="C283" i="1"/>
  <c r="C284" i="1"/>
  <c r="C285" i="1"/>
  <c r="C286" i="1"/>
  <c r="J212" i="1"/>
  <c r="H212" i="1"/>
  <c r="H211" i="1"/>
  <c r="J245" i="1"/>
  <c r="E245" i="1"/>
  <c r="C245" i="1"/>
  <c r="J245" i="2"/>
  <c r="C77" i="1"/>
  <c r="C78" i="1"/>
  <c r="C79" i="1"/>
  <c r="C80" i="1"/>
  <c r="C82" i="1"/>
  <c r="E244" i="1"/>
  <c r="E237" i="1"/>
  <c r="C183" i="1"/>
  <c r="C244" i="1"/>
  <c r="C242" i="1"/>
  <c r="C240" i="1"/>
  <c r="C239" i="1"/>
  <c r="C238" i="1"/>
  <c r="C237" i="1"/>
  <c r="C235" i="1"/>
  <c r="C232" i="1"/>
  <c r="C231" i="1"/>
  <c r="C230" i="1"/>
  <c r="C229" i="1"/>
  <c r="C222" i="1"/>
  <c r="C217" i="1"/>
  <c r="C215" i="1"/>
  <c r="C214" i="1"/>
  <c r="C213" i="1"/>
  <c r="C212" i="1"/>
  <c r="C210" i="1"/>
  <c r="C202" i="1"/>
  <c r="C192" i="1"/>
  <c r="C208" i="1"/>
  <c r="C207" i="1"/>
  <c r="C206" i="1"/>
  <c r="C205" i="1"/>
  <c r="C204" i="1"/>
  <c r="C200" i="1"/>
  <c r="C199" i="1"/>
  <c r="C198" i="1"/>
  <c r="C196" i="1"/>
  <c r="C195" i="1"/>
  <c r="C194" i="1"/>
  <c r="C190" i="1"/>
  <c r="C186" i="1"/>
  <c r="C187" i="1"/>
  <c r="C188" i="1"/>
  <c r="C185" i="1"/>
  <c r="C144" i="1"/>
  <c r="C143" i="1"/>
  <c r="C142" i="1"/>
  <c r="C141" i="1"/>
  <c r="C140" i="1"/>
  <c r="C139" i="1"/>
  <c r="C138" i="1"/>
  <c r="C137" i="1"/>
  <c r="C136" i="1"/>
  <c r="C135" i="1"/>
  <c r="C133" i="1"/>
  <c r="C132" i="1"/>
  <c r="C131" i="1"/>
  <c r="C130" i="1"/>
  <c r="C129" i="1"/>
  <c r="C127" i="1"/>
  <c r="C126" i="1"/>
  <c r="C125" i="1"/>
  <c r="C124" i="1"/>
  <c r="C123" i="1"/>
  <c r="C122" i="1"/>
  <c r="C121" i="1"/>
  <c r="C120" i="1"/>
  <c r="C119" i="1"/>
  <c r="C118" i="1"/>
  <c r="C117" i="1"/>
  <c r="C116" i="1"/>
  <c r="C115" i="1"/>
  <c r="C114" i="1"/>
  <c r="C113" i="1"/>
  <c r="C112" i="1"/>
  <c r="C93" i="1"/>
  <c r="C91" i="1"/>
  <c r="C90" i="1"/>
  <c r="C89" i="1"/>
  <c r="C88" i="1"/>
  <c r="C87" i="1"/>
  <c r="C85" i="1"/>
  <c r="C83" i="1"/>
  <c r="C76" i="1"/>
  <c r="C74" i="1"/>
  <c r="C73" i="1"/>
  <c r="C72" i="1"/>
  <c r="C71" i="1"/>
  <c r="C70" i="1"/>
  <c r="C69" i="1"/>
  <c r="C68" i="1"/>
  <c r="C66" i="1"/>
  <c r="C65" i="1"/>
  <c r="C64" i="1"/>
  <c r="C63" i="1"/>
  <c r="C62" i="1"/>
  <c r="C61" i="1"/>
  <c r="C60" i="1"/>
  <c r="C58" i="1"/>
  <c r="C57" i="1"/>
  <c r="C56" i="1"/>
  <c r="C55" i="1"/>
  <c r="C54" i="1"/>
  <c r="C53" i="1"/>
  <c r="C52" i="1"/>
  <c r="C30" i="1"/>
  <c r="C27" i="1"/>
  <c r="C23" i="1"/>
  <c r="C22" i="1"/>
  <c r="C21" i="1"/>
  <c r="C20" i="1"/>
  <c r="C19" i="1"/>
  <c r="C18" i="1"/>
  <c r="C15" i="1"/>
  <c r="D228" i="1"/>
  <c r="D226" i="1"/>
  <c r="D225" i="1"/>
  <c r="D224" i="1"/>
  <c r="D223" i="1"/>
  <c r="D220" i="1"/>
  <c r="D218" i="1"/>
  <c r="D214" i="1"/>
  <c r="D213" i="1"/>
  <c r="D212" i="1"/>
  <c r="D207" i="1"/>
  <c r="D206" i="1"/>
  <c r="D205" i="1"/>
  <c r="D204" i="1"/>
  <c r="D153" i="1"/>
  <c r="D141" i="1"/>
  <c r="D140" i="1"/>
  <c r="D137" i="1"/>
  <c r="D132" i="1"/>
  <c r="D131" i="1"/>
  <c r="D130" i="1"/>
  <c r="D122" i="1"/>
  <c r="D116" i="1"/>
  <c r="D117" i="1"/>
  <c r="D118" i="1"/>
  <c r="D119" i="1"/>
  <c r="D120" i="1"/>
  <c r="D114" i="1"/>
  <c r="D115" i="1"/>
  <c r="D113" i="1"/>
  <c r="D90" i="1"/>
  <c r="D89" i="1"/>
  <c r="D88" i="1"/>
  <c r="D85" i="1"/>
  <c r="D82" i="1"/>
  <c r="D80" i="1"/>
  <c r="D79" i="1"/>
  <c r="D78" i="1"/>
  <c r="D77" i="1"/>
  <c r="D73" i="1"/>
  <c r="D72" i="1"/>
  <c r="D71" i="1"/>
  <c r="D70" i="1"/>
  <c r="D69" i="1"/>
  <c r="D65" i="1"/>
  <c r="D64" i="1"/>
  <c r="D63" i="1"/>
  <c r="D62" i="1"/>
  <c r="D61" i="1"/>
  <c r="D57" i="1"/>
  <c r="D56" i="1"/>
  <c r="D55" i="1"/>
  <c r="D54" i="1"/>
  <c r="D53" i="1"/>
  <c r="D23" i="1"/>
  <c r="D30" i="1"/>
  <c r="D20" i="1"/>
  <c r="D19" i="1"/>
  <c r="A8" i="1"/>
  <c r="A42" i="1" s="1"/>
  <c r="J7" i="1"/>
  <c r="J41" i="1" s="1"/>
  <c r="J7" i="2"/>
  <c r="J176" i="2" s="1"/>
  <c r="G5" i="22"/>
  <c r="L5" i="12"/>
  <c r="F5" i="32"/>
  <c r="F5" i="19"/>
  <c r="F5" i="9"/>
  <c r="F5" i="5"/>
  <c r="E5" i="37"/>
  <c r="G5" i="20"/>
  <c r="E5" i="26"/>
  <c r="H5" i="13"/>
  <c r="D142" i="1"/>
  <c r="D138" i="1"/>
  <c r="D125" i="1"/>
  <c r="E19" i="26"/>
  <c r="C135" i="67" s="1"/>
  <c r="D55" i="67"/>
  <c r="E116" i="1" s="1"/>
  <c r="C55" i="67"/>
  <c r="H4" i="13"/>
  <c r="A1" i="13"/>
  <c r="E4" i="26"/>
  <c r="A1" i="26"/>
  <c r="G45" i="20"/>
  <c r="G47" i="20" s="1"/>
  <c r="G4" i="20"/>
  <c r="A1" i="20"/>
  <c r="E4" i="37"/>
  <c r="A1" i="37"/>
  <c r="F4" i="5"/>
  <c r="A1" i="5"/>
  <c r="F4" i="9"/>
  <c r="F4" i="19"/>
  <c r="A1" i="19"/>
  <c r="F20" i="32"/>
  <c r="F15" i="32"/>
  <c r="F4" i="32"/>
  <c r="A1" i="32"/>
  <c r="L4" i="12"/>
  <c r="A1" i="12"/>
  <c r="G4" i="22"/>
  <c r="W86" i="54"/>
  <c r="K58" i="54"/>
  <c r="K55" i="54"/>
  <c r="K54" i="54"/>
  <c r="W86" i="53"/>
  <c r="K58" i="53"/>
  <c r="K55" i="53"/>
  <c r="K54" i="53"/>
  <c r="E18" i="52"/>
  <c r="D18" i="52"/>
  <c r="W86" i="41"/>
  <c r="K58" i="41"/>
  <c r="K55" i="41"/>
  <c r="K54" i="41"/>
  <c r="W86" i="40"/>
  <c r="D25" i="50"/>
  <c r="B25" i="50"/>
  <c r="E27" i="50" s="1"/>
  <c r="J240" i="1"/>
  <c r="E230" i="1"/>
  <c r="H230" i="1" s="1"/>
  <c r="J225" i="1"/>
  <c r="J224" i="1"/>
  <c r="J223" i="1"/>
  <c r="J220" i="1"/>
  <c r="E214" i="1"/>
  <c r="E213" i="1"/>
  <c r="E212" i="1"/>
  <c r="J186" i="1"/>
  <c r="E153" i="1"/>
  <c r="E143" i="1"/>
  <c r="G142" i="1"/>
  <c r="E142" i="1"/>
  <c r="E141" i="1"/>
  <c r="E140" i="1"/>
  <c r="E138" i="1"/>
  <c r="E132" i="1"/>
  <c r="E130" i="1"/>
  <c r="E126" i="1"/>
  <c r="J126" i="1" s="1"/>
  <c r="E125" i="1"/>
  <c r="G124" i="1"/>
  <c r="E124" i="1"/>
  <c r="E122" i="1"/>
  <c r="E120" i="1"/>
  <c r="E117" i="1"/>
  <c r="E115" i="1"/>
  <c r="E82" i="1"/>
  <c r="E77" i="1"/>
  <c r="G65" i="1"/>
  <c r="E65" i="1"/>
  <c r="G64" i="1"/>
  <c r="E64" i="1"/>
  <c r="G63" i="1"/>
  <c r="E63" i="1"/>
  <c r="G62" i="1"/>
  <c r="E62" i="1"/>
  <c r="G61" i="1"/>
  <c r="G77" i="1" s="1"/>
  <c r="G141" i="1" s="1"/>
  <c r="E57" i="1"/>
  <c r="E73" i="1" s="1"/>
  <c r="E55" i="1"/>
  <c r="E54" i="1"/>
  <c r="J185" i="1" s="1"/>
  <c r="E53" i="1"/>
  <c r="G22" i="1"/>
  <c r="G21" i="1"/>
  <c r="G20" i="1"/>
  <c r="J240" i="2"/>
  <c r="H231" i="2"/>
  <c r="E230" i="2"/>
  <c r="H230" i="2" s="1"/>
  <c r="J225" i="2"/>
  <c r="J224" i="2"/>
  <c r="J220" i="2"/>
  <c r="J218" i="2"/>
  <c r="E214" i="2"/>
  <c r="E213" i="2"/>
  <c r="E212" i="2"/>
  <c r="J211" i="2"/>
  <c r="J211" i="1" s="1"/>
  <c r="J186" i="2"/>
  <c r="E153" i="2"/>
  <c r="E143" i="2"/>
  <c r="G142" i="2"/>
  <c r="E142" i="2"/>
  <c r="E141" i="2"/>
  <c r="E140" i="2"/>
  <c r="G138" i="2"/>
  <c r="E138" i="2"/>
  <c r="E132" i="2"/>
  <c r="E130" i="2"/>
  <c r="E126" i="2"/>
  <c r="J126" i="2" s="1"/>
  <c r="E125" i="2"/>
  <c r="G124" i="2"/>
  <c r="E124" i="2"/>
  <c r="G122" i="2"/>
  <c r="G123" i="2" s="1"/>
  <c r="E122" i="2"/>
  <c r="E120" i="2"/>
  <c r="E117" i="2"/>
  <c r="E115" i="2"/>
  <c r="E90" i="2"/>
  <c r="E82" i="2"/>
  <c r="E77" i="2"/>
  <c r="G65" i="2"/>
  <c r="E65" i="2"/>
  <c r="E64" i="2"/>
  <c r="G63" i="2"/>
  <c r="E63" i="2"/>
  <c r="G62" i="2"/>
  <c r="E62" i="2"/>
  <c r="G61" i="2"/>
  <c r="G77" i="2" s="1"/>
  <c r="G141" i="2" s="1"/>
  <c r="E61" i="2"/>
  <c r="E57" i="2"/>
  <c r="E55" i="2"/>
  <c r="E54" i="2"/>
  <c r="J185" i="2" s="1"/>
  <c r="E53" i="2"/>
  <c r="G22" i="2"/>
  <c r="G21" i="2"/>
  <c r="G20" i="2"/>
  <c r="A318" i="2"/>
  <c r="E154" i="67"/>
  <c r="E153" i="67"/>
  <c r="E146" i="67"/>
  <c r="D138" i="67"/>
  <c r="E137" i="67"/>
  <c r="E136" i="67"/>
  <c r="E132" i="67"/>
  <c r="D121" i="67"/>
  <c r="C121" i="67"/>
  <c r="E120" i="67"/>
  <c r="E119" i="67"/>
  <c r="E118" i="67"/>
  <c r="E97" i="67"/>
  <c r="E92" i="67"/>
  <c r="E82" i="67"/>
  <c r="E81" i="67"/>
  <c r="E80" i="67"/>
  <c r="E79" i="67"/>
  <c r="E77" i="67"/>
  <c r="E71" i="67"/>
  <c r="A71" i="67"/>
  <c r="E69" i="67"/>
  <c r="A69" i="67"/>
  <c r="E65" i="67"/>
  <c r="E64" i="67"/>
  <c r="B64" i="67"/>
  <c r="E63" i="67"/>
  <c r="E61" i="67"/>
  <c r="E60" i="67"/>
  <c r="E59" i="67"/>
  <c r="E56" i="67"/>
  <c r="E54" i="67"/>
  <c r="E38" i="67"/>
  <c r="E33" i="67"/>
  <c r="D29" i="67"/>
  <c r="C29" i="67"/>
  <c r="C28" i="67"/>
  <c r="D27" i="67"/>
  <c r="C27" i="67"/>
  <c r="D26" i="67"/>
  <c r="C26" i="67"/>
  <c r="C25" i="67"/>
  <c r="C22" i="67"/>
  <c r="E21" i="67"/>
  <c r="A21" i="67"/>
  <c r="A29" i="67" s="1"/>
  <c r="E20" i="67"/>
  <c r="A20" i="67"/>
  <c r="A28" i="67" s="1"/>
  <c r="E19" i="67"/>
  <c r="A19" i="67"/>
  <c r="A27" i="67" s="1"/>
  <c r="E18" i="67"/>
  <c r="A18" i="67"/>
  <c r="A26" i="67" s="1"/>
  <c r="A17" i="67"/>
  <c r="A25" i="67" s="1"/>
  <c r="C14" i="67"/>
  <c r="E13" i="67"/>
  <c r="E11" i="67"/>
  <c r="E10" i="67"/>
  <c r="E9" i="67"/>
  <c r="B2" i="67"/>
  <c r="C90" i="67"/>
  <c r="D90" i="67"/>
  <c r="D22" i="67"/>
  <c r="E61" i="1"/>
  <c r="E17" i="67"/>
  <c r="D25" i="67"/>
  <c r="E289" i="1"/>
  <c r="D28" i="67"/>
  <c r="E206" i="2"/>
  <c r="H206" i="2" s="1"/>
  <c r="E206" i="1"/>
  <c r="H206" i="1" s="1"/>
  <c r="E207" i="2"/>
  <c r="H207" i="2" s="1"/>
  <c r="D14" i="67"/>
  <c r="E56" i="1"/>
  <c r="E12" i="67"/>
  <c r="E289" i="2"/>
  <c r="A317" i="1"/>
  <c r="A177" i="2"/>
  <c r="A254" i="2"/>
  <c r="A103" i="2"/>
  <c r="A42" i="2"/>
  <c r="X52" i="40"/>
  <c r="E204" i="2"/>
  <c r="H204" i="2" s="1"/>
  <c r="E113" i="67"/>
  <c r="E205" i="2"/>
  <c r="C114" i="67"/>
  <c r="E111" i="67"/>
  <c r="E207" i="1"/>
  <c r="H207" i="1" s="1"/>
  <c r="E112" i="67"/>
  <c r="E205" i="1"/>
  <c r="E152" i="2"/>
  <c r="E152" i="1"/>
  <c r="E110" i="67"/>
  <c r="E204" i="1"/>
  <c r="H204" i="1" s="1"/>
  <c r="D114" i="67"/>
  <c r="E90" i="1" l="1"/>
  <c r="E85" i="2"/>
  <c r="J85" i="2" s="1"/>
  <c r="G30" i="88"/>
  <c r="E44" i="88" s="1"/>
  <c r="I44" i="88" s="1"/>
  <c r="E45" i="88" s="1"/>
  <c r="I45" i="88" s="1"/>
  <c r="E46" i="88" s="1"/>
  <c r="I46" i="88" s="1"/>
  <c r="E47" i="88" s="1"/>
  <c r="I47" i="88" s="1"/>
  <c r="E158" i="1"/>
  <c r="E46" i="67"/>
  <c r="E229" i="2"/>
  <c r="E130" i="67"/>
  <c r="D37" i="88"/>
  <c r="J218" i="1"/>
  <c r="H229" i="1" s="1"/>
  <c r="G24" i="22"/>
  <c r="D36" i="67" s="1"/>
  <c r="E80" i="1" s="1"/>
  <c r="E41" i="67"/>
  <c r="J244" i="1"/>
  <c r="E56" i="2"/>
  <c r="E131" i="2"/>
  <c r="E133" i="2" s="1"/>
  <c r="H229" i="2"/>
  <c r="D159" i="67"/>
  <c r="G22" i="94"/>
  <c r="E71" i="2"/>
  <c r="D147" i="67"/>
  <c r="E105" i="67"/>
  <c r="D37" i="94"/>
  <c r="A177" i="1"/>
  <c r="K19" i="76"/>
  <c r="A103" i="1"/>
  <c r="A254" i="1"/>
  <c r="E22" i="67"/>
  <c r="N38" i="52"/>
  <c r="E118" i="1"/>
  <c r="E160" i="2"/>
  <c r="D37" i="86"/>
  <c r="G19" i="74"/>
  <c r="G26" i="74" s="1"/>
  <c r="E69" i="2"/>
  <c r="G18" i="50"/>
  <c r="G22" i="50" s="1"/>
  <c r="E25" i="67"/>
  <c r="G37" i="22"/>
  <c r="D34" i="67" s="1"/>
  <c r="F37" i="22"/>
  <c r="C34" i="67" s="1"/>
  <c r="J187" i="1"/>
  <c r="J188" i="1" s="1"/>
  <c r="J190" i="1" s="1"/>
  <c r="E79" i="1"/>
  <c r="J41" i="2"/>
  <c r="E215" i="1"/>
  <c r="H213" i="1" s="1"/>
  <c r="G17" i="86"/>
  <c r="F37" i="94"/>
  <c r="E121" i="67"/>
  <c r="J102" i="2"/>
  <c r="G17" i="85"/>
  <c r="E72" i="1"/>
  <c r="G17" i="87"/>
  <c r="G30" i="87"/>
  <c r="E44" i="87" s="1"/>
  <c r="D44" i="87" s="1"/>
  <c r="G30" i="94"/>
  <c r="E44" i="94" s="1"/>
  <c r="I44" i="94" s="1"/>
  <c r="E45" i="94" s="1"/>
  <c r="I45" i="94" s="1"/>
  <c r="E46" i="94" s="1"/>
  <c r="I46" i="94" s="1"/>
  <c r="E47" i="94" s="1"/>
  <c r="I47" i="94" s="1"/>
  <c r="J253" i="2"/>
  <c r="J317" i="2"/>
  <c r="E29" i="67"/>
  <c r="F37" i="87"/>
  <c r="E135" i="67"/>
  <c r="E58" i="2"/>
  <c r="E131" i="1"/>
  <c r="E133" i="1" s="1"/>
  <c r="J226" i="1"/>
  <c r="E231" i="1" s="1"/>
  <c r="E232" i="1" s="1"/>
  <c r="J26" i="77"/>
  <c r="F21" i="12"/>
  <c r="H20" i="12" s="1"/>
  <c r="J20" i="12" s="1"/>
  <c r="E37" i="86"/>
  <c r="E159" i="2"/>
  <c r="E70" i="67"/>
  <c r="E70" i="1"/>
  <c r="E158" i="2"/>
  <c r="J316" i="1"/>
  <c r="B27" i="50"/>
  <c r="E73" i="2"/>
  <c r="E72" i="2"/>
  <c r="D148" i="67"/>
  <c r="H26" i="74"/>
  <c r="H28" i="74" s="1"/>
  <c r="G30" i="85"/>
  <c r="E44" i="85" s="1"/>
  <c r="I44" i="85" s="1"/>
  <c r="E45" i="85" s="1"/>
  <c r="J176" i="1"/>
  <c r="J253" i="1"/>
  <c r="D72" i="67"/>
  <c r="E19" i="76"/>
  <c r="E25" i="20" s="1"/>
  <c r="E26" i="20" s="1"/>
  <c r="E28" i="20" s="1"/>
  <c r="G22" i="86"/>
  <c r="G17" i="88"/>
  <c r="E160" i="1"/>
  <c r="J102" i="1"/>
  <c r="E70" i="2"/>
  <c r="E215" i="2"/>
  <c r="H213" i="2" s="1"/>
  <c r="E58" i="1"/>
  <c r="E71" i="1"/>
  <c r="E37" i="85"/>
  <c r="J244" i="2"/>
  <c r="C159" i="67"/>
  <c r="J187" i="2"/>
  <c r="E98" i="67"/>
  <c r="E35" i="67"/>
  <c r="E79" i="2"/>
  <c r="E113" i="1"/>
  <c r="J194" i="1" s="1"/>
  <c r="C138" i="67"/>
  <c r="E145" i="67"/>
  <c r="F37" i="85"/>
  <c r="G30" i="86"/>
  <c r="E44" i="86" s="1"/>
  <c r="I44" i="86" s="1"/>
  <c r="E45" i="86" s="1"/>
  <c r="I45" i="86" s="1"/>
  <c r="E46" i="86" s="1"/>
  <c r="I46" i="86" s="1"/>
  <c r="E47" i="86" s="1"/>
  <c r="I47" i="86" s="1"/>
  <c r="E18" i="9"/>
  <c r="E20" i="9" s="1"/>
  <c r="C57" i="67" s="1"/>
  <c r="E26" i="67"/>
  <c r="G22" i="88"/>
  <c r="G37" i="88" s="1"/>
  <c r="C30" i="67"/>
  <c r="C83" i="67"/>
  <c r="A7" i="13"/>
  <c r="E66" i="2"/>
  <c r="G80" i="2"/>
  <c r="E137" i="2"/>
  <c r="E144" i="2" s="1"/>
  <c r="D37" i="85"/>
  <c r="E27" i="67"/>
  <c r="E42" i="75"/>
  <c r="G25" i="50" s="1"/>
  <c r="E161" i="67"/>
  <c r="F37" i="86"/>
  <c r="E66" i="1"/>
  <c r="N38" i="42"/>
  <c r="E37" i="88"/>
  <c r="E26" i="19"/>
  <c r="E30" i="19" s="1"/>
  <c r="C62" i="67" s="1"/>
  <c r="J223" i="2"/>
  <c r="G19" i="76"/>
  <c r="I19" i="76"/>
  <c r="G25" i="20" s="1"/>
  <c r="G26" i="20" s="1"/>
  <c r="G28" i="20" s="1"/>
  <c r="F37" i="88"/>
  <c r="D83" i="67"/>
  <c r="E137" i="1"/>
  <c r="E144" i="1" s="1"/>
  <c r="E76" i="67"/>
  <c r="D30" i="67"/>
  <c r="E28" i="67"/>
  <c r="E52" i="67"/>
  <c r="E113" i="2"/>
  <c r="E116" i="2"/>
  <c r="E55" i="67"/>
  <c r="E14" i="67"/>
  <c r="E20" i="1"/>
  <c r="J25" i="77"/>
  <c r="J23" i="77"/>
  <c r="J22" i="77"/>
  <c r="J15" i="77"/>
  <c r="J16" i="77"/>
  <c r="J24" i="77"/>
  <c r="J18" i="77"/>
  <c r="J20" i="77"/>
  <c r="J19" i="77"/>
  <c r="J17" i="77"/>
  <c r="J21" i="77"/>
  <c r="E114" i="67"/>
  <c r="E80" i="2"/>
  <c r="E208" i="1"/>
  <c r="A9" i="50"/>
  <c r="E123" i="1"/>
  <c r="E208" i="2"/>
  <c r="E69" i="1"/>
  <c r="H38" i="74"/>
  <c r="I44" i="87"/>
  <c r="E45" i="87" s="1"/>
  <c r="E37" i="87"/>
  <c r="J242" i="2"/>
  <c r="C157" i="67"/>
  <c r="G34" i="71"/>
  <c r="G36" i="71" s="1"/>
  <c r="H26" i="73"/>
  <c r="H28" i="73" s="1"/>
  <c r="F29" i="12"/>
  <c r="H38" i="73"/>
  <c r="G37" i="87"/>
  <c r="D37" i="87"/>
  <c r="E154" i="1"/>
  <c r="E159" i="1" s="1"/>
  <c r="E93" i="67"/>
  <c r="E23" i="2"/>
  <c r="J23" i="2" s="1"/>
  <c r="O4" i="52"/>
  <c r="H41" i="74" l="1"/>
  <c r="D58" i="67" s="1"/>
  <c r="E36" i="67"/>
  <c r="E72" i="67"/>
  <c r="G37" i="94"/>
  <c r="E78" i="1"/>
  <c r="G37" i="85"/>
  <c r="E118" i="2"/>
  <c r="E74" i="1"/>
  <c r="G37" i="86"/>
  <c r="F229" i="1"/>
  <c r="J229" i="1" s="1"/>
  <c r="F231" i="1"/>
  <c r="J231" i="1" s="1"/>
  <c r="F230" i="1"/>
  <c r="J230" i="1" s="1"/>
  <c r="E30" i="67"/>
  <c r="E74" i="2"/>
  <c r="I45" i="85"/>
  <c r="E46" i="85" s="1"/>
  <c r="D45" i="85"/>
  <c r="H18" i="12"/>
  <c r="J18" i="12" s="1"/>
  <c r="L18" i="12" s="1"/>
  <c r="C45" i="67" s="1"/>
  <c r="H17" i="12"/>
  <c r="H19" i="12"/>
  <c r="J19" i="12" s="1"/>
  <c r="E34" i="67"/>
  <c r="E78" i="2"/>
  <c r="D36" i="71"/>
  <c r="J226" i="2"/>
  <c r="G80" i="1"/>
  <c r="G81" i="2"/>
  <c r="E138" i="67"/>
  <c r="C147" i="67"/>
  <c r="E159" i="67"/>
  <c r="E62" i="67"/>
  <c r="E123" i="2"/>
  <c r="J196" i="1"/>
  <c r="J188" i="2"/>
  <c r="J242" i="1"/>
  <c r="D157" i="67"/>
  <c r="H41" i="73"/>
  <c r="C58" i="67" s="1"/>
  <c r="E20" i="2"/>
  <c r="G25" i="79"/>
  <c r="E119" i="1"/>
  <c r="E57" i="67"/>
  <c r="J194" i="2"/>
  <c r="G24" i="79"/>
  <c r="E19" i="2"/>
  <c r="H22" i="1"/>
  <c r="J22" i="1" s="1"/>
  <c r="H62" i="1"/>
  <c r="J62" i="1" s="1"/>
  <c r="H54" i="1"/>
  <c r="J54" i="1" s="1"/>
  <c r="J199" i="1"/>
  <c r="F205" i="1"/>
  <c r="H205" i="1" s="1"/>
  <c r="H208" i="1" s="1"/>
  <c r="J208" i="1" s="1"/>
  <c r="H130" i="1"/>
  <c r="J130" i="1" s="1"/>
  <c r="H19" i="1"/>
  <c r="H21" i="1"/>
  <c r="J21" i="1" s="1"/>
  <c r="H20" i="1"/>
  <c r="J20" i="1" s="1"/>
  <c r="H26" i="12"/>
  <c r="H28" i="12"/>
  <c r="J28" i="12" s="1"/>
  <c r="H27" i="12"/>
  <c r="J27" i="12" s="1"/>
  <c r="L27" i="12" s="1"/>
  <c r="D45" i="67" s="1"/>
  <c r="D45" i="87"/>
  <c r="I45" i="87"/>
  <c r="E46" i="87" s="1"/>
  <c r="E83" i="67"/>
  <c r="G27" i="50"/>
  <c r="G20" i="99" l="1"/>
  <c r="G20" i="100"/>
  <c r="J232" i="1"/>
  <c r="E149" i="1" s="1"/>
  <c r="E119" i="2"/>
  <c r="J17" i="12"/>
  <c r="H21" i="12"/>
  <c r="E89" i="2"/>
  <c r="D46" i="85"/>
  <c r="I46" i="85"/>
  <c r="E47" i="85" s="1"/>
  <c r="E58" i="67"/>
  <c r="J198" i="1"/>
  <c r="C148" i="67"/>
  <c r="E147" i="67"/>
  <c r="E231" i="2"/>
  <c r="E232" i="2" s="1"/>
  <c r="G81" i="1"/>
  <c r="G82" i="2"/>
  <c r="G82" i="1" s="1"/>
  <c r="E19" i="1"/>
  <c r="J19" i="1" s="1"/>
  <c r="E157" i="67"/>
  <c r="J190" i="2"/>
  <c r="H137" i="1"/>
  <c r="J137" i="1" s="1"/>
  <c r="H122" i="1"/>
  <c r="J122" i="1" s="1"/>
  <c r="H120" i="1"/>
  <c r="J120" i="1" s="1"/>
  <c r="J213" i="1"/>
  <c r="H56" i="1"/>
  <c r="J56" i="1" s="1"/>
  <c r="H138" i="1"/>
  <c r="J138" i="1" s="1"/>
  <c r="H118" i="1"/>
  <c r="J118" i="1" s="1"/>
  <c r="H64" i="1"/>
  <c r="J64" i="1" s="1"/>
  <c r="H123" i="1"/>
  <c r="J123" i="1" s="1"/>
  <c r="H131" i="1"/>
  <c r="J131" i="1" s="1"/>
  <c r="J196" i="2"/>
  <c r="J70" i="1"/>
  <c r="G20" i="41"/>
  <c r="G20" i="54"/>
  <c r="E89" i="1"/>
  <c r="E45" i="67"/>
  <c r="H29" i="12"/>
  <c r="J26" i="12"/>
  <c r="D46" i="87"/>
  <c r="I46" i="87"/>
  <c r="E47" i="87" s="1"/>
  <c r="G21" i="99" l="1"/>
  <c r="G21" i="100"/>
  <c r="I47" i="85"/>
  <c r="C37" i="67" s="1"/>
  <c r="D47" i="85"/>
  <c r="J200" i="1"/>
  <c r="H115" i="1" s="1"/>
  <c r="J115" i="1" s="1"/>
  <c r="J27" i="1"/>
  <c r="E148" i="67"/>
  <c r="F229" i="2"/>
  <c r="J229" i="2" s="1"/>
  <c r="F230" i="2"/>
  <c r="J230" i="2" s="1"/>
  <c r="F231" i="2"/>
  <c r="J231" i="2" s="1"/>
  <c r="F205" i="2"/>
  <c r="H205" i="2" s="1"/>
  <c r="H208" i="2" s="1"/>
  <c r="J208" i="2" s="1"/>
  <c r="H54" i="2"/>
  <c r="J54" i="2" s="1"/>
  <c r="H19" i="2"/>
  <c r="J19" i="2" s="1"/>
  <c r="H20" i="2"/>
  <c r="J20" i="2" s="1"/>
  <c r="H22" i="2"/>
  <c r="J22" i="2" s="1"/>
  <c r="H21" i="2"/>
  <c r="J21" i="2" s="1"/>
  <c r="H62" i="2"/>
  <c r="J62" i="2" s="1"/>
  <c r="H130" i="2"/>
  <c r="J130" i="2" s="1"/>
  <c r="J199" i="2"/>
  <c r="G21" i="41"/>
  <c r="G21" i="54"/>
  <c r="L213" i="1"/>
  <c r="D47" i="87"/>
  <c r="I47" i="87"/>
  <c r="D37" i="67" s="1"/>
  <c r="J198" i="2"/>
  <c r="J72" i="1"/>
  <c r="G20" i="97" l="1"/>
  <c r="G20" i="98"/>
  <c r="J27" i="2"/>
  <c r="H113" i="1"/>
  <c r="J113" i="1" s="1"/>
  <c r="H89" i="1"/>
  <c r="J89" i="1" s="1"/>
  <c r="H116" i="1"/>
  <c r="J116" i="1" s="1"/>
  <c r="H117" i="1"/>
  <c r="J117" i="1" s="1"/>
  <c r="H124" i="1"/>
  <c r="J124" i="1" s="1"/>
  <c r="H19" i="81"/>
  <c r="H21" i="81" s="1"/>
  <c r="E114" i="1" s="1"/>
  <c r="C39" i="67"/>
  <c r="E81" i="2"/>
  <c r="E83" i="2" s="1"/>
  <c r="H123" i="2"/>
  <c r="J123" i="2" s="1"/>
  <c r="H138" i="2"/>
  <c r="J138" i="2" s="1"/>
  <c r="H122" i="2"/>
  <c r="J122" i="2" s="1"/>
  <c r="H131" i="2"/>
  <c r="J131" i="2" s="1"/>
  <c r="H120" i="2"/>
  <c r="J120" i="2" s="1"/>
  <c r="H118" i="2"/>
  <c r="J118" i="2" s="1"/>
  <c r="H64" i="2"/>
  <c r="J64" i="2" s="1"/>
  <c r="J213" i="2"/>
  <c r="H56" i="2"/>
  <c r="J56" i="2" s="1"/>
  <c r="H137" i="2"/>
  <c r="J137" i="2" s="1"/>
  <c r="G22" i="79"/>
  <c r="J232" i="2"/>
  <c r="G23" i="79"/>
  <c r="G21" i="79"/>
  <c r="G20" i="79"/>
  <c r="G20" i="40"/>
  <c r="G20" i="53"/>
  <c r="J70" i="2"/>
  <c r="E81" i="1"/>
  <c r="E83" i="1" s="1"/>
  <c r="D39" i="67"/>
  <c r="E37" i="67"/>
  <c r="J200" i="2"/>
  <c r="H132" i="1"/>
  <c r="J132" i="1" s="1"/>
  <c r="H125" i="1"/>
  <c r="J125" i="1" s="1"/>
  <c r="H65" i="1"/>
  <c r="J65" i="1" s="1"/>
  <c r="H57" i="1"/>
  <c r="J57" i="1" s="1"/>
  <c r="G28" i="99" l="1"/>
  <c r="G29" i="99" s="1"/>
  <c r="I29" i="99" s="1"/>
  <c r="G28" i="100"/>
  <c r="G29" i="100" s="1"/>
  <c r="I29" i="100" s="1"/>
  <c r="G21" i="97"/>
  <c r="G21" i="98"/>
  <c r="D53" i="67"/>
  <c r="G26" i="79"/>
  <c r="G21" i="40"/>
  <c r="G21" i="53"/>
  <c r="E149" i="2"/>
  <c r="J72" i="2"/>
  <c r="L213" i="2"/>
  <c r="E127" i="1"/>
  <c r="J114" i="1"/>
  <c r="D66" i="67"/>
  <c r="J73" i="1"/>
  <c r="J58" i="1"/>
  <c r="J66" i="1"/>
  <c r="E39" i="67"/>
  <c r="J133" i="1"/>
  <c r="G28" i="54"/>
  <c r="G29" i="54" s="1"/>
  <c r="I29" i="54" s="1"/>
  <c r="G28" i="41"/>
  <c r="G29" i="41" s="1"/>
  <c r="I29" i="41" s="1"/>
  <c r="H117" i="2"/>
  <c r="J117" i="2" s="1"/>
  <c r="H116" i="2"/>
  <c r="J116" i="2" s="1"/>
  <c r="H89" i="2"/>
  <c r="J89" i="2" s="1"/>
  <c r="G19" i="81"/>
  <c r="G21" i="81" s="1"/>
  <c r="H113" i="2"/>
  <c r="J113" i="2" s="1"/>
  <c r="H115" i="2"/>
  <c r="J115" i="2" s="1"/>
  <c r="H124" i="2"/>
  <c r="J124" i="2" s="1"/>
  <c r="H65" i="2" l="1"/>
  <c r="J65" i="2" s="1"/>
  <c r="H57" i="2"/>
  <c r="J57" i="2" s="1"/>
  <c r="H125" i="2"/>
  <c r="J125" i="2" s="1"/>
  <c r="H132" i="2"/>
  <c r="J132" i="2" s="1"/>
  <c r="E88" i="1"/>
  <c r="E91" i="1" s="1"/>
  <c r="E93" i="1" s="1"/>
  <c r="E163" i="1" s="1"/>
  <c r="D44" i="67"/>
  <c r="J127" i="1"/>
  <c r="J74" i="1"/>
  <c r="E114" i="2"/>
  <c r="C53" i="67"/>
  <c r="H58" i="1"/>
  <c r="G24" i="99" l="1"/>
  <c r="G25" i="99" s="1"/>
  <c r="I25" i="99" s="1"/>
  <c r="G24" i="100"/>
  <c r="G25" i="100" s="1"/>
  <c r="I25" i="100" s="1"/>
  <c r="G28" i="97"/>
  <c r="G29" i="97" s="1"/>
  <c r="I29" i="97" s="1"/>
  <c r="G28" i="98"/>
  <c r="G29" i="98" s="1"/>
  <c r="I29" i="98" s="1"/>
  <c r="G28" i="40"/>
  <c r="G29" i="40" s="1"/>
  <c r="I29" i="40" s="1"/>
  <c r="G28" i="53"/>
  <c r="G29" i="53" s="1"/>
  <c r="I29" i="53" s="1"/>
  <c r="J133" i="2"/>
  <c r="J73" i="2"/>
  <c r="J58" i="2"/>
  <c r="J66" i="2"/>
  <c r="D47" i="67"/>
  <c r="E157" i="1"/>
  <c r="E161" i="1" s="1"/>
  <c r="E166" i="1" s="1"/>
  <c r="H140" i="1"/>
  <c r="J140" i="1" s="1"/>
  <c r="H143" i="1"/>
  <c r="J143" i="1" s="1"/>
  <c r="H142" i="1"/>
  <c r="J142" i="1" s="1"/>
  <c r="H90" i="1"/>
  <c r="J90" i="1" s="1"/>
  <c r="C66" i="67"/>
  <c r="E53" i="67"/>
  <c r="J114" i="2"/>
  <c r="E127" i="2"/>
  <c r="H74" i="1"/>
  <c r="G24" i="54"/>
  <c r="G25" i="54" s="1"/>
  <c r="I25" i="54" s="1"/>
  <c r="J88" i="1"/>
  <c r="G24" i="41"/>
  <c r="G25" i="41" s="1"/>
  <c r="I25" i="41" s="1"/>
  <c r="H58" i="2" l="1"/>
  <c r="J74" i="2"/>
  <c r="C44" i="67"/>
  <c r="E88" i="2"/>
  <c r="E91" i="2" s="1"/>
  <c r="E93" i="2" s="1"/>
  <c r="E163" i="2" s="1"/>
  <c r="J144" i="1"/>
  <c r="D49" i="67"/>
  <c r="E66" i="67"/>
  <c r="J127" i="2"/>
  <c r="J91" i="1"/>
  <c r="H79" i="1"/>
  <c r="J79" i="1" s="1"/>
  <c r="H81" i="1"/>
  <c r="J81" i="1" s="1"/>
  <c r="H78" i="1"/>
  <c r="J78" i="1" s="1"/>
  <c r="H159" i="1"/>
  <c r="J159" i="1" s="1"/>
  <c r="H158" i="1"/>
  <c r="J158" i="1" s="1"/>
  <c r="H160" i="1"/>
  <c r="J160" i="1" s="1"/>
  <c r="H80" i="1"/>
  <c r="J80" i="1" s="1"/>
  <c r="H82" i="1"/>
  <c r="J82" i="1" s="1"/>
  <c r="G32" i="99" l="1"/>
  <c r="G33" i="99" s="1"/>
  <c r="I33" i="99" s="1"/>
  <c r="I35" i="99" s="1"/>
  <c r="G32" i="100"/>
  <c r="G33" i="100" s="1"/>
  <c r="I33" i="100" s="1"/>
  <c r="I35" i="100" s="1"/>
  <c r="P68" i="99"/>
  <c r="Q68" i="99" s="1"/>
  <c r="P67" i="99"/>
  <c r="Q67" i="99" s="1"/>
  <c r="P66" i="99"/>
  <c r="Q66" i="99" s="1"/>
  <c r="G24" i="97"/>
  <c r="G25" i="97" s="1"/>
  <c r="I25" i="97" s="1"/>
  <c r="G24" i="98"/>
  <c r="G25" i="98" s="1"/>
  <c r="I25" i="98" s="1"/>
  <c r="H140" i="2"/>
  <c r="J140" i="2" s="1"/>
  <c r="H143" i="2"/>
  <c r="J143" i="2" s="1"/>
  <c r="H142" i="2"/>
  <c r="J142" i="2" s="1"/>
  <c r="H90" i="2"/>
  <c r="J90" i="2" s="1"/>
  <c r="H74" i="2"/>
  <c r="C47" i="67"/>
  <c r="E44" i="67"/>
  <c r="G32" i="41"/>
  <c r="G33" i="41" s="1"/>
  <c r="I33" i="41" s="1"/>
  <c r="I35" i="41" s="1"/>
  <c r="G32" i="54"/>
  <c r="G33" i="54" s="1"/>
  <c r="I33" i="54" s="1"/>
  <c r="I35" i="54" s="1"/>
  <c r="G24" i="53"/>
  <c r="G25" i="53" s="1"/>
  <c r="I25" i="53" s="1"/>
  <c r="J88" i="2"/>
  <c r="G24" i="40"/>
  <c r="G25" i="40" s="1"/>
  <c r="I25" i="40" s="1"/>
  <c r="J83" i="1"/>
  <c r="E157" i="2"/>
  <c r="E161" i="2" s="1"/>
  <c r="E166" i="2" s="1"/>
  <c r="P67" i="100" l="1"/>
  <c r="Q67" i="100" s="1"/>
  <c r="P68" i="100"/>
  <c r="Q68" i="100" s="1"/>
  <c r="P66" i="100"/>
  <c r="Q66" i="100" s="1"/>
  <c r="H78" i="2"/>
  <c r="J78" i="2" s="1"/>
  <c r="H160" i="2"/>
  <c r="J160" i="2" s="1"/>
  <c r="H79" i="2"/>
  <c r="J79" i="2" s="1"/>
  <c r="H82" i="2"/>
  <c r="J82" i="2" s="1"/>
  <c r="H81" i="2"/>
  <c r="J81" i="2" s="1"/>
  <c r="H158" i="2"/>
  <c r="J158" i="2" s="1"/>
  <c r="H159" i="2"/>
  <c r="J159" i="2" s="1"/>
  <c r="H80" i="2"/>
  <c r="J80" i="2" s="1"/>
  <c r="J144" i="2"/>
  <c r="P67" i="54"/>
  <c r="Q67" i="54" s="1"/>
  <c r="P66" i="54"/>
  <c r="Q66" i="54" s="1"/>
  <c r="P68" i="54"/>
  <c r="Q68" i="54" s="1"/>
  <c r="P68" i="41"/>
  <c r="Q68" i="41" s="1"/>
  <c r="P66" i="41"/>
  <c r="Q66" i="41" s="1"/>
  <c r="P67" i="41"/>
  <c r="Q67" i="41" s="1"/>
  <c r="J93" i="1"/>
  <c r="J91" i="2"/>
  <c r="C49" i="67"/>
  <c r="E47" i="67"/>
  <c r="G32" i="97" l="1"/>
  <c r="G33" i="97" s="1"/>
  <c r="I33" i="97" s="1"/>
  <c r="I35" i="97" s="1"/>
  <c r="G32" i="98"/>
  <c r="G33" i="98" s="1"/>
  <c r="I33" i="98" s="1"/>
  <c r="I35" i="98" s="1"/>
  <c r="P68" i="97"/>
  <c r="Q68" i="97" s="1"/>
  <c r="P67" i="97"/>
  <c r="Q67" i="97" s="1"/>
  <c r="P66" i="97"/>
  <c r="Q66" i="97" s="1"/>
  <c r="G32" i="53"/>
  <c r="G33" i="53" s="1"/>
  <c r="I33" i="53" s="1"/>
  <c r="I35" i="53" s="1"/>
  <c r="P68" i="53" s="1"/>
  <c r="Q68" i="53" s="1"/>
  <c r="G32" i="40"/>
  <c r="G33" i="40" s="1"/>
  <c r="I33" i="40" s="1"/>
  <c r="I35" i="40" s="1"/>
  <c r="J83" i="2"/>
  <c r="E49" i="67"/>
  <c r="J163" i="1"/>
  <c r="G42" i="99" l="1"/>
  <c r="G43" i="99" s="1"/>
  <c r="I43" i="99" s="1"/>
  <c r="G42" i="100"/>
  <c r="G43" i="100" s="1"/>
  <c r="I43" i="100" s="1"/>
  <c r="P67" i="98"/>
  <c r="Q67" i="98" s="1"/>
  <c r="P68" i="98"/>
  <c r="Q68" i="98" s="1"/>
  <c r="P66" i="98"/>
  <c r="Q66" i="98" s="1"/>
  <c r="P67" i="53"/>
  <c r="Q67" i="53" s="1"/>
  <c r="H19" i="52" s="1"/>
  <c r="P66" i="53"/>
  <c r="Q66" i="53" s="1"/>
  <c r="J93" i="2"/>
  <c r="J163" i="2" s="1"/>
  <c r="P67" i="40"/>
  <c r="Q67" i="40" s="1"/>
  <c r="P68" i="40"/>
  <c r="Q68" i="40" s="1"/>
  <c r="P66" i="40"/>
  <c r="Q66" i="40" s="1"/>
  <c r="H20" i="52"/>
  <c r="G42" i="54"/>
  <c r="G43" i="54" s="1"/>
  <c r="I43" i="54" s="1"/>
  <c r="G42" i="41"/>
  <c r="G43" i="41" s="1"/>
  <c r="I43" i="41" s="1"/>
  <c r="J157" i="1"/>
  <c r="G42" i="97" l="1"/>
  <c r="G43" i="97" s="1"/>
  <c r="I43" i="97" s="1"/>
  <c r="G42" i="98"/>
  <c r="G43" i="98" s="1"/>
  <c r="I43" i="98" s="1"/>
  <c r="H18" i="52"/>
  <c r="H18" i="42"/>
  <c r="H20" i="42"/>
  <c r="H19" i="42"/>
  <c r="J161" i="1"/>
  <c r="G42" i="53"/>
  <c r="G43" i="53" s="1"/>
  <c r="I43" i="53" s="1"/>
  <c r="G42" i="40"/>
  <c r="G43" i="40" s="1"/>
  <c r="I43" i="40" s="1"/>
  <c r="J157" i="2"/>
  <c r="G38" i="99" l="1"/>
  <c r="G39" i="99" s="1"/>
  <c r="I39" i="99" s="1"/>
  <c r="I45" i="99" s="1"/>
  <c r="S68" i="99" s="1"/>
  <c r="T68" i="99" s="1"/>
  <c r="V68" i="99" s="1"/>
  <c r="X68" i="99" s="1"/>
  <c r="G38" i="100"/>
  <c r="G39" i="100" s="1"/>
  <c r="I39" i="100" s="1"/>
  <c r="I45" i="100" s="1"/>
  <c r="J161" i="2"/>
  <c r="G38" i="41"/>
  <c r="G39" i="41" s="1"/>
  <c r="I39" i="41" s="1"/>
  <c r="I45" i="41" s="1"/>
  <c r="G38" i="54"/>
  <c r="G39" i="54" s="1"/>
  <c r="I39" i="54" s="1"/>
  <c r="I45" i="54" s="1"/>
  <c r="J166" i="1"/>
  <c r="S66" i="99" l="1"/>
  <c r="T66" i="99" s="1"/>
  <c r="V66" i="99" s="1"/>
  <c r="X66" i="99" s="1"/>
  <c r="S67" i="99"/>
  <c r="T67" i="99" s="1"/>
  <c r="V67" i="99" s="1"/>
  <c r="X67" i="99" s="1"/>
  <c r="S68" i="100"/>
  <c r="T68" i="100" s="1"/>
  <c r="V68" i="100" s="1"/>
  <c r="X68" i="100" s="1"/>
  <c r="S66" i="100"/>
  <c r="T66" i="100" s="1"/>
  <c r="V66" i="100" s="1"/>
  <c r="S67" i="100"/>
  <c r="T67" i="100" s="1"/>
  <c r="V67" i="100" s="1"/>
  <c r="X67" i="100" s="1"/>
  <c r="G38" i="97"/>
  <c r="G39" i="97" s="1"/>
  <c r="I39" i="97" s="1"/>
  <c r="I45" i="97" s="1"/>
  <c r="S66" i="97" s="1"/>
  <c r="T66" i="97" s="1"/>
  <c r="V66" i="97" s="1"/>
  <c r="G38" i="98"/>
  <c r="G39" i="98" s="1"/>
  <c r="I39" i="98" s="1"/>
  <c r="I45" i="98" s="1"/>
  <c r="J15" i="1"/>
  <c r="S68" i="54"/>
  <c r="T68" i="54" s="1"/>
  <c r="V68" i="54" s="1"/>
  <c r="X68" i="54" s="1"/>
  <c r="S66" i="54"/>
  <c r="T66" i="54" s="1"/>
  <c r="V66" i="54" s="1"/>
  <c r="S67" i="54"/>
  <c r="T67" i="54" s="1"/>
  <c r="V67" i="54" s="1"/>
  <c r="X67" i="54" s="1"/>
  <c r="S68" i="41"/>
  <c r="T68" i="41" s="1"/>
  <c r="V68" i="41" s="1"/>
  <c r="X68" i="41" s="1"/>
  <c r="S67" i="41"/>
  <c r="T67" i="41" s="1"/>
  <c r="V67" i="41" s="1"/>
  <c r="X67" i="41" s="1"/>
  <c r="S66" i="41"/>
  <c r="T66" i="41" s="1"/>
  <c r="V66" i="41" s="1"/>
  <c r="G38" i="53"/>
  <c r="G39" i="53" s="1"/>
  <c r="I39" i="53" s="1"/>
  <c r="I45" i="53" s="1"/>
  <c r="G38" i="40"/>
  <c r="G39" i="40" s="1"/>
  <c r="I39" i="40" s="1"/>
  <c r="I45" i="40" s="1"/>
  <c r="J166" i="2"/>
  <c r="X86" i="99" l="1"/>
  <c r="X88" i="99" s="1"/>
  <c r="V86" i="99"/>
  <c r="S67" i="97"/>
  <c r="T67" i="97" s="1"/>
  <c r="V67" i="97" s="1"/>
  <c r="X67" i="97" s="1"/>
  <c r="X66" i="100"/>
  <c r="X86" i="100" s="1"/>
  <c r="X88" i="100" s="1"/>
  <c r="V86" i="100"/>
  <c r="S68" i="97"/>
  <c r="T68" i="97" s="1"/>
  <c r="V68" i="97" s="1"/>
  <c r="X68" i="97" s="1"/>
  <c r="S68" i="98"/>
  <c r="T68" i="98" s="1"/>
  <c r="V68" i="98" s="1"/>
  <c r="X68" i="98" s="1"/>
  <c r="S66" i="98"/>
  <c r="T66" i="98" s="1"/>
  <c r="V66" i="98" s="1"/>
  <c r="S67" i="98"/>
  <c r="T67" i="98" s="1"/>
  <c r="V67" i="98" s="1"/>
  <c r="X67" i="98" s="1"/>
  <c r="X66" i="97"/>
  <c r="X86" i="97" s="1"/>
  <c r="X88" i="97" s="1"/>
  <c r="X66" i="54"/>
  <c r="X86" i="54" s="1"/>
  <c r="X88" i="54" s="1"/>
  <c r="V86" i="54"/>
  <c r="S68" i="53"/>
  <c r="T68" i="53" s="1"/>
  <c r="S66" i="53"/>
  <c r="T66" i="53" s="1"/>
  <c r="S67" i="53"/>
  <c r="T67" i="53" s="1"/>
  <c r="V86" i="41"/>
  <c r="X66" i="41"/>
  <c r="X86" i="41" s="1"/>
  <c r="X88" i="41" s="1"/>
  <c r="G16" i="79"/>
  <c r="J15" i="2"/>
  <c r="S68" i="40"/>
  <c r="T68" i="40" s="1"/>
  <c r="S67" i="40"/>
  <c r="T67" i="40" s="1"/>
  <c r="S66" i="40"/>
  <c r="T66" i="40" s="1"/>
  <c r="J30" i="1"/>
  <c r="E12" i="5"/>
  <c r="E15" i="5" s="1"/>
  <c r="E17" i="5" s="1"/>
  <c r="V86" i="97" l="1"/>
  <c r="X66" i="98"/>
  <c r="X86" i="98" s="1"/>
  <c r="X88" i="98" s="1"/>
  <c r="V86" i="98"/>
  <c r="K18" i="42"/>
  <c r="M18" i="42" s="1"/>
  <c r="V66" i="40"/>
  <c r="K19" i="42"/>
  <c r="M19" i="42" s="1"/>
  <c r="O19" i="42" s="1"/>
  <c r="V67" i="40"/>
  <c r="X67" i="40" s="1"/>
  <c r="K18" i="52"/>
  <c r="M18" i="52" s="1"/>
  <c r="V66" i="53"/>
  <c r="K20" i="52"/>
  <c r="M20" i="52" s="1"/>
  <c r="O20" i="52" s="1"/>
  <c r="V68" i="53"/>
  <c r="X68" i="53" s="1"/>
  <c r="K19" i="52"/>
  <c r="M19" i="52" s="1"/>
  <c r="O19" i="52" s="1"/>
  <c r="V67" i="53"/>
  <c r="X67" i="53" s="1"/>
  <c r="K20" i="42"/>
  <c r="M20" i="42" s="1"/>
  <c r="O20" i="42" s="1"/>
  <c r="V68" i="40"/>
  <c r="X68" i="40" s="1"/>
  <c r="D164" i="67"/>
  <c r="D12" i="5"/>
  <c r="D15" i="5" s="1"/>
  <c r="D17" i="5" s="1"/>
  <c r="J30" i="2"/>
  <c r="G29" i="79"/>
  <c r="O18" i="52" l="1"/>
  <c r="O38" i="52" s="1"/>
  <c r="O40" i="52" s="1"/>
  <c r="M38" i="52"/>
  <c r="C164" i="67"/>
  <c r="X66" i="40"/>
  <c r="X86" i="40" s="1"/>
  <c r="X88" i="40" s="1"/>
  <c r="V86" i="40"/>
  <c r="O18" i="42"/>
  <c r="O38" i="42" s="1"/>
  <c r="O40" i="42" s="1"/>
  <c r="M38" i="42"/>
  <c r="E56" i="79"/>
  <c r="E44" i="79"/>
  <c r="E42" i="79"/>
  <c r="G56" i="79"/>
  <c r="X66" i="53"/>
  <c r="X86" i="53" s="1"/>
  <c r="X88" i="53" s="1"/>
  <c r="V86" i="53"/>
  <c r="E164" i="67" l="1"/>
  <c r="G54" i="79"/>
  <c r="E48" i="79"/>
  <c r="E52" i="79"/>
  <c r="E54" i="79"/>
  <c r="E46"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Ted Czupik</author>
  </authors>
  <commentList>
    <comment ref="C38" authorId="0" shapeId="0" xr:uid="{00000000-0006-0000-0100-000002000000}">
      <text>
        <r>
          <rPr>
            <sz val="10"/>
            <color indexed="81"/>
            <rFont val="Tahoma"/>
            <family val="2"/>
          </rPr>
          <t xml:space="preserve">The Company has chosen option 2 for ITC and therefore this number should be zero and amortization of ITC should be included
</t>
        </r>
      </text>
    </comment>
    <comment ref="D38" authorId="0" shapeId="0" xr:uid="{00000000-0006-0000-0100-000003000000}">
      <text>
        <r>
          <rPr>
            <sz val="10"/>
            <color indexed="81"/>
            <rFont val="Tahoma"/>
            <family val="2"/>
          </rPr>
          <t xml:space="preserve">The Company has chosen option 2 for ITC and therefore this number should be zero and amortization of ITC should be included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Ted Czupik</author>
  </authors>
  <commentList>
    <comment ref="E82" authorId="0" shapeId="0" xr:uid="{00000000-0006-0000-0500-000001000000}">
      <text>
        <r>
          <rPr>
            <sz val="10"/>
            <color indexed="81"/>
            <rFont val="Tahoma"/>
            <family val="2"/>
          </rPr>
          <t xml:space="preserve">The Company has chosen option 2 for ITC and therefore this number should be zero and amortization of ITC should be included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Ted Czupik</author>
  </authors>
  <commentList>
    <comment ref="E82" authorId="0" shapeId="0" xr:uid="{00000000-0006-0000-0600-000001000000}">
      <text>
        <r>
          <rPr>
            <sz val="10"/>
            <color indexed="81"/>
            <rFont val="Tahoma"/>
            <family val="2"/>
          </rPr>
          <t xml:space="preserve">The Company has chosen option 2 for ITC and therefore this number should be zero and amortization of ITC should be included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<sst xmlns="http://schemas.openxmlformats.org/spreadsheetml/2006/main" count="2948" uniqueCount="1026">
  <si>
    <t>205.5.g &amp; 207.99.g</t>
  </si>
  <si>
    <t>1a</t>
  </si>
  <si>
    <t>Less Account 565</t>
  </si>
  <si>
    <t>V</t>
  </si>
  <si>
    <t xml:space="preserve">Duke Energy Ohio Consolidated </t>
  </si>
  <si>
    <t>Capital Structure</t>
  </si>
  <si>
    <t xml:space="preserve">Formula Rate - Non-Levelized </t>
  </si>
  <si>
    <t xml:space="preserve"> </t>
  </si>
  <si>
    <t>Line</t>
  </si>
  <si>
    <t>Allocated</t>
  </si>
  <si>
    <t>No.</t>
  </si>
  <si>
    <t>Amount</t>
  </si>
  <si>
    <t>Total</t>
  </si>
  <si>
    <t>Allocator</t>
  </si>
  <si>
    <t>TP</t>
  </si>
  <si>
    <t>NET REVENUE REQUIREMENT</t>
  </si>
  <si>
    <t>(Note C)</t>
  </si>
  <si>
    <t>(Note D)</t>
  </si>
  <si>
    <t>(1)</t>
  </si>
  <si>
    <t>(2)</t>
  </si>
  <si>
    <t>(3)</t>
  </si>
  <si>
    <t>(4)</t>
  </si>
  <si>
    <t>(5)</t>
  </si>
  <si>
    <t>Form No. 1</t>
  </si>
  <si>
    <t>Transmission</t>
  </si>
  <si>
    <t>Page, Line, Col.</t>
  </si>
  <si>
    <t>Company Total</t>
  </si>
  <si>
    <t>RATE BASE:</t>
  </si>
  <si>
    <t>GROSS PLANT IN SERVICE</t>
  </si>
  <si>
    <t xml:space="preserve">  Production</t>
  </si>
  <si>
    <t>NA</t>
  </si>
  <si>
    <t xml:space="preserve">  Transmission</t>
  </si>
  <si>
    <t xml:space="preserve">  Distribution</t>
  </si>
  <si>
    <t xml:space="preserve">  General &amp; Intangible</t>
  </si>
  <si>
    <t xml:space="preserve">  Common</t>
  </si>
  <si>
    <t>TOTAL GROSS PLANT (sum lines 1-5)</t>
  </si>
  <si>
    <t>GP=</t>
  </si>
  <si>
    <t>ACCUMULATED DEPRECIATION</t>
  </si>
  <si>
    <t>NET PLANT IN SERVICE</t>
  </si>
  <si>
    <t>TOTAL NET PLANT (sum lines 13-17)</t>
  </si>
  <si>
    <t>NP=</t>
  </si>
  <si>
    <t>273.8.k</t>
  </si>
  <si>
    <t>NP</t>
  </si>
  <si>
    <t>TE</t>
  </si>
  <si>
    <t>GP</t>
  </si>
  <si>
    <t>O&amp;M</t>
  </si>
  <si>
    <t xml:space="preserve">  Transmission </t>
  </si>
  <si>
    <t xml:space="preserve">  A&amp;G</t>
  </si>
  <si>
    <t xml:space="preserve">  Transmission Lease Payments</t>
  </si>
  <si>
    <t>DEPRECIATION EXPENSE</t>
  </si>
  <si>
    <t>TOTAL DEPRECIATION (Sum lines 9 - 11)</t>
  </si>
  <si>
    <t xml:space="preserve">  LABOR RELATED</t>
  </si>
  <si>
    <t xml:space="preserve">  PLANT RELATED</t>
  </si>
  <si>
    <t xml:space="preserve">         Property</t>
  </si>
  <si>
    <t xml:space="preserve">         Gross Receipts</t>
  </si>
  <si>
    <t xml:space="preserve">         Other</t>
  </si>
  <si>
    <t xml:space="preserve">         Payments in lieu of taxes</t>
  </si>
  <si>
    <t>TOTAL OTHER TAXES  (sum lines 13 - 19)</t>
  </si>
  <si>
    <t xml:space="preserve">  </t>
  </si>
  <si>
    <t xml:space="preserve">RETURN </t>
  </si>
  <si>
    <t xml:space="preserve">TRANSMISSION EXPENSES </t>
  </si>
  <si>
    <t>Total transmission expenses    (page 3, line 1, column 3)</t>
  </si>
  <si>
    <t>TE=</t>
  </si>
  <si>
    <t>TP=</t>
  </si>
  <si>
    <t>WAGES &amp; SALARY ALLOCATOR   (W&amp;S)</t>
  </si>
  <si>
    <t>Form 1 Reference</t>
  </si>
  <si>
    <t>$</t>
  </si>
  <si>
    <t>Allocation</t>
  </si>
  <si>
    <t>354.20.b</t>
  </si>
  <si>
    <t xml:space="preserve">  Other</t>
  </si>
  <si>
    <t>($ / Allocation)</t>
  </si>
  <si>
    <t>=</t>
  </si>
  <si>
    <t>% Electric</t>
  </si>
  <si>
    <t xml:space="preserve">  Electric</t>
  </si>
  <si>
    <t>200.3.c</t>
  </si>
  <si>
    <t>(line 16)</t>
  </si>
  <si>
    <t>CE</t>
  </si>
  <si>
    <t xml:space="preserve">  Gas</t>
  </si>
  <si>
    <t>*</t>
  </si>
  <si>
    <t xml:space="preserve">  Water</t>
  </si>
  <si>
    <t>RETURN (R)</t>
  </si>
  <si>
    <t xml:space="preserve">                                          Development of Common Stock:</t>
  </si>
  <si>
    <t>Common Stock</t>
  </si>
  <si>
    <t>Cost</t>
  </si>
  <si>
    <t>%</t>
  </si>
  <si>
    <t>Weighted</t>
  </si>
  <si>
    <t>=WCLTD</t>
  </si>
  <si>
    <t xml:space="preserve">  Common Stock  (line 26)</t>
  </si>
  <si>
    <t>=R</t>
  </si>
  <si>
    <t>REVENUE CREDITS</t>
  </si>
  <si>
    <t>(310-311)</t>
  </si>
  <si>
    <t xml:space="preserve">  Total of (a)-(b)</t>
  </si>
  <si>
    <t>(330.x.n)</t>
  </si>
  <si>
    <t>General Note:  References to pages in this formulary rate are indicated as:  (page#, line#, col.#)</t>
  </si>
  <si>
    <t>Note</t>
  </si>
  <si>
    <t>Letter</t>
  </si>
  <si>
    <t>A</t>
  </si>
  <si>
    <t>B</t>
  </si>
  <si>
    <t>C</t>
  </si>
  <si>
    <t>D</t>
  </si>
  <si>
    <t>E</t>
  </si>
  <si>
    <t>F</t>
  </si>
  <si>
    <t>G</t>
  </si>
  <si>
    <t>H</t>
  </si>
  <si>
    <t>Cash Working Capital assigned to transmission is one-eighth of O&amp;M allocated to transmission at page 3, line 8, column 5.</t>
  </si>
  <si>
    <t>I</t>
  </si>
  <si>
    <t>J</t>
  </si>
  <si>
    <t>K</t>
  </si>
  <si>
    <t>L</t>
  </si>
  <si>
    <t>M</t>
  </si>
  <si>
    <t>Removes transmission plant determined by Commission order to be state-jurisdictional according to the seven-factor test (until Form 1</t>
  </si>
  <si>
    <t>N</t>
  </si>
  <si>
    <t>O</t>
  </si>
  <si>
    <t>P</t>
  </si>
  <si>
    <t>Q</t>
  </si>
  <si>
    <t>R</t>
  </si>
  <si>
    <t>Account 454</t>
  </si>
  <si>
    <t>Includes income related only to transmission facilities, such as pole attachments, rentals and special use.</t>
  </si>
  <si>
    <t xml:space="preserve">  Account No. 281 (enter negative)</t>
  </si>
  <si>
    <t xml:space="preserve">  Account No. 282 (enter negative)</t>
  </si>
  <si>
    <t xml:space="preserve">  Account No. 283 (enter negative)</t>
  </si>
  <si>
    <t xml:space="preserve">  Account No. 255 (enter negative)</t>
  </si>
  <si>
    <t xml:space="preserve">  Account No. 190 </t>
  </si>
  <si>
    <t xml:space="preserve">  Prepayments (Account 165)</t>
  </si>
  <si>
    <t xml:space="preserve">  a. Bundled Non-RQ Sales for Resale (311.x.h)</t>
  </si>
  <si>
    <t>Total Income Taxes</t>
  </si>
  <si>
    <t xml:space="preserve">  Total  (sum lines 17 - 19)</t>
  </si>
  <si>
    <t>Load</t>
  </si>
  <si>
    <t>(page 4, line 34)</t>
  </si>
  <si>
    <t>(line 1 minus line 6)</t>
  </si>
  <si>
    <t>FIT =</t>
  </si>
  <si>
    <t>SIT=</t>
  </si>
  <si>
    <t xml:space="preserve">  (State Income Tax Rate or Composite SIT)</t>
  </si>
  <si>
    <t>p =</t>
  </si>
  <si>
    <t xml:space="preserve">  (percent of federal income tax deductible for state purposes)</t>
  </si>
  <si>
    <t xml:space="preserve">     T=1 - {[(1 - SIT) * (1 - FIT)] / (1 - SIT * FIT * p)} =</t>
  </si>
  <si>
    <t xml:space="preserve">     CIT=(T/1-T) * (1-(WCLTD/R)) =</t>
  </si>
  <si>
    <t xml:space="preserve">      1 / (1 - T)  = (from line 21)</t>
  </si>
  <si>
    <t xml:space="preserve">       and FIT, SIT &amp; p are as given in footnote K.</t>
  </si>
  <si>
    <t xml:space="preserve">         Inputs Required:</t>
  </si>
  <si>
    <t>ITC adjustment (line 23 * line 24)</t>
  </si>
  <si>
    <t>calculated</t>
  </si>
  <si>
    <t>WS</t>
  </si>
  <si>
    <t xml:space="preserve">  CWC  </t>
  </si>
  <si>
    <t>Total  (sum lines 27-29)</t>
  </si>
  <si>
    <t xml:space="preserve">  Total  (sum lines 12-15)</t>
  </si>
  <si>
    <t>Removes dollar amount of transmission plant included in the development of OATT ancillary services rates and generation</t>
  </si>
  <si>
    <t>5a</t>
  </si>
  <si>
    <t>zero</t>
  </si>
  <si>
    <t>S</t>
  </si>
  <si>
    <t>T</t>
  </si>
  <si>
    <t>Percentage of transmission expenses after adjustment (line 8 divided by line 6)</t>
  </si>
  <si>
    <t>Included transmission expenses (line 6 less line 7)</t>
  </si>
  <si>
    <t xml:space="preserve">   </t>
  </si>
  <si>
    <t>219.25.c</t>
  </si>
  <si>
    <t>219.26.c</t>
  </si>
  <si>
    <t>Jan</t>
  </si>
  <si>
    <t>Feb</t>
  </si>
  <si>
    <t>Mar</t>
  </si>
  <si>
    <t>Apr</t>
  </si>
  <si>
    <t>Jun</t>
  </si>
  <si>
    <t>Aug</t>
  </si>
  <si>
    <t>Dec</t>
  </si>
  <si>
    <t>Average</t>
  </si>
  <si>
    <t>Notes:</t>
  </si>
  <si>
    <t>267.8.h</t>
  </si>
  <si>
    <t>201.3.d</t>
  </si>
  <si>
    <t>201.3.e</t>
  </si>
  <si>
    <t>111.57.c</t>
  </si>
  <si>
    <t>U</t>
  </si>
  <si>
    <t>207.58.g</t>
  </si>
  <si>
    <t>207.75.g</t>
  </si>
  <si>
    <t>Proprietary Capital (112.16.c)</t>
  </si>
  <si>
    <t>Less Account 216.1 (112.12.c)  (enter negative)</t>
  </si>
  <si>
    <t xml:space="preserve">  Long Term Debt (112, sum of 18.c through 21.c)</t>
  </si>
  <si>
    <t xml:space="preserve">  Preferred Stock  (112.3.c)</t>
  </si>
  <si>
    <t>Duke Energy Ohio</t>
  </si>
  <si>
    <t>Duke Energy Kentucky</t>
  </si>
  <si>
    <t>Long Term Interest (117, sum of 62.c through 67.c)</t>
  </si>
  <si>
    <t>Preferred Dividends (118.29.c) (positive number)</t>
  </si>
  <si>
    <t>DEO</t>
  </si>
  <si>
    <t>DEK</t>
  </si>
  <si>
    <t>205.46.g</t>
  </si>
  <si>
    <t>321.112.b</t>
  </si>
  <si>
    <t>321.96.b</t>
  </si>
  <si>
    <t>323.197.b</t>
  </si>
  <si>
    <t>354.21.b</t>
  </si>
  <si>
    <t>354.23.b</t>
  </si>
  <si>
    <t>354.24,25,26.b</t>
  </si>
  <si>
    <t>Production</t>
  </si>
  <si>
    <t>Distribution</t>
  </si>
  <si>
    <t>Transmission Plant</t>
  </si>
  <si>
    <t>Page 1 of 2</t>
  </si>
  <si>
    <t>O&amp;M EXPENSE</t>
  </si>
  <si>
    <t>9</t>
  </si>
  <si>
    <t>10</t>
  </si>
  <si>
    <t>TAXES OTHER THAN INCOME TAXES</t>
  </si>
  <si>
    <t>11</t>
  </si>
  <si>
    <t>Total Other Taxes</t>
  </si>
  <si>
    <t>12</t>
  </si>
  <si>
    <t>INCOME TAXES</t>
  </si>
  <si>
    <t>Return on Rate Base</t>
  </si>
  <si>
    <t>Page 2 of 2</t>
  </si>
  <si>
    <t>(Note F)</t>
  </si>
  <si>
    <t>Detail of Land Held for Future Use</t>
  </si>
  <si>
    <t>Other Projects</t>
  </si>
  <si>
    <t>Project Name</t>
  </si>
  <si>
    <t>A&amp;G Expense, Page 323, line 197, column b</t>
  </si>
  <si>
    <t>A&amp;G Expense</t>
  </si>
  <si>
    <t>Account 282</t>
  </si>
  <si>
    <t>Account 190</t>
  </si>
  <si>
    <t>Distribution Use</t>
  </si>
  <si>
    <t>Gross Transmission Plant - Total</t>
  </si>
  <si>
    <t>Net Transmission Plant - Total</t>
  </si>
  <si>
    <t>Total O&amp;M Allocated to Transmission</t>
  </si>
  <si>
    <t>Annual Allocation Factor for O&amp;M</t>
  </si>
  <si>
    <t>5</t>
  </si>
  <si>
    <t>6</t>
  </si>
  <si>
    <t>Annual Allocation Factor for Other Taxes</t>
  </si>
  <si>
    <t>7</t>
  </si>
  <si>
    <t>Annual Allocation Factor for Expense</t>
  </si>
  <si>
    <t>8</t>
  </si>
  <si>
    <t>Annual Allocation Factor for Income Taxes</t>
  </si>
  <si>
    <t>Annual Allocation Factor for Return on Rate Base</t>
  </si>
  <si>
    <t>Annual Allocation Factor for Return</t>
  </si>
  <si>
    <t>Line No.</t>
  </si>
  <si>
    <t>MTEP Project Number</t>
  </si>
  <si>
    <t xml:space="preserve">Project Gross Plant </t>
  </si>
  <si>
    <t>Annual Expense Charge</t>
  </si>
  <si>
    <t xml:space="preserve">Project Net Plant </t>
  </si>
  <si>
    <t>Annual Return Charge</t>
  </si>
  <si>
    <t>Project Depreciation Expense</t>
  </si>
  <si>
    <t>Annual Revenue Requirement</t>
  </si>
  <si>
    <t>True-Up Adjustment</t>
  </si>
  <si>
    <t>Network Upgrade Charge</t>
  </si>
  <si>
    <t>(Col. 3 * Col. 4)</t>
  </si>
  <si>
    <t>(Col. 6 * Col. 7)</t>
  </si>
  <si>
    <t>(Note E)</t>
  </si>
  <si>
    <t>(Sum Col. 5, 8 &amp; 9)</t>
  </si>
  <si>
    <t>Sum Col. 10 &amp; 11
(Note G)</t>
  </si>
  <si>
    <t>Project 1</t>
  </si>
  <si>
    <t>P1</t>
  </si>
  <si>
    <t>1b</t>
  </si>
  <si>
    <t>Project 2</t>
  </si>
  <si>
    <t>P2</t>
  </si>
  <si>
    <t>1c</t>
  </si>
  <si>
    <t>Project 3</t>
  </si>
  <si>
    <t>P3</t>
  </si>
  <si>
    <t>2</t>
  </si>
  <si>
    <t>Annual Totals</t>
  </si>
  <si>
    <t>Project Gross Plant is the total capital investment for the project calculated in the same method as the gross plant value in line 1 and includes CWIP in rate base if applicable.  This value includes subsequent capital investments required to maintain the facilities to their original capabilities.</t>
  </si>
  <si>
    <t>Project Net Plant is the Project Gross Plant Identified in Column 3 less the associated Accumulated Depreciation.</t>
  </si>
  <si>
    <t>True-Up Adjustment is included pursuant to a FERC approved methodology if applicable.</t>
  </si>
  <si>
    <t>The Network Upgrade Charge is the value to be used in Schedule 26.</t>
  </si>
  <si>
    <t>Hillcrest 345 kV</t>
  </si>
  <si>
    <t>Rate Formula Template</t>
  </si>
  <si>
    <t>Materials and Supplies</t>
  </si>
  <si>
    <t>Total M&amp;S</t>
  </si>
  <si>
    <t>(In Dollars)</t>
  </si>
  <si>
    <t>Actual</t>
  </si>
  <si>
    <t>13</t>
  </si>
  <si>
    <t>14</t>
  </si>
  <si>
    <t>May</t>
  </si>
  <si>
    <t>Jul</t>
  </si>
  <si>
    <t>Sep</t>
  </si>
  <si>
    <t>Oct</t>
  </si>
  <si>
    <t>Nov</t>
  </si>
  <si>
    <t>Utilizing FERC Form 1 Data</t>
  </si>
  <si>
    <t>SUPPORTING CALCULATIONS AND NOTES</t>
  </si>
  <si>
    <t>Network Upgrade Charge Calculation By Project</t>
  </si>
  <si>
    <t>Annual Cost ($/kW/Yr) - 1 CP</t>
  </si>
  <si>
    <t>RATE BASE</t>
  </si>
  <si>
    <t>$/MWh</t>
  </si>
  <si>
    <t>MWh</t>
  </si>
  <si>
    <t>Schedule 1A Rate Calculations</t>
  </si>
  <si>
    <t>B.</t>
  </si>
  <si>
    <t>Net Schedule 1A Revenue Requirement for Zone</t>
  </si>
  <si>
    <t>Total Load Dispatch &amp; Scheduling (Account 561)</t>
  </si>
  <si>
    <t>A.</t>
  </si>
  <si>
    <t>Requirement</t>
  </si>
  <si>
    <t>Revenue</t>
  </si>
  <si>
    <t>Transmission Formula Rate Revenue Requirement</t>
  </si>
  <si>
    <t>Schedule 1A Annual Revenue Requirements</t>
  </si>
  <si>
    <t>Appendix A</t>
  </si>
  <si>
    <t>Page 1 of 1</t>
  </si>
  <si>
    <t>Attachment H-22A, Page 4, Line 7</t>
  </si>
  <si>
    <t>Revenue Credits for Schedule 1A - Note A</t>
  </si>
  <si>
    <t>Note:</t>
  </si>
  <si>
    <t>used to calculate rates under Attachment H-22A.</t>
  </si>
  <si>
    <t>4a</t>
  </si>
  <si>
    <t>4b</t>
  </si>
  <si>
    <t>Source</t>
  </si>
  <si>
    <t>Reserved</t>
  </si>
  <si>
    <t>Schedule 1A Rate Calculation</t>
  </si>
  <si>
    <t>Appendix C</t>
  </si>
  <si>
    <t>RTEP - Transmission Enhancement Charges</t>
  </si>
  <si>
    <t>Attachment H-22A</t>
  </si>
  <si>
    <t>Utilizing Attachment H-22A Data</t>
  </si>
  <si>
    <t>Prepayments are the electric related prepayments booked to Account No. 165 and reported on Page 111 line 57 in the Form 1.</t>
  </si>
  <si>
    <t>step-up facilities, which are deemed to be included in OATT ancillary services.  For these purposes, generation step-up</t>
  </si>
  <si>
    <t>facilities are those facilities at a generator substation on which there is no through-flow when the generator is shut down.</t>
  </si>
  <si>
    <t>No. 456.1 and all other uses are to be included in the divisor.</t>
  </si>
  <si>
    <t>(page 4, line 35)</t>
  </si>
  <si>
    <t>DIVISOR</t>
  </si>
  <si>
    <t>(line 7 / line 8)</t>
  </si>
  <si>
    <t>General Advertising - 930.1</t>
  </si>
  <si>
    <t>TRANSMISSION PLANT INCLUDED IN ISO RATES</t>
  </si>
  <si>
    <t>Total transmission plant (page 2, line 2, column 3)</t>
  </si>
  <si>
    <t>Transmission plant included in ISO Rates  (line 1 less lines 2 &amp; 3)</t>
  </si>
  <si>
    <t>Percentage of transmission plant included in ISO Rates (line 4 divided by line 1)</t>
  </si>
  <si>
    <t>Percentage of transmission plant included in ISO Rates (line 5)</t>
  </si>
  <si>
    <t>Percentage of transmission expenses included in ISO Rates (line 9 times line 10)</t>
  </si>
  <si>
    <t>Project Depreciation Expense is the actual value booked for the project and included in the Depreciation Expense in Attachment H-22A page 3 line 12.</t>
  </si>
  <si>
    <t>Determination of Transmission Plant Included in OATT Ancillary Services</t>
  </si>
  <si>
    <t>State Tax Composite Rate</t>
  </si>
  <si>
    <t>Revenue Requirement</t>
  </si>
  <si>
    <t>Tax Rate</t>
  </si>
  <si>
    <t>State Taxes</t>
  </si>
  <si>
    <t>Composite Tax Rate</t>
  </si>
  <si>
    <t>Allocation of Account 163</t>
  </si>
  <si>
    <t xml:space="preserve">Line 5 - EPRI Annual Membership Dues listed in Form 1 at 353.f, all Regulatory Commission Expenses itemized at 351.h, and non-safety related advertising included </t>
  </si>
  <si>
    <t xml:space="preserve">in Account 930.1.  Line 5a - Regulatory Commission Expenses directly related to transmission service, ISO filings, or transmission siting itemized at 351.h. </t>
  </si>
  <si>
    <t>Includes only FICA, unemployment, highway, property, gross receipts, and other assessments charged in the current year.  Taxes related to income are excluded.</t>
  </si>
  <si>
    <t>Gross receipts taxes are not included in transmission revenue requirement in the Rate Formula Template, since they are recovered elsewhere.</t>
  </si>
  <si>
    <t xml:space="preserve">"the percentage of federal income tax deductible for state income taxes".  If the utility is taxed in more than one state it must attach a work paper showing the name </t>
  </si>
  <si>
    <t>of each state and how the blended or composite SIT was developed.  Furthermore, a utility that elected to utilize amortization of tax credits</t>
  </si>
  <si>
    <t xml:space="preserve">against taxable income, rather than book tax credits to Account No. 255 and reduce rate base, must reduce its income tax expense by </t>
  </si>
  <si>
    <t xml:space="preserve">       where WCLTD=(page 4, line 27) and R= (page 4, line 30)</t>
  </si>
  <si>
    <t xml:space="preserve">214.x.d  </t>
  </si>
  <si>
    <t>COMMON PLANT ALLOCATOR  (CE)</t>
  </si>
  <si>
    <t>266.8.f (enter negative)</t>
  </si>
  <si>
    <t>Amortized Investment Tax Credit</t>
  </si>
  <si>
    <t xml:space="preserve">  b. Bundled Sales for Resale included in Divisor on page 1</t>
  </si>
  <si>
    <t>Revenue received pursuant to PJM Schedule 1A revenue allocation procedures</t>
  </si>
  <si>
    <t>The Total General and Common Depreciation Expense excludes any depreciation expense directly associated with a project and thereby included in page 2 column 9.</t>
  </si>
  <si>
    <t>TRANSMISSION PLANT</t>
  </si>
  <si>
    <t>RTEP Project Number</t>
  </si>
  <si>
    <t>Sum of lines 11 and 13</t>
  </si>
  <si>
    <t>Appendix B</t>
  </si>
  <si>
    <t>(Col. 3 times Col. 4)</t>
  </si>
  <si>
    <t>Line 33 must equal zero since all short-term power sales must be unbundled and the transmission component reflected in Account</t>
  </si>
  <si>
    <t>(Note P)</t>
  </si>
  <si>
    <t xml:space="preserve">assignment facilities and GSUs) which are not recovered under this Rate Formula Template. </t>
  </si>
  <si>
    <t>Account No. 454</t>
  </si>
  <si>
    <t>Revenues from Grandfathered Interzonal Transactions</t>
  </si>
  <si>
    <t>Less FERC Annual Fees</t>
  </si>
  <si>
    <t>Payroll</t>
  </si>
  <si>
    <t>Highway and vehicle</t>
  </si>
  <si>
    <t>LAND HELD FOR FUTURE USE   (Note G)</t>
  </si>
  <si>
    <t xml:space="preserve">  Materials &amp; Supplies    (Note G)</t>
  </si>
  <si>
    <t>Less transmission plant excluded from ISO rates  (Note M)</t>
  </si>
  <si>
    <t>Less transmission plant included in OATT Ancillary Services  (Note N)</t>
  </si>
  <si>
    <t>Less transmission expenses included in OATT Ancillary Services  (Note L)</t>
  </si>
  <si>
    <t>ACCOUNT 447 (SALES FOR RESALE)  (Note Q)</t>
  </si>
  <si>
    <t>ACCOUNT 454 (RENT FROM ELECTRIC PROPERTY)    (Note R)</t>
  </si>
  <si>
    <t>Less LSE Expenses included in Transmission O&amp;M Accounts  (Note V)</t>
  </si>
  <si>
    <t>Less EPRI &amp; Reg. Comm. Exp. &amp; Non-safety  Advertising    (Note I)</t>
  </si>
  <si>
    <t>Plus Transmission Related Reg. Comm. Exp.   (Note I)</t>
  </si>
  <si>
    <t>TAXES OTHER THAN INCOME TAXES    (Note J)</t>
  </si>
  <si>
    <t>Less transmission plant excluded from ISO rates   (Note M)</t>
  </si>
  <si>
    <t>REVENUE CREDITS    (Note T)</t>
  </si>
  <si>
    <t>WORKING CAPITAL    (Note H)</t>
  </si>
  <si>
    <t xml:space="preserve">  Materials &amp; Supplies     (Note G)</t>
  </si>
  <si>
    <t>INCOME TAXES           (Note K)</t>
  </si>
  <si>
    <t>W</t>
  </si>
  <si>
    <t>revenues associated with FERC annual charges, gross receipts taxes, ancillary services, or facilities not included in this template (e.g., direct</t>
  </si>
  <si>
    <t>Account No. 456.1</t>
  </si>
  <si>
    <t>ACCOUNT 456.1 (OTHER ELECTRIC REVENUES)        (Note U)</t>
  </si>
  <si>
    <t>3a</t>
  </si>
  <si>
    <t>3b</t>
  </si>
  <si>
    <t>17a</t>
  </si>
  <si>
    <t>Annual Cost ($/kW/Yr) - 12 CP</t>
  </si>
  <si>
    <t>(line 7 / line 9)</t>
  </si>
  <si>
    <t>Network Rate ($/kW/Mo)</t>
  </si>
  <si>
    <t>(line 15 / 12)</t>
  </si>
  <si>
    <t>Point-To-Point Rate ($/kW/Mo)</t>
  </si>
  <si>
    <t>(line 16 / 12)</t>
  </si>
  <si>
    <t>Point-To-Point Rate ($/kW/Wk)</t>
  </si>
  <si>
    <t>Point-To-Point Rate ($/kW/Day)</t>
  </si>
  <si>
    <t>Point-To-Point Rate ($/MWh)</t>
  </si>
  <si>
    <t>(line 16 / 52; line 16 / 52)</t>
  </si>
  <si>
    <t>(line 16 / 260; line 16 / 365)</t>
  </si>
  <si>
    <t>Peak Rate</t>
  </si>
  <si>
    <t>Off-Peak Rate</t>
  </si>
  <si>
    <t>Capped at weekly rate</t>
  </si>
  <si>
    <t>Capped at weekly and daily rate</t>
  </si>
  <si>
    <t>(A)</t>
  </si>
  <si>
    <t>(B)</t>
  </si>
  <si>
    <t>(C)</t>
  </si>
  <si>
    <t>Duke Energy Ohio and Duke Energy Kentucky</t>
  </si>
  <si>
    <t>for transmission service outside of DEOK's zone during the year</t>
  </si>
  <si>
    <t xml:space="preserve">balances are adjusted to reflect application of seven-factor test).  </t>
  </si>
  <si>
    <t>DEOK</t>
  </si>
  <si>
    <t>Exhibit No. DUK-102</t>
  </si>
  <si>
    <t>Regulatory Commission Expense</t>
  </si>
  <si>
    <t>Electric Power Research Institute</t>
  </si>
  <si>
    <t>Subtotal</t>
  </si>
  <si>
    <t>Adjusted A&amp;G Expense - To Page 3, Line 3</t>
  </si>
  <si>
    <t>Revenues from service provided by ISO at a discount</t>
  </si>
  <si>
    <t>Debt cost rate = long-term interest (line 21) / long term debt (line 27).  Preferred cost rate = preferred dividends (line 22) / preferred outstanding (line 28).</t>
  </si>
  <si>
    <t>ROE will be supported in the original filing and no change in ROE may be made absent a filing with FERC.  Capitalization adjusted to exclude impacts of purchase accounting.</t>
  </si>
  <si>
    <t>transactions and revenues from service provided by ISO at a discount.</t>
  </si>
  <si>
    <t>Sum of lines 4, 6 and 8</t>
  </si>
  <si>
    <t>page 6 of 6</t>
  </si>
  <si>
    <t>page 1 of 6</t>
  </si>
  <si>
    <t>page 2 of 6</t>
  </si>
  <si>
    <t>page 3 of 6</t>
  </si>
  <si>
    <t>page 5 of 6</t>
  </si>
  <si>
    <t>page 4 of 6</t>
  </si>
  <si>
    <t>DUKE ENERGY OHIO, INC.</t>
  </si>
  <si>
    <t>DEPRECIATION RATES</t>
  </si>
  <si>
    <t>FERC</t>
  </si>
  <si>
    <t>Company</t>
  </si>
  <si>
    <t>Account</t>
  </si>
  <si>
    <t xml:space="preserve">Accrual </t>
  </si>
  <si>
    <t>Number</t>
  </si>
  <si>
    <t>Description</t>
  </si>
  <si>
    <t>Rates</t>
  </si>
  <si>
    <t>(D)</t>
  </si>
  <si>
    <t>Wholly Owned Transmission Plant</t>
  </si>
  <si>
    <t>Rights of Way</t>
  </si>
  <si>
    <t>Structures &amp;  Improvements</t>
  </si>
  <si>
    <t>Structures &amp;  Improvements - Duke Ohio - Loc. in Ky.</t>
  </si>
  <si>
    <t>Station Equipment</t>
  </si>
  <si>
    <t>Station Equipment - Duke Ohio - Loc. in Ky.</t>
  </si>
  <si>
    <t>Towers &amp; Fixtures</t>
  </si>
  <si>
    <t>Towers &amp; Fixtures - Duke Ohio - Loc. in Ky.</t>
  </si>
  <si>
    <t>Poles &amp; Fixtures</t>
  </si>
  <si>
    <t>Poles &amp; Fixtures - Duke Ohio - Loc. in Ky.</t>
  </si>
  <si>
    <t>Overhead Conductors &amp; Devices</t>
  </si>
  <si>
    <t>Overhead Conductors &amp; Devices - Duke Ohio - Loc. in Ky.</t>
  </si>
  <si>
    <t>Underground Conduit</t>
  </si>
  <si>
    <t>Underground Conductors &amp; Devices</t>
  </si>
  <si>
    <t>Commonly Owned Transmission Plant - CCD Projects</t>
  </si>
  <si>
    <t>Structures &amp;  Improvements - CCD Projects</t>
  </si>
  <si>
    <t>Station Equipment - CCD Projects</t>
  </si>
  <si>
    <t>Towers &amp; Fixtures - CCD Projects</t>
  </si>
  <si>
    <t>Towers &amp; Fixtures - CCD Projects - Loc. In Ky.</t>
  </si>
  <si>
    <t>Poles &amp; Fixtures - CCD Projects</t>
  </si>
  <si>
    <t>Overhead Conductors &amp; Devices - CCD Projects</t>
  </si>
  <si>
    <t>Overhead Conductors &amp; Devices - CCD Projects - Loc. In Ky.</t>
  </si>
  <si>
    <t>Commonly Owned Transmission Plant - CD Projects</t>
  </si>
  <si>
    <t>Structures &amp;  Improvements - CD Projects</t>
  </si>
  <si>
    <t>Station Equipment - CD Projects</t>
  </si>
  <si>
    <t>Towers &amp; Fixtures - CD Projects</t>
  </si>
  <si>
    <t>Overhead Conductors &amp; Devices - CD Projects</t>
  </si>
  <si>
    <t>Land and Land Rights</t>
  </si>
  <si>
    <t>N/A</t>
  </si>
  <si>
    <t>Structures and Improvements</t>
  </si>
  <si>
    <t>Office Furniture and Equipment</t>
  </si>
  <si>
    <t>Electronic Data Processing Equipment</t>
  </si>
  <si>
    <t>Transportation Equipment</t>
  </si>
  <si>
    <t>Trailers</t>
  </si>
  <si>
    <t>Tools, Shop &amp; Garage Equipment</t>
  </si>
  <si>
    <t>Laboratory Equipment</t>
  </si>
  <si>
    <t>Power Operated Equipment</t>
  </si>
  <si>
    <t>Communication Equipment</t>
  </si>
  <si>
    <t>Miscellaneous Equipment</t>
  </si>
  <si>
    <t>DUKE ENERGY KENTUCKY, INC.</t>
  </si>
  <si>
    <t>Structures &amp; Improvements</t>
  </si>
  <si>
    <t>Station Equipment - Major</t>
  </si>
  <si>
    <t>Station Equipment - Electronic</t>
  </si>
  <si>
    <t>Miscellaneous Intangible Plant</t>
  </si>
  <si>
    <t>Portion Attributable to Transmission</t>
  </si>
  <si>
    <t>X</t>
  </si>
  <si>
    <t>Y</t>
  </si>
  <si>
    <t>Less Midwest ISO Exit Fees included in Transmission O&amp;M</t>
  </si>
  <si>
    <t>(Note X)</t>
  </si>
  <si>
    <t>Less PJM Integration Costs included in A&amp;G</t>
  </si>
  <si>
    <t>(Note Y)</t>
  </si>
  <si>
    <t>Development of Common Stock:</t>
  </si>
  <si>
    <t>INCOME TAXE RATES</t>
  </si>
  <si>
    <t>Federal Income Tax (FIT)</t>
  </si>
  <si>
    <t>State Income Tax (SIT) or Composite SIT</t>
  </si>
  <si>
    <t>Effective Income Tax Rate</t>
  </si>
  <si>
    <t>(percent of federal income tax deductible for state purposes)</t>
  </si>
  <si>
    <t>Calculated</t>
  </si>
  <si>
    <t>COMMON PLANT ALLOCATOR  (CE) (Note O)</t>
  </si>
  <si>
    <t>TOTAL GROSS PLANT</t>
  </si>
  <si>
    <t>TOTAL ACCUM. DEPRECIATION</t>
  </si>
  <si>
    <t>TOTAL NET PLANT</t>
  </si>
  <si>
    <t>TOTAL ADJUSTMENTS</t>
  </si>
  <si>
    <t>TOTAL WORKING CAPITAL</t>
  </si>
  <si>
    <t>WORKING CAPITAL</t>
  </si>
  <si>
    <t>ADJUSTMENTS TO RATE BASE</t>
  </si>
  <si>
    <t>DESCRIPTION</t>
  </si>
  <si>
    <t>For the 12 months ended:</t>
  </si>
  <si>
    <t>Rates effective:</t>
  </si>
  <si>
    <r>
      <rPr>
        <b/>
        <sz val="12"/>
        <rFont val="Arial"/>
        <family val="2"/>
      </rPr>
      <t>Less:</t>
    </r>
    <r>
      <rPr>
        <sz val="12"/>
        <rFont val="Arial"/>
        <family val="2"/>
      </rPr>
      <t xml:space="preserve"> </t>
    </r>
  </si>
  <si>
    <r>
      <rPr>
        <b/>
        <sz val="12"/>
        <rFont val="Arial"/>
        <family val="2"/>
      </rPr>
      <t>Less:</t>
    </r>
    <r>
      <rPr>
        <sz val="12"/>
        <rFont val="Arial"/>
        <family val="2"/>
      </rPr>
      <t/>
    </r>
  </si>
  <si>
    <t xml:space="preserve">200.21.c &amp; 219.28.c </t>
  </si>
  <si>
    <t>Total Generation Step-up Transformers</t>
  </si>
  <si>
    <t xml:space="preserve">336.1.f &amp; 336.10.f </t>
  </si>
  <si>
    <t>General and Intangible Plant</t>
  </si>
  <si>
    <t># of Work Papers</t>
  </si>
  <si>
    <t>The currently effective income tax rate, where FIT is the Federal income tax rate; SIT is the State income tax rate, and p =</t>
  </si>
  <si>
    <t>Percentage</t>
  </si>
  <si>
    <t>To be completed in conjunction with Attachment H-22A.</t>
  </si>
  <si>
    <t>336.11.f</t>
  </si>
  <si>
    <t>336.7.f</t>
  </si>
  <si>
    <t>Accumulated Deferred Income Taxes</t>
  </si>
  <si>
    <t>Per Books Total, Page 234, lines 8 &amp; 17, column c</t>
  </si>
  <si>
    <t>Ohio Consumers' Counsel</t>
  </si>
  <si>
    <t>PUCO - Division of Forecasting</t>
  </si>
  <si>
    <t>Non-Safety Adv., Reg. Comm. Exp. &amp; EPRI</t>
  </si>
  <si>
    <t>Less amounts recorded in a non-formula related account</t>
  </si>
  <si>
    <t>FERC Account 506</t>
  </si>
  <si>
    <t>Total Electric Power Research Institute</t>
  </si>
  <si>
    <t>Sch 4 - Day-Ahead Load Response Charge Allocation</t>
  </si>
  <si>
    <t>Sch 4 - Real-Time Load Response Charge Allocation</t>
  </si>
  <si>
    <t>Sch 8 - Non-Firm PTP</t>
  </si>
  <si>
    <t>Sch 9 - NITS</t>
  </si>
  <si>
    <t>PJM Customer Payment Default</t>
  </si>
  <si>
    <t>Facilities Charges</t>
  </si>
  <si>
    <t>Other Transmission Revenues - FTR's</t>
  </si>
  <si>
    <t>Total Account 456.1 - To Page 4, Line 35</t>
  </si>
  <si>
    <t>Total Account 454 - To Page 4, Line 34</t>
  </si>
  <si>
    <t>356</t>
  </si>
  <si>
    <t>Exhibit No. DUK-102, Pg. 1</t>
  </si>
  <si>
    <t xml:space="preserve">Exhibit No. DUK-102, Pg. 1 </t>
  </si>
  <si>
    <t>350.b</t>
  </si>
  <si>
    <t>Exhibit No. DUK-102, Pg. 4</t>
  </si>
  <si>
    <t>Non-Safety Adv., Reg. Comm. Exp. &amp; EPRI - To Page 3, Line 5</t>
  </si>
  <si>
    <t>Adjusted Balances - To Page 2, Line 22</t>
  </si>
  <si>
    <t>Adjusted Balances - To Page 2, Line 20</t>
  </si>
  <si>
    <t>Less Internal Integration Costs included in A&amp;G</t>
  </si>
  <si>
    <t>Less Midcontinent ISO Exit Fees included in Transmission O&amp;M</t>
  </si>
  <si>
    <t>PJM Integration Costs are the fees that PJM assessed DEOK for the costs that PJM incurred in connection with DEOK's move into PJM.  Internal Integration Costs are the internal</t>
  </si>
  <si>
    <t>administrative costs incurred by Duke Energy Ohio and Duke Energy Kentucky to accomplish their move from the Midcontinent ISO into PJM.</t>
  </si>
  <si>
    <t>Less PJM Integration Costs included in A&amp;G and</t>
  </si>
  <si>
    <t>321.85-87.b</t>
  </si>
  <si>
    <t>Account 283</t>
  </si>
  <si>
    <t xml:space="preserve">         Internal Integration Costs included in A&amp;G</t>
  </si>
  <si>
    <t>The Network Upgrade Charge is the value to be used in Schedule 12.</t>
  </si>
  <si>
    <t>RTEP Transmission Enhancement Charges for Attachment H-22A</t>
  </si>
  <si>
    <t>Att. H-22A, p 3, lines 10 &amp; 11, col 5 (Note H)</t>
  </si>
  <si>
    <t>Parent DE Ohio</t>
  </si>
  <si>
    <t>Holding Co.</t>
  </si>
  <si>
    <t>Request for Rate Increase &amp; Other Misc Exp</t>
  </si>
  <si>
    <t>Less amounts recorded in a transmission account</t>
  </si>
  <si>
    <t>FERC Account 566</t>
  </si>
  <si>
    <t>(Note I)</t>
  </si>
  <si>
    <t>Less EPRI Annual Membership Dues  (Note I)</t>
  </si>
  <si>
    <t>Less EPRI Annual Membership Dues</t>
  </si>
  <si>
    <t>(1)  To Page 3, line 1c</t>
  </si>
  <si>
    <t>Impact of</t>
  </si>
  <si>
    <t>Correction</t>
  </si>
  <si>
    <t>FERC Refund Rate</t>
  </si>
  <si>
    <t>Number of Periods</t>
  </si>
  <si>
    <t>Interest - ((Amount * (1+Rate)^Periods) - Amount)</t>
  </si>
  <si>
    <t>Miscellaneous</t>
  </si>
  <si>
    <t>Variance</t>
  </si>
  <si>
    <t>ACCUMULATED DEPRECIATION AND AMORTIZATION</t>
  </si>
  <si>
    <t>TOTAL ACCUM. DEPRECIATION AND AMORTIZATION (sum lines 7-11)</t>
  </si>
  <si>
    <t>275.2.k &amp; 275.6.k</t>
  </si>
  <si>
    <t>277.9.k &amp; 277.18.k</t>
  </si>
  <si>
    <t>234.8.c &amp; 234.17.c</t>
  </si>
  <si>
    <t xml:space="preserve">  Account No. 255 (enter negative)  (Note K)</t>
  </si>
  <si>
    <t>321.88.b &amp; 321.92.b</t>
  </si>
  <si>
    <t>350.x.b</t>
  </si>
  <si>
    <t>TOTAL O&amp;M   (sum lines 1, 3, 5a, 6, 7 less lines 1a, 1b, 1c, 2, 3b, 4, 5)</t>
  </si>
  <si>
    <t>DEPRECIATION AND AMORTIZATION EXPENSE</t>
  </si>
  <si>
    <t xml:space="preserve">DEOK will provide, in connection with each Annual Update, a copy of the entire annual actuarial valuation report supporting the derivation of the annual Postretirement Benefits </t>
  </si>
  <si>
    <t>Other than Pensions (“PBOP”) expense as charged to FERC account 926, and the amount of such expense included in Total Admin and General Expenses provided on</t>
  </si>
  <si>
    <t xml:space="preserve">Attachment H-22A, page 3 of 6, line 3 of the Formula Rate.  DEOK will provide, in connection with each Annual Update, a worksheet that shows the actual PBOP expense </t>
  </si>
  <si>
    <t xml:space="preserve">components and calculation derivation (including, for each account to which PBOP expense is recorded, the account number, expense amount, description, calculation </t>
  </si>
  <si>
    <t>derivation and source).</t>
  </si>
  <si>
    <t>Account Nos. 561.4 and 561.8 consist of RTO expenses billed to load-serving entities and are not included in Transmission Owner revenue requirements.</t>
  </si>
  <si>
    <t>Company Records</t>
  </si>
  <si>
    <t>GENERAL AND COMMON (G&amp;C) DEPRECIATION AND AMORTIZATION EXPENSE</t>
  </si>
  <si>
    <t>Total G&amp;C Depreciation and Amortization Expense</t>
  </si>
  <si>
    <t>Annual Allocation Factor for G&amp;C Depreciation and Amortization Expense</t>
  </si>
  <si>
    <t>PBOP Expense excluding Pension Expense included in line 3 for information only</t>
  </si>
  <si>
    <t>Gross Transmission Plant is that identified on page 2, line 2 of Attachment H-22A.</t>
  </si>
  <si>
    <t>Net Transmission Plant is that identified on page 2, line 14 of Attachment H-22A.</t>
  </si>
  <si>
    <t>Notes</t>
  </si>
  <si>
    <t xml:space="preserve">                        References to data from FERC Form 1 are indicated as:   #.y.x  (page, line, column)</t>
  </si>
  <si>
    <t>Other</t>
  </si>
  <si>
    <t>WAGES &amp; SALARY ALLOCATOR   (WS)</t>
  </si>
  <si>
    <t>ACCOUNT 456.1 (OTHER ELECTRIC REVENUES)        (Note W)</t>
  </si>
  <si>
    <t xml:space="preserve">On Line 36, enter revenues from RTO settlements that are associated with MTEP projects.  Exclude NITS, firm Point-to-Point, non-firm Point-to-Point revenues, revenues related to </t>
  </si>
  <si>
    <t>RTEP projects, revenues from grandfathered interzonal transactions and revenues from service provided by ISO at a discount.</t>
  </si>
  <si>
    <t>TOTAL REVENUE CREDITS  (sum lines 2-5)</t>
  </si>
  <si>
    <t xml:space="preserve">  Total Electric (sum lines 12-15)</t>
  </si>
  <si>
    <t>Property</t>
  </si>
  <si>
    <t>Gross Receipts</t>
  </si>
  <si>
    <t>Payments in lieu of taxes</t>
  </si>
  <si>
    <t>ADJUSTMENTS TO RATE BASE   (Note F)</t>
  </si>
  <si>
    <t xml:space="preserve">Less Preferred Stock (line 28) </t>
  </si>
  <si>
    <t>Common Stock (sum lines 23-25)</t>
  </si>
  <si>
    <t>(line 17 / line 20)</t>
  </si>
  <si>
    <t xml:space="preserve">and Duke Energy Kentucky's zonal rates.  Exclude NITS, non-firm Point-to-Point revenues, revenues related to MTEP and RTEP projects, revenues from grandfathered interzonal </t>
  </si>
  <si>
    <t>(page 4, line 36)</t>
  </si>
  <si>
    <t>219.20.c-219.24.c</t>
  </si>
  <si>
    <t>WS Allocator</t>
  </si>
  <si>
    <t>Removes dollar amount of transmission expenses included in the OATT ancillary services rates, including Account Nos. 561.1, 561.2 and 561.3.</t>
  </si>
  <si>
    <t>The annual MWh used by all transmission customers per PJM MSRS report.</t>
  </si>
  <si>
    <t>MTEP - Transmission Enhancement Charges</t>
  </si>
  <si>
    <t>MTEP Transmission Enhancement Charges</t>
  </si>
  <si>
    <t>Worksheet for Derivation of PBOP Expense</t>
  </si>
  <si>
    <t>Actual PBOP Expense Components and Calculation Derivation (per Note E)</t>
  </si>
  <si>
    <t>FERC Account</t>
  </si>
  <si>
    <t>Description and Calculation Derivation</t>
  </si>
  <si>
    <t>DEO /
Duke Energy Ohio (503)</t>
  </si>
  <si>
    <t>Duke Energy Business Services
 (110)</t>
  </si>
  <si>
    <t>Total
 DEO</t>
  </si>
  <si>
    <t>Duke Energy - All Legacy Postretirement Welfare Plans</t>
  </si>
  <si>
    <t>DEK /
Duke Energy Kentucky (536)</t>
  </si>
  <si>
    <t>Total
 DEK</t>
  </si>
  <si>
    <r>
      <t xml:space="preserve">Source </t>
    </r>
    <r>
      <rPr>
        <sz val="12"/>
        <rFont val="Arial"/>
        <family val="2"/>
      </rPr>
      <t>(Document, Page)</t>
    </r>
  </si>
  <si>
    <t>IMPA</t>
  </si>
  <si>
    <t>EPVORO</t>
  </si>
  <si>
    <t>EPVOHO</t>
  </si>
  <si>
    <t>EPVOBO</t>
  </si>
  <si>
    <t>EKPC</t>
  </si>
  <si>
    <t>AMPWTN</t>
  </si>
  <si>
    <t>AMPLEB</t>
  </si>
  <si>
    <t>AMPHAM</t>
  </si>
  <si>
    <t>AMPGEO</t>
  </si>
  <si>
    <t>Wholesale Load Responsibility</t>
  </si>
  <si>
    <t>DTTDEO</t>
  </si>
  <si>
    <t>CEDDPR</t>
  </si>
  <si>
    <t>Default Supplier Load</t>
  </si>
  <si>
    <t>Seller</t>
  </si>
  <si>
    <t>Transaction Type</t>
  </si>
  <si>
    <t>BUCK</t>
  </si>
  <si>
    <t>Report Category: Other Ancillary Services</t>
  </si>
  <si>
    <t>Source: PJM MSRS Report Catalog</t>
  </si>
  <si>
    <t>Report: Sched 1A Credit Summary</t>
  </si>
  <si>
    <t>Total Subtracted from Account 190 Balance</t>
  </si>
  <si>
    <t>Total Subtracted from Account 282 Balance</t>
  </si>
  <si>
    <t>Total Subtracted from Account 283 Balance</t>
  </si>
  <si>
    <t>FERC Form 1</t>
  </si>
  <si>
    <t>Legacy MTEP Credit (Account 456.1)</t>
  </si>
  <si>
    <t>The revenues credited on page 1 lines 2-5 shall include only the amounts received directly (in the case of grandfathered agreements)</t>
  </si>
  <si>
    <t>Counts</t>
  </si>
  <si>
    <t>Pole Attachment Percentage Calculation</t>
  </si>
  <si>
    <t>Poles</t>
  </si>
  <si>
    <t>Towers</t>
  </si>
  <si>
    <t>Structures</t>
  </si>
  <si>
    <t xml:space="preserve"> For Revenue Credits, Account 454</t>
  </si>
  <si>
    <t>Att. H-22A, p 3, line 20, col 5</t>
  </si>
  <si>
    <t>Att. H-22A, p 3, line 8, col 5</t>
  </si>
  <si>
    <t>Att. H-22A, p 2, line 2, col 5 (Note A)</t>
  </si>
  <si>
    <t>Att. H-22A, p 2, line 14, col 5 (Note B)</t>
  </si>
  <si>
    <t>(line 12 divided by line 2, col 3)</t>
  </si>
  <si>
    <t>(line 5 divided by line 1, col 3)</t>
  </si>
  <si>
    <t>(line 7 divided by line 1, col 3)</t>
  </si>
  <si>
    <t>(line 10 divided by line 2, col 3)</t>
  </si>
  <si>
    <t>(line 3 divided by line 1, col 3)</t>
  </si>
  <si>
    <r>
      <t xml:space="preserve">Duke Energy Kentucky </t>
    </r>
    <r>
      <rPr>
        <b/>
        <vertAlign val="superscript"/>
        <sz val="12"/>
        <rFont val="Arial"/>
        <family val="2"/>
      </rPr>
      <t>(1)</t>
    </r>
  </si>
  <si>
    <r>
      <t xml:space="preserve">Duke Energy Ohio </t>
    </r>
    <r>
      <rPr>
        <b/>
        <vertAlign val="superscript"/>
        <sz val="12"/>
        <rFont val="Arial"/>
        <family val="2"/>
      </rPr>
      <t>(1)</t>
    </r>
  </si>
  <si>
    <r>
      <rPr>
        <vertAlign val="superscript"/>
        <sz val="12"/>
        <rFont val="Arial"/>
        <family val="2"/>
      </rPr>
      <t>(1)</t>
    </r>
    <r>
      <rPr>
        <sz val="12"/>
        <rFont val="Arial"/>
        <family val="2"/>
      </rPr>
      <t xml:space="preserve"> Source:  FERC Form 1, Page 214</t>
    </r>
  </si>
  <si>
    <t>DUKE ENERGY OHIO AND DUKE ENERGY KENTUCKY (DEOK)</t>
  </si>
  <si>
    <t>Exhibit No. DUK-102, Pg. 8</t>
  </si>
  <si>
    <t>Transmission Owner Scheduling, System Control and Dispatch Service Credit Summary</t>
  </si>
  <si>
    <t>PJM Billing Line Item 2320</t>
  </si>
  <si>
    <t>Schedule</t>
  </si>
  <si>
    <t>PJM</t>
  </si>
  <si>
    <t>Month</t>
  </si>
  <si>
    <t>1A</t>
  </si>
  <si>
    <t>1A Non-</t>
  </si>
  <si>
    <t>Cum.</t>
  </si>
  <si>
    <t>Invoice</t>
  </si>
  <si>
    <t>Booked</t>
  </si>
  <si>
    <t>Zone Credit</t>
  </si>
  <si>
    <t>Var.</t>
  </si>
  <si>
    <t>February</t>
  </si>
  <si>
    <t>March</t>
  </si>
  <si>
    <t>April</t>
  </si>
  <si>
    <t>June</t>
  </si>
  <si>
    <t>July</t>
  </si>
  <si>
    <t>August</t>
  </si>
  <si>
    <t>September</t>
  </si>
  <si>
    <t>October</t>
  </si>
  <si>
    <t>November</t>
  </si>
  <si>
    <t>December</t>
  </si>
  <si>
    <t>Attachment H-22A, Appendix A - Line 2</t>
  </si>
  <si>
    <t xml:space="preserve">Exhibit No. DUK-102, Pg. 2 </t>
  </si>
  <si>
    <t>214.x.d [Exhibit No. DUK-102, Pg. 3]</t>
  </si>
  <si>
    <t xml:space="preserve">Exhibit No. DUK-102, Pg. 4 </t>
  </si>
  <si>
    <t xml:space="preserve">Exhibit No. DUK-102, Pg. 5 </t>
  </si>
  <si>
    <t>Exhibit No. DUK-102, Pg. 7</t>
  </si>
  <si>
    <t>Page 1 of 6, Line 7</t>
  </si>
  <si>
    <t>356 (Total Common x Elec Dept %)</t>
  </si>
  <si>
    <t>DUKE ENERGY OHIO (DEO)</t>
  </si>
  <si>
    <t>DUKE ENERGY KENTUCKY (DEK)</t>
  </si>
  <si>
    <t>GROSS REVENUE REQUIREMENT</t>
  </si>
  <si>
    <t>DEO + DEK</t>
  </si>
  <si>
    <t>Schedule 1A rate $/MWh</t>
  </si>
  <si>
    <t>Adjusted Balances - To Page 2, Line 21</t>
  </si>
  <si>
    <t>Non-Transmission</t>
  </si>
  <si>
    <t>Rent from Electric Property Attributable to Transmission</t>
  </si>
  <si>
    <t>Schedule 1A - Annual MWh</t>
  </si>
  <si>
    <t>(Page 1, line 9)</t>
  </si>
  <si>
    <t>(Page 1, line 14)</t>
  </si>
  <si>
    <t>from the ISO (for service under this tariff) reflecting the Transmission Owner's integrated transmission facilities.  They do not include</t>
  </si>
  <si>
    <t>Form 1, P.323.191, col. b</t>
  </si>
  <si>
    <t>page 1 of 1</t>
  </si>
  <si>
    <t>1 CP</t>
  </si>
  <si>
    <t>12 CP</t>
  </si>
  <si>
    <t>Return</t>
  </si>
  <si>
    <t>Year</t>
  </si>
  <si>
    <t>LSE Expenses Included in Transmission O&amp;M</t>
  </si>
  <si>
    <t>Total LSE Expenses Included in Transmission O&amp;M</t>
  </si>
  <si>
    <t>TE Allocator</t>
  </si>
  <si>
    <t>(line 1 - line 7)</t>
  </si>
  <si>
    <t>(line 2 - line 8)</t>
  </si>
  <si>
    <t>(line 3 - line 9)</t>
  </si>
  <si>
    <t>(line 4 - line 10)</t>
  </si>
  <si>
    <t>(line 5 - line 11)</t>
  </si>
  <si>
    <t>Miscellaneous Intangible Plant - 5 Year</t>
  </si>
  <si>
    <t>Miscellaneous Intangible Plant - 10 Year</t>
  </si>
  <si>
    <t>Common Plant</t>
  </si>
  <si>
    <t>Micellaneous Equipment</t>
  </si>
  <si>
    <t>Appendix D</t>
  </si>
  <si>
    <t>Page 3 of 3</t>
  </si>
  <si>
    <t>Page 1 of 3</t>
  </si>
  <si>
    <t>Page 2 of 3</t>
  </si>
  <si>
    <t>Interest on Long-Term Debt (427)</t>
  </si>
  <si>
    <t>Amort. Of Debt Disc. And Expense (428)</t>
  </si>
  <si>
    <t>Amort. Of Loss on Reacquired Debt (428.1)</t>
  </si>
  <si>
    <t>(Less) Amort. Of Premium on Debt-Credit (429)</t>
  </si>
  <si>
    <t>(Less) Amort. Of Gain on Reacquired Debt-Credit (429.1)</t>
  </si>
  <si>
    <t>(561.1) Load Dispatch-Reliability</t>
  </si>
  <si>
    <t>(561.2) Load Dispatch-Monitor &amp; Operate Transmission System</t>
  </si>
  <si>
    <t>(561.3) Load Dispatch-Transmission Service &amp; Scheduling</t>
  </si>
  <si>
    <t>Bonds (221)</t>
  </si>
  <si>
    <t>(Less) Reacquired Bonds (222)</t>
  </si>
  <si>
    <t>Advances from Associated Companies (223)</t>
  </si>
  <si>
    <t>112.18.c</t>
  </si>
  <si>
    <t>112.19.c</t>
  </si>
  <si>
    <t>112.20.c</t>
  </si>
  <si>
    <t>112.21.c</t>
  </si>
  <si>
    <t>117.62.c</t>
  </si>
  <si>
    <t>117.63.c</t>
  </si>
  <si>
    <t>117.64.c</t>
  </si>
  <si>
    <t>117.65.c</t>
  </si>
  <si>
    <t>117.66c</t>
  </si>
  <si>
    <t>117.67.c</t>
  </si>
  <si>
    <t>321.85.b</t>
  </si>
  <si>
    <t>321.86.b</t>
  </si>
  <si>
    <t>321.87.b</t>
  </si>
  <si>
    <t>Income Tax</t>
  </si>
  <si>
    <t>Total Refunds Due to Customers - To Attachment H, page 1 of 1</t>
  </si>
  <si>
    <t>Report Category: Energy Transaction Details</t>
  </si>
  <si>
    <t>Report: RT Daily Energy Transactions</t>
  </si>
  <si>
    <t>EPPDPR</t>
  </si>
  <si>
    <t>NEEDEO</t>
  </si>
  <si>
    <t>Amount of Safety Related Advertising in Account 930.1</t>
  </si>
  <si>
    <r>
      <rPr>
        <vertAlign val="superscript"/>
        <sz val="12"/>
        <rFont val="Arial"/>
        <family val="2"/>
      </rPr>
      <t>(3)</t>
    </r>
    <r>
      <rPr>
        <sz val="12"/>
        <rFont val="Arial"/>
        <family val="2"/>
      </rPr>
      <t xml:space="preserve"> Source FERC Form 1, page 227, line 5, column (c)</t>
    </r>
  </si>
  <si>
    <r>
      <rPr>
        <vertAlign val="superscript"/>
        <sz val="12"/>
        <rFont val="Arial"/>
        <family val="2"/>
      </rPr>
      <t>(4)</t>
    </r>
    <r>
      <rPr>
        <sz val="12"/>
        <rFont val="Arial"/>
        <family val="2"/>
      </rPr>
      <t xml:space="preserve"> Source FERC Form 1, page 227, line 16, column (c)</t>
    </r>
  </si>
  <si>
    <t>Gas</t>
  </si>
  <si>
    <r>
      <rPr>
        <vertAlign val="superscript"/>
        <sz val="12"/>
        <rFont val="Arial"/>
        <family val="2"/>
      </rPr>
      <t>(2)</t>
    </r>
    <r>
      <rPr>
        <sz val="12"/>
        <rFont val="Arial"/>
        <family val="2"/>
      </rPr>
      <t xml:space="preserve"> Source FERC Form 1, page 227, lines 7-9, column (c)</t>
    </r>
  </si>
  <si>
    <t>Portion Attributable to Transmission (Exhibit No. DUK-102, Page 15)</t>
  </si>
  <si>
    <t>Account 456.1</t>
  </si>
  <si>
    <t>Revenue Credits, Accounts 454 and 456.1</t>
  </si>
  <si>
    <t>Account 190, Account 282, and Account 283</t>
  </si>
  <si>
    <t>Transmission Plant Included in OATT Ancillary Services - To Page 4, Line 3</t>
  </si>
  <si>
    <t>Total Account 454 per Books Total, Page 300, line 19, column b</t>
  </si>
  <si>
    <t>Total Account 456.1 Per Books Total, Page 300, line 22, column b</t>
  </si>
  <si>
    <t>Grand Total (to Appendix A, line 4)</t>
  </si>
  <si>
    <t>Page 11</t>
  </si>
  <si>
    <t xml:space="preserve">   Net Periodic Benefit Cost - Service Cost</t>
  </si>
  <si>
    <t>Long-term Disability Expense</t>
  </si>
  <si>
    <t xml:space="preserve">  Accrual for Future Disableds </t>
  </si>
  <si>
    <t>Total Service Cost and Long-Term Disability Expense</t>
  </si>
  <si>
    <t>Percent DEBS Allocation to DEO (Electric only)</t>
  </si>
  <si>
    <t xml:space="preserve">   Adjustment to Transfer Expense to/from Duke Affiliates</t>
  </si>
  <si>
    <t>Total DEO Direct and Allocated PBOP Expense (Benefit cost pool)</t>
  </si>
  <si>
    <t>(line 16 / 4,160; line 16 / 8,760 * 1,000)</t>
  </si>
  <si>
    <t>Total Proprietary Capital, page 112, line 16, column c</t>
  </si>
  <si>
    <t>Less: Goodwill, page 233, line 1, column f</t>
  </si>
  <si>
    <r>
      <t xml:space="preserve">Related </t>
    </r>
    <r>
      <rPr>
        <b/>
        <u val="singleAccounting"/>
        <vertAlign val="superscript"/>
        <sz val="12"/>
        <rFont val="Arial"/>
        <family val="2"/>
      </rPr>
      <t>(2)</t>
    </r>
  </si>
  <si>
    <r>
      <t>M&amp;S</t>
    </r>
    <r>
      <rPr>
        <b/>
        <u val="singleAccounting"/>
        <vertAlign val="superscript"/>
        <sz val="12"/>
        <rFont val="Arial"/>
        <family val="2"/>
      </rPr>
      <t xml:space="preserve"> (2)</t>
    </r>
  </si>
  <si>
    <r>
      <t>M&amp;S Assigned to Construction</t>
    </r>
    <r>
      <rPr>
        <b/>
        <u val="singleAccounting"/>
        <vertAlign val="superscript"/>
        <sz val="12"/>
        <rFont val="Arial"/>
        <family val="2"/>
      </rPr>
      <t>(3)</t>
    </r>
  </si>
  <si>
    <r>
      <t>Account 163</t>
    </r>
    <r>
      <rPr>
        <b/>
        <u val="singleAccounting"/>
        <vertAlign val="superscript"/>
        <sz val="12"/>
        <rFont val="Arial"/>
        <family val="2"/>
      </rPr>
      <t xml:space="preserve"> (4)</t>
    </r>
  </si>
  <si>
    <r>
      <t xml:space="preserve">Total M&amp;S </t>
    </r>
    <r>
      <rPr>
        <b/>
        <vertAlign val="superscript"/>
        <sz val="12"/>
        <rFont val="Arial"/>
        <family val="2"/>
      </rPr>
      <t>(1)</t>
    </r>
  </si>
  <si>
    <t>Total Default Supplier Load</t>
  </si>
  <si>
    <t>De-rated Losses</t>
  </si>
  <si>
    <t>Retail Load Responsibility</t>
  </si>
  <si>
    <t>Total Wholesale Load Responsibility</t>
  </si>
  <si>
    <t xml:space="preserve"> Related</t>
  </si>
  <si>
    <t>Reported on</t>
  </si>
  <si>
    <t>Total DEO PBOP Expense - FERC Account 926 (To page 3 of 6, Line 3a)</t>
  </si>
  <si>
    <t>To be completed in conjunction with Attachment H-22A</t>
  </si>
  <si>
    <t>Monthly</t>
  </si>
  <si>
    <t xml:space="preserve">(1)  DEOK 1 CP is Duke Energy Ohio ("DEO") Monthly Firm </t>
  </si>
  <si>
    <t xml:space="preserve">          Transmission System Peak Load as reported on page 400,</t>
  </si>
  <si>
    <t xml:space="preserve">          column b of Form 1 at the time of DEO's annual peak.</t>
  </si>
  <si>
    <t>(KILOWATTS)</t>
  </si>
  <si>
    <r>
      <t xml:space="preserve">Peak </t>
    </r>
    <r>
      <rPr>
        <b/>
        <u val="singleAccounting"/>
        <vertAlign val="superscript"/>
        <sz val="10"/>
        <rFont val="Arial"/>
        <family val="2"/>
      </rPr>
      <t>(1)</t>
    </r>
  </si>
  <si>
    <t>Stores Equipment</t>
  </si>
  <si>
    <t>Common AMI Meters</t>
  </si>
  <si>
    <t>(page 3, line 31)</t>
  </si>
  <si>
    <t>TOTAL ADJUSTMENTS  (sum lines 19 - 24)</t>
  </si>
  <si>
    <t>TOTAL WORKING CAPITAL (sum lines 27 - 29)</t>
  </si>
  <si>
    <t>RATE BASE  (sum lines 18, 25, 26, &amp; 30)</t>
  </si>
  <si>
    <t>REV. REQUIREMENT  (sum lines 8, 12, 20, 29, 30)</t>
  </si>
  <si>
    <t xml:space="preserve">  [Rate Base (page 2, line 31) * Rate of Return (page 4, line 30)]</t>
  </si>
  <si>
    <t>Income Tax Calculation (line 22 * line 30)</t>
  </si>
  <si>
    <t>Att. H-22A, p 3, line 29, col 5</t>
  </si>
  <si>
    <t>Att. H-22A, p 3, line 30, col 5</t>
  </si>
  <si>
    <r>
      <rPr>
        <vertAlign val="superscript"/>
        <sz val="12"/>
        <rFont val="Arial"/>
        <family val="2"/>
      </rPr>
      <t>(2)</t>
    </r>
    <r>
      <rPr>
        <sz val="12"/>
        <rFont val="Arial"/>
        <family val="2"/>
      </rPr>
      <t xml:space="preserve"> Balances to Page 2, Line 26</t>
    </r>
  </si>
  <si>
    <r>
      <rPr>
        <vertAlign val="superscript"/>
        <sz val="12"/>
        <rFont val="Arial"/>
        <family val="2"/>
      </rPr>
      <t>(1)</t>
    </r>
    <r>
      <rPr>
        <sz val="12"/>
        <rFont val="Arial"/>
        <family val="2"/>
      </rPr>
      <t xml:space="preserve"> To Page 2, Line 28</t>
    </r>
  </si>
  <si>
    <t>Issue</t>
  </si>
  <si>
    <t>Reference</t>
  </si>
  <si>
    <t>HARDOL</t>
  </si>
  <si>
    <t>the amount of the Amortized Investment Tax Credit (Form 1, 266.8.f) multiplied by (1/1-T) (page 3, line 27).</t>
  </si>
  <si>
    <t>Midcontinent ISO Exit Fees include (1) the charge that DEOK paid to the Midcontinent ISO pursuant to the Settlement Agreement filed on July 29, 2011 in Docket No. ER11-2059</t>
  </si>
  <si>
    <t>and (2) the exit fees that DEOK paid to the Midcontinent ISO pursuant to the Exit Fee Agreement filed on October 5, 2011 in Docket No. ER12-33.</t>
  </si>
  <si>
    <t>necessary to maintain rate base neutrality in the event of a change in the Federal or State income tax rates.  Balance of Account 255 is reduced by prior flow throughs</t>
  </si>
  <si>
    <t xml:space="preserve">Includes the amortization of any excess/deficient deferred income taxes resulting from changes to income tax laws, income tax rates (including changes in </t>
  </si>
  <si>
    <t xml:space="preserve">apportionment) and other actions taken by a taxing authority.  Excess and deficient deferred income taxes will reduce or increase tax expense by the amount of </t>
  </si>
  <si>
    <t>Total Revenue Available for Credit Calculation</t>
  </si>
  <si>
    <t>Interest on Debt to Assoc. Companies (430)</t>
  </si>
  <si>
    <t>Tower Lease Revenues in Line 1 Total above</t>
  </si>
  <si>
    <t>Rent from Electric Property in Line 1 Total above</t>
  </si>
  <si>
    <t>Less: Other Electric Revenue in Line 1 Total above</t>
  </si>
  <si>
    <t>O&amp;M Percentage</t>
  </si>
  <si>
    <t xml:space="preserve">   Electric Only Percentage</t>
  </si>
  <si>
    <t xml:space="preserve">   Net Periodic Benefit Cost - Non-Service Cost</t>
  </si>
  <si>
    <t xml:space="preserve">LTD_FAS 112 Summary </t>
  </si>
  <si>
    <t xml:space="preserve">Year End 2015 Footnote Disclosures - Prepurchase Accounting </t>
  </si>
  <si>
    <t>Offset (Dr.)/Cr.</t>
  </si>
  <si>
    <t>Dr./(Cr.)</t>
  </si>
  <si>
    <t>Balance Sheet Only Total</t>
  </si>
  <si>
    <t xml:space="preserve">Amortization </t>
  </si>
  <si>
    <t xml:space="preserve">Remaining </t>
  </si>
  <si>
    <t>Rate</t>
  </si>
  <si>
    <t>Balance</t>
  </si>
  <si>
    <t>(a)</t>
  </si>
  <si>
    <t>(b)</t>
  </si>
  <si>
    <t>(c)</t>
  </si>
  <si>
    <t>(d)</t>
  </si>
  <si>
    <t>(e)</t>
  </si>
  <si>
    <t>and excluded if the utility chose to utilize amortization of tax credits against taxable income as discussed in Note K.  Account 281 is not allocated.</t>
  </si>
  <si>
    <t>Scheduling, System Control &amp; Dispatch Services, Page 321, line 88, col b</t>
  </si>
  <si>
    <t>Reliability, Planning and Standards Development Services, Page 321, line 92, col b</t>
  </si>
  <si>
    <t>Less EPRI &amp; Reg. Comm. Exp. &amp; Non-safety Advertising    (Note I)</t>
  </si>
  <si>
    <t>Form 1, P.353, col. f</t>
  </si>
  <si>
    <t>Protected Federal Excess/Deficient Deferred Income Tax Worksheet</t>
  </si>
  <si>
    <t xml:space="preserve">Exhibit No. DUK-102, Pg. 17 </t>
  </si>
  <si>
    <t>Excess/Deficient DIT Permanent Worksheet</t>
  </si>
  <si>
    <t>Amortization of Excess/Deficient Deferred Income Taxes (Note O)</t>
  </si>
  <si>
    <t>Duke Energy Ohio, Inc.</t>
  </si>
  <si>
    <t>Def. Income Tax Expense Total</t>
  </si>
  <si>
    <t>Duke Energy Kentucky, Inc.</t>
  </si>
  <si>
    <t>TOTAL DEPRECIATION AND AMORTIZATION (sum lines 9 - 11)</t>
  </si>
  <si>
    <t>LSE Expense Allocated to Transmission To Page 3, Line 1a</t>
  </si>
  <si>
    <t>To Page 3, Line 25</t>
  </si>
  <si>
    <t>To Page 2, Line 23</t>
  </si>
  <si>
    <t>Excess/Deficient DIT amortization (line 23 * line 25)</t>
  </si>
  <si>
    <t>Unprotected Federal Excess/Deficient Deferred Income Tax Worksheet</t>
  </si>
  <si>
    <t>Deferred Income Tax Remeasurement</t>
  </si>
  <si>
    <t xml:space="preserve">On Line 35, enter revenues from RTO settlements that are associated with NITS and firm Point-to-Point Service for which the load is not included in the divisor to derive Duke Energy Ohio's </t>
  </si>
  <si>
    <t>Percent DEBS Allocation to DEK (Electric only)</t>
  </si>
  <si>
    <t>Total DEK Direct and Allocated PBOP Expense (Benefit cost pool)</t>
  </si>
  <si>
    <t>Total DEK PBOP Expense - FERC Account 926 (To page 3 of 6, Line 3a)</t>
  </si>
  <si>
    <t>Other Long-Term Debt (224)</t>
  </si>
  <si>
    <t>ETDUKE</t>
  </si>
  <si>
    <t>FRDKOH</t>
  </si>
  <si>
    <t>PLRRDK</t>
  </si>
  <si>
    <t>PLRCDK</t>
  </si>
  <si>
    <t>Less: Gas BU Charges in Account 923</t>
  </si>
  <si>
    <t>227.5.c &amp; 227.8.c &amp; 227.16.c</t>
  </si>
  <si>
    <t>Identified in Form 1 as being only transmission related.  The transmission portion of page 227, line 5 is specified in a footnote to the Form 1.</t>
  </si>
  <si>
    <t>Less: Non-operational transaction costs</t>
  </si>
  <si>
    <t xml:space="preserve">  Adjustment to Reflect (Gains) and Losses</t>
  </si>
  <si>
    <t>PBOP Expense O&amp;M for DEO (Line 8 * Line 10 * (Line 11 or Line 12))</t>
  </si>
  <si>
    <t>PBOP Expense O&amp;M for DEK (Line 8 * Line 10 * (Line 11 or Line 12))</t>
  </si>
  <si>
    <t xml:space="preserve">   Purchase Accounting Amortization</t>
  </si>
  <si>
    <t>Total Non-Service Cost and Purchase Accounting Amortization</t>
  </si>
  <si>
    <t>PBOP Expense O&amp;M for DEO - Non-Service Cost Including Purchase Accounting Amortization (Line 22 * (Line 24 or Line 25))</t>
  </si>
  <si>
    <t>PBOP Expense O&amp;M for DEK - Non-Service Cost Including Purchase Accounting Amortization (Line 22 * (Line 24 or Line 25))</t>
  </si>
  <si>
    <t>Backup Delivery Service - Transmission</t>
  </si>
  <si>
    <t>Sch 26 - MTEP Project Cost Recovery - To Page 4, Line 36</t>
  </si>
  <si>
    <t>(Note E) [Exhibit No. DUK-102, Pg. 11-12]</t>
  </si>
  <si>
    <t>Exhibit No. DUK-102, Pg. 6</t>
  </si>
  <si>
    <t>117, 62.c-67.c</t>
  </si>
  <si>
    <t>Long Term Interest</t>
  </si>
  <si>
    <t>118.29.c (positive number)</t>
  </si>
  <si>
    <t>Preferred Dividends</t>
  </si>
  <si>
    <t>112.16.c [Exhibit No. DUK-102, Pg. 9]</t>
  </si>
  <si>
    <t>Proprietary Capital</t>
  </si>
  <si>
    <t>112.3.c</t>
  </si>
  <si>
    <t>(Less) Preferred Stock</t>
  </si>
  <si>
    <t>112.12.c (enter negative)</t>
  </si>
  <si>
    <t xml:space="preserve">(Less) Account 216.1 </t>
  </si>
  <si>
    <t xml:space="preserve"> 112, 18.c-21.c</t>
  </si>
  <si>
    <t xml:space="preserve">  Long Term Debt </t>
  </si>
  <si>
    <t xml:space="preserve">  page 4 of 6, line 26</t>
  </si>
  <si>
    <t xml:space="preserve"> 112.3.c</t>
  </si>
  <si>
    <t xml:space="preserve">  Common Stock</t>
  </si>
  <si>
    <t xml:space="preserve">  Preferred Stock</t>
  </si>
  <si>
    <t>311.x.h</t>
  </si>
  <si>
    <t xml:space="preserve">  a. Bundled Non-RQ Sales for Resale</t>
  </si>
  <si>
    <r>
      <rPr>
        <vertAlign val="superscript"/>
        <sz val="12"/>
        <rFont val="Arial"/>
        <family val="2"/>
      </rPr>
      <t>(1)</t>
    </r>
    <r>
      <rPr>
        <sz val="12"/>
        <rFont val="Arial"/>
        <family val="2"/>
      </rPr>
      <t xml:space="preserve"> </t>
    </r>
  </si>
  <si>
    <r>
      <rPr>
        <vertAlign val="superscript"/>
        <sz val="12"/>
        <rFont val="Arial"/>
        <family val="2"/>
      </rPr>
      <t>(1)</t>
    </r>
    <r>
      <rPr>
        <sz val="12"/>
        <rFont val="Arial"/>
        <family val="2"/>
      </rPr>
      <t xml:space="preserve"> To Exhibit No. DUK-102, Pg. 8, Line 12</t>
    </r>
  </si>
  <si>
    <t>Electric Non-Utility &amp; Non-Regulated</t>
  </si>
  <si>
    <t>Less: Donations in Account 921</t>
  </si>
  <si>
    <t>Corrections Related to Prior Year Filings</t>
  </si>
  <si>
    <t>DEOK 1 CP is Duke Energy Ohio ("DEO") Monthly Firm Transmission System Peak Load as reported on page 400, column b of Form 1 at the time of DEO's annual peak.</t>
  </si>
  <si>
    <t>DEOK 12 CP is Duke Energy Ohio ("DEO") Monthly Firm Transmission System Peak Load as reported on page 400, column b of Form 1 at the time of DEO's monthly peaks.</t>
  </si>
  <si>
    <t xml:space="preserve">  Net (Excess) / Deficient Deferred Tax Adj. (Account No. 182.3 and 254)</t>
  </si>
  <si>
    <t>25b</t>
  </si>
  <si>
    <t>28b</t>
  </si>
  <si>
    <t>Permanent Differences and AFUDC Equity Tax Adjustment (line 23 * line 25b)</t>
  </si>
  <si>
    <t>Total Income Taxes (sum lines 26 - 28b)</t>
  </si>
  <si>
    <t>December 2020</t>
  </si>
  <si>
    <t>January 2021</t>
  </si>
  <si>
    <t>Changes to May 2021 Annual Update Filing</t>
  </si>
  <si>
    <t>May 17, 2021 Filing</t>
  </si>
  <si>
    <t>BPI-1.10 
BPI-1.12</t>
  </si>
  <si>
    <t>Reduce DEO FERC accounts 190 and 283 for P1 adjustment corrections for the amount of $680,764, and reduce DEK FERC accounts 190 and 283 for P1 adjustment corrections for the amount of $3,347,121</t>
  </si>
  <si>
    <t>Revised Revenue Requirement - May 17, 2021 Filing</t>
  </si>
  <si>
    <t>Changes to May 17, 2021 Attachment H Filing</t>
  </si>
  <si>
    <t>DXTDEO</t>
  </si>
  <si>
    <t>FESDPN</t>
  </si>
  <si>
    <t>December 31, 2021</t>
  </si>
  <si>
    <t>Pre-Remeasurement ADIT</t>
  </si>
  <si>
    <t>Post-Remeasurement ADIT</t>
  </si>
  <si>
    <t>254 (Gross-up only)</t>
  </si>
  <si>
    <t>254 (Exclude Gross-up)</t>
  </si>
  <si>
    <t>Deferred Debits</t>
  </si>
  <si>
    <t>Deferred Credits</t>
  </si>
  <si>
    <t>Debits</t>
  </si>
  <si>
    <t>Credits</t>
  </si>
  <si>
    <t>Beginning year</t>
  </si>
  <si>
    <t>Current year</t>
  </si>
  <si>
    <t>balance</t>
  </si>
  <si>
    <t>to Unprotected</t>
  </si>
  <si>
    <t>Amortization 411.1</t>
  </si>
  <si>
    <t>Amortization 410.1</t>
  </si>
  <si>
    <t>ADIT Remeasurement Total</t>
  </si>
  <si>
    <t>DIT Worksheet, x.d and x.e</t>
  </si>
  <si>
    <t>DIT Worksheet, x.g</t>
  </si>
  <si>
    <r>
      <t>(b)</t>
    </r>
    <r>
      <rPr>
        <vertAlign val="superscript"/>
        <sz val="10"/>
        <color theme="1"/>
        <rFont val="Arial"/>
        <family val="2"/>
      </rPr>
      <t>1</t>
    </r>
  </si>
  <si>
    <t xml:space="preserve">rates during the annual update process.  DEO incorporates updated ARAM into the following year's annual updates. </t>
  </si>
  <si>
    <t xml:space="preserve">Protected Excess Federal ADIT is amortized using ARAM, which will change over time.  DEO uses the best available ARAM when setting </t>
  </si>
  <si>
    <t>Total Change in Excess / (Deficient) DIT
 (Line 7 + Line 14 + Line 18)</t>
  </si>
  <si>
    <t xml:space="preserve">Excess / (Deficient) Deferred Income Tax for all years is amortized to accounts 410.1 or 411.1, as appropriate.  The ADIT source account </t>
  </si>
  <si>
    <t xml:space="preserve">Protected Excess Federal ADIT is amortized using ARAM, which will change over time.  DEK uses the best available ARAM when setting </t>
  </si>
  <si>
    <t xml:space="preserve">rates during the annual update process.  DEK incorporates updated ARAM into the following year's annual updates. </t>
  </si>
  <si>
    <t>Page 5 of 5</t>
  </si>
  <si>
    <t>254 (Gross-up Only)</t>
  </si>
  <si>
    <t>Excess / (Deficient) DIT Total</t>
  </si>
  <si>
    <t>for amortization is determined based on the proportion of the ADIT balance that was transferred to Line 14, Excess / (Deficient) DIT Total.</t>
  </si>
  <si>
    <t>DIT Reclass</t>
  </si>
  <si>
    <t>Current year amortization amounts may include true-up adjustments as necessary to reflect actual annual DIT amortization.</t>
  </si>
  <si>
    <t xml:space="preserve">DEO reclassified the OATT portion of the Protected Excess/(Deficient) DIT to Unprotected Excess/(Deficient) DIT.  This amount is included in the </t>
  </si>
  <si>
    <t>Unprotected Excess/(Deficient) DIT balance to return to customers.</t>
  </si>
  <si>
    <t>(6)</t>
  </si>
  <si>
    <t>The combined gross-up of the protected and unprotected Excess/(Deficient) DIT regulatory liability/asset is presented on the unprotected worksheet.</t>
  </si>
  <si>
    <r>
      <t>182.3</t>
    </r>
    <r>
      <rPr>
        <vertAlign val="superscript"/>
        <sz val="10"/>
        <rFont val="Arial"/>
        <family val="2"/>
      </rPr>
      <t>(6)</t>
    </r>
  </si>
  <si>
    <r>
      <t>(b)</t>
    </r>
    <r>
      <rPr>
        <vertAlign val="superscript"/>
        <sz val="10"/>
        <rFont val="Arial"/>
        <family val="2"/>
      </rPr>
      <t>1</t>
    </r>
  </si>
  <si>
    <r>
      <t>(d)</t>
    </r>
    <r>
      <rPr>
        <vertAlign val="superscript"/>
        <sz val="10"/>
        <rFont val="Arial"/>
        <family val="2"/>
      </rPr>
      <t>2/4</t>
    </r>
    <r>
      <rPr>
        <sz val="10"/>
        <rFont val="Arial"/>
        <family val="2"/>
      </rPr>
      <t xml:space="preserve"> = (b) x (System Level Balance)</t>
    </r>
  </si>
  <si>
    <r>
      <t>(e)</t>
    </r>
    <r>
      <rPr>
        <vertAlign val="superscript"/>
        <sz val="10"/>
        <rFont val="Arial"/>
        <family val="2"/>
      </rPr>
      <t>2/4</t>
    </r>
    <r>
      <rPr>
        <sz val="10"/>
        <rFont val="Arial"/>
        <family val="2"/>
      </rPr>
      <t xml:space="preserve"> = (b) x (System Level Balance)</t>
    </r>
  </si>
  <si>
    <r>
      <t>(f)</t>
    </r>
    <r>
      <rPr>
        <vertAlign val="superscript"/>
        <sz val="10"/>
        <rFont val="Arial"/>
        <family val="2"/>
      </rPr>
      <t>3</t>
    </r>
  </si>
  <si>
    <r>
      <t>(g)</t>
    </r>
    <r>
      <rPr>
        <vertAlign val="superscript"/>
        <sz val="10"/>
        <rFont val="Arial"/>
        <family val="2"/>
      </rPr>
      <t>5</t>
    </r>
    <r>
      <rPr>
        <sz val="10"/>
        <rFont val="Arial"/>
        <family val="2"/>
      </rPr>
      <t xml:space="preserve"> = (c-d-e-f)</t>
    </r>
  </si>
  <si>
    <t>Page 1 of 5</t>
  </si>
  <si>
    <t xml:space="preserve">Unprotected Excess/(Deficient) Federal ADIT is amortized over ten years.  </t>
  </si>
  <si>
    <t>Page 2 of 5</t>
  </si>
  <si>
    <t>Page 3 of 5</t>
  </si>
  <si>
    <t xml:space="preserve">DEK reclassified the OATT portion of the Protected Excess/(Deficient) DIT to Unprotected Excess/(Deficient) DIT.  This amount is included in the </t>
  </si>
  <si>
    <t>Page 4 of 5</t>
  </si>
  <si>
    <r>
      <t>(g)</t>
    </r>
    <r>
      <rPr>
        <vertAlign val="superscript"/>
        <sz val="10"/>
        <rFont val="Arial"/>
        <family val="2"/>
      </rPr>
      <t>5</t>
    </r>
    <r>
      <rPr>
        <sz val="10"/>
        <rFont val="Arial"/>
        <family val="2"/>
      </rPr>
      <t>= (c-d-e)</t>
    </r>
  </si>
  <si>
    <t>The balances in Accounts 190, 281, 282 and 283, as adjusted by any amounts in contra accounts identified as regulatory assets or liabilities related to ASC 715 (f/k/a FASB 106) or ASC 740 (f/k/a FASB 109).</t>
  </si>
  <si>
    <t>the excess or deficiency multiplied by (1/(1-T)) (page 3, line 28).</t>
  </si>
  <si>
    <t>(Note Z)</t>
  </si>
  <si>
    <t>Tax Effect of Permanent Differences and AFUDC Equity</t>
  </si>
  <si>
    <t>Z</t>
  </si>
  <si>
    <t xml:space="preserve">Includes the annual income tax cost or benefit due to permanent differences or differences between the amount of expenses or revenues recognized in one period for ratemaking purposes </t>
  </si>
  <si>
    <t>and the amounts recognized for income tax purposes which do not reverse in one or more other periods, including the cost of income taxes on the Allowance for Other Funds Used During</t>
  </si>
  <si>
    <t>line 25b and will increase or decrease tax expense by the expense or benefit included on line 25b multiplied by (1/(1-T)) (page 3, line 28b).</t>
  </si>
  <si>
    <t>Construction.  T multiplied by the amount of permanent differences and depreciation expense associated with Allowance for Other Funds Used During Construction is included on page 3,</t>
  </si>
  <si>
    <t>Permanent Tax Basis Differences Including AFUDC Equity</t>
  </si>
  <si>
    <t>Company Books</t>
  </si>
  <si>
    <t>T=1 - {[(1 - SIT) * (1 - FIT)] / (1 - SIT * FIT * p)} =</t>
  </si>
  <si>
    <t xml:space="preserve"> Page 3, Line 21</t>
  </si>
  <si>
    <t xml:space="preserve">Tax Effect of Permanent Tax Basis Differences Including AFUDC Equity   (Line 1 * Line 2)  </t>
  </si>
  <si>
    <t>(1)  To Page 3, line 25b</t>
  </si>
  <si>
    <t>2021 OATT Annual Update</t>
  </si>
  <si>
    <t>Included in 2021 FERC Form 1 Data</t>
  </si>
  <si>
    <t>Actuarial Valuation Report December 31, 2021 Disclosure and Fiscal 2022 Net Periodic Benefit Cost for Duke Energy Ohio and Duke Energy Kentucky Retirement Plans</t>
  </si>
  <si>
    <t>Actual O&amp;M / Capital Split for YE 2021</t>
  </si>
  <si>
    <t>DEO 2021 Allocation Stat Percentages Table</t>
  </si>
  <si>
    <t>Service Company Labor Allocation to DEO for 2021</t>
  </si>
  <si>
    <t>2021 DGFI per Cost Allocation Manual (CAM)</t>
  </si>
  <si>
    <t>Duke Energy Postemployment Welfare Benefit Plans Actuarial Valuation Report Postemployment Benefit Cost and Employer Cash Flow For Fiscal Year Ending December 31, 2021</t>
  </si>
  <si>
    <t>Solar ITC</t>
  </si>
  <si>
    <t>Per Books Total, Page 275, lines 2, 4 &amp; 6, column k</t>
  </si>
  <si>
    <t>Historical EDIT FAS109/ASC740 - Excludes Gross-ups</t>
  </si>
  <si>
    <t>Historical EDIT FAS109/ASC740 - Gross-ups Only</t>
  </si>
  <si>
    <t>Per Books Total, Page 277, lines 9 &amp; 18, column k</t>
  </si>
  <si>
    <t xml:space="preserve">          Total Common Stock Equity - To Page 4, Line 23</t>
  </si>
  <si>
    <t>Tanner Creek - Miami Fort 345kV line</t>
  </si>
  <si>
    <t>b2831.2</t>
  </si>
  <si>
    <t xml:space="preserve">321.112.b </t>
  </si>
  <si>
    <t>Prepayments (165), Page 111, line 57, column c</t>
  </si>
  <si>
    <t>Less: Gas BU Charges in Account 165</t>
  </si>
  <si>
    <t>Prepayments - Account 165</t>
  </si>
  <si>
    <t>Adjusted Prepayments (165) - To Page 2, Line 29</t>
  </si>
  <si>
    <t xml:space="preserve">Unprotected Excess/(Deficient) State ADIT is amortized over ten years.  </t>
  </si>
  <si>
    <t>Account 254/182.3 includes Other Regulated Liabilities/Assets related to Excess/Deficient Accumulated Deferred Income Taxes that have been allocated to electric operations. This line item is</t>
  </si>
  <si>
    <t>FERC Account 910</t>
  </si>
  <si>
    <t>Excess / (Deficient) Deferred State Income Tax is applicable to unprotected assets only.</t>
  </si>
  <si>
    <t>FAS106 / ASC715</t>
  </si>
  <si>
    <t>FAS109 / ASC740 - Gross-up on ITC</t>
  </si>
  <si>
    <t>Gross-up on Tax Reform EDIT &amp; Amortization</t>
  </si>
  <si>
    <t>Gross-up on State Tax Reform EDIT &amp; Amortization</t>
  </si>
  <si>
    <t>FAS109 / ASC740 - Gross-up</t>
  </si>
  <si>
    <t>Less: Transmission Revenues - Load not in Divisor</t>
  </si>
  <si>
    <t>Total Transmission Revenues - Load not in Divisor</t>
  </si>
  <si>
    <t>Per 2021 FERC Form 1</t>
  </si>
  <si>
    <t>Unprotected State Excess/Deficient Deferred Income Tax Worksheet</t>
  </si>
  <si>
    <t>Page 19</t>
  </si>
  <si>
    <t>Page 19/20</t>
  </si>
  <si>
    <t>Form 1, P.351, col. h</t>
  </si>
  <si>
    <t>111.57.c [Exhibit No. DUK-102, Pg. 18]</t>
  </si>
  <si>
    <t>Order No. 864 Second Compliance Filing Docket ER20-1832-002</t>
  </si>
  <si>
    <t>Return of excess ADIT related to 2018 Kentucky corporate income tax rate change for the amount of $88,477</t>
  </si>
  <si>
    <t>[263.i]*</t>
  </si>
  <si>
    <t>FF1 reference to 263.i changed to 263.l in new XBRL format</t>
  </si>
  <si>
    <t>* FF1 reference to 263.i changed to 263.l in new XBRL format</t>
  </si>
  <si>
    <t>ROE - Docket Nos. ER12-91-000, ER12-92-000 (Settlement) and EL22-34-002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</si>
</sst>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2">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00"/>
    <numFmt numFmtId="166" formatCode="0.00000"/>
    <numFmt numFmtId="167" formatCode="#,##0.0000"/>
    <numFmt numFmtId="168" formatCode="#,##0.000"/>
    <numFmt numFmtId="169" formatCode="0.0000"/>
    <numFmt numFmtId="170" formatCode="&quot;$&quot;#,##0"/>
    <numFmt numFmtId="171" formatCode="#,##0.0"/>
    <numFmt numFmtId="172" formatCode="&quot;$&quot;#,##0.000"/>
    <numFmt numFmtId="173" formatCode="&quot;$&quot;#,##0.00"/>
    <numFmt numFmtId="174" formatCode="_(* #,##0_);_(* \(#,##0\);_(* &quot;-&quot;??_);_(@_)"/>
    <numFmt numFmtId="175" formatCode="_(&quot;$&quot;* #,##0_);_(&quot;$&quot;* \(#,##0\);_(&quot;$&quot;* &quot;-&quot;??_);_(@_)"/>
    <numFmt numFmtId="176" formatCode="_(* #,##0.0%_);_(* \(#,##0.0%\);_(* &quot;- %&quot;??_);_(@_)"/>
    <numFmt numFmtId="177" formatCode="0_);\(0\)"/>
    <numFmt numFmtId="178" formatCode="_(* #,##0.0\¢_m;[Red]_(* \-#,##0.0\¢_m;[Green]_(* 0.0\¢_m;_(@_)_%"/>
    <numFmt numFmtId="179" formatCode="_(* #,##0.00\¢_m;[Red]_(* \-#,##0.00\¢_m;[Green]_(* 0.00\¢_m;_(@_)_%"/>
    <numFmt numFmtId="180" formatCode="_(* #,##0.000\¢_m;[Red]_(* \-#,##0.000\¢_m;[Green]_(* 0.000\¢_m;_(@_)_%"/>
    <numFmt numFmtId="181" formatCode="_(_(\£* #,##0_)_%;[Red]_(\(\£* #,##0\)_%;[Green]_(_(\£* #,##0_)_%;_(@_)_%"/>
    <numFmt numFmtId="182" formatCode="_(_(\£* #,##0.0_)_%;[Red]_(\(\£* #,##0.0\)_%;[Green]_(_(\£* #,##0.0_)_%;_(@_)_%"/>
    <numFmt numFmtId="183" formatCode="_(_(\£* #,##0.00_)_%;[Red]_(\(\£* #,##0.00\)_%;[Green]_(_(\£* #,##0.00_)_%;_(@_)_%"/>
    <numFmt numFmtId="184" formatCode="0.0%_);\(0.0%\)"/>
    <numFmt numFmtId="185" formatCode="\•\ \ @"/>
    <numFmt numFmtId="186" formatCode="_(_(\•_ #0_)_%;[Red]_(_(\•_ \-#0\)_%;[Green]_(_(\•_ #0_)_%;_(_(\•_ @_)_%"/>
    <numFmt numFmtId="187" formatCode="_(_(_•_ \•_ #0_)_%;[Red]_(_(_•_ \•_ \-#0\)_%;[Green]_(_(_•_ \•_ #0_)_%;_(_(_•_ \•_ @_)_%"/>
    <numFmt numFmtId="188" formatCode="_(_(_•_ _•_ \•_ #0_)_%;[Red]_(_(_•_ _•_ \•_ \-#0\)_%;[Green]_(_(_•_ _•_ \•_ #0_)_%;_(_(_•_ \•_ @_)_%"/>
    <numFmt numFmtId="189" formatCode="#,##0,_);\(#,##0,\)"/>
    <numFmt numFmtId="190" formatCode="#,##0.0_);\(#,##0.0\)"/>
    <numFmt numFmtId="191" formatCode="0.0,_);\(0.0,\)"/>
    <numFmt numFmtId="192" formatCode="0.00,_);\(0.00,\)"/>
    <numFmt numFmtId="193" formatCode="#,##0.000_);\(#,##0.000\)"/>
    <numFmt numFmtId="194" formatCode="_(_(_$* #,##0.0_)_%;[Red]_(\(_$* #,##0.0\)_%;[Green]_(_(_$* #,##0.0_)_%;_(@_)_%"/>
    <numFmt numFmtId="195" formatCode="_(_(_$* #,##0.00_)_%;[Red]_(\(_$* #,##0.00\)_%;[Green]_(_(_$* #,##0.00_)_%;_(@_)_%"/>
    <numFmt numFmtId="196" formatCode="_(_(_$* #,##0.000_)_%;[Red]_(\(_$* #,##0.000\)_%;[Green]_(_(_$* #,##0.000_)_%;_(@_)_%"/>
    <numFmt numFmtId="197" formatCode="_._.* #,##0.0_)_%;_._.* \(#,##0.0\)_%;_._.* \ ?_)_%"/>
    <numFmt numFmtId="198" formatCode="_._.* #,##0.00_)_%;_._.* \(#,##0.00\)_%;_._.* \ ?_)_%"/>
    <numFmt numFmtId="199" formatCode="_._.* #,##0.000_)_%;_._.* \(#,##0.000\)_%;_._.* \ ?_)_%"/>
    <numFmt numFmtId="200" formatCode="_._.* #,##0.0000_)_%;_._.* \(#,##0.0000\)_%;_._.* \ ?_)_%"/>
    <numFmt numFmtId="201" formatCode="_(_(&quot;$&quot;* #,##0.0_)_%;[Red]_(\(&quot;$&quot;* #,##0.0\)_%;[Green]_(_(&quot;$&quot;* #,##0.0_)_%;_(@_)_%"/>
    <numFmt numFmtId="202" formatCode="_(_(&quot;$&quot;* #,##0.00_)_%;[Red]_(\(&quot;$&quot;* #,##0.00\)_%;[Green]_(_(&quot;$&quot;* #,##0.00_)_%;_(@_)_%"/>
    <numFmt numFmtId="203" formatCode="_(_(&quot;$&quot;* #,##0.000_)_%;[Red]_(\(&quot;$&quot;* #,##0.000\)_%;[Green]_(_(&quot;$&quot;* #,##0.000_)_%;_(@_)_%"/>
    <numFmt numFmtId="204" formatCode="_._.&quot;$&quot;* #,##0.0_)_%;_._.&quot;$&quot;* \(#,##0.0\)_%;_._.&quot;$&quot;* \ ?_)_%"/>
    <numFmt numFmtId="205" formatCode="_._.&quot;$&quot;* #,##0.00_)_%;_._.&quot;$&quot;* \(#,##0.00\)_%;_._.&quot;$&quot;* \ ?_)_%"/>
    <numFmt numFmtId="206" formatCode="_._.&quot;$&quot;* #,##0.000_)_%;_._.&quot;$&quot;* \(#,##0.000\)_%;_._.&quot;$&quot;* \ ?_)_%"/>
    <numFmt numFmtId="207" formatCode="_._.&quot;$&quot;* #,##0.0000_)_%;_._.&quot;$&quot;* \(#,##0.0000\)_%;_._.&quot;$&quot;* \ ?_)_%"/>
    <numFmt numFmtId="208" formatCode="&quot;$&quot;#,##0,_);\(&quot;$&quot;#,##0,\)"/>
    <numFmt numFmtId="209" formatCode="&quot;$&quot;#,##0.0_);\(&quot;$&quot;#,##0.0\)"/>
    <numFmt numFmtId="210" formatCode="&quot;$&quot;0.0,_);\(&quot;$&quot;0.0,\)"/>
    <numFmt numFmtId="211" formatCode="&quot;$&quot;0.00,_);\(&quot;$&quot;0.00,\)"/>
    <numFmt numFmtId="212" formatCode="&quot;$&quot;#,##0.000_);\(&quot;$&quot;#,##0.000\)"/>
    <numFmt numFmtId="213" formatCode="_(* dd\-mmm\-yy_)_%"/>
    <numFmt numFmtId="214" formatCode="_(* dd\ mmmm\ yyyy_)_%"/>
    <numFmt numFmtId="215" formatCode="_(* mmmm\ dd\,\ yyyy_)_%"/>
    <numFmt numFmtId="216" formatCode="_(* dd\.mm\.yyyy_)_%"/>
    <numFmt numFmtId="217" formatCode="_(* mm/dd/yyyy_)_%"/>
    <numFmt numFmtId="218" formatCode="m/d/yy;@"/>
    <numFmt numFmtId="219" formatCode="#,##0.0\x_);\(#,##0.0\x\)"/>
    <numFmt numFmtId="220" formatCode="#,##0.00\x_);\(#,##0.00\x\)"/>
    <numFmt numFmtId="221" formatCode="_([$€-2]* #,##0.00_);_([$€-2]* \(#,##0.00\);_([$€-2]* &quot;-&quot;??_)"/>
    <numFmt numFmtId="222" formatCode="General_)_%"/>
    <numFmt numFmtId="223" formatCode="_(_(#0_)_%;[Red]_(_(\-#0\)_%;[Green]_(_(#0_)_%;_(_(@_)_%"/>
    <numFmt numFmtId="224" formatCode="_(_(_•_ #0_)_%;[Red]_(_(_•_ \-#0\)_%;[Green]_(_(_•_ #0_)_%;_(_(_•_ @_)_%"/>
    <numFmt numFmtId="225" formatCode="_(_(_•_ _•_ #0_)_%;[Red]_(_(_•_ _•_ \-#0\)_%;[Green]_(_(_•_ _•_ #0_)_%;_(_(_•_ _•_ @_)_%"/>
    <numFmt numFmtId="226" formatCode="_(_(_•_ _•_ _•_ #0_)_%;[Red]_(_(_•_ _•_ _•_ \-#0\)_%;[Green]_(_(_•_ _•_ _•_ #0_)_%;_(_(_•_ _•_ _•_ @_)_%"/>
    <numFmt numFmtId="227" formatCode="#,##0\x;\(#,##0\x\)"/>
    <numFmt numFmtId="228" formatCode="0.0\x;\(0.0\x\)"/>
    <numFmt numFmtId="229" formatCode="#,##0.00\x;\(#,##0.00\x\)"/>
    <numFmt numFmtId="230" formatCode="#,##0.000\x;\(#,##0.000\x\)"/>
    <numFmt numFmtId="231" formatCode="0.0_);\(0.0\)"/>
    <numFmt numFmtId="232" formatCode="0%;\(0%\)"/>
    <numFmt numFmtId="233" formatCode="0.00\ \x_);\(0.00\ \x\)"/>
    <numFmt numFmtId="234" formatCode="_(* #,##0_);_(* \(#,##0\);_(* &quot;-&quot;????_);_(@_)"/>
    <numFmt numFmtId="235" formatCode="0__"/>
    <numFmt numFmtId="236" formatCode="h:mmAM/PM"/>
    <numFmt numFmtId="237" formatCode="0&quot; E&quot;"/>
    <numFmt numFmtId="238" formatCode="yyyy"/>
    <numFmt numFmtId="239" formatCode="&quot;$&quot;#,##0.0"/>
    <numFmt numFmtId="240" formatCode="0.0%;\(0.0%\)"/>
    <numFmt numFmtId="241" formatCode="0.00%_);\(0.00%\)"/>
    <numFmt numFmtId="242" formatCode="0.000%_);\(0.000%\)"/>
    <numFmt numFmtId="243" formatCode="_(0_)%;\(0\)%;\ \ ?_)%"/>
    <numFmt numFmtId="244" formatCode="_._._(* 0_)%;_._.* \(0\)%;_._._(* \ ?_)%"/>
    <numFmt numFmtId="245" formatCode="0%_);\(0%\)"/>
    <numFmt numFmtId="246" formatCode="_(* #,##0_)_%;[Red]_(* \(#,##0\)_%;[Green]_(* 0_)_%;_(@_)_%"/>
    <numFmt numFmtId="247" formatCode="_(* #,##0.0%_);[Red]_(* \-#,##0.0%_);[Green]_(* 0.0%_);_(@_)_%"/>
    <numFmt numFmtId="248" formatCode="_(* #,##0.00%_);[Red]_(* \-#,##0.00%_);[Green]_(* 0.00%_);_(@_)_%"/>
    <numFmt numFmtId="249" formatCode="_(* #,##0.000%_);[Red]_(* \-#,##0.000%_);[Green]_(* 0.000%_);_(@_)_%"/>
    <numFmt numFmtId="250" formatCode="_(0.0_)%;\(0.0\)%;\ \ ?_)%"/>
    <numFmt numFmtId="251" formatCode="_._._(* 0.0_)%;_._.* \(0.0\)%;_._._(* \ ?_)%"/>
    <numFmt numFmtId="252" formatCode="_(0.00_)%;\(0.00\)%;\ \ ?_)%"/>
    <numFmt numFmtId="253" formatCode="_._._(* 0.00_)%;_._.* \(0.00\)%;_._._(* \ ?_)%"/>
    <numFmt numFmtId="254" formatCode="_(0.000_)%;\(0.000\)%;\ \ ?_)%"/>
    <numFmt numFmtId="255" formatCode="_._._(* 0.000_)%;_._.* \(0.000\)%;_._._(* \ ?_)%"/>
    <numFmt numFmtId="256" formatCode="_(0.0000_)%;\(0.0000\)%;\ \ ?_)%"/>
    <numFmt numFmtId="257" formatCode="_._._(* 0.0000_)%;_._.* \(0.0000\)%;_._._(* \ ?_)%"/>
    <numFmt numFmtId="258" formatCode="0.0%"/>
    <numFmt numFmtId="259" formatCode="mmmm\ dd\,\ yy"/>
    <numFmt numFmtId="260" formatCode="0.0\x"/>
    <numFmt numFmtId="261" formatCode="_(* #,##0_);_(* \(#,##0\);_(* \ ?_)"/>
    <numFmt numFmtId="262" formatCode="_(* #,##0.0_);_(* \(#,##0.0\);_(* \ ?_)"/>
    <numFmt numFmtId="263" formatCode="_(* #,##0.00_);_(* \(#,##0.00\);_(* \ ?_)"/>
    <numFmt numFmtId="264" formatCode="_(* #,##0.000_);_(* \(#,##0.000\);_(* \ ?_)"/>
    <numFmt numFmtId="265" formatCode="_(&quot;$&quot;* #,##0_);_(&quot;$&quot;* \(#,##0\);_(&quot;$&quot;* \ ?_)"/>
    <numFmt numFmtId="266" formatCode="_(&quot;$&quot;* #,##0.0_);_(&quot;$&quot;* \(#,##0.0\);_(&quot;$&quot;* \ ?_)"/>
    <numFmt numFmtId="267" formatCode="_(&quot;$&quot;* #,##0.00_);_(&quot;$&quot;* \(#,##0.00\);_(&quot;$&quot;* \ ?_)"/>
    <numFmt numFmtId="268" formatCode="_(&quot;$&quot;* #,##0.000_);_(&quot;$&quot;* \(#,##0.000\);_(&quot;$&quot;* \ ?_)"/>
    <numFmt numFmtId="269" formatCode="0000&quot;A&quot;"/>
    <numFmt numFmtId="270" formatCode="0&quot;E&quot;"/>
    <numFmt numFmtId="271" formatCode="0000&quot;E&quot;"/>
    <numFmt numFmtId="272" formatCode="&quot;$&quot;#,##0.0000"/>
    <numFmt numFmtId="273" formatCode="0.000000%"/>
    <numFmt numFmtId="274" formatCode="0.00000000"/>
    <numFmt numFmtId="275" formatCode="#,##0.00\ ;[Red]\(#,##0.00\)"/>
    <numFmt numFmtId="276" formatCode="_(* #,##0.0_);_(* \(#,##0.0\);_(* &quot;-&quot;?_);@_)"/>
    <numFmt numFmtId="277" formatCode="d\ mmmm\ yyyy"/>
    <numFmt numFmtId="278" formatCode="#,##0_ ;[Red]\(#,##0\)\ "/>
    <numFmt numFmtId="279" formatCode="dd\ mmm\ yyyy"/>
    <numFmt numFmtId="280" formatCode="General_)"/>
    <numFmt numFmtId="281" formatCode="#,##0.0000000000_);\(#,##0.0000000000\)"/>
    <numFmt numFmtId="282" formatCode="_(* #,##0.00000_);_(* \(#,##0.00000\);_(* &quot;-&quot;_);_(@_)"/>
    <numFmt numFmtId="283" formatCode="_(* #,##0.0000000_);_(* \(#,##0.0000000\);_(* &quot;-&quot;_);_(@_)"/>
    <numFmt numFmtId="284" formatCode="_(&quot;$&quot;* #,##0.00_);_(&quot;$&quot;* \(#,##0.00\);_(&quot;$&quot;* &quot;-&quot;_);_(@_)"/>
    <numFmt numFmtId="285" formatCode="[&gt;=0]#,##0;[&lt;0]\(#,##0\)"/>
    <numFmt numFmtId="286" formatCode="0.0000%"/>
    <numFmt numFmtId="287" formatCode="_(* #,##0.0_);_(* \(#,##0.0\);_(* &quot;-&quot;??_);_(@_)"/>
    <numFmt numFmtId="288" formatCode="0.000000"/>
  </numFmts>
  <fonts count="256">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2"/>
      <name val="Arial MT"/>
    </font>
    <font>
      <sz val="12"/>
      <name val="Times New Roman"/>
      <family val="1"/>
    </font>
    <font>
      <sz val="10"/>
      <name val="Arial MT"/>
    </font>
    <font>
      <sz val="12"/>
      <name val="Arial"/>
      <family val="2"/>
    </font>
    <font>
      <b/>
      <u/>
      <sz val="12"/>
      <name val="Arial"/>
      <family val="2"/>
    </font>
    <font>
      <b/>
      <sz val="12"/>
      <name val="Arial"/>
      <family val="2"/>
    </font>
    <font>
      <sz val="12"/>
      <color indexed="10"/>
      <name val="Arial"/>
      <family val="2"/>
    </font>
    <font>
      <sz val="11"/>
      <name val="Arial"/>
      <family val="2"/>
    </font>
    <font>
      <b/>
      <sz val="12"/>
      <name val="Arial MT"/>
    </font>
    <font>
      <sz val="12"/>
      <color indexed="17"/>
      <name val="Arial MT"/>
    </font>
    <font>
      <sz val="12"/>
      <color indexed="10"/>
      <name val="Arial MT"/>
    </font>
    <font>
      <sz val="10"/>
      <name val="Arial"/>
      <family val="2"/>
    </font>
    <font>
      <b/>
      <u/>
      <sz val="10"/>
      <name val="Arial"/>
      <family val="2"/>
    </font>
    <font>
      <u val="singleAccounting"/>
      <sz val="10"/>
      <name val="Arial"/>
      <family val="2"/>
    </font>
    <font>
      <u val="doubleAccounting"/>
      <sz val="10"/>
      <name val="Arial"/>
      <family val="2"/>
    </font>
    <font>
      <b/>
      <sz val="10"/>
      <name val="Arial"/>
      <family val="2"/>
    </font>
    <font>
      <sz val="10"/>
      <name val="Arial"/>
      <family val="2"/>
    </font>
    <font>
      <sz val="10"/>
      <color indexed="12"/>
      <name val="Arial"/>
      <family val="2"/>
    </font>
    <font>
      <sz val="12"/>
      <color indexed="12"/>
      <name val="Arial"/>
      <family val="2"/>
    </font>
    <font>
      <b/>
      <sz val="12"/>
      <color indexed="12"/>
      <name val="Arial"/>
      <family val="2"/>
    </font>
    <font>
      <b/>
      <u val="double"/>
      <sz val="12"/>
      <name val="Arial"/>
      <family val="2"/>
    </font>
    <font>
      <u/>
      <sz val="10"/>
      <name val="Arial"/>
      <family val="2"/>
    </font>
    <font>
      <b/>
      <u val="singleAccounting"/>
      <sz val="10"/>
      <name val="Arial"/>
      <family val="2"/>
    </font>
    <font>
      <u val="doubleAccounting"/>
      <sz val="10"/>
      <color indexed="12"/>
      <name val="Arial"/>
      <family val="2"/>
    </font>
    <font>
      <sz val="8"/>
      <name val="Arial"/>
      <family val="2"/>
    </font>
    <font>
      <b/>
      <u val="singleAccounting"/>
      <sz val="12"/>
      <name val="Arial"/>
      <family val="2"/>
    </font>
    <font>
      <u val="singleAccounting"/>
      <sz val="12"/>
      <name val="Arial"/>
      <family val="2"/>
    </font>
    <font>
      <b/>
      <sz val="14"/>
      <name val="Arial"/>
      <family val="2"/>
    </font>
    <font>
      <b/>
      <sz val="11"/>
      <name val="Arial"/>
      <family val="2"/>
    </font>
    <font>
      <b/>
      <sz val="16"/>
      <name val="Arial"/>
      <family val="2"/>
    </font>
    <font>
      <sz val="16"/>
      <name val="Arial"/>
      <family val="2"/>
    </font>
    <font>
      <sz val="10"/>
      <name val="Arial Narrow"/>
      <family val="2"/>
    </font>
    <font>
      <sz val="10"/>
      <name val="MS Sans Serif"/>
      <family val="2"/>
    </font>
    <font>
      <u val="doubleAccounting"/>
      <sz val="12"/>
      <name val="Arial"/>
      <family val="2"/>
    </font>
    <font>
      <sz val="12"/>
      <color rgb="FF0000FF"/>
      <name val="Arial MT"/>
    </font>
    <font>
      <sz val="12"/>
      <color rgb="FF0000FF"/>
      <name val="Arial"/>
      <family val="2"/>
    </font>
    <font>
      <u val="singleAccounting"/>
      <sz val="12"/>
      <color rgb="FF0000FF"/>
      <name val="Arial"/>
      <family val="2"/>
    </font>
    <font>
      <u val="doubleAccounting"/>
      <sz val="12"/>
      <color rgb="FF0000FF"/>
      <name val="Arial"/>
      <family val="2"/>
    </font>
    <font>
      <sz val="10"/>
      <color rgb="FF0000FF"/>
      <name val="Arial"/>
      <family val="2"/>
    </font>
    <font>
      <b/>
      <u/>
      <sz val="12"/>
      <name val="Arial MT"/>
    </font>
    <font>
      <sz val="10"/>
      <name val="MS Sans Serif"/>
      <family val="2"/>
    </font>
    <font>
      <sz val="14"/>
      <name val="Arial"/>
      <family val="2"/>
    </font>
    <font>
      <b/>
      <sz val="10"/>
      <color indexed="12"/>
      <name val="Arial"/>
      <family val="2"/>
    </font>
    <font>
      <sz val="9"/>
      <name val="Arial"/>
      <family val="2"/>
    </font>
    <font>
      <sz val="10"/>
      <name val="C Helvetica Condensed"/>
    </font>
    <font>
      <sz val="10"/>
      <color indexed="12"/>
      <name val="Times New Roman"/>
      <family val="1"/>
    </font>
    <font>
      <sz val="10"/>
      <name val="Times New Roman"/>
      <family val="1"/>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9"/>
      <color indexed="12"/>
      <name val="Arial"/>
      <family val="2"/>
    </font>
    <font>
      <sz val="9"/>
      <name val="Times New Roman"/>
      <family val="1"/>
    </font>
    <font>
      <b/>
      <sz val="9"/>
      <name val="Arial"/>
      <family val="2"/>
    </font>
    <font>
      <sz val="12"/>
      <name val="Helv"/>
    </font>
    <font>
      <sz val="11"/>
      <name val="Times New Roman"/>
      <family val="1"/>
    </font>
    <font>
      <u val="singleAccounting"/>
      <sz val="11"/>
      <name val="Times New Roman"/>
      <family val="1"/>
    </font>
    <font>
      <sz val="8"/>
      <name val="Times New Roman"/>
      <family val="1"/>
    </font>
    <font>
      <b/>
      <sz val="10"/>
      <name val="Times New Roman"/>
      <family val="1"/>
    </font>
    <font>
      <i/>
      <sz val="8"/>
      <name val="Arial"/>
      <family val="2"/>
    </font>
    <font>
      <sz val="8"/>
      <color indexed="22"/>
      <name val="Arial"/>
      <family val="2"/>
    </font>
    <font>
      <sz val="10"/>
      <name val="Book Antiqua"/>
      <family val="1"/>
    </font>
    <font>
      <b/>
      <i/>
      <sz val="14"/>
      <name val="Tms Rmn"/>
    </font>
    <font>
      <sz val="10"/>
      <color indexed="42"/>
      <name val="Arial"/>
      <family val="2"/>
    </font>
    <font>
      <sz val="10"/>
      <color indexed="46"/>
      <name val="Arial"/>
      <family val="2"/>
    </font>
    <font>
      <b/>
      <sz val="14"/>
      <name val="Book Antiqua"/>
      <family val="1"/>
    </font>
    <font>
      <i/>
      <sz val="10"/>
      <name val="Book Antiqua"/>
      <family val="1"/>
    </font>
    <font>
      <b/>
      <sz val="10"/>
      <color indexed="22"/>
      <name val="Arial"/>
      <family val="2"/>
    </font>
    <font>
      <sz val="10"/>
      <color indexed="12"/>
      <name val="Book Antiqua"/>
      <family val="1"/>
    </font>
    <font>
      <i/>
      <sz val="16"/>
      <name val="Times New Roman"/>
      <family val="1"/>
    </font>
    <font>
      <sz val="7"/>
      <name val="Small Fonts"/>
      <family val="2"/>
    </font>
    <font>
      <u/>
      <sz val="10"/>
      <name val="Times New Roman"/>
      <family val="1"/>
    </font>
    <font>
      <b/>
      <sz val="10"/>
      <name val="MS Sans Serif"/>
      <family val="2"/>
    </font>
    <font>
      <sz val="8"/>
      <color indexed="38"/>
      <name val="Arial"/>
      <family val="2"/>
    </font>
    <font>
      <b/>
      <i/>
      <sz val="16"/>
      <name val="Arial"/>
      <family val="2"/>
    </font>
    <font>
      <b/>
      <sz val="12"/>
      <color indexed="32"/>
      <name val="Arial"/>
      <family val="2"/>
    </font>
    <font>
      <i/>
      <sz val="11"/>
      <name val="Arial"/>
      <family val="2"/>
    </font>
    <font>
      <sz val="10"/>
      <color indexed="40"/>
      <name val="Arial"/>
      <family val="2"/>
    </font>
    <font>
      <sz val="10"/>
      <color indexed="8"/>
      <name val="Times New Roman"/>
      <family val="1"/>
    </font>
    <font>
      <b/>
      <i/>
      <sz val="12"/>
      <name val="Times New Roman"/>
      <family val="1"/>
    </font>
    <font>
      <sz val="10"/>
      <name val="Futura UBS Bk"/>
      <family val="2"/>
    </font>
    <font>
      <sz val="10"/>
      <color indexed="8"/>
      <name val="MS Sans Serif"/>
      <family val="2"/>
    </font>
    <font>
      <sz val="10"/>
      <color indexed="8"/>
      <name val="Arial"/>
      <family val="2"/>
    </font>
    <font>
      <b/>
      <sz val="10"/>
      <color indexed="8"/>
      <name val="Arial"/>
      <family val="2"/>
    </font>
    <font>
      <b/>
      <sz val="9"/>
      <name val="Times New Roman"/>
      <family val="1"/>
    </font>
    <font>
      <b/>
      <sz val="10"/>
      <color indexed="10"/>
      <name val="Arial"/>
      <family val="2"/>
    </font>
    <font>
      <i/>
      <sz val="8"/>
      <name val="Times New Roman"/>
      <family val="1"/>
    </font>
    <font>
      <sz val="10"/>
      <color indexed="21"/>
      <name val="Arial"/>
      <family val="2"/>
    </font>
    <font>
      <b/>
      <sz val="8"/>
      <name val="Arial"/>
      <family val="2"/>
    </font>
    <font>
      <u/>
      <sz val="12"/>
      <name val="Arial"/>
      <family val="2"/>
    </font>
    <font>
      <u/>
      <sz val="11"/>
      <name val="Arial"/>
      <family val="2"/>
    </font>
    <font>
      <sz val="10"/>
      <name val="Arial"/>
      <family val="2"/>
    </font>
    <font>
      <u/>
      <sz val="12"/>
      <name val="Arial MT"/>
    </font>
    <font>
      <u val="singleAccounting"/>
      <sz val="12"/>
      <color indexed="12"/>
      <name val="Arial"/>
      <family val="2"/>
    </font>
    <font>
      <vertAlign val="superscript"/>
      <sz val="12"/>
      <name val="Arial"/>
      <family val="2"/>
    </font>
    <font>
      <b/>
      <sz val="10"/>
      <color theme="1"/>
      <name val="Arial"/>
      <family val="2"/>
    </font>
    <font>
      <u/>
      <sz val="10"/>
      <color theme="1"/>
      <name val="Arial"/>
      <family val="2"/>
    </font>
    <font>
      <sz val="12"/>
      <name val="Courier"/>
      <family val="3"/>
    </font>
    <font>
      <vertAlign val="superscript"/>
      <sz val="10"/>
      <color theme="1"/>
      <name val="Arial"/>
      <family val="2"/>
    </font>
    <font>
      <sz val="11"/>
      <color rgb="FF0000FF"/>
      <name val="Arial"/>
      <family val="2"/>
    </font>
    <font>
      <sz val="10"/>
      <color indexed="81"/>
      <name val="Tahoma"/>
      <family val="2"/>
    </font>
    <font>
      <sz val="11"/>
      <color theme="1"/>
      <name val="Calibri"/>
      <family val="2"/>
      <scheme val="minor"/>
    </font>
    <font>
      <u/>
      <sz val="10"/>
      <color rgb="FF0000FF"/>
      <name val="Arial"/>
      <family val="2"/>
    </font>
    <font>
      <sz val="10"/>
      <color indexed="10"/>
      <name val="Arial"/>
      <family val="2"/>
    </font>
    <font>
      <b/>
      <sz val="10"/>
      <color rgb="FF0000FF"/>
      <name val="Arial"/>
      <family val="2"/>
    </font>
    <font>
      <b/>
      <u val="singleAccounting"/>
      <sz val="10"/>
      <color rgb="FFFF0000"/>
      <name val="Arial"/>
      <family val="2"/>
    </font>
    <font>
      <b/>
      <sz val="12"/>
      <color rgb="FF0000FF"/>
      <name val="Arial"/>
      <family val="2"/>
    </font>
    <font>
      <b/>
      <sz val="10"/>
      <color rgb="FFFF0000"/>
      <name val="Arial"/>
      <family val="2"/>
    </font>
    <font>
      <sz val="12"/>
      <color rgb="FFFF0000"/>
      <name val="Arial MT"/>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4" tint="-0.249977111117893"/>
      <name val="Arial"/>
      <family val="2"/>
    </font>
    <font>
      <sz val="12"/>
      <color theme="1"/>
      <name val="Calibri"/>
      <family val="2"/>
      <scheme val="minor"/>
    </font>
    <font>
      <sz val="11"/>
      <color indexed="8"/>
      <name val="Calibri"/>
      <family val="2"/>
    </font>
    <font>
      <sz val="11"/>
      <color indexed="9"/>
      <name val="Calibri"/>
      <family val="2"/>
    </font>
    <font>
      <sz val="11"/>
      <color rgb="FF9C0006"/>
      <name val="Calibri"/>
      <family val="2"/>
    </font>
    <font>
      <b/>
      <sz val="8"/>
      <color indexed="24"/>
      <name val="Arial"/>
      <family val="2"/>
    </font>
    <font>
      <b/>
      <sz val="9"/>
      <color indexed="24"/>
      <name val="Arial"/>
      <family val="2"/>
    </font>
    <font>
      <b/>
      <sz val="11"/>
      <color indexed="24"/>
      <name val="Arial"/>
      <family val="2"/>
    </font>
    <font>
      <b/>
      <sz val="11"/>
      <color rgb="FFFA7D00"/>
      <name val="Calibri"/>
      <family val="2"/>
    </font>
    <font>
      <b/>
      <sz val="11"/>
      <color indexed="52"/>
      <name val="Calibri"/>
      <family val="2"/>
      <scheme val="minor"/>
    </font>
    <font>
      <b/>
      <sz val="11"/>
      <color indexed="9"/>
      <name val="Calibri"/>
      <family val="2"/>
    </font>
    <font>
      <b/>
      <u val="singleAccounting"/>
      <sz val="8"/>
      <color indexed="8"/>
      <name val="Arial"/>
      <family val="2"/>
    </font>
    <font>
      <b/>
      <sz val="10"/>
      <name val="Arial Narrow"/>
      <family val="2"/>
    </font>
    <font>
      <i/>
      <sz val="11"/>
      <color rgb="FF7F7F7F"/>
      <name val="Calibri"/>
      <family val="2"/>
    </font>
    <font>
      <sz val="11"/>
      <color rgb="FF006100"/>
      <name val="Calibri"/>
      <family val="2"/>
    </font>
    <font>
      <b/>
      <u/>
      <sz val="11"/>
      <color indexed="37"/>
      <name val="Arial"/>
      <family val="2"/>
    </font>
    <font>
      <b/>
      <sz val="15"/>
      <color theme="3"/>
      <name val="Calibri"/>
      <family val="2"/>
    </font>
    <font>
      <b/>
      <sz val="15"/>
      <color indexed="56"/>
      <name val="Calibri"/>
      <family val="2"/>
    </font>
    <font>
      <b/>
      <sz val="13"/>
      <color theme="3"/>
      <name val="Calibri"/>
      <family val="2"/>
    </font>
    <font>
      <b/>
      <sz val="13"/>
      <color indexed="56"/>
      <name val="Calibri"/>
      <family val="2"/>
    </font>
    <font>
      <b/>
      <sz val="11"/>
      <color theme="3"/>
      <name val="Calibri"/>
      <family val="2"/>
    </font>
    <font>
      <b/>
      <sz val="11"/>
      <color indexed="56"/>
      <name val="Calibri"/>
      <family val="2"/>
    </font>
    <font>
      <u/>
      <sz val="10"/>
      <color indexed="12"/>
      <name val="Arial"/>
      <family val="2"/>
    </font>
    <font>
      <sz val="12"/>
      <color indexed="8"/>
      <name val="Arial"/>
      <family val="2"/>
    </font>
    <font>
      <sz val="8"/>
      <color indexed="12"/>
      <name val="Arial"/>
      <family val="2"/>
    </font>
    <font>
      <sz val="11"/>
      <color rgb="FF3F3F76"/>
      <name val="Calibri"/>
      <family val="2"/>
    </font>
    <font>
      <sz val="1"/>
      <color indexed="9"/>
      <name val="Symbol"/>
      <family val="1"/>
      <charset val="2"/>
    </font>
    <font>
      <sz val="11"/>
      <color rgb="FFFA7D00"/>
      <name val="Calibri"/>
      <family val="2"/>
    </font>
    <font>
      <sz val="11"/>
      <color indexed="52"/>
      <name val="Calibri"/>
      <family val="2"/>
    </font>
    <font>
      <sz val="11"/>
      <color rgb="FF9C6500"/>
      <name val="Calibri"/>
      <family val="2"/>
    </font>
    <font>
      <sz val="11"/>
      <color indexed="60"/>
      <name val="Calibri"/>
      <family val="2"/>
      <scheme val="minor"/>
    </font>
    <font>
      <b/>
      <u val="singleAccounting"/>
      <sz val="8"/>
      <color indexed="8"/>
      <name val="Verdana"/>
      <family val="2"/>
    </font>
    <font>
      <b/>
      <sz val="10"/>
      <color indexed="9"/>
      <name val="Arial"/>
      <family val="2"/>
    </font>
    <font>
      <b/>
      <sz val="12"/>
      <color indexed="8"/>
      <name val="Verdana"/>
      <family val="2"/>
    </font>
    <font>
      <sz val="10"/>
      <color theme="1"/>
      <name val="Calibri"/>
      <family val="2"/>
      <scheme val="minor"/>
    </font>
    <font>
      <sz val="10"/>
      <color theme="1"/>
      <name val="Times New Roman"/>
      <family val="2"/>
    </font>
    <font>
      <sz val="10"/>
      <color rgb="FF000000"/>
      <name val="Arial"/>
      <family val="2"/>
    </font>
    <font>
      <sz val="10"/>
      <name val="Courier"/>
      <family val="3"/>
    </font>
    <font>
      <sz val="10"/>
      <name val="Arial "/>
    </font>
    <font>
      <sz val="10"/>
      <name val="Arial Unicode MS"/>
      <family val="2"/>
    </font>
    <font>
      <b/>
      <sz val="11"/>
      <color rgb="FF3F3F3F"/>
      <name val="Calibri"/>
      <family val="2"/>
    </font>
    <font>
      <b/>
      <sz val="11"/>
      <color indexed="16"/>
      <name val="Times New Roman"/>
      <family val="1"/>
    </font>
    <font>
      <sz val="10"/>
      <color indexed="18"/>
      <name val="Times New Roman"/>
      <family val="1"/>
    </font>
    <font>
      <sz val="8"/>
      <name val="Arial Narrow"/>
      <family val="2"/>
    </font>
    <font>
      <b/>
      <sz val="8"/>
      <color indexed="9"/>
      <name val="Verdana"/>
      <family val="2"/>
    </font>
    <font>
      <sz val="9"/>
      <color theme="1"/>
      <name val="Calibri"/>
      <family val="2"/>
      <scheme val="minor"/>
    </font>
    <font>
      <vertAlign val="subscript"/>
      <sz val="8"/>
      <color indexed="8"/>
      <name val="Arial"/>
      <family val="2"/>
    </font>
    <font>
      <vertAlign val="superscript"/>
      <sz val="8"/>
      <color indexed="8"/>
      <name val="Arial"/>
      <family val="2"/>
    </font>
    <font>
      <b/>
      <sz val="8"/>
      <color indexed="8"/>
      <name val="Arial"/>
      <family val="2"/>
    </font>
    <font>
      <i/>
      <sz val="8"/>
      <color indexed="8"/>
      <name val="Arial"/>
      <family val="2"/>
    </font>
    <font>
      <sz val="8"/>
      <color indexed="8"/>
      <name val="Arial"/>
      <family val="2"/>
    </font>
    <font>
      <b/>
      <sz val="18"/>
      <color theme="3"/>
      <name val="Cambria"/>
      <family val="2"/>
    </font>
    <font>
      <b/>
      <sz val="18"/>
      <color indexed="56"/>
      <name val="Cambria"/>
      <family val="2"/>
    </font>
    <font>
      <b/>
      <sz val="13"/>
      <color indexed="8"/>
      <name val="Verdana"/>
      <family val="2"/>
    </font>
    <font>
      <b/>
      <sz val="11"/>
      <color indexed="8"/>
      <name val="Calibri"/>
      <family val="2"/>
    </font>
    <font>
      <sz val="12"/>
      <color indexed="8"/>
      <name val="Arial MT"/>
    </font>
    <font>
      <sz val="11"/>
      <color indexed="10"/>
      <name val="Calibri"/>
      <family val="2"/>
    </font>
    <font>
      <sz val="12"/>
      <color theme="1"/>
      <name val="Arial"/>
      <family val="2"/>
    </font>
    <font>
      <u/>
      <sz val="11"/>
      <color theme="1"/>
      <name val="Calibri"/>
      <family val="2"/>
      <scheme val="minor"/>
    </font>
    <font>
      <sz val="11"/>
      <color rgb="FF0000FF"/>
      <name val="Calibri"/>
      <family val="2"/>
      <scheme val="minor"/>
    </font>
    <font>
      <b/>
      <u/>
      <sz val="11"/>
      <color theme="1"/>
      <name val="Calibri"/>
      <family val="2"/>
      <scheme val="minor"/>
    </font>
    <font>
      <b/>
      <vertAlign val="superscript"/>
      <sz val="12"/>
      <name val="Arial"/>
      <family val="2"/>
    </font>
    <font>
      <b/>
      <sz val="12"/>
      <color theme="1"/>
      <name val="Arial"/>
      <family val="2"/>
    </font>
    <font>
      <u/>
      <sz val="12"/>
      <color theme="1"/>
      <name val="Arial"/>
      <family val="2"/>
    </font>
    <font>
      <b/>
      <u/>
      <sz val="12"/>
      <color theme="1"/>
      <name val="Arial"/>
      <family val="2"/>
    </font>
    <font>
      <sz val="12"/>
      <color rgb="FF0000CC"/>
      <name val="Arial"/>
      <family val="2"/>
    </font>
    <font>
      <u val="singleAccounting"/>
      <sz val="12"/>
      <color rgb="FF0000FF"/>
      <name val="Arial MT"/>
    </font>
    <font>
      <b/>
      <u/>
      <sz val="10"/>
      <color theme="1"/>
      <name val="Arial"/>
      <family val="2"/>
    </font>
    <font>
      <u val="doubleAccounting"/>
      <sz val="12"/>
      <color indexed="12"/>
      <name val="Arial"/>
      <family val="2"/>
    </font>
    <font>
      <u/>
      <sz val="12"/>
      <color rgb="FFFF0000"/>
      <name val="Arial MT"/>
    </font>
    <font>
      <b/>
      <u val="singleAccounting"/>
      <vertAlign val="superscript"/>
      <sz val="12"/>
      <name val="Arial"/>
      <family val="2"/>
    </font>
    <font>
      <u val="singleAccounting"/>
      <sz val="10"/>
      <color rgb="FF0000FF"/>
      <name val="Arial"/>
      <family val="2"/>
    </font>
    <font>
      <b/>
      <u val="singleAccounting"/>
      <vertAlign val="superscript"/>
      <sz val="10"/>
      <name val="Arial"/>
      <family val="2"/>
    </font>
    <font>
      <sz val="11"/>
      <color indexed="20"/>
      <name val="Calibri"/>
      <family val="2"/>
    </font>
    <font>
      <b/>
      <sz val="11"/>
      <color indexed="52"/>
      <name val="Calibri"/>
      <family val="2"/>
    </font>
    <font>
      <i/>
      <sz val="11"/>
      <color indexed="23"/>
      <name val="Calibri"/>
      <family val="2"/>
    </font>
    <font>
      <sz val="11"/>
      <color indexed="17"/>
      <name val="Calibri"/>
      <family val="2"/>
    </font>
    <font>
      <sz val="11"/>
      <color indexed="60"/>
      <name val="Calibri"/>
      <family val="2"/>
    </font>
    <font>
      <sz val="10"/>
      <color indexed="8"/>
      <name val="Times New Roman"/>
      <family val="2"/>
    </font>
    <font>
      <b/>
      <sz val="11"/>
      <color indexed="63"/>
      <name val="Calibri"/>
      <family val="2"/>
    </font>
    <font>
      <sz val="10"/>
      <color rgb="FFFF0000"/>
      <name val="Arial"/>
      <family val="2"/>
    </font>
    <font>
      <b/>
      <sz val="10"/>
      <name val="Calibri"/>
      <family val="2"/>
      <scheme val="minor"/>
    </font>
    <font>
      <sz val="10"/>
      <name val="Calibri"/>
      <family val="2"/>
      <scheme val="minor"/>
    </font>
    <font>
      <sz val="12"/>
      <color rgb="FFFF0000"/>
      <name val="Arial"/>
      <family val="2"/>
    </font>
    <font>
      <vertAlign val="superscript"/>
      <sz val="10"/>
      <name val="Arial"/>
      <family val="2"/>
    </font>
    <font>
      <sz val="6"/>
      <color rgb="FF000000"/>
      <name val="Arial"/>
      <family val="2"/>
    </font>
    <font>
      <b/>
      <sz val="12"/>
      <color rgb="FF000000"/>
      <name val="Arial"/>
      <family val="2"/>
    </font>
    <font>
      <b/>
      <sz val="10"/>
      <color rgb="FF000000"/>
      <name val="Arial"/>
      <family val="2"/>
    </font>
    <font>
      <b/>
      <sz val="10"/>
      <color rgb="FFFFFFFF"/>
      <name val="Arial"/>
      <family val="2"/>
    </font>
    <font>
      <b/>
      <sz val="9"/>
      <color rgb="FF333333"/>
      <name val="Arial"/>
      <family val="2"/>
    </font>
  </fonts>
  <fills count="118">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rgb="FFFFFF99"/>
        <bgColor indexed="64"/>
      </patternFill>
    </fill>
    <fill>
      <patternFill patternType="solid">
        <fgColor indexed="9"/>
        <bgColor indexed="64"/>
      </patternFill>
    </fill>
    <fill>
      <patternFill patternType="solid">
        <fgColor indexed="53"/>
        <bgColor indexed="64"/>
      </patternFill>
    </fill>
    <fill>
      <patternFill patternType="solid">
        <fgColor indexed="39"/>
        <bgColor indexed="64"/>
      </patternFill>
    </fill>
    <fill>
      <patternFill patternType="solid">
        <fgColor indexed="46"/>
        <bgColor indexed="64"/>
      </patternFill>
    </fill>
    <fill>
      <patternFill patternType="solid">
        <fgColor indexed="27"/>
        <bgColor indexed="64"/>
      </patternFill>
    </fill>
    <fill>
      <patternFill patternType="solid">
        <fgColor indexed="38"/>
        <bgColor indexed="64"/>
      </patternFill>
    </fill>
    <fill>
      <patternFill patternType="solid">
        <fgColor indexed="26"/>
        <bgColor indexed="64"/>
      </patternFill>
    </fill>
    <fill>
      <patternFill patternType="lightGray">
        <fgColor indexed="38"/>
        <bgColor indexed="23"/>
      </patternFill>
    </fill>
    <fill>
      <patternFill patternType="mediumGray">
        <fgColor indexed="22"/>
      </patternFill>
    </fill>
    <fill>
      <patternFill patternType="solid">
        <fgColor indexed="2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30"/>
      </patternFill>
    </fill>
    <fill>
      <patternFill patternType="solid">
        <fgColor theme="5" tint="0.39997558519241921"/>
        <bgColor indexed="64"/>
      </patternFill>
    </fill>
    <fill>
      <patternFill patternType="solid">
        <fgColor indexed="29"/>
      </patternFill>
    </fill>
    <fill>
      <patternFill patternType="solid">
        <fgColor theme="6" tint="0.39997558519241921"/>
        <bgColor indexed="64"/>
      </patternFill>
    </fill>
    <fill>
      <patternFill patternType="solid">
        <fgColor indexed="11"/>
      </patternFill>
    </fill>
    <fill>
      <patternFill patternType="solid">
        <fgColor theme="7" tint="0.39997558519241921"/>
        <bgColor indexed="64"/>
      </patternFill>
    </fill>
    <fill>
      <patternFill patternType="solid">
        <fgColor indexed="36"/>
      </patternFill>
    </fill>
    <fill>
      <patternFill patternType="solid">
        <fgColor theme="8" tint="0.39997558519241921"/>
        <bgColor indexed="64"/>
      </patternFill>
    </fill>
    <fill>
      <patternFill patternType="solid">
        <fgColor indexed="49"/>
      </patternFill>
    </fill>
    <fill>
      <patternFill patternType="solid">
        <fgColor theme="9" tint="0.39997558519241921"/>
        <bgColor indexed="64"/>
      </patternFill>
    </fill>
    <fill>
      <patternFill patternType="solid">
        <fgColor indexed="52"/>
      </patternFill>
    </fill>
    <fill>
      <patternFill patternType="solid">
        <fgColor theme="4"/>
        <bgColor indexed="64"/>
      </patternFill>
    </fill>
    <fill>
      <patternFill patternType="solid">
        <fgColor indexed="62"/>
      </patternFill>
    </fill>
    <fill>
      <patternFill patternType="solid">
        <fgColor theme="5"/>
        <bgColor indexed="64"/>
      </patternFill>
    </fill>
    <fill>
      <patternFill patternType="solid">
        <fgColor indexed="10"/>
      </patternFill>
    </fill>
    <fill>
      <patternFill patternType="solid">
        <fgColor theme="6"/>
        <bgColor indexed="64"/>
      </patternFill>
    </fill>
    <fill>
      <patternFill patternType="solid">
        <fgColor indexed="57"/>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patternFill>
    </fill>
    <fill>
      <patternFill patternType="solid">
        <fgColor indexed="44"/>
        <bgColor indexed="64"/>
      </patternFill>
    </fill>
    <fill>
      <patternFill patternType="solid">
        <fgColor rgb="FFFFC7CE"/>
        <bgColor indexed="64"/>
      </patternFill>
    </fill>
    <fill>
      <patternFill patternType="solid">
        <fgColor indexed="45"/>
      </patternFill>
    </fill>
    <fill>
      <patternFill patternType="solid">
        <fgColor rgb="FFF2F2F2"/>
        <bgColor indexed="64"/>
      </patternFill>
    </fill>
    <fill>
      <patternFill patternType="solid">
        <fgColor indexed="22"/>
      </patternFill>
    </fill>
    <fill>
      <patternFill patternType="solid">
        <fgColor rgb="FFA5A5A5"/>
        <bgColor indexed="64"/>
      </patternFill>
    </fill>
    <fill>
      <patternFill patternType="solid">
        <fgColor indexed="60"/>
        <bgColor indexed="64"/>
      </patternFill>
    </fill>
    <fill>
      <patternFill patternType="gray0625"/>
    </fill>
    <fill>
      <patternFill patternType="solid">
        <fgColor rgb="FFC6EFCE"/>
        <bgColor indexed="64"/>
      </patternFill>
    </fill>
    <fill>
      <patternFill patternType="solid">
        <fgColor indexed="42"/>
      </patternFill>
    </fill>
    <fill>
      <patternFill patternType="solid">
        <fgColor indexed="47"/>
        <bgColor indexed="64"/>
      </patternFill>
    </fill>
    <fill>
      <patternFill patternType="solid">
        <fgColor rgb="FFFFEB9C"/>
        <bgColor indexed="64"/>
      </patternFill>
    </fill>
    <fill>
      <patternFill patternType="solid">
        <fgColor indexed="62"/>
        <bgColor indexed="64"/>
      </patternFill>
    </fill>
    <fill>
      <patternFill patternType="solid">
        <fgColor indexed="63"/>
        <bgColor indexed="64"/>
      </patternFill>
    </fill>
    <fill>
      <patternFill patternType="solid">
        <fgColor indexed="26"/>
      </patternFill>
    </fill>
    <fill>
      <patternFill patternType="solid">
        <fgColor indexed="56"/>
        <bgColor indexed="64"/>
      </patternFill>
    </fill>
    <fill>
      <patternFill patternType="solid">
        <fgColor indexed="31"/>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bgColor indexed="64"/>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10"/>
        <bgColor indexed="64"/>
      </patternFill>
    </fill>
    <fill>
      <patternFill patternType="solid">
        <fgColor indexed="57"/>
        <bgColor indexed="64"/>
      </patternFill>
    </fill>
    <fill>
      <patternFill patternType="solid">
        <fgColor indexed="55"/>
        <bgColor indexed="64"/>
      </patternFill>
    </fill>
  </fills>
  <borders count="46">
    <border>
      <left/>
      <right/>
      <top/>
      <bottom/>
      <diagonal/>
    </border>
    <border>
      <left/>
      <right/>
      <top/>
      <bottom style="medium">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double">
        <color indexed="64"/>
      </top>
      <bottom/>
      <diagonal/>
    </border>
    <border>
      <left/>
      <right/>
      <top/>
      <bottom style="hair">
        <color indexed="64"/>
      </bottom>
      <diagonal/>
    </border>
    <border>
      <left/>
      <right/>
      <top style="medium">
        <color indexed="64"/>
      </top>
      <bottom style="medium">
        <color indexed="64"/>
      </bottom>
      <diagonal/>
    </border>
    <border>
      <left/>
      <right/>
      <top/>
      <bottom style="hair">
        <color indexed="20"/>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right/>
      <top/>
      <bottom style="medium">
        <color indexed="24"/>
      </bottom>
      <diagonal/>
    </border>
    <border>
      <left style="double">
        <color indexed="64"/>
      </left>
      <right style="double">
        <color indexed="64"/>
      </right>
      <top style="double">
        <color indexed="64"/>
      </top>
      <bottom style="double">
        <color indexed="64"/>
      </bottom>
      <diagonal/>
    </border>
    <border>
      <left/>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diagonal/>
    </border>
  </borders>
  <cellStyleXfs count="9126">
    <xf numFmtId="173" fontId="0" fillId="0" borderId="0" applyProtection="0"/>
    <xf numFmtId="43" fontId="50" fillId="0" borderId="0" applyFont="0" applyFill="0" applyBorder="0" applyAlignment="0" applyProtection="0"/>
    <xf numFmtId="43" fontId="66" fillId="0" borderId="0" applyFont="0" applyFill="0" applyBorder="0" applyAlignment="0" applyProtection="0"/>
    <xf numFmtId="221" fontId="65" fillId="0" borderId="0">
      <alignment vertical="top"/>
    </xf>
    <xf numFmtId="173" fontId="34" fillId="0" borderId="0" applyProtection="0"/>
    <xf numFmtId="221" fontId="50" fillId="0" borderId="0"/>
    <xf numFmtId="221" fontId="50" fillId="0" borderId="0"/>
    <xf numFmtId="221" fontId="50" fillId="0" borderId="0"/>
    <xf numFmtId="221" fontId="50" fillId="0" borderId="0"/>
    <xf numFmtId="221" fontId="50" fillId="0" borderId="0"/>
    <xf numFmtId="221" fontId="50" fillId="0" borderId="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43" fontId="74" fillId="0" borderId="0" applyFont="0" applyFill="0" applyBorder="0" applyAlignment="0" applyProtection="0"/>
    <xf numFmtId="221" fontId="45" fillId="0" borderId="0"/>
    <xf numFmtId="44" fontId="45" fillId="0" borderId="0" applyFont="0" applyFill="0" applyBorder="0" applyAlignment="0" applyProtection="0"/>
    <xf numFmtId="221" fontId="45" fillId="0" borderId="0"/>
    <xf numFmtId="178" fontId="78" fillId="0" borderId="0" applyFont="0" applyFill="0" applyBorder="0" applyAlignment="0" applyProtection="0"/>
    <xf numFmtId="179" fontId="78" fillId="0" borderId="0" applyFont="0" applyFill="0" applyBorder="0" applyAlignment="0" applyProtection="0"/>
    <xf numFmtId="180" fontId="78" fillId="0" borderId="0" applyFont="0" applyFill="0" applyBorder="0" applyAlignment="0" applyProtection="0"/>
    <xf numFmtId="181" fontId="78" fillId="0" borderId="0" applyFont="0" applyFill="0" applyBorder="0" applyAlignment="0" applyProtection="0"/>
    <xf numFmtId="182" fontId="78" fillId="0" borderId="0" applyFont="0" applyFill="0" applyBorder="0" applyAlignment="0" applyProtection="0"/>
    <xf numFmtId="183" fontId="78" fillId="0" borderId="0" applyFont="0" applyFill="0" applyBorder="0" applyAlignment="0" applyProtection="0"/>
    <xf numFmtId="221" fontId="77" fillId="0" borderId="0"/>
    <xf numFmtId="184" fontId="45" fillId="6" borderId="0" applyNumberFormat="0" applyFill="0" applyBorder="0" applyAlignment="0" applyProtection="0">
      <alignment horizontal="right" vertical="center"/>
    </xf>
    <xf numFmtId="184" fontId="51" fillId="0" borderId="0" applyNumberFormat="0" applyFill="0" applyBorder="0" applyAlignment="0" applyProtection="0"/>
    <xf numFmtId="221" fontId="45" fillId="0" borderId="6" applyNumberFormat="0" applyFont="0" applyFill="0" applyAlignment="0" applyProtection="0"/>
    <xf numFmtId="185" fontId="35" fillId="0" borderId="0" applyFont="0" applyFill="0" applyBorder="0" applyAlignment="0" applyProtection="0"/>
    <xf numFmtId="186" fontId="78" fillId="0" borderId="0" applyFont="0" applyFill="0" applyBorder="0" applyProtection="0">
      <alignment horizontal="left"/>
    </xf>
    <xf numFmtId="187" fontId="78" fillId="0" borderId="0" applyFont="0" applyFill="0" applyBorder="0" applyProtection="0">
      <alignment horizontal="left"/>
    </xf>
    <xf numFmtId="188" fontId="78" fillId="0" borderId="0" applyFont="0" applyFill="0" applyBorder="0" applyProtection="0">
      <alignment horizontal="left"/>
    </xf>
    <xf numFmtId="37" fontId="79" fillId="0" borderId="0" applyFont="0" applyFill="0" applyBorder="0" applyAlignment="0" applyProtection="0">
      <alignment vertical="center"/>
      <protection locked="0"/>
    </xf>
    <xf numFmtId="189" fontId="80" fillId="0" borderId="0" applyFont="0" applyFill="0" applyBorder="0" applyAlignment="0" applyProtection="0"/>
    <xf numFmtId="221" fontId="81" fillId="0" borderId="0"/>
    <xf numFmtId="221" fontId="81" fillId="0" borderId="0"/>
    <xf numFmtId="173" fontId="58" fillId="0" borderId="0" applyFill="0"/>
    <xf numFmtId="173" fontId="58" fillId="0" borderId="0">
      <alignment horizontal="center"/>
    </xf>
    <xf numFmtId="221" fontId="58" fillId="0" borderId="0" applyFill="0">
      <alignment horizontal="center"/>
    </xf>
    <xf numFmtId="173" fontId="61" fillId="0" borderId="18" applyFill="0"/>
    <xf numFmtId="221" fontId="45" fillId="0" borderId="0" applyFont="0" applyAlignment="0"/>
    <xf numFmtId="221" fontId="82" fillId="0" borderId="0" applyFill="0">
      <alignment vertical="top"/>
    </xf>
    <xf numFmtId="221" fontId="61" fillId="0" borderId="0" applyFill="0">
      <alignment horizontal="left" vertical="top"/>
    </xf>
    <xf numFmtId="173" fontId="39" fillId="0" borderId="10" applyFill="0"/>
    <xf numFmtId="221" fontId="45" fillId="0" borderId="0" applyNumberFormat="0" applyFont="0" applyAlignment="0"/>
    <xf numFmtId="221" fontId="82" fillId="0" borderId="0" applyFill="0">
      <alignment wrapText="1"/>
    </xf>
    <xf numFmtId="221" fontId="61" fillId="0" borderId="0" applyFill="0">
      <alignment horizontal="left" vertical="top" wrapText="1"/>
    </xf>
    <xf numFmtId="173" fontId="62" fillId="0" borderId="0" applyFill="0"/>
    <xf numFmtId="221" fontId="83" fillId="0" borderId="0" applyNumberFormat="0" applyFont="0" applyAlignment="0">
      <alignment horizontal="center"/>
    </xf>
    <xf numFmtId="221" fontId="84" fillId="0" borderId="0" applyFill="0">
      <alignment vertical="top" wrapText="1"/>
    </xf>
    <xf numFmtId="221" fontId="39" fillId="0" borderId="0" applyFill="0">
      <alignment horizontal="left" vertical="top" wrapText="1"/>
    </xf>
    <xf numFmtId="173" fontId="45" fillId="0" borderId="0" applyFill="0"/>
    <xf numFmtId="221" fontId="83" fillId="0" borderId="0" applyNumberFormat="0" applyFont="0" applyAlignment="0">
      <alignment horizontal="center"/>
    </xf>
    <xf numFmtId="221" fontId="85" fillId="0" borderId="0" applyFill="0">
      <alignment vertical="center" wrapText="1"/>
    </xf>
    <xf numFmtId="221" fontId="37" fillId="0" borderId="0">
      <alignment horizontal="left" vertical="center" wrapText="1"/>
    </xf>
    <xf numFmtId="173" fontId="77" fillId="0" borderId="0" applyFill="0"/>
    <xf numFmtId="221" fontId="83" fillId="0" borderId="0" applyNumberFormat="0" applyFont="0" applyAlignment="0">
      <alignment horizontal="center"/>
    </xf>
    <xf numFmtId="221" fontId="86" fillId="0" borderId="0" applyFill="0">
      <alignment horizontal="center" vertical="center" wrapText="1"/>
    </xf>
    <xf numFmtId="221" fontId="45" fillId="0" borderId="0" applyFill="0">
      <alignment horizontal="center" vertical="center" wrapText="1"/>
    </xf>
    <xf numFmtId="173" fontId="87" fillId="0" borderId="0" applyFill="0"/>
    <xf numFmtId="221" fontId="83" fillId="0" borderId="0" applyNumberFormat="0" applyFont="0" applyAlignment="0">
      <alignment horizontal="center"/>
    </xf>
    <xf numFmtId="221" fontId="88" fillId="0" borderId="0" applyFill="0">
      <alignment horizontal="center" vertical="center" wrapText="1"/>
    </xf>
    <xf numFmtId="221" fontId="89" fillId="0" borderId="0" applyFill="0">
      <alignment horizontal="center" vertical="center" wrapText="1"/>
    </xf>
    <xf numFmtId="173" fontId="90" fillId="0" borderId="0" applyFill="0"/>
    <xf numFmtId="221" fontId="83" fillId="0" borderId="0" applyNumberFormat="0" applyFont="0" applyAlignment="0">
      <alignment horizontal="center"/>
    </xf>
    <xf numFmtId="221" fontId="91" fillId="0" borderId="0">
      <alignment horizontal="center" wrapText="1"/>
    </xf>
    <xf numFmtId="221" fontId="87" fillId="0" borderId="0" applyFill="0">
      <alignment horizontal="center" wrapText="1"/>
    </xf>
    <xf numFmtId="190" fontId="92" fillId="0" borderId="0" applyFont="0" applyFill="0" applyBorder="0" applyAlignment="0" applyProtection="0">
      <protection locked="0"/>
    </xf>
    <xf numFmtId="191" fontId="92" fillId="0" borderId="0" applyFont="0" applyFill="0" applyBorder="0" applyAlignment="0" applyProtection="0">
      <protection locked="0"/>
    </xf>
    <xf numFmtId="39" fontId="45" fillId="0" borderId="0" applyFont="0" applyFill="0" applyBorder="0" applyAlignment="0" applyProtection="0"/>
    <xf numFmtId="192" fontId="93" fillId="0" borderId="0" applyFont="0" applyFill="0" applyBorder="0" applyAlignment="0" applyProtection="0"/>
    <xf numFmtId="193" fontId="80" fillId="0" borderId="0" applyFont="0" applyFill="0" applyBorder="0" applyAlignment="0" applyProtection="0"/>
    <xf numFmtId="221" fontId="45" fillId="0" borderId="6" applyNumberFormat="0" applyFont="0" applyFill="0" applyBorder="0" applyProtection="0">
      <alignment horizontal="centerContinuous" vertical="center"/>
    </xf>
    <xf numFmtId="221" fontId="94" fillId="0" borderId="0" applyFill="0" applyBorder="0" applyProtection="0">
      <alignment horizontal="center"/>
      <protection locked="0"/>
    </xf>
    <xf numFmtId="221" fontId="45" fillId="0" borderId="0"/>
    <xf numFmtId="221" fontId="95" fillId="0" borderId="0"/>
    <xf numFmtId="221" fontId="95" fillId="0" borderId="0"/>
    <xf numFmtId="221" fontId="95" fillId="0" borderId="0"/>
    <xf numFmtId="221" fontId="95" fillId="0" borderId="0"/>
    <xf numFmtId="221" fontId="95" fillId="0" borderId="0"/>
    <xf numFmtId="221" fontId="95" fillId="0" borderId="0"/>
    <xf numFmtId="221" fontId="95" fillId="0" borderId="0"/>
    <xf numFmtId="194" fontId="78" fillId="0" borderId="0" applyFont="0" applyFill="0" applyBorder="0" applyAlignment="0" applyProtection="0"/>
    <xf numFmtId="195" fontId="78" fillId="0" borderId="0" applyFont="0" applyFill="0" applyBorder="0" applyAlignment="0" applyProtection="0"/>
    <xf numFmtId="196" fontId="78" fillId="0" borderId="0" applyFont="0" applyFill="0" applyBorder="0" applyAlignment="0" applyProtection="0"/>
    <xf numFmtId="197" fontId="96" fillId="0" borderId="0" applyFont="0" applyFill="0" applyBorder="0" applyAlignment="0" applyProtection="0"/>
    <xf numFmtId="198" fontId="97" fillId="0" borderId="0" applyFont="0" applyFill="0" applyBorder="0" applyAlignment="0" applyProtection="0"/>
    <xf numFmtId="199" fontId="97" fillId="0" borderId="0" applyFont="0" applyFill="0" applyBorder="0" applyAlignment="0" applyProtection="0"/>
    <xf numFmtId="200" fontId="62" fillId="0" borderId="0" applyFont="0" applyFill="0" applyBorder="0" applyAlignment="0" applyProtection="0">
      <protection locked="0"/>
    </xf>
    <xf numFmtId="43" fontId="45" fillId="0" borderId="0" applyFont="0" applyFill="0" applyBorder="0" applyAlignment="0" applyProtection="0"/>
    <xf numFmtId="43" fontId="45" fillId="0" borderId="0" applyFont="0" applyFill="0" applyBorder="0" applyAlignment="0" applyProtection="0"/>
    <xf numFmtId="43" fontId="66" fillId="0" borderId="0" applyFont="0" applyFill="0" applyBorder="0" applyAlignment="0" applyProtection="0"/>
    <xf numFmtId="43" fontId="45" fillId="0" borderId="0" applyFont="0" applyFill="0" applyBorder="0" applyAlignment="0" applyProtection="0"/>
    <xf numFmtId="37" fontId="98" fillId="0" borderId="0" applyFill="0" applyBorder="0" applyAlignment="0" applyProtection="0"/>
    <xf numFmtId="3" fontId="45" fillId="0" borderId="0" applyFont="0" applyFill="0" applyBorder="0" applyAlignment="0" applyProtection="0"/>
    <xf numFmtId="221" fontId="61" fillId="0" borderId="0" applyFill="0" applyBorder="0" applyAlignment="0" applyProtection="0">
      <protection locked="0"/>
    </xf>
    <xf numFmtId="201" fontId="78" fillId="0" borderId="0" applyFont="0" applyFill="0" applyBorder="0" applyAlignment="0" applyProtection="0"/>
    <xf numFmtId="202" fontId="78" fillId="0" borderId="0" applyFont="0" applyFill="0" applyBorder="0" applyAlignment="0" applyProtection="0"/>
    <xf numFmtId="203" fontId="78" fillId="0" borderId="0" applyFont="0" applyFill="0" applyBorder="0" applyAlignment="0" applyProtection="0"/>
    <xf numFmtId="204" fontId="97" fillId="0" borderId="0" applyFont="0" applyFill="0" applyBorder="0" applyAlignment="0" applyProtection="0"/>
    <xf numFmtId="205" fontId="97" fillId="0" borderId="0" applyFont="0" applyFill="0" applyBorder="0" applyAlignment="0" applyProtection="0"/>
    <xf numFmtId="206" fontId="97" fillId="0" borderId="0" applyFont="0" applyFill="0" applyBorder="0" applyAlignment="0" applyProtection="0"/>
    <xf numFmtId="207" fontId="62" fillId="0" borderId="0" applyFont="0" applyFill="0" applyBorder="0" applyAlignment="0" applyProtection="0">
      <protection locked="0"/>
    </xf>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5" fontId="98" fillId="0" borderId="0" applyFill="0" applyBorder="0" applyAlignment="0" applyProtection="0"/>
    <xf numFmtId="5" fontId="45" fillId="0" borderId="0" applyFont="0" applyFill="0" applyBorder="0" applyAlignment="0" applyProtection="0"/>
    <xf numFmtId="5" fontId="45" fillId="0" borderId="0" applyFont="0" applyFill="0" applyBorder="0" applyAlignment="0" applyProtection="0"/>
    <xf numFmtId="208" fontId="80" fillId="0" borderId="0" applyFont="0" applyFill="0" applyBorder="0" applyAlignment="0" applyProtection="0"/>
    <xf numFmtId="209" fontId="45" fillId="0" borderId="0" applyFont="0" applyFill="0" applyBorder="0" applyAlignment="0" applyProtection="0"/>
    <xf numFmtId="210" fontId="92" fillId="0" borderId="0" applyFont="0" applyFill="0" applyBorder="0" applyAlignment="0" applyProtection="0">
      <protection locked="0"/>
    </xf>
    <xf numFmtId="7" fontId="58" fillId="0" borderId="0" applyFont="0" applyFill="0" applyBorder="0" applyAlignment="0" applyProtection="0"/>
    <xf numFmtId="211" fontId="93" fillId="0" borderId="0" applyFont="0" applyFill="0" applyBorder="0" applyAlignment="0" applyProtection="0"/>
    <xf numFmtId="212" fontId="99" fillId="0" borderId="0" applyFont="0" applyFill="0" applyBorder="0" applyAlignment="0" applyProtection="0"/>
    <xf numFmtId="221" fontId="100" fillId="7" borderId="19" applyNumberFormat="0" applyFont="0" applyFill="0" applyAlignment="0" applyProtection="0">
      <alignment horizontal="left" indent="1"/>
    </xf>
    <xf numFmtId="14" fontId="45" fillId="0" borderId="0" applyFont="0" applyFill="0" applyBorder="0" applyAlignment="0" applyProtection="0"/>
    <xf numFmtId="213" fontId="78" fillId="0" borderId="0" applyFont="0" applyFill="0" applyBorder="0" applyProtection="0"/>
    <xf numFmtId="214" fontId="78" fillId="0" borderId="0" applyFont="0" applyFill="0" applyBorder="0" applyProtection="0"/>
    <xf numFmtId="215" fontId="78" fillId="0" borderId="0" applyFont="0" applyFill="0" applyBorder="0" applyAlignment="0" applyProtection="0"/>
    <xf numFmtId="216" fontId="78" fillId="0" borderId="0" applyFont="0" applyFill="0" applyBorder="0" applyAlignment="0" applyProtection="0"/>
    <xf numFmtId="217" fontId="78" fillId="0" borderId="0" applyFont="0" applyFill="0" applyBorder="0" applyAlignment="0" applyProtection="0"/>
    <xf numFmtId="218" fontId="101" fillId="0" borderId="0" applyFont="0" applyFill="0" applyBorder="0" applyAlignment="0" applyProtection="0"/>
    <xf numFmtId="5" fontId="102" fillId="0" borderId="0" applyBorder="0"/>
    <xf numFmtId="209" fontId="102" fillId="0" borderId="0" applyBorder="0"/>
    <xf numFmtId="7" fontId="102" fillId="0" borderId="0" applyBorder="0"/>
    <xf numFmtId="37" fontId="102" fillId="0" borderId="0" applyBorder="0"/>
    <xf numFmtId="190" fontId="102" fillId="0" borderId="0" applyBorder="0"/>
    <xf numFmtId="219" fontId="102" fillId="0" borderId="0" applyBorder="0"/>
    <xf numFmtId="39" fontId="102" fillId="0" borderId="0" applyBorder="0"/>
    <xf numFmtId="220" fontId="102" fillId="0" borderId="0" applyBorder="0"/>
    <xf numFmtId="7" fontId="45" fillId="0" borderId="0" applyFont="0" applyFill="0" applyBorder="0" applyAlignment="0" applyProtection="0"/>
    <xf numFmtId="221" fontId="80" fillId="0" borderId="0" applyFont="0" applyFill="0" applyBorder="0" applyAlignment="0" applyProtection="0"/>
    <xf numFmtId="221" fontId="80" fillId="0" borderId="0" applyFont="0" applyFill="0" applyAlignment="0" applyProtection="0"/>
    <xf numFmtId="221" fontId="80" fillId="0" borderId="0" applyFont="0" applyFill="0" applyBorder="0" applyAlignment="0" applyProtection="0"/>
    <xf numFmtId="221" fontId="58" fillId="0" borderId="0" applyFont="0" applyFill="0" applyBorder="0" applyAlignment="0" applyProtection="0"/>
    <xf numFmtId="2" fontId="45" fillId="0" borderId="0" applyFont="0" applyFill="0" applyBorder="0" applyAlignment="0" applyProtection="0"/>
    <xf numFmtId="221" fontId="103" fillId="0" borderId="0"/>
    <xf numFmtId="190" fontId="104" fillId="0" borderId="0" applyNumberFormat="0" applyFill="0" applyBorder="0" applyAlignment="0" applyProtection="0"/>
    <xf numFmtId="221" fontId="58" fillId="0" borderId="0" applyFont="0" applyFill="0" applyBorder="0" applyAlignment="0" applyProtection="0"/>
    <xf numFmtId="221" fontId="78" fillId="0" borderId="0" applyFont="0" applyFill="0" applyBorder="0" applyProtection="0">
      <alignment horizontal="center" wrapText="1"/>
    </xf>
    <xf numFmtId="222" fontId="78" fillId="0" borderId="0" applyFont="0" applyFill="0" applyBorder="0" applyProtection="0">
      <alignment horizontal="right"/>
    </xf>
    <xf numFmtId="221" fontId="104" fillId="0" borderId="0" applyNumberFormat="0" applyFill="0" applyBorder="0" applyAlignment="0" applyProtection="0"/>
    <xf numFmtId="221" fontId="105" fillId="8" borderId="0" applyNumberFormat="0" applyFill="0" applyBorder="0" applyAlignment="0" applyProtection="0"/>
    <xf numFmtId="221" fontId="39" fillId="0" borderId="20" applyNumberFormat="0" applyAlignment="0" applyProtection="0">
      <alignment horizontal="left" vertical="center"/>
    </xf>
    <xf numFmtId="221" fontId="39" fillId="0" borderId="16">
      <alignment horizontal="left" vertical="center"/>
    </xf>
    <xf numFmtId="14" fontId="49" fillId="9" borderId="1">
      <alignment horizontal="center" vertical="center" wrapText="1"/>
    </xf>
    <xf numFmtId="221" fontId="94" fillId="0" borderId="0" applyFill="0" applyAlignment="0" applyProtection="0">
      <protection locked="0"/>
    </xf>
    <xf numFmtId="221" fontId="94" fillId="0" borderId="6" applyFill="0" applyAlignment="0" applyProtection="0">
      <protection locked="0"/>
    </xf>
    <xf numFmtId="221" fontId="106" fillId="0" borderId="1"/>
    <xf numFmtId="221" fontId="107" fillId="0" borderId="0"/>
    <xf numFmtId="221" fontId="108" fillId="0" borderId="6" applyNumberFormat="0" applyFill="0" applyAlignment="0" applyProtection="0"/>
    <xf numFmtId="221" fontId="101" fillId="10" borderId="0" applyNumberFormat="0" applyFont="0" applyBorder="0" applyAlignment="0" applyProtection="0"/>
    <xf numFmtId="221" fontId="76" fillId="3" borderId="14" applyNumberFormat="0" applyAlignment="0" applyProtection="0"/>
    <xf numFmtId="223" fontId="78" fillId="0" borderId="0" applyFont="0" applyFill="0" applyBorder="0" applyProtection="0">
      <alignment horizontal="left"/>
    </xf>
    <xf numFmtId="224" fontId="78" fillId="0" borderId="0" applyFont="0" applyFill="0" applyBorder="0" applyProtection="0">
      <alignment horizontal="left"/>
    </xf>
    <xf numFmtId="225" fontId="78" fillId="0" borderId="0" applyFont="0" applyFill="0" applyBorder="0" applyProtection="0">
      <alignment horizontal="left"/>
    </xf>
    <xf numFmtId="226" fontId="78" fillId="0" borderId="0" applyFont="0" applyFill="0" applyBorder="0" applyProtection="0">
      <alignment horizontal="left"/>
    </xf>
    <xf numFmtId="10" fontId="58" fillId="11" borderId="14" applyNumberFormat="0" applyBorder="0" applyAlignment="0" applyProtection="0"/>
    <xf numFmtId="5" fontId="109" fillId="0" borderId="0" applyBorder="0"/>
    <xf numFmtId="209" fontId="109" fillId="0" borderId="0" applyBorder="0"/>
    <xf numFmtId="7" fontId="109" fillId="0" borderId="0" applyBorder="0"/>
    <xf numFmtId="37" fontId="109" fillId="0" borderId="0" applyBorder="0"/>
    <xf numFmtId="190" fontId="109" fillId="0" borderId="0" applyBorder="0"/>
    <xf numFmtId="219" fontId="109" fillId="0" borderId="0" applyBorder="0"/>
    <xf numFmtId="39" fontId="109" fillId="0" borderId="0" applyBorder="0"/>
    <xf numFmtId="220" fontId="109" fillId="0" borderId="0" applyBorder="0"/>
    <xf numFmtId="221" fontId="101" fillId="0" borderId="3" applyNumberFormat="0" applyFont="0" applyFill="0" applyAlignment="0" applyProtection="0"/>
    <xf numFmtId="221" fontId="110" fillId="0" borderId="0"/>
    <xf numFmtId="227" fontId="45" fillId="0" borderId="0" applyFont="0" applyFill="0" applyBorder="0" applyAlignment="0" applyProtection="0"/>
    <xf numFmtId="228" fontId="45" fillId="0" borderId="0" applyFont="0" applyFill="0" applyBorder="0" applyAlignment="0" applyProtection="0"/>
    <xf numFmtId="229" fontId="45" fillId="0" borderId="0" applyFont="0" applyFill="0" applyBorder="0" applyAlignment="0" applyProtection="0"/>
    <xf numFmtId="230" fontId="45" fillId="0" borderId="0" applyFont="0" applyFill="0" applyBorder="0" applyAlignment="0" applyProtection="0"/>
    <xf numFmtId="221" fontId="45" fillId="0" borderId="0" applyFont="0" applyFill="0" applyBorder="0" applyAlignment="0" applyProtection="0">
      <alignment horizontal="right"/>
    </xf>
    <xf numFmtId="231" fontId="45" fillId="0" borderId="0" applyFont="0" applyFill="0" applyBorder="0" applyAlignment="0" applyProtection="0"/>
    <xf numFmtId="37" fontId="111" fillId="0" borderId="0"/>
    <xf numFmtId="221" fontId="80" fillId="0" borderId="0"/>
    <xf numFmtId="221" fontId="45" fillId="0" borderId="0"/>
    <xf numFmtId="221" fontId="45" fillId="0" borderId="0"/>
    <xf numFmtId="173" fontId="34" fillId="0" borderId="0" applyProtection="0"/>
    <xf numFmtId="221" fontId="45" fillId="0" borderId="0"/>
    <xf numFmtId="221" fontId="45" fillId="0" borderId="0"/>
    <xf numFmtId="221" fontId="45" fillId="0" borderId="0"/>
    <xf numFmtId="221" fontId="35" fillId="12" borderId="0" applyNumberFormat="0" applyFont="0" applyBorder="0" applyAlignment="0"/>
    <xf numFmtId="232" fontId="45" fillId="0" borderId="0" applyFont="0" applyFill="0" applyBorder="0" applyAlignment="0" applyProtection="0"/>
    <xf numFmtId="233" fontId="112" fillId="0" borderId="0"/>
    <xf numFmtId="232" fontId="45" fillId="0" borderId="0" applyFont="0" applyFill="0" applyBorder="0" applyAlignment="0" applyProtection="0"/>
    <xf numFmtId="232" fontId="45" fillId="0" borderId="0" applyFont="0" applyFill="0" applyBorder="0" applyAlignment="0" applyProtection="0"/>
    <xf numFmtId="232" fontId="45" fillId="0" borderId="0" applyFont="0" applyFill="0" applyBorder="0" applyAlignment="0" applyProtection="0"/>
    <xf numFmtId="234" fontId="45" fillId="0" borderId="0"/>
    <xf numFmtId="235" fontId="80" fillId="0" borderId="0"/>
    <xf numFmtId="235" fontId="80" fillId="0" borderId="0"/>
    <xf numFmtId="233" fontId="112" fillId="0" borderId="0"/>
    <xf numFmtId="221" fontId="80" fillId="0" borderId="0"/>
    <xf numFmtId="233" fontId="98" fillId="0" borderId="0"/>
    <xf numFmtId="234" fontId="45" fillId="0" borderId="0"/>
    <xf numFmtId="235" fontId="80" fillId="0" borderId="0"/>
    <xf numFmtId="235" fontId="80" fillId="0" borderId="0"/>
    <xf numFmtId="221" fontId="80" fillId="0" borderId="0"/>
    <xf numFmtId="221" fontId="80" fillId="0" borderId="0"/>
    <xf numFmtId="236" fontId="80" fillId="0" borderId="0"/>
    <xf numFmtId="170" fontId="80" fillId="0" borderId="0"/>
    <xf numFmtId="237" fontId="80" fillId="0" borderId="0"/>
    <xf numFmtId="236" fontId="80" fillId="0" borderId="0"/>
    <xf numFmtId="170" fontId="80" fillId="0" borderId="0"/>
    <xf numFmtId="238" fontId="80" fillId="0" borderId="0"/>
    <xf numFmtId="238" fontId="80" fillId="0" borderId="0"/>
    <xf numFmtId="239" fontId="80" fillId="0" borderId="0"/>
    <xf numFmtId="237" fontId="80" fillId="0" borderId="0"/>
    <xf numFmtId="169" fontId="80" fillId="0" borderId="0"/>
    <xf numFmtId="239" fontId="80" fillId="0" borderId="0"/>
    <xf numFmtId="239" fontId="80" fillId="0" borderId="0"/>
    <xf numFmtId="221" fontId="80" fillId="0" borderId="0"/>
    <xf numFmtId="232" fontId="45" fillId="0" borderId="0" applyFont="0" applyFill="0" applyBorder="0" applyAlignment="0" applyProtection="0"/>
    <xf numFmtId="232" fontId="45" fillId="0" borderId="0" applyFont="0" applyFill="0" applyBorder="0" applyAlignment="0" applyProtection="0"/>
    <xf numFmtId="232" fontId="45" fillId="0" borderId="0" applyFont="0" applyFill="0" applyBorder="0" applyAlignment="0" applyProtection="0"/>
    <xf numFmtId="233" fontId="112" fillId="0" borderId="0"/>
    <xf numFmtId="233" fontId="112" fillId="0" borderId="0"/>
    <xf numFmtId="232" fontId="45" fillId="0" borderId="0" applyFont="0" applyFill="0" applyBorder="0" applyAlignment="0" applyProtection="0"/>
    <xf numFmtId="233" fontId="112" fillId="0" borderId="0"/>
    <xf numFmtId="233" fontId="112" fillId="0" borderId="0"/>
    <xf numFmtId="236" fontId="80" fillId="0" borderId="0"/>
    <xf numFmtId="170" fontId="80" fillId="0" borderId="0"/>
    <xf numFmtId="237" fontId="80" fillId="0" borderId="0"/>
    <xf numFmtId="236" fontId="80" fillId="0" borderId="0"/>
    <xf numFmtId="170" fontId="80" fillId="0" borderId="0"/>
    <xf numFmtId="238" fontId="80" fillId="0" borderId="0"/>
    <xf numFmtId="238" fontId="80" fillId="0" borderId="0"/>
    <xf numFmtId="239" fontId="80" fillId="0" borderId="0"/>
    <xf numFmtId="237" fontId="80" fillId="0" borderId="0"/>
    <xf numFmtId="169" fontId="80" fillId="0" borderId="0"/>
    <xf numFmtId="239" fontId="80" fillId="0" borderId="0"/>
    <xf numFmtId="239" fontId="80" fillId="0" borderId="0"/>
    <xf numFmtId="240" fontId="77" fillId="5" borderId="0" applyFont="0" applyFill="0" applyBorder="0" applyAlignment="0" applyProtection="0"/>
    <xf numFmtId="241" fontId="77" fillId="5" borderId="0" applyFont="0" applyFill="0" applyBorder="0" applyAlignment="0" applyProtection="0"/>
    <xf numFmtId="242" fontId="45" fillId="0" borderId="0" applyFont="0" applyFill="0" applyBorder="0" applyAlignment="0" applyProtection="0"/>
    <xf numFmtId="243" fontId="97" fillId="0" borderId="0" applyFont="0" applyFill="0" applyBorder="0" applyAlignment="0" applyProtection="0"/>
    <xf numFmtId="244" fontId="96" fillId="0" borderId="0" applyFont="0" applyFill="0" applyBorder="0" applyAlignment="0" applyProtection="0"/>
    <xf numFmtId="245" fontId="45" fillId="0" borderId="0" applyFont="0" applyFill="0" applyBorder="0" applyAlignment="0" applyProtection="0"/>
    <xf numFmtId="246" fontId="78" fillId="0" borderId="0" applyFont="0" applyFill="0" applyBorder="0" applyAlignment="0" applyProtection="0"/>
    <xf numFmtId="247" fontId="78" fillId="0" borderId="0" applyFont="0" applyFill="0" applyBorder="0" applyAlignment="0" applyProtection="0"/>
    <xf numFmtId="248" fontId="78" fillId="0" borderId="0" applyFont="0" applyFill="0" applyBorder="0" applyAlignment="0" applyProtection="0"/>
    <xf numFmtId="249" fontId="78" fillId="0" borderId="0" applyFont="0" applyFill="0" applyBorder="0" applyAlignment="0" applyProtection="0"/>
    <xf numFmtId="250" fontId="97" fillId="0" borderId="0" applyFont="0" applyFill="0" applyBorder="0" applyAlignment="0" applyProtection="0"/>
    <xf numFmtId="251" fontId="96" fillId="0" borderId="0" applyFont="0" applyFill="0" applyBorder="0" applyAlignment="0" applyProtection="0"/>
    <xf numFmtId="252" fontId="97" fillId="0" borderId="0" applyFont="0" applyFill="0" applyBorder="0" applyAlignment="0" applyProtection="0"/>
    <xf numFmtId="253" fontId="96" fillId="0" borderId="0" applyFont="0" applyFill="0" applyBorder="0" applyAlignment="0" applyProtection="0"/>
    <xf numFmtId="254" fontId="97" fillId="0" borderId="0" applyFont="0" applyFill="0" applyBorder="0" applyAlignment="0" applyProtection="0"/>
    <xf numFmtId="255" fontId="96" fillId="0" borderId="0" applyFont="0" applyFill="0" applyBorder="0" applyAlignment="0" applyProtection="0"/>
    <xf numFmtId="256" fontId="62" fillId="0" borderId="0" applyFont="0" applyFill="0" applyBorder="0" applyAlignment="0" applyProtection="0">
      <protection locked="0"/>
    </xf>
    <xf numFmtId="257" fontId="96"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184" fontId="98" fillId="0" borderId="0" applyFill="0" applyBorder="0" applyAlignment="0" applyProtection="0"/>
    <xf numFmtId="9" fontId="102" fillId="0" borderId="0" applyBorder="0"/>
    <xf numFmtId="258" fontId="102" fillId="0" borderId="0" applyBorder="0"/>
    <xf numFmtId="10" fontId="102" fillId="0" borderId="0" applyBorder="0"/>
    <xf numFmtId="221" fontId="66" fillId="0" borderId="0" applyNumberFormat="0" applyFont="0" applyFill="0" applyBorder="0" applyAlignment="0" applyProtection="0">
      <alignment horizontal="left"/>
    </xf>
    <xf numFmtId="15" fontId="66" fillId="0" borderId="0" applyFont="0" applyFill="0" applyBorder="0" applyAlignment="0" applyProtection="0"/>
    <xf numFmtId="4" fontId="66" fillId="0" borderId="0" applyFont="0" applyFill="0" applyBorder="0" applyAlignment="0" applyProtection="0"/>
    <xf numFmtId="3" fontId="45" fillId="0" borderId="0">
      <alignment horizontal="left" vertical="top"/>
    </xf>
    <xf numFmtId="221" fontId="113" fillId="0" borderId="1">
      <alignment horizontal="center"/>
    </xf>
    <xf numFmtId="3" fontId="66" fillId="0" borderId="0" applyFont="0" applyFill="0" applyBorder="0" applyAlignment="0" applyProtection="0"/>
    <xf numFmtId="221" fontId="66" fillId="13" borderId="0" applyNumberFormat="0" applyFont="0" applyBorder="0" applyAlignment="0" applyProtection="0"/>
    <xf numFmtId="3" fontId="45" fillId="0" borderId="0">
      <alignment horizontal="right" vertical="top"/>
    </xf>
    <xf numFmtId="41" fontId="37" fillId="14" borderId="17" applyFill="0"/>
    <xf numFmtId="221" fontId="114" fillId="0" borderId="0">
      <alignment horizontal="left" indent="7"/>
    </xf>
    <xf numFmtId="41" fontId="37" fillId="0" borderId="17" applyFill="0">
      <alignment horizontal="left" indent="2"/>
    </xf>
    <xf numFmtId="173" fontId="94" fillId="0" borderId="6" applyFill="0">
      <alignment horizontal="right"/>
    </xf>
    <xf numFmtId="221" fontId="49" fillId="0" borderId="14" applyNumberFormat="0" applyFont="0" applyBorder="0">
      <alignment horizontal="right"/>
    </xf>
    <xf numFmtId="221" fontId="115" fillId="0" borderId="0" applyFill="0"/>
    <xf numFmtId="221" fontId="39" fillId="0" borderId="0" applyFill="0"/>
    <xf numFmtId="4" fontId="94" fillId="0" borderId="6" applyFill="0"/>
    <xf numFmtId="221" fontId="45" fillId="0" borderId="0" applyNumberFormat="0" applyFont="0" applyBorder="0" applyAlignment="0"/>
    <xf numFmtId="221" fontId="84" fillId="0" borderId="0" applyFill="0">
      <alignment horizontal="left" indent="1"/>
    </xf>
    <xf numFmtId="221" fontId="116" fillId="0" borderId="0" applyFill="0">
      <alignment horizontal="left" indent="1"/>
    </xf>
    <xf numFmtId="4" fontId="77" fillId="0" borderId="0" applyFill="0"/>
    <xf numFmtId="221" fontId="45" fillId="0" borderId="0" applyNumberFormat="0" applyFont="0" applyFill="0" applyBorder="0" applyAlignment="0"/>
    <xf numFmtId="221" fontId="84" fillId="0" borderId="0" applyFill="0">
      <alignment horizontal="left" indent="2"/>
    </xf>
    <xf numFmtId="221" fontId="39" fillId="0" borderId="0" applyFill="0">
      <alignment horizontal="left" indent="2"/>
    </xf>
    <xf numFmtId="4" fontId="77" fillId="0" borderId="0" applyFill="0"/>
    <xf numFmtId="221" fontId="45" fillId="0" borderId="0" applyNumberFormat="0" applyFont="0" applyBorder="0" applyAlignment="0"/>
    <xf numFmtId="221" fontId="117" fillId="0" borderId="0">
      <alignment horizontal="left" indent="3"/>
    </xf>
    <xf numFmtId="221" fontId="41" fillId="0" borderId="0" applyFill="0">
      <alignment horizontal="left" indent="3"/>
    </xf>
    <xf numFmtId="4" fontId="77" fillId="0" borderId="0" applyFill="0"/>
    <xf numFmtId="221" fontId="45" fillId="0" borderId="0" applyNumberFormat="0" applyFont="0" applyBorder="0" applyAlignment="0"/>
    <xf numFmtId="221" fontId="86" fillId="0" borderId="0">
      <alignment horizontal="left" indent="4"/>
    </xf>
    <xf numFmtId="221" fontId="45" fillId="0" borderId="0" applyFill="0">
      <alignment horizontal="left" indent="4"/>
    </xf>
    <xf numFmtId="4" fontId="87" fillId="0" borderId="0" applyFill="0"/>
    <xf numFmtId="221" fontId="45" fillId="0" borderId="0" applyNumberFormat="0" applyFont="0" applyBorder="0" applyAlignment="0"/>
    <xf numFmtId="221" fontId="88" fillId="0" borderId="0">
      <alignment horizontal="left" indent="5"/>
    </xf>
    <xf numFmtId="221" fontId="89" fillId="0" borderId="0" applyFill="0">
      <alignment horizontal="left" indent="5"/>
    </xf>
    <xf numFmtId="4" fontId="90" fillId="0" borderId="0" applyFill="0"/>
    <xf numFmtId="221" fontId="45" fillId="0" borderId="0" applyNumberFormat="0" applyFont="0" applyFill="0" applyBorder="0" applyAlignment="0"/>
    <xf numFmtId="221" fontId="91" fillId="0" borderId="0" applyFill="0">
      <alignment horizontal="left" indent="6"/>
    </xf>
    <xf numFmtId="221" fontId="87" fillId="0" borderId="0" applyFill="0">
      <alignment horizontal="left" indent="6"/>
    </xf>
    <xf numFmtId="221" fontId="101" fillId="0" borderId="4" applyNumberFormat="0" applyFont="0" applyFill="0" applyAlignment="0" applyProtection="0"/>
    <xf numFmtId="221" fontId="118" fillId="0" borderId="0" applyNumberFormat="0" applyFill="0" applyBorder="0" applyAlignment="0" applyProtection="0"/>
    <xf numFmtId="221" fontId="119" fillId="0" borderId="0"/>
    <xf numFmtId="221" fontId="119" fillId="0" borderId="0"/>
    <xf numFmtId="221" fontId="120" fillId="0" borderId="1">
      <alignment horizontal="right"/>
    </xf>
    <xf numFmtId="259" fontId="99" fillId="0" borderId="0">
      <alignment horizontal="center"/>
    </xf>
    <xf numFmtId="260" fontId="121" fillId="0" borderId="0">
      <alignment horizontal="center"/>
    </xf>
    <xf numFmtId="221" fontId="122" fillId="0" borderId="0" applyNumberFormat="0" applyFill="0" applyBorder="0" applyAlignment="0" applyProtection="0"/>
    <xf numFmtId="221" fontId="123" fillId="0" borderId="0" applyNumberFormat="0" applyBorder="0" applyAlignment="0"/>
    <xf numFmtId="221" fontId="124" fillId="0" borderId="0" applyNumberFormat="0" applyBorder="0" applyAlignment="0"/>
    <xf numFmtId="221" fontId="101" fillId="7" borderId="0" applyNumberFormat="0" applyFont="0" applyBorder="0" applyAlignment="0" applyProtection="0"/>
    <xf numFmtId="240" fontId="125" fillId="0" borderId="16" applyNumberFormat="0" applyFont="0" applyFill="0" applyAlignment="0" applyProtection="0"/>
    <xf numFmtId="221" fontId="126" fillId="0" borderId="0" applyFill="0" applyBorder="0" applyProtection="0">
      <alignment horizontal="left" vertical="top"/>
    </xf>
    <xf numFmtId="221" fontId="127" fillId="0" borderId="0" applyAlignment="0">
      <alignment horizontal="centerContinuous"/>
    </xf>
    <xf numFmtId="221" fontId="45" fillId="0" borderId="10" applyNumberFormat="0" applyFont="0" applyFill="0" applyAlignment="0" applyProtection="0"/>
    <xf numFmtId="221" fontId="128" fillId="0" borderId="0" applyNumberFormat="0" applyFill="0" applyBorder="0" applyAlignment="0" applyProtection="0"/>
    <xf numFmtId="261" fontId="96" fillId="0" borderId="0" applyFont="0" applyFill="0" applyBorder="0" applyAlignment="0" applyProtection="0"/>
    <xf numFmtId="262" fontId="96" fillId="0" borderId="0" applyFont="0" applyFill="0" applyBorder="0" applyAlignment="0" applyProtection="0"/>
    <xf numFmtId="263" fontId="96" fillId="0" borderId="0" applyFont="0" applyFill="0" applyBorder="0" applyAlignment="0" applyProtection="0"/>
    <xf numFmtId="264" fontId="96" fillId="0" borderId="0" applyFont="0" applyFill="0" applyBorder="0" applyAlignment="0" applyProtection="0"/>
    <xf numFmtId="265" fontId="96" fillId="0" borderId="0" applyFont="0" applyFill="0" applyBorder="0" applyAlignment="0" applyProtection="0"/>
    <xf numFmtId="266" fontId="96" fillId="0" borderId="0" applyFont="0" applyFill="0" applyBorder="0" applyAlignment="0" applyProtection="0"/>
    <xf numFmtId="267" fontId="96" fillId="0" borderId="0" applyFont="0" applyFill="0" applyBorder="0" applyAlignment="0" applyProtection="0"/>
    <xf numFmtId="268" fontId="96" fillId="0" borderId="0" applyFont="0" applyFill="0" applyBorder="0" applyAlignment="0" applyProtection="0"/>
    <xf numFmtId="269" fontId="129" fillId="7" borderId="21" applyFont="0" applyFill="0" applyBorder="0" applyAlignment="0" applyProtection="0"/>
    <xf numFmtId="269" fontId="80" fillId="0" borderId="0" applyFont="0" applyFill="0" applyBorder="0" applyAlignment="0" applyProtection="0"/>
    <xf numFmtId="270" fontId="93" fillId="0" borderId="0" applyFont="0" applyFill="0" applyBorder="0" applyAlignment="0" applyProtection="0"/>
    <xf numFmtId="271" fontId="99" fillId="0" borderId="16" applyFont="0" applyFill="0" applyBorder="0" applyAlignment="0" applyProtection="0">
      <alignment horizontal="right"/>
      <protection locked="0"/>
    </xf>
    <xf numFmtId="173" fontId="34" fillId="0" borderId="0" applyProtection="0"/>
    <xf numFmtId="221" fontId="132" fillId="0" borderId="0"/>
    <xf numFmtId="43" fontId="34" fillId="0" borderId="0" applyFont="0" applyFill="0" applyBorder="0" applyAlignment="0" applyProtection="0"/>
    <xf numFmtId="221" fontId="33" fillId="0" borderId="0"/>
    <xf numFmtId="221" fontId="138" fillId="0" borderId="0"/>
    <xf numFmtId="221" fontId="142" fillId="0" borderId="0"/>
    <xf numFmtId="43" fontId="45" fillId="0" borderId="0" applyFont="0" applyFill="0" applyBorder="0" applyAlignment="0" applyProtection="0"/>
    <xf numFmtId="44" fontId="45"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221" fontId="45" fillId="0" borderId="0"/>
    <xf numFmtId="221" fontId="32" fillId="0" borderId="0"/>
    <xf numFmtId="221" fontId="142" fillId="0" borderId="0"/>
    <xf numFmtId="221" fontId="142" fillId="0" borderId="0"/>
    <xf numFmtId="221" fontId="45" fillId="0" borderId="0"/>
    <xf numFmtId="44" fontId="45" fillId="0" borderId="0" applyFont="0" applyFill="0" applyBorder="0" applyAlignment="0" applyProtection="0"/>
    <xf numFmtId="221" fontId="45" fillId="0" borderId="0"/>
    <xf numFmtId="44" fontId="45" fillId="0" borderId="0" applyFont="0" applyFill="0" applyBorder="0" applyAlignment="0" applyProtection="0"/>
    <xf numFmtId="221" fontId="45" fillId="0" borderId="0"/>
    <xf numFmtId="44" fontId="45" fillId="0" borderId="0" applyFont="0" applyFill="0" applyBorder="0" applyAlignment="0" applyProtection="0"/>
    <xf numFmtId="221" fontId="45" fillId="0" borderId="0"/>
    <xf numFmtId="44" fontId="45" fillId="0" borderId="0" applyFont="0" applyFill="0" applyBorder="0" applyAlignment="0" applyProtection="0"/>
    <xf numFmtId="221" fontId="45" fillId="0" borderId="0"/>
    <xf numFmtId="44" fontId="45" fillId="0" borderId="0" applyFont="0" applyFill="0" applyBorder="0" applyAlignment="0" applyProtection="0"/>
    <xf numFmtId="221" fontId="45" fillId="0" borderId="0"/>
    <xf numFmtId="44" fontId="45" fillId="0" borderId="0" applyFont="0" applyFill="0" applyBorder="0" applyAlignment="0" applyProtection="0"/>
    <xf numFmtId="43" fontId="45" fillId="0" borderId="0" applyFont="0" applyFill="0" applyBorder="0" applyAlignment="0" applyProtection="0"/>
    <xf numFmtId="221" fontId="45" fillId="0" borderId="0"/>
    <xf numFmtId="43" fontId="45" fillId="0" borderId="0" applyFont="0" applyFill="0" applyBorder="0" applyAlignment="0" applyProtection="0"/>
    <xf numFmtId="221" fontId="31" fillId="0" borderId="0"/>
    <xf numFmtId="221" fontId="30" fillId="0" borderId="0"/>
    <xf numFmtId="221" fontId="142" fillId="0" borderId="0"/>
    <xf numFmtId="43" fontId="14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221" fontId="30" fillId="0" borderId="0"/>
    <xf numFmtId="43" fontId="45" fillId="0" borderId="0" applyFont="0" applyFill="0" applyBorder="0" applyAlignment="0" applyProtection="0"/>
    <xf numFmtId="221" fontId="45" fillId="0" borderId="0"/>
    <xf numFmtId="221" fontId="45" fillId="0" borderId="0"/>
    <xf numFmtId="221" fontId="45" fillId="0" borderId="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221" fontId="29" fillId="0" borderId="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221" fontId="28" fillId="0" borderId="0"/>
    <xf numFmtId="43" fontId="45" fillId="0" borderId="0" applyFont="0" applyFill="0" applyBorder="0" applyAlignment="0" applyProtection="0"/>
    <xf numFmtId="221" fontId="27" fillId="0" borderId="0"/>
    <xf numFmtId="43" fontId="45" fillId="0" borderId="0" applyFont="0" applyFill="0" applyBorder="0" applyAlignment="0" applyProtection="0"/>
    <xf numFmtId="221" fontId="45" fillId="0" borderId="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221" fontId="45" fillId="0" borderId="0"/>
    <xf numFmtId="43"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43" fontId="142" fillId="0" borderId="0" applyFont="0" applyFill="0" applyBorder="0" applyAlignment="0" applyProtection="0"/>
    <xf numFmtId="221" fontId="66" fillId="0" borderId="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221" fontId="26" fillId="0" borderId="0"/>
    <xf numFmtId="221" fontId="45" fillId="0" borderId="0"/>
    <xf numFmtId="221" fontId="26" fillId="0" borderId="0"/>
    <xf numFmtId="43" fontId="45" fillId="0" borderId="0" applyFont="0" applyFill="0" applyBorder="0" applyAlignment="0" applyProtection="0"/>
    <xf numFmtId="221" fontId="26" fillId="0" borderId="0"/>
    <xf numFmtId="221" fontId="26" fillId="0" borderId="0"/>
    <xf numFmtId="43" fontId="45" fillId="0" borderId="0" applyFont="0" applyFill="0" applyBorder="0" applyAlignment="0" applyProtection="0"/>
    <xf numFmtId="221" fontId="26" fillId="0" borderId="0"/>
    <xf numFmtId="43" fontId="45" fillId="0" borderId="0" applyFont="0" applyFill="0" applyBorder="0" applyAlignment="0" applyProtection="0"/>
    <xf numFmtId="221" fontId="26" fillId="0" borderId="0"/>
    <xf numFmtId="221" fontId="26" fillId="0" borderId="0"/>
    <xf numFmtId="221" fontId="26" fillId="0" borderId="0"/>
    <xf numFmtId="221" fontId="26" fillId="0" borderId="0"/>
    <xf numFmtId="221" fontId="26" fillId="0" borderId="0"/>
    <xf numFmtId="43" fontId="45" fillId="0" borderId="0" applyFont="0" applyFill="0" applyBorder="0" applyAlignment="0" applyProtection="0"/>
    <xf numFmtId="221" fontId="26" fillId="0" borderId="0"/>
    <xf numFmtId="43" fontId="45" fillId="0" borderId="0" applyFont="0" applyFill="0" applyBorder="0" applyAlignment="0" applyProtection="0"/>
    <xf numFmtId="221" fontId="26" fillId="0" borderId="0"/>
    <xf numFmtId="221" fontId="26" fillId="0" borderId="0"/>
    <xf numFmtId="221" fontId="26" fillId="0" borderId="0"/>
    <xf numFmtId="221" fontId="26" fillId="0" borderId="0"/>
    <xf numFmtId="221" fontId="26" fillId="0" borderId="0"/>
    <xf numFmtId="43" fontId="45" fillId="0" borderId="0" applyFont="0" applyFill="0" applyBorder="0" applyAlignment="0" applyProtection="0"/>
    <xf numFmtId="221" fontId="26" fillId="0" borderId="0"/>
    <xf numFmtId="221" fontId="26" fillId="0" borderId="0"/>
    <xf numFmtId="221" fontId="26" fillId="0" borderId="0"/>
    <xf numFmtId="221" fontId="26" fillId="0" borderId="0"/>
    <xf numFmtId="221" fontId="26" fillId="0" borderId="0"/>
    <xf numFmtId="221" fontId="26" fillId="0" borderId="0"/>
    <xf numFmtId="221" fontId="26" fillId="0" borderId="0"/>
    <xf numFmtId="221" fontId="26" fillId="0" borderId="0"/>
    <xf numFmtId="43" fontId="45" fillId="0" borderId="0" applyFont="0" applyFill="0" applyBorder="0" applyAlignment="0" applyProtection="0"/>
    <xf numFmtId="43" fontId="45" fillId="0" borderId="0" applyFont="0" applyFill="0" applyBorder="0" applyAlignment="0" applyProtection="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221" fontId="25" fillId="0" borderId="0"/>
    <xf numFmtId="43" fontId="45" fillId="0" borderId="0" applyFont="0" applyFill="0" applyBorder="0" applyAlignment="0" applyProtection="0"/>
    <xf numFmtId="221" fontId="24" fillId="0" borderId="0"/>
    <xf numFmtId="221" fontId="24" fillId="0" borderId="0"/>
    <xf numFmtId="221" fontId="24" fillId="0" borderId="0"/>
    <xf numFmtId="221" fontId="24" fillId="0" borderId="0"/>
    <xf numFmtId="221" fontId="24" fillId="0" borderId="0"/>
    <xf numFmtId="221" fontId="24" fillId="0" borderId="0"/>
    <xf numFmtId="221" fontId="24" fillId="0" borderId="0"/>
    <xf numFmtId="221" fontId="24" fillId="0" borderId="0"/>
    <xf numFmtId="221" fontId="150" fillId="0" borderId="0" applyNumberFormat="0" applyFill="0" applyBorder="0" applyAlignment="0" applyProtection="0"/>
    <xf numFmtId="221" fontId="151" fillId="0" borderId="26" applyNumberFormat="0" applyFill="0" applyAlignment="0" applyProtection="0"/>
    <xf numFmtId="221" fontId="152" fillId="0" borderId="27" applyNumberFormat="0" applyFill="0" applyAlignment="0" applyProtection="0"/>
    <xf numFmtId="221" fontId="153" fillId="0" borderId="28" applyNumberFormat="0" applyFill="0" applyAlignment="0" applyProtection="0"/>
    <xf numFmtId="221" fontId="153" fillId="0" borderId="0" applyNumberFormat="0" applyFill="0" applyBorder="0" applyAlignment="0" applyProtection="0"/>
    <xf numFmtId="221" fontId="154" fillId="17" borderId="0" applyNumberFormat="0" applyBorder="0" applyAlignment="0" applyProtection="0"/>
    <xf numFmtId="221" fontId="155" fillId="18" borderId="0" applyNumberFormat="0" applyBorder="0" applyAlignment="0" applyProtection="0"/>
    <xf numFmtId="221" fontId="156" fillId="19" borderId="0" applyNumberFormat="0" applyBorder="0" applyAlignment="0" applyProtection="0"/>
    <xf numFmtId="221" fontId="157" fillId="20" borderId="29" applyNumberFormat="0" applyAlignment="0" applyProtection="0"/>
    <xf numFmtId="221" fontId="158" fillId="21" borderId="30" applyNumberFormat="0" applyAlignment="0" applyProtection="0"/>
    <xf numFmtId="221" fontId="159" fillId="21" borderId="29" applyNumberFormat="0" applyAlignment="0" applyProtection="0"/>
    <xf numFmtId="221" fontId="160" fillId="0" borderId="31" applyNumberFormat="0" applyFill="0" applyAlignment="0" applyProtection="0"/>
    <xf numFmtId="221" fontId="161" fillId="22" borderId="32" applyNumberFormat="0" applyAlignment="0" applyProtection="0"/>
    <xf numFmtId="221" fontId="162" fillId="0" borderId="0" applyNumberFormat="0" applyFill="0" applyBorder="0" applyAlignment="0" applyProtection="0"/>
    <xf numFmtId="221" fontId="163" fillId="0" borderId="0" applyNumberFormat="0" applyFill="0" applyBorder="0" applyAlignment="0" applyProtection="0"/>
    <xf numFmtId="221" fontId="164" fillId="0" borderId="34" applyNumberFormat="0" applyFill="0" applyAlignment="0" applyProtection="0"/>
    <xf numFmtId="221" fontId="165" fillId="24" borderId="0" applyNumberFormat="0" applyBorder="0" applyAlignment="0" applyProtection="0"/>
    <xf numFmtId="221" fontId="23" fillId="25" borderId="0" applyNumberFormat="0" applyBorder="0" applyAlignment="0" applyProtection="0"/>
    <xf numFmtId="221" fontId="23" fillId="26" borderId="0" applyNumberFormat="0" applyBorder="0" applyAlignment="0" applyProtection="0"/>
    <xf numFmtId="221" fontId="165" fillId="27" borderId="0" applyNumberFormat="0" applyBorder="0" applyAlignment="0" applyProtection="0"/>
    <xf numFmtId="221" fontId="165" fillId="28" borderId="0" applyNumberFormat="0" applyBorder="0" applyAlignment="0" applyProtection="0"/>
    <xf numFmtId="221" fontId="23" fillId="29" borderId="0" applyNumberFormat="0" applyBorder="0" applyAlignment="0" applyProtection="0"/>
    <xf numFmtId="221" fontId="23" fillId="30" borderId="0" applyNumberFormat="0" applyBorder="0" applyAlignment="0" applyProtection="0"/>
    <xf numFmtId="221" fontId="165" fillId="31" borderId="0" applyNumberFormat="0" applyBorder="0" applyAlignment="0" applyProtection="0"/>
    <xf numFmtId="221" fontId="165" fillId="32" borderId="0" applyNumberFormat="0" applyBorder="0" applyAlignment="0" applyProtection="0"/>
    <xf numFmtId="221" fontId="23" fillId="33" borderId="0" applyNumberFormat="0" applyBorder="0" applyAlignment="0" applyProtection="0"/>
    <xf numFmtId="221" fontId="23" fillId="34" borderId="0" applyNumberFormat="0" applyBorder="0" applyAlignment="0" applyProtection="0"/>
    <xf numFmtId="221" fontId="165" fillId="35" borderId="0" applyNumberFormat="0" applyBorder="0" applyAlignment="0" applyProtection="0"/>
    <xf numFmtId="221" fontId="165" fillId="36" borderId="0" applyNumberFormat="0" applyBorder="0" applyAlignment="0" applyProtection="0"/>
    <xf numFmtId="221" fontId="23" fillId="37" borderId="0" applyNumberFormat="0" applyBorder="0" applyAlignment="0" applyProtection="0"/>
    <xf numFmtId="221" fontId="23" fillId="38" borderId="0" applyNumberFormat="0" applyBorder="0" applyAlignment="0" applyProtection="0"/>
    <xf numFmtId="221" fontId="165" fillId="39" borderId="0" applyNumberFormat="0" applyBorder="0" applyAlignment="0" applyProtection="0"/>
    <xf numFmtId="221" fontId="165" fillId="40" borderId="0" applyNumberFormat="0" applyBorder="0" applyAlignment="0" applyProtection="0"/>
    <xf numFmtId="221" fontId="23" fillId="41" borderId="0" applyNumberFormat="0" applyBorder="0" applyAlignment="0" applyProtection="0"/>
    <xf numFmtId="221" fontId="23" fillId="42" borderId="0" applyNumberFormat="0" applyBorder="0" applyAlignment="0" applyProtection="0"/>
    <xf numFmtId="221" fontId="165" fillId="43" borderId="0" applyNumberFormat="0" applyBorder="0" applyAlignment="0" applyProtection="0"/>
    <xf numFmtId="221" fontId="165" fillId="44" borderId="0" applyNumberFormat="0" applyBorder="0" applyAlignment="0" applyProtection="0"/>
    <xf numFmtId="221" fontId="23" fillId="45" borderId="0" applyNumberFormat="0" applyBorder="0" applyAlignment="0" applyProtection="0"/>
    <xf numFmtId="221" fontId="23" fillId="46" borderId="0" applyNumberFormat="0" applyBorder="0" applyAlignment="0" applyProtection="0"/>
    <xf numFmtId="221" fontId="165" fillId="47" borderId="0" applyNumberFormat="0" applyBorder="0" applyAlignment="0" applyProtection="0"/>
    <xf numFmtId="221" fontId="23" fillId="0" borderId="0"/>
    <xf numFmtId="221" fontId="23" fillId="0" borderId="0"/>
    <xf numFmtId="221" fontId="23" fillId="0" borderId="0"/>
    <xf numFmtId="221" fontId="23" fillId="0" borderId="0"/>
    <xf numFmtId="221" fontId="23" fillId="23" borderId="33" applyNumberFormat="0" applyFont="0" applyAlignment="0" applyProtection="0"/>
    <xf numFmtId="221" fontId="23" fillId="0" borderId="0"/>
    <xf numFmtId="221" fontId="23" fillId="0" borderId="0"/>
    <xf numFmtId="221" fontId="23" fillId="0" borderId="0"/>
    <xf numFmtId="221" fontId="23" fillId="0" borderId="0"/>
    <xf numFmtId="221" fontId="23" fillId="0" borderId="0"/>
    <xf numFmtId="221" fontId="23" fillId="0" borderId="0"/>
    <xf numFmtId="221"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221" fontId="22" fillId="0" borderId="0"/>
    <xf numFmtId="0" fontId="23" fillId="0" borderId="0"/>
    <xf numFmtId="0" fontId="45" fillId="0" borderId="0"/>
    <xf numFmtId="44" fontId="23" fillId="0" borderId="0" applyFont="0" applyFill="0" applyBorder="0" applyAlignment="0" applyProtection="0"/>
    <xf numFmtId="9" fontId="23" fillId="0" borderId="0" applyFont="0" applyFill="0" applyBorder="0" applyAlignment="0" applyProtection="0"/>
    <xf numFmtId="0" fontId="45" fillId="0" borderId="0"/>
    <xf numFmtId="0" fontId="168" fillId="53" borderId="0" applyNumberFormat="0" applyBorder="0" applyAlignment="0" applyProtection="0"/>
    <xf numFmtId="0" fontId="168" fillId="5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168" fillId="53" borderId="0" applyNumberFormat="0" applyBorder="0" applyAlignment="0" applyProtection="0"/>
    <xf numFmtId="0" fontId="168" fillId="5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168" fillId="54" borderId="0" applyNumberFormat="0" applyBorder="0" applyAlignment="0" applyProtection="0"/>
    <xf numFmtId="0" fontId="168" fillId="54"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168" fillId="54" borderId="0" applyNumberFormat="0" applyBorder="0" applyAlignment="0" applyProtection="0"/>
    <xf numFmtId="0" fontId="168" fillId="54"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168" fillId="55" borderId="0" applyNumberFormat="0" applyBorder="0" applyAlignment="0" applyProtection="0"/>
    <xf numFmtId="0" fontId="168" fillId="55"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168" fillId="55" borderId="0" applyNumberFormat="0" applyBorder="0" applyAlignment="0" applyProtection="0"/>
    <xf numFmtId="0" fontId="168" fillId="55"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168" fillId="58" borderId="0" applyNumberFormat="0" applyBorder="0" applyAlignment="0" applyProtection="0"/>
    <xf numFmtId="0" fontId="168" fillId="58"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168" fillId="58" borderId="0" applyNumberFormat="0" applyBorder="0" applyAlignment="0" applyProtection="0"/>
    <xf numFmtId="0" fontId="168" fillId="58"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168" fillId="48" borderId="0" applyNumberFormat="0" applyBorder="0" applyAlignment="0" applyProtection="0"/>
    <xf numFmtId="0" fontId="168" fillId="48"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168" fillId="48" borderId="0" applyNumberFormat="0" applyBorder="0" applyAlignment="0" applyProtection="0"/>
    <xf numFmtId="0" fontId="168" fillId="48"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168" fillId="59" borderId="0" applyNumberFormat="0" applyBorder="0" applyAlignment="0" applyProtection="0"/>
    <xf numFmtId="0" fontId="168" fillId="59"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168" fillId="59" borderId="0" applyNumberFormat="0" applyBorder="0" applyAlignment="0" applyProtection="0"/>
    <xf numFmtId="0" fontId="168" fillId="59"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168" fillId="49" borderId="0" applyNumberFormat="0" applyBorder="0" applyAlignment="0" applyProtection="0"/>
    <xf numFmtId="0" fontId="168" fillId="49"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168" fillId="49" borderId="0" applyNumberFormat="0" applyBorder="0" applyAlignment="0" applyProtection="0"/>
    <xf numFmtId="0" fontId="168" fillId="49"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168" fillId="50" borderId="0" applyNumberFormat="0" applyBorder="0" applyAlignment="0" applyProtection="0"/>
    <xf numFmtId="0" fontId="168" fillId="50"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168" fillId="50" borderId="0" applyNumberFormat="0" applyBorder="0" applyAlignment="0" applyProtection="0"/>
    <xf numFmtId="0" fontId="168" fillId="50"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168" fillId="60" borderId="0" applyNumberFormat="0" applyBorder="0" applyAlignment="0" applyProtection="0"/>
    <xf numFmtId="0" fontId="168" fillId="60"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168" fillId="60" borderId="0" applyNumberFormat="0" applyBorder="0" applyAlignment="0" applyProtection="0"/>
    <xf numFmtId="0" fontId="168" fillId="60"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168" fillId="51" borderId="0" applyNumberFormat="0" applyBorder="0" applyAlignment="0" applyProtection="0"/>
    <xf numFmtId="0" fontId="168" fillId="51"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168" fillId="51" borderId="0" applyNumberFormat="0" applyBorder="0" applyAlignment="0" applyProtection="0"/>
    <xf numFmtId="0" fontId="168" fillId="51"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169" fillId="61" borderId="0" applyNumberFormat="0" applyBorder="0" applyAlignment="0" applyProtection="0"/>
    <xf numFmtId="0" fontId="169" fillId="61" borderId="0" applyNumberFormat="0" applyBorder="0" applyAlignment="0" applyProtection="0"/>
    <xf numFmtId="0" fontId="169" fillId="61" borderId="0" applyNumberFormat="0" applyBorder="0" applyAlignment="0" applyProtection="0"/>
    <xf numFmtId="0" fontId="169" fillId="61" borderId="0" applyNumberFormat="0" applyBorder="0" applyAlignment="0" applyProtection="0"/>
    <xf numFmtId="0" fontId="165" fillId="62" borderId="0" applyNumberFormat="0" applyBorder="0" applyAlignment="0" applyProtection="0"/>
    <xf numFmtId="0" fontId="169" fillId="63" borderId="0" applyNumberFormat="0" applyBorder="0" applyAlignment="0" applyProtection="0"/>
    <xf numFmtId="0" fontId="169" fillId="63" borderId="0" applyNumberFormat="0" applyBorder="0" applyAlignment="0" applyProtection="0"/>
    <xf numFmtId="0" fontId="169" fillId="63" borderId="0" applyNumberFormat="0" applyBorder="0" applyAlignment="0" applyProtection="0"/>
    <xf numFmtId="0" fontId="169" fillId="63" borderId="0" applyNumberFormat="0" applyBorder="0" applyAlignment="0" applyProtection="0"/>
    <xf numFmtId="0" fontId="165" fillId="64" borderId="0" applyNumberFormat="0" applyBorder="0" applyAlignment="0" applyProtection="0"/>
    <xf numFmtId="0" fontId="169" fillId="65" borderId="0" applyNumberFormat="0" applyBorder="0" applyAlignment="0" applyProtection="0"/>
    <xf numFmtId="0" fontId="169" fillId="65" borderId="0" applyNumberFormat="0" applyBorder="0" applyAlignment="0" applyProtection="0"/>
    <xf numFmtId="0" fontId="169" fillId="65" borderId="0" applyNumberFormat="0" applyBorder="0" applyAlignment="0" applyProtection="0"/>
    <xf numFmtId="0" fontId="169" fillId="65" borderId="0" applyNumberFormat="0" applyBorder="0" applyAlignment="0" applyProtection="0"/>
    <xf numFmtId="0" fontId="165" fillId="66" borderId="0" applyNumberFormat="0" applyBorder="0" applyAlignment="0" applyProtection="0"/>
    <xf numFmtId="0" fontId="169" fillId="67" borderId="0" applyNumberFormat="0" applyBorder="0" applyAlignment="0" applyProtection="0"/>
    <xf numFmtId="0" fontId="169" fillId="67" borderId="0" applyNumberFormat="0" applyBorder="0" applyAlignment="0" applyProtection="0"/>
    <xf numFmtId="0" fontId="169" fillId="67" borderId="0" applyNumberFormat="0" applyBorder="0" applyAlignment="0" applyProtection="0"/>
    <xf numFmtId="0" fontId="169" fillId="67" borderId="0" applyNumberFormat="0" applyBorder="0" applyAlignment="0" applyProtection="0"/>
    <xf numFmtId="0" fontId="165" fillId="68" borderId="0" applyNumberFormat="0" applyBorder="0" applyAlignment="0" applyProtection="0"/>
    <xf numFmtId="0" fontId="169" fillId="69" borderId="0" applyNumberFormat="0" applyBorder="0" applyAlignment="0" applyProtection="0"/>
    <xf numFmtId="0" fontId="169" fillId="69" borderId="0" applyNumberFormat="0" applyBorder="0" applyAlignment="0" applyProtection="0"/>
    <xf numFmtId="0" fontId="169" fillId="69" borderId="0" applyNumberFormat="0" applyBorder="0" applyAlignment="0" applyProtection="0"/>
    <xf numFmtId="0" fontId="169" fillId="69" borderId="0" applyNumberFormat="0" applyBorder="0" applyAlignment="0" applyProtection="0"/>
    <xf numFmtId="0" fontId="165" fillId="70" borderId="0" applyNumberFormat="0" applyBorder="0" applyAlignment="0" applyProtection="0"/>
    <xf numFmtId="0" fontId="169" fillId="71" borderId="0" applyNumberFormat="0" applyBorder="0" applyAlignment="0" applyProtection="0"/>
    <xf numFmtId="0" fontId="169" fillId="71" borderId="0" applyNumberFormat="0" applyBorder="0" applyAlignment="0" applyProtection="0"/>
    <xf numFmtId="0" fontId="169" fillId="71" borderId="0" applyNumberFormat="0" applyBorder="0" applyAlignment="0" applyProtection="0"/>
    <xf numFmtId="0" fontId="169" fillId="71" borderId="0" applyNumberFormat="0" applyBorder="0" applyAlignment="0" applyProtection="0"/>
    <xf numFmtId="0" fontId="165" fillId="72" borderId="0" applyNumberFormat="0" applyBorder="0" applyAlignment="0" applyProtection="0"/>
    <xf numFmtId="0" fontId="169" fillId="73" borderId="0" applyNumberFormat="0" applyBorder="0" applyAlignment="0" applyProtection="0"/>
    <xf numFmtId="0" fontId="169" fillId="73" borderId="0" applyNumberFormat="0" applyBorder="0" applyAlignment="0" applyProtection="0"/>
    <xf numFmtId="0" fontId="169" fillId="73" borderId="0" applyNumberFormat="0" applyBorder="0" applyAlignment="0" applyProtection="0"/>
    <xf numFmtId="0" fontId="169" fillId="73" borderId="0" applyNumberFormat="0" applyBorder="0" applyAlignment="0" applyProtection="0"/>
    <xf numFmtId="0" fontId="165" fillId="74" borderId="0" applyNumberFormat="0" applyBorder="0" applyAlignment="0" applyProtection="0"/>
    <xf numFmtId="0" fontId="169" fillId="75" borderId="0" applyNumberFormat="0" applyBorder="0" applyAlignment="0" applyProtection="0"/>
    <xf numFmtId="0" fontId="169" fillId="75" borderId="0" applyNumberFormat="0" applyBorder="0" applyAlignment="0" applyProtection="0"/>
    <xf numFmtId="0" fontId="169" fillId="75" borderId="0" applyNumberFormat="0" applyBorder="0" applyAlignment="0" applyProtection="0"/>
    <xf numFmtId="0" fontId="169" fillId="75" borderId="0" applyNumberFormat="0" applyBorder="0" applyAlignment="0" applyProtection="0"/>
    <xf numFmtId="0" fontId="165" fillId="76" borderId="0" applyNumberFormat="0" applyBorder="0" applyAlignment="0" applyProtection="0"/>
    <xf numFmtId="0" fontId="169" fillId="77" borderId="0" applyNumberFormat="0" applyBorder="0" applyAlignment="0" applyProtection="0"/>
    <xf numFmtId="0" fontId="169" fillId="77" borderId="0" applyNumberFormat="0" applyBorder="0" applyAlignment="0" applyProtection="0"/>
    <xf numFmtId="0" fontId="169" fillId="77" borderId="0" applyNumberFormat="0" applyBorder="0" applyAlignment="0" applyProtection="0"/>
    <xf numFmtId="0" fontId="169" fillId="77" borderId="0" applyNumberFormat="0" applyBorder="0" applyAlignment="0" applyProtection="0"/>
    <xf numFmtId="0" fontId="165" fillId="78" borderId="0" applyNumberFormat="0" applyBorder="0" applyAlignment="0" applyProtection="0"/>
    <xf numFmtId="0" fontId="169" fillId="79" borderId="0" applyNumberFormat="0" applyBorder="0" applyAlignment="0" applyProtection="0"/>
    <xf numFmtId="0" fontId="169" fillId="79" borderId="0" applyNumberFormat="0" applyBorder="0" applyAlignment="0" applyProtection="0"/>
    <xf numFmtId="0" fontId="169" fillId="79" borderId="0" applyNumberFormat="0" applyBorder="0" applyAlignment="0" applyProtection="0"/>
    <xf numFmtId="0" fontId="169" fillId="79" borderId="0" applyNumberFormat="0" applyBorder="0" applyAlignment="0" applyProtection="0"/>
    <xf numFmtId="0" fontId="165" fillId="68" borderId="0" applyNumberFormat="0" applyBorder="0" applyAlignment="0" applyProtection="0"/>
    <xf numFmtId="0" fontId="169" fillId="80" borderId="0" applyNumberFormat="0" applyBorder="0" applyAlignment="0" applyProtection="0"/>
    <xf numFmtId="0" fontId="169" fillId="80" borderId="0" applyNumberFormat="0" applyBorder="0" applyAlignment="0" applyProtection="0"/>
    <xf numFmtId="0" fontId="169" fillId="80" borderId="0" applyNumberFormat="0" applyBorder="0" applyAlignment="0" applyProtection="0"/>
    <xf numFmtId="0" fontId="169" fillId="80" borderId="0" applyNumberFormat="0" applyBorder="0" applyAlignment="0" applyProtection="0"/>
    <xf numFmtId="0" fontId="169" fillId="81" borderId="0" applyNumberFormat="0" applyBorder="0" applyAlignment="0" applyProtection="0"/>
    <xf numFmtId="0" fontId="169" fillId="81" borderId="0" applyNumberFormat="0" applyBorder="0" applyAlignment="0" applyProtection="0"/>
    <xf numFmtId="0" fontId="169" fillId="81" borderId="0" applyNumberFormat="0" applyBorder="0" applyAlignment="0" applyProtection="0"/>
    <xf numFmtId="0" fontId="169" fillId="81" borderId="0" applyNumberFormat="0" applyBorder="0" applyAlignment="0" applyProtection="0"/>
    <xf numFmtId="0" fontId="165" fillId="82" borderId="0" applyNumberFormat="0" applyBorder="0" applyAlignment="0" applyProtection="0"/>
    <xf numFmtId="275" fontId="45" fillId="83" borderId="35">
      <alignment horizontal="center" vertical="center"/>
    </xf>
    <xf numFmtId="0" fontId="170" fillId="84" borderId="0" applyNumberFormat="0" applyBorder="0" applyAlignment="0" applyProtection="0"/>
    <xf numFmtId="0" fontId="170" fillId="84" borderId="0" applyNumberFormat="0" applyBorder="0" applyAlignment="0" applyProtection="0"/>
    <xf numFmtId="0" fontId="170" fillId="84" borderId="0" applyNumberFormat="0" applyBorder="0" applyAlignment="0" applyProtection="0"/>
    <xf numFmtId="0" fontId="170" fillId="84" borderId="0" applyNumberFormat="0" applyBorder="0" applyAlignment="0" applyProtection="0"/>
    <xf numFmtId="0" fontId="155" fillId="85" borderId="0" applyNumberFormat="0" applyBorder="0" applyAlignment="0" applyProtection="0"/>
    <xf numFmtId="49" fontId="171" fillId="0" borderId="0" applyFont="0" applyFill="0" applyBorder="0" applyAlignment="0" applyProtection="0">
      <alignment horizontal="left"/>
    </xf>
    <xf numFmtId="276" fontId="77" fillId="0" borderId="0" applyAlignment="0" applyProtection="0"/>
    <xf numFmtId="258" fontId="58" fillId="0" borderId="0" applyFill="0" applyBorder="0" applyAlignment="0" applyProtection="0"/>
    <xf numFmtId="49" fontId="58" fillId="0" borderId="0" applyNumberFormat="0" applyAlignment="0" applyProtection="0">
      <alignment horizontal="left"/>
    </xf>
    <xf numFmtId="49" fontId="172" fillId="0" borderId="36" applyNumberFormat="0" applyAlignment="0" applyProtection="0">
      <alignment horizontal="left" wrapText="1"/>
    </xf>
    <xf numFmtId="49" fontId="172" fillId="0" borderId="0" applyNumberFormat="0" applyAlignment="0" applyProtection="0">
      <alignment horizontal="left" wrapText="1"/>
    </xf>
    <xf numFmtId="49" fontId="173" fillId="0" borderId="0" applyAlignment="0" applyProtection="0">
      <alignment horizontal="left"/>
    </xf>
    <xf numFmtId="0" fontId="174" fillId="86" borderId="14" applyNumberFormat="0" applyAlignment="0" applyProtection="0"/>
    <xf numFmtId="0" fontId="174" fillId="86" borderId="14" applyNumberFormat="0" applyAlignment="0" applyProtection="0"/>
    <xf numFmtId="0" fontId="174" fillId="86" borderId="14" applyNumberFormat="0" applyAlignment="0" applyProtection="0"/>
    <xf numFmtId="0" fontId="174" fillId="86" borderId="14" applyNumberFormat="0" applyAlignment="0" applyProtection="0"/>
    <xf numFmtId="0" fontId="175" fillId="87" borderId="29" applyNumberFormat="0" applyAlignment="0" applyProtection="0"/>
    <xf numFmtId="0" fontId="123" fillId="0" borderId="0" applyAlignment="0"/>
    <xf numFmtId="0" fontId="176" fillId="88" borderId="37" applyNumberFormat="0" applyAlignment="0" applyProtection="0"/>
    <xf numFmtId="0" fontId="176" fillId="88" borderId="37" applyNumberFormat="0" applyAlignment="0" applyProtection="0"/>
    <xf numFmtId="0" fontId="176" fillId="88" borderId="37" applyNumberFormat="0" applyAlignment="0" applyProtection="0"/>
    <xf numFmtId="0" fontId="176" fillId="88" borderId="37" applyNumberFormat="0" applyAlignment="0" applyProtection="0"/>
    <xf numFmtId="0" fontId="58" fillId="0" borderId="0" applyBorder="0"/>
    <xf numFmtId="0" fontId="177" fillId="89" borderId="0" applyAlignment="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5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37" fillId="0" borderId="0" applyNumberFormat="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4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45" fillId="0" borderId="0" applyFont="0" applyFill="0" applyBorder="0" applyAlignment="0" applyProtection="0"/>
    <xf numFmtId="40" fontId="178" fillId="90" borderId="0">
      <alignment horizontal="right"/>
    </xf>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175" fontId="45" fillId="0" borderId="0"/>
    <xf numFmtId="0" fontId="180" fillId="91" borderId="0" applyNumberFormat="0" applyBorder="0" applyAlignment="0" applyProtection="0"/>
    <xf numFmtId="0" fontId="180" fillId="91" borderId="0" applyNumberFormat="0" applyBorder="0" applyAlignment="0" applyProtection="0"/>
    <xf numFmtId="0" fontId="180" fillId="91" borderId="0" applyNumberFormat="0" applyBorder="0" applyAlignment="0" applyProtection="0"/>
    <xf numFmtId="0" fontId="180" fillId="91" borderId="0" applyNumberFormat="0" applyBorder="0" applyAlignment="0" applyProtection="0"/>
    <xf numFmtId="0" fontId="154" fillId="92" borderId="0" applyNumberFormat="0" applyBorder="0" applyAlignment="0" applyProtection="0"/>
    <xf numFmtId="0" fontId="181" fillId="0" borderId="0" applyNumberFormat="0" applyFill="0" applyBorder="0" applyAlignment="0" applyProtection="0"/>
    <xf numFmtId="0" fontId="182" fillId="0" borderId="38" applyNumberFormat="0" applyFill="0" applyAlignment="0" applyProtection="0"/>
    <xf numFmtId="0" fontId="182" fillId="0" borderId="38" applyNumberFormat="0" applyFill="0" applyAlignment="0" applyProtection="0"/>
    <xf numFmtId="0" fontId="182" fillId="0" borderId="38" applyNumberFormat="0" applyFill="0" applyAlignment="0" applyProtection="0"/>
    <xf numFmtId="0" fontId="182" fillId="0" borderId="38" applyNumberFormat="0" applyFill="0" applyAlignment="0" applyProtection="0"/>
    <xf numFmtId="0" fontId="183" fillId="0" borderId="39" applyNumberFormat="0" applyFill="0" applyAlignment="0" applyProtection="0"/>
    <xf numFmtId="0" fontId="184" fillId="0" borderId="38" applyNumberFormat="0" applyFill="0" applyAlignment="0" applyProtection="0"/>
    <xf numFmtId="0" fontId="184" fillId="0" borderId="38" applyNumberFormat="0" applyFill="0" applyAlignment="0" applyProtection="0"/>
    <xf numFmtId="0" fontId="184" fillId="0" borderId="38" applyNumberFormat="0" applyFill="0" applyAlignment="0" applyProtection="0"/>
    <xf numFmtId="0" fontId="184" fillId="0" borderId="38" applyNumberFormat="0" applyFill="0" applyAlignment="0" applyProtection="0"/>
    <xf numFmtId="0" fontId="185" fillId="0" borderId="40" applyNumberFormat="0" applyFill="0" applyAlignment="0" applyProtection="0"/>
    <xf numFmtId="0" fontId="186" fillId="0" borderId="1" applyNumberFormat="0" applyFill="0" applyAlignment="0" applyProtection="0"/>
    <xf numFmtId="0" fontId="186" fillId="0" borderId="1" applyNumberFormat="0" applyFill="0" applyAlignment="0" applyProtection="0"/>
    <xf numFmtId="0" fontId="186" fillId="0" borderId="1" applyNumberFormat="0" applyFill="0" applyAlignment="0" applyProtection="0"/>
    <xf numFmtId="0" fontId="186" fillId="0" borderId="1" applyNumberFormat="0" applyFill="0" applyAlignment="0" applyProtection="0"/>
    <xf numFmtId="0" fontId="187" fillId="0" borderId="41" applyNumberFormat="0" applyFill="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188" fillId="0" borderId="0" applyNumberFormat="0" applyFill="0" applyBorder="0" applyAlignment="0" applyProtection="0">
      <alignment vertical="top"/>
      <protection locked="0"/>
    </xf>
    <xf numFmtId="0" fontId="189" fillId="5" borderId="0"/>
    <xf numFmtId="0" fontId="190" fillId="0" borderId="14" applyNumberFormat="0" applyFill="0" applyBorder="0" applyAlignment="0" applyProtection="0">
      <alignment horizontal="left" indent="3"/>
    </xf>
    <xf numFmtId="0" fontId="191" fillId="93" borderId="14" applyNumberFormat="0" applyAlignment="0" applyProtection="0"/>
    <xf numFmtId="0" fontId="191" fillId="93" borderId="14" applyNumberFormat="0" applyAlignment="0" applyProtection="0"/>
    <xf numFmtId="0" fontId="191" fillId="93" borderId="14" applyNumberFormat="0" applyAlignment="0" applyProtection="0"/>
    <xf numFmtId="0" fontId="157" fillId="87" borderId="29" applyNumberFormat="0" applyAlignment="0" applyProtection="0"/>
    <xf numFmtId="0" fontId="192" fillId="0" borderId="0" applyAlignment="0"/>
    <xf numFmtId="0" fontId="58" fillId="14" borderId="0"/>
    <xf numFmtId="0" fontId="193" fillId="0" borderId="2" applyNumberFormat="0" applyFill="0" applyAlignment="0" applyProtection="0"/>
    <xf numFmtId="0" fontId="193" fillId="0" borderId="2" applyNumberFormat="0" applyFill="0" applyAlignment="0" applyProtection="0"/>
    <xf numFmtId="0" fontId="193" fillId="0" borderId="2" applyNumberFormat="0" applyFill="0" applyAlignment="0" applyProtection="0"/>
    <xf numFmtId="0" fontId="193" fillId="0" borderId="2" applyNumberFormat="0" applyFill="0" applyAlignment="0" applyProtection="0"/>
    <xf numFmtId="0" fontId="194" fillId="0" borderId="42" applyNumberFormat="0" applyFill="0" applyAlignment="0" applyProtection="0"/>
    <xf numFmtId="277" fontId="58" fillId="0" borderId="0" applyFont="0" applyFill="0" applyBorder="0" applyAlignment="0" applyProtection="0"/>
    <xf numFmtId="277" fontId="58" fillId="0" borderId="0" applyFont="0" applyFill="0" applyBorder="0" applyAlignment="0" applyProtection="0"/>
    <xf numFmtId="0" fontId="195" fillId="94" borderId="0" applyNumberFormat="0" applyBorder="0" applyAlignment="0" applyProtection="0"/>
    <xf numFmtId="0" fontId="195" fillId="94" borderId="0" applyNumberFormat="0" applyBorder="0" applyAlignment="0" applyProtection="0"/>
    <xf numFmtId="0" fontId="195" fillId="94" borderId="0" applyNumberFormat="0" applyBorder="0" applyAlignment="0" applyProtection="0"/>
    <xf numFmtId="0" fontId="195" fillId="94" borderId="0" applyNumberFormat="0" applyBorder="0" applyAlignment="0" applyProtection="0"/>
    <xf numFmtId="0" fontId="196" fillId="19" borderId="0" applyNumberFormat="0" applyBorder="0" applyAlignment="0" applyProtection="0"/>
    <xf numFmtId="0" fontId="197" fillId="95" borderId="0" applyAlignment="0"/>
    <xf numFmtId="0" fontId="198" fillId="96" borderId="0" applyAlignment="0"/>
    <xf numFmtId="0" fontId="199" fillId="0" borderId="0" applyAlignment="0"/>
    <xf numFmtId="0" fontId="45" fillId="0" borderId="0"/>
    <xf numFmtId="0" fontId="4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5" fillId="0" borderId="0"/>
    <xf numFmtId="0" fontId="23" fillId="0" borderId="0"/>
    <xf numFmtId="0" fontId="23" fillId="0" borderId="0"/>
    <xf numFmtId="0" fontId="200" fillId="0" borderId="0"/>
    <xf numFmtId="0" fontId="2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8" fillId="0" borderId="0"/>
    <xf numFmtId="0" fontId="21" fillId="0" borderId="0"/>
    <xf numFmtId="0" fontId="21" fillId="0" borderId="0"/>
    <xf numFmtId="0" fontId="168" fillId="0" borderId="0"/>
    <xf numFmtId="0" fontId="21" fillId="0" borderId="0"/>
    <xf numFmtId="0" fontId="168" fillId="0" borderId="0"/>
    <xf numFmtId="0" fontId="2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0"/>
    <xf numFmtId="0" fontId="4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8" fillId="0" borderId="0"/>
    <xf numFmtId="0" fontId="23" fillId="0" borderId="0"/>
    <xf numFmtId="0" fontId="23" fillId="0" borderId="0"/>
    <xf numFmtId="0" fontId="23" fillId="0" borderId="0"/>
    <xf numFmtId="0" fontId="58" fillId="0" borderId="0"/>
    <xf numFmtId="0" fontId="23" fillId="0" borderId="0"/>
    <xf numFmtId="0" fontId="23" fillId="0" borderId="0"/>
    <xf numFmtId="0" fontId="23" fillId="0" borderId="0"/>
    <xf numFmtId="0" fontId="23" fillId="0" borderId="0"/>
    <xf numFmtId="0" fontId="23" fillId="0" borderId="0"/>
    <xf numFmtId="0" fontId="58" fillId="0" borderId="0"/>
    <xf numFmtId="0" fontId="45" fillId="0" borderId="0"/>
    <xf numFmtId="37" fontId="203" fillId="0" borderId="0"/>
    <xf numFmtId="0" fontId="4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45" fillId="0" borderId="0"/>
    <xf numFmtId="0" fontId="20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3" fillId="0" borderId="0"/>
    <xf numFmtId="0" fontId="23" fillId="0" borderId="0"/>
    <xf numFmtId="0" fontId="23" fillId="0" borderId="0"/>
    <xf numFmtId="0" fontId="45" fillId="0" borderId="0"/>
    <xf numFmtId="0" fontId="45" fillId="0" borderId="0"/>
    <xf numFmtId="0" fontId="45" fillId="0" borderId="0"/>
    <xf numFmtId="0" fontId="45" fillId="0" borderId="0"/>
    <xf numFmtId="0" fontId="45" fillId="0" borderId="0"/>
    <xf numFmtId="0" fontId="45" fillId="0" borderId="0"/>
    <xf numFmtId="0" fontId="201" fillId="0" borderId="0"/>
    <xf numFmtId="0" fontId="201" fillId="0" borderId="0"/>
    <xf numFmtId="0" fontId="201" fillId="0" borderId="0"/>
    <xf numFmtId="0" fontId="58" fillId="0" borderId="0"/>
    <xf numFmtId="0" fontId="201" fillId="0" borderId="0"/>
    <xf numFmtId="0" fontId="201" fillId="0" borderId="0"/>
    <xf numFmtId="0" fontId="201" fillId="0" borderId="0"/>
    <xf numFmtId="0" fontId="20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3" fillId="0" borderId="0"/>
    <xf numFmtId="0" fontId="21" fillId="0" borderId="0"/>
    <xf numFmtId="0" fontId="201" fillId="0" borderId="0"/>
    <xf numFmtId="0" fontId="201" fillId="0" borderId="0"/>
    <xf numFmtId="0" fontId="20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4" fillId="0" borderId="0"/>
    <xf numFmtId="0" fontId="5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5" fillId="0" borderId="0"/>
    <xf numFmtId="0" fontId="23" fillId="0" borderId="0"/>
    <xf numFmtId="0" fontId="23" fillId="0" borderId="0"/>
    <xf numFmtId="0" fontId="205" fillId="0" borderId="0"/>
    <xf numFmtId="0" fontId="23" fillId="0" borderId="0"/>
    <xf numFmtId="0" fontId="23" fillId="0" borderId="0"/>
    <xf numFmtId="0" fontId="205" fillId="0" borderId="0"/>
    <xf numFmtId="0" fontId="20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1" fillId="0" borderId="0"/>
    <xf numFmtId="0" fontId="2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168" fillId="11" borderId="14" applyNumberFormat="0" applyFont="0" applyAlignment="0" applyProtection="0"/>
    <xf numFmtId="0" fontId="23" fillId="23" borderId="33" applyNumberFormat="0" applyFont="0" applyAlignment="0" applyProtection="0"/>
    <xf numFmtId="0" fontId="23" fillId="23" borderId="33" applyNumberFormat="0" applyFont="0" applyAlignment="0" applyProtection="0"/>
    <xf numFmtId="0" fontId="168" fillId="11" borderId="14"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123" fillId="23" borderId="33" applyNumberFormat="0" applyFont="0" applyAlignment="0" applyProtection="0"/>
    <xf numFmtId="0" fontId="21" fillId="23" borderId="33" applyNumberFormat="0" applyFont="0" applyAlignment="0" applyProtection="0"/>
    <xf numFmtId="0" fontId="21" fillId="23" borderId="33" applyNumberFormat="0" applyFont="0" applyAlignment="0" applyProtection="0"/>
    <xf numFmtId="0" fontId="168" fillId="23" borderId="33" applyNumberFormat="0" applyFont="0" applyAlignment="0" applyProtection="0"/>
    <xf numFmtId="0" fontId="168" fillId="11" borderId="14" applyNumberFormat="0" applyFont="0" applyAlignment="0" applyProtection="0"/>
    <xf numFmtId="0" fontId="23" fillId="23" borderId="33" applyNumberFormat="0" applyFont="0" applyAlignment="0" applyProtection="0"/>
    <xf numFmtId="0" fontId="23" fillId="23" borderId="33" applyNumberFormat="0" applyFont="0" applyAlignment="0" applyProtection="0"/>
    <xf numFmtId="0" fontId="23" fillId="23" borderId="33" applyNumberFormat="0" applyFont="0" applyAlignment="0" applyProtection="0"/>
    <xf numFmtId="0" fontId="23" fillId="23" borderId="33" applyNumberFormat="0" applyFont="0" applyAlignment="0" applyProtection="0"/>
    <xf numFmtId="0" fontId="23" fillId="23" borderId="33" applyNumberFormat="0" applyFont="0" applyAlignment="0" applyProtection="0"/>
    <xf numFmtId="0" fontId="23" fillId="23" borderId="3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45" fillId="97" borderId="43" applyNumberFormat="0" applyFont="0" applyAlignment="0" applyProtection="0"/>
    <xf numFmtId="0" fontId="206" fillId="86" borderId="14" applyNumberFormat="0" applyAlignment="0" applyProtection="0"/>
    <xf numFmtId="0" fontId="206" fillId="86" borderId="14" applyNumberFormat="0" applyAlignment="0" applyProtection="0"/>
    <xf numFmtId="0" fontId="206" fillId="86" borderId="14" applyNumberFormat="0" applyAlignment="0" applyProtection="0"/>
    <xf numFmtId="0" fontId="206" fillId="86" borderId="14" applyNumberFormat="0" applyAlignment="0" applyProtection="0"/>
    <xf numFmtId="0" fontId="158" fillId="87" borderId="30" applyNumberFormat="0" applyAlignment="0" applyProtection="0"/>
    <xf numFmtId="0" fontId="207" fillId="0" borderId="0" applyBorder="0">
      <alignment horizontal="centerContinuous"/>
    </xf>
    <xf numFmtId="9" fontId="23" fillId="0" borderId="0" applyFont="0" applyFill="0" applyBorder="0" applyAlignment="0" applyProtection="0"/>
    <xf numFmtId="9" fontId="23"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0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58" fillId="0" borderId="0" applyFont="0" applyFill="0" applyBorder="0" applyAlignment="0" applyProtection="0"/>
    <xf numFmtId="278" fontId="208" fillId="0" borderId="17"/>
    <xf numFmtId="39" fontId="209" fillId="0" borderId="0"/>
    <xf numFmtId="0" fontId="210" fillId="98" borderId="0" applyAlignment="0"/>
    <xf numFmtId="279" fontId="58" fillId="0" borderId="0" applyFont="0" applyFill="0" applyBorder="0" applyAlignment="0" applyProtection="0"/>
    <xf numFmtId="279" fontId="58" fillId="0" borderId="0" applyFont="0" applyFill="0" applyBorder="0" applyAlignment="0" applyProtection="0"/>
    <xf numFmtId="0" fontId="211" fillId="0" borderId="0" applyFill="0" applyBorder="0" applyProtection="0"/>
    <xf numFmtId="0" fontId="212" fillId="0" borderId="0" applyAlignment="0"/>
    <xf numFmtId="0" fontId="213" fillId="0" borderId="0" applyAlignment="0"/>
    <xf numFmtId="0" fontId="214" fillId="0" borderId="0" applyAlignment="0"/>
    <xf numFmtId="0" fontId="215" fillId="0" borderId="0" applyAlignment="0"/>
    <xf numFmtId="0" fontId="216" fillId="0" borderId="0" applyAlignment="0"/>
    <xf numFmtId="0" fontId="217"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18" fillId="0" borderId="0" applyNumberFormat="0" applyFill="0" applyBorder="0" applyAlignment="0" applyProtection="0"/>
    <xf numFmtId="0" fontId="219" fillId="0" borderId="0" applyAlignment="0"/>
    <xf numFmtId="0" fontId="220" fillId="0" borderId="13" applyNumberFormat="0" applyFill="0" applyAlignment="0" applyProtection="0"/>
    <xf numFmtId="0" fontId="220" fillId="0" borderId="13" applyNumberFormat="0" applyFill="0" applyAlignment="0" applyProtection="0"/>
    <xf numFmtId="0" fontId="220" fillId="0" borderId="13" applyNumberFormat="0" applyFill="0" applyAlignment="0" applyProtection="0"/>
    <xf numFmtId="0" fontId="220" fillId="0" borderId="13" applyNumberFormat="0" applyFill="0" applyAlignment="0" applyProtection="0"/>
    <xf numFmtId="0" fontId="164" fillId="0" borderId="44" applyNumberFormat="0" applyFill="0" applyAlignment="0" applyProtection="0"/>
    <xf numFmtId="280" fontId="221" fillId="0" borderId="0"/>
    <xf numFmtId="37" fontId="58" fillId="2" borderId="0" applyNumberFormat="0" applyBorder="0" applyAlignment="0" applyProtection="0"/>
    <xf numFmtId="37" fontId="58" fillId="0" borderId="0"/>
    <xf numFmtId="3" fontId="190" fillId="0" borderId="37"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0" fillId="0" borderId="0"/>
    <xf numFmtId="43" fontId="45" fillId="0" borderId="0" applyFont="0" applyFill="0" applyBorder="0" applyAlignment="0" applyProtection="0"/>
    <xf numFmtId="173" fontId="39" fillId="0" borderId="45" applyFill="0"/>
    <xf numFmtId="221" fontId="45" fillId="0" borderId="45" applyNumberFormat="0" applyFont="0" applyFill="0" applyAlignment="0" applyProtection="0"/>
    <xf numFmtId="221" fontId="15" fillId="0" borderId="0"/>
    <xf numFmtId="221" fontId="17" fillId="0" borderId="0"/>
    <xf numFmtId="221" fontId="15" fillId="0" borderId="0"/>
    <xf numFmtId="221" fontId="17" fillId="0" borderId="0"/>
    <xf numFmtId="221" fontId="17" fillId="0" borderId="0"/>
    <xf numFmtId="221" fontId="15" fillId="0" borderId="0"/>
    <xf numFmtId="221" fontId="15" fillId="0" borderId="0"/>
    <xf numFmtId="221" fontId="17" fillId="0" borderId="0"/>
    <xf numFmtId="43" fontId="17" fillId="0" borderId="0" applyFont="0" applyFill="0" applyBorder="0" applyAlignment="0" applyProtection="0"/>
    <xf numFmtId="221" fontId="15" fillId="0" borderId="0"/>
    <xf numFmtId="221" fontId="15" fillId="0" borderId="0"/>
    <xf numFmtId="221" fontId="15" fillId="0" borderId="0"/>
    <xf numFmtId="221" fontId="15" fillId="0" borderId="0"/>
    <xf numFmtId="43" fontId="17" fillId="0" borderId="0" applyFont="0" applyFill="0" applyBorder="0" applyAlignment="0" applyProtection="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5" fillId="0" borderId="0"/>
    <xf numFmtId="221" fontId="17" fillId="25" borderId="0" applyNumberFormat="0" applyBorder="0" applyAlignment="0" applyProtection="0"/>
    <xf numFmtId="221" fontId="17" fillId="26" borderId="0" applyNumberFormat="0" applyBorder="0" applyAlignment="0" applyProtection="0"/>
    <xf numFmtId="221" fontId="17" fillId="29" borderId="0" applyNumberFormat="0" applyBorder="0" applyAlignment="0" applyProtection="0"/>
    <xf numFmtId="221" fontId="17" fillId="30" borderId="0" applyNumberFormat="0" applyBorder="0" applyAlignment="0" applyProtection="0"/>
    <xf numFmtId="221" fontId="17" fillId="33" borderId="0" applyNumberFormat="0" applyBorder="0" applyAlignment="0" applyProtection="0"/>
    <xf numFmtId="221" fontId="17" fillId="34" borderId="0" applyNumberFormat="0" applyBorder="0" applyAlignment="0" applyProtection="0"/>
    <xf numFmtId="221" fontId="17" fillId="37" borderId="0" applyNumberFormat="0" applyBorder="0" applyAlignment="0" applyProtection="0"/>
    <xf numFmtId="221" fontId="17" fillId="38" borderId="0" applyNumberFormat="0" applyBorder="0" applyAlignment="0" applyProtection="0"/>
    <xf numFmtId="221" fontId="17" fillId="41" borderId="0" applyNumberFormat="0" applyBorder="0" applyAlignment="0" applyProtection="0"/>
    <xf numFmtId="221" fontId="17" fillId="42" borderId="0" applyNumberFormat="0" applyBorder="0" applyAlignment="0" applyProtection="0"/>
    <xf numFmtId="221" fontId="17" fillId="45" borderId="0" applyNumberFormat="0" applyBorder="0" applyAlignment="0" applyProtection="0"/>
    <xf numFmtId="221" fontId="17" fillId="46" borderId="0" applyNumberFormat="0" applyBorder="0" applyAlignment="0" applyProtection="0"/>
    <xf numFmtId="221" fontId="17" fillId="0" borderId="0"/>
    <xf numFmtId="221" fontId="17" fillId="0" borderId="0"/>
    <xf numFmtId="221" fontId="17" fillId="0" borderId="0"/>
    <xf numFmtId="221" fontId="17" fillId="0" borderId="0"/>
    <xf numFmtId="221" fontId="17" fillId="23" borderId="33" applyNumberFormat="0" applyFont="0" applyAlignment="0" applyProtection="0"/>
    <xf numFmtId="221" fontId="17" fillId="0" borderId="0"/>
    <xf numFmtId="221" fontId="17" fillId="0" borderId="0"/>
    <xf numFmtId="221" fontId="17" fillId="0" borderId="0"/>
    <xf numFmtId="221" fontId="17" fillId="0" borderId="0"/>
    <xf numFmtId="221" fontId="17" fillId="0" borderId="0"/>
    <xf numFmtId="221" fontId="17" fillId="0" borderId="0"/>
    <xf numFmtId="221"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221" fontId="15" fillId="0" borderId="0"/>
    <xf numFmtId="0" fontId="17" fillId="0" borderId="0"/>
    <xf numFmtId="44" fontId="17" fillId="0" borderId="0" applyFont="0" applyFill="0" applyBorder="0" applyAlignment="0" applyProtection="0"/>
    <xf numFmtId="9" fontId="17" fillId="0" borderId="0" applyFont="0" applyFill="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5"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3" borderId="33" applyNumberFormat="0" applyFont="0" applyAlignment="0" applyProtection="0"/>
    <xf numFmtId="0" fontId="17" fillId="23" borderId="33" applyNumberFormat="0" applyFont="0" applyAlignment="0" applyProtection="0"/>
    <xf numFmtId="0" fontId="15" fillId="23" borderId="33" applyNumberFormat="0" applyFont="0" applyAlignment="0" applyProtection="0"/>
    <xf numFmtId="0" fontId="15"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9" fontId="34" fillId="0" borderId="0" applyFont="0" applyFill="0" applyBorder="0" applyAlignment="0" applyProtection="0"/>
    <xf numFmtId="0" fontId="168" fillId="100" borderId="0" applyNumberFormat="0" applyBorder="0" applyAlignment="0" applyProtection="0"/>
    <xf numFmtId="0" fontId="168" fillId="100"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100"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99" borderId="0" applyNumberFormat="0" applyBorder="0" applyAlignment="0" applyProtection="0"/>
    <xf numFmtId="0" fontId="168" fillId="101" borderId="0" applyNumberFormat="0" applyBorder="0" applyAlignment="0" applyProtection="0"/>
    <xf numFmtId="0" fontId="168" fillId="101"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101"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85" borderId="0" applyNumberFormat="0" applyBorder="0" applyAlignment="0" applyProtection="0"/>
    <xf numFmtId="0" fontId="168" fillId="102" borderId="0" applyNumberFormat="0" applyBorder="0" applyAlignment="0" applyProtection="0"/>
    <xf numFmtId="0" fontId="168" fillId="10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10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92" borderId="0" applyNumberFormat="0" applyBorder="0" applyAlignment="0" applyProtection="0"/>
    <xf numFmtId="0" fontId="168" fillId="8" borderId="0" applyNumberFormat="0" applyBorder="0" applyAlignment="0" applyProtection="0"/>
    <xf numFmtId="0" fontId="168" fillId="8"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8"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9" borderId="0" applyNumberFormat="0" applyBorder="0" applyAlignment="0" applyProtection="0"/>
    <xf numFmtId="0" fontId="168" fillId="9"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9"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104" borderId="0" applyNumberFormat="0" applyBorder="0" applyAlignment="0" applyProtection="0"/>
    <xf numFmtId="0" fontId="168" fillId="93" borderId="0" applyNumberFormat="0" applyBorder="0" applyAlignment="0" applyProtection="0"/>
    <xf numFmtId="0" fontId="168" fillId="93"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93"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105" borderId="0" applyNumberFormat="0" applyBorder="0" applyAlignment="0" applyProtection="0"/>
    <xf numFmtId="0" fontId="168" fillId="83" borderId="0" applyNumberFormat="0" applyBorder="0" applyAlignment="0" applyProtection="0"/>
    <xf numFmtId="0" fontId="168" fillId="83"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83"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7" borderId="0" applyNumberFormat="0" applyBorder="0" applyAlignment="0" applyProtection="0"/>
    <xf numFmtId="0" fontId="168" fillId="107"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107"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8" fillId="108" borderId="0" applyNumberFormat="0" applyBorder="0" applyAlignment="0" applyProtection="0"/>
    <xf numFmtId="0" fontId="168" fillId="108"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108"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66" borderId="0" applyNumberFormat="0" applyBorder="0" applyAlignment="0" applyProtection="0"/>
    <xf numFmtId="0" fontId="168" fillId="8" borderId="0" applyNumberFormat="0" applyBorder="0" applyAlignment="0" applyProtection="0"/>
    <xf numFmtId="0" fontId="168" fillId="8"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8"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103" borderId="0" applyNumberFormat="0" applyBorder="0" applyAlignment="0" applyProtection="0"/>
    <xf numFmtId="0" fontId="168" fillId="83" borderId="0" applyNumberFormat="0" applyBorder="0" applyAlignment="0" applyProtection="0"/>
    <xf numFmtId="0" fontId="168" fillId="83"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83"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06" borderId="0" applyNumberFormat="0" applyBorder="0" applyAlignment="0" applyProtection="0"/>
    <xf numFmtId="0" fontId="168" fillId="110" borderId="0" applyNumberFormat="0" applyBorder="0" applyAlignment="0" applyProtection="0"/>
    <xf numFmtId="0" fontId="168" fillId="110"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10"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8" fillId="109" borderId="0" applyNumberFormat="0" applyBorder="0" applyAlignment="0" applyProtection="0"/>
    <xf numFmtId="0" fontId="169" fillId="111" borderId="0" applyNumberFormat="0" applyBorder="0" applyAlignment="0" applyProtection="0"/>
    <xf numFmtId="0" fontId="169" fillId="107" borderId="0" applyNumberFormat="0" applyBorder="0" applyAlignment="0" applyProtection="0"/>
    <xf numFmtId="0" fontId="169" fillId="108" borderId="0" applyNumberFormat="0" applyBorder="0" applyAlignment="0" applyProtection="0"/>
    <xf numFmtId="0" fontId="169" fillId="112" borderId="0" applyNumberFormat="0" applyBorder="0" applyAlignment="0" applyProtection="0"/>
    <xf numFmtId="0" fontId="169" fillId="113" borderId="0" applyNumberFormat="0" applyBorder="0" applyAlignment="0" applyProtection="0"/>
    <xf numFmtId="0" fontId="169" fillId="114" borderId="0" applyNumberFormat="0" applyBorder="0" applyAlignment="0" applyProtection="0"/>
    <xf numFmtId="0" fontId="169" fillId="95" borderId="0" applyNumberFormat="0" applyBorder="0" applyAlignment="0" applyProtection="0"/>
    <xf numFmtId="0" fontId="169" fillId="115" borderId="0" applyNumberFormat="0" applyBorder="0" applyAlignment="0" applyProtection="0"/>
    <xf numFmtId="0" fontId="169" fillId="116" borderId="0" applyNumberFormat="0" applyBorder="0" applyAlignment="0" applyProtection="0"/>
    <xf numFmtId="0" fontId="169" fillId="112" borderId="0" applyNumberFormat="0" applyBorder="0" applyAlignment="0" applyProtection="0"/>
    <xf numFmtId="0" fontId="169" fillId="113" borderId="0" applyNumberFormat="0" applyBorder="0" applyAlignment="0" applyProtection="0"/>
    <xf numFmtId="0" fontId="169" fillId="6" borderId="0" applyNumberFormat="0" applyBorder="0" applyAlignment="0" applyProtection="0"/>
    <xf numFmtId="0" fontId="239" fillId="101" borderId="0" applyNumberFormat="0" applyBorder="0" applyAlignment="0" applyProtection="0"/>
    <xf numFmtId="0" fontId="81" fillId="0" borderId="0"/>
    <xf numFmtId="0" fontId="81" fillId="0" borderId="0"/>
    <xf numFmtId="173" fontId="39" fillId="0" borderId="45" applyFill="0"/>
    <xf numFmtId="0" fontId="240" fillId="14" borderId="14" applyNumberFormat="0" applyAlignment="0" applyProtection="0"/>
    <xf numFmtId="0" fontId="176" fillId="117" borderId="37" applyNumberFormat="0" applyAlignment="0" applyProtection="0"/>
    <xf numFmtId="0" fontId="80" fillId="0" borderId="0" applyFont="0" applyFill="0" applyBorder="0" applyAlignment="0" applyProtection="0"/>
    <xf numFmtId="0" fontId="241" fillId="0" borderId="0" applyNumberFormat="0" applyFill="0" applyBorder="0" applyAlignment="0" applyProtection="0"/>
    <xf numFmtId="0" fontId="58" fillId="0" borderId="0" applyFont="0" applyFill="0" applyBorder="0" applyAlignment="0" applyProtection="0"/>
    <xf numFmtId="0" fontId="242" fillId="102" borderId="0" applyNumberFormat="0" applyBorder="0" applyAlignment="0" applyProtection="0"/>
    <xf numFmtId="0" fontId="183" fillId="0" borderId="38" applyNumberFormat="0" applyFill="0" applyAlignment="0" applyProtection="0"/>
    <xf numFmtId="0" fontId="185" fillId="0" borderId="38" applyNumberFormat="0" applyFill="0" applyAlignment="0" applyProtection="0"/>
    <xf numFmtId="0" fontId="187" fillId="0" borderId="1" applyNumberFormat="0" applyFill="0" applyAlignment="0" applyProtection="0"/>
    <xf numFmtId="0" fontId="187" fillId="0" borderId="0" applyNumberFormat="0" applyFill="0" applyBorder="0" applyAlignment="0" applyProtection="0"/>
    <xf numFmtId="0" fontId="194" fillId="0" borderId="2" applyNumberFormat="0" applyFill="0" applyAlignment="0" applyProtection="0"/>
    <xf numFmtId="0" fontId="243" fillId="2" borderId="0" applyNumberFormat="0" applyBorder="0" applyAlignment="0" applyProtection="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23"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65" fillId="0" borderId="0">
      <alignment vertical="top"/>
    </xf>
    <xf numFmtId="0" fontId="168" fillId="0" borderId="0"/>
    <xf numFmtId="0" fontId="168" fillId="0" borderId="0"/>
    <xf numFmtId="0" fontId="45"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23"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23" fillId="0" borderId="0"/>
    <xf numFmtId="0" fontId="123"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23" fillId="0" borderId="0"/>
    <xf numFmtId="0" fontId="123" fillId="0" borderId="0"/>
    <xf numFmtId="0" fontId="168" fillId="0" borderId="0"/>
    <xf numFmtId="0" fontId="168"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244" fillId="0" borderId="0"/>
    <xf numFmtId="0" fontId="244" fillId="0" borderId="0"/>
    <xf numFmtId="0" fontId="244" fillId="0" borderId="0"/>
    <xf numFmtId="0" fontId="244" fillId="0" borderId="0"/>
    <xf numFmtId="0" fontId="244" fillId="0" borderId="0"/>
    <xf numFmtId="0" fontId="45" fillId="0" borderId="0"/>
    <xf numFmtId="0" fontId="168" fillId="0" borderId="0"/>
    <xf numFmtId="0" fontId="168" fillId="0" borderId="0"/>
    <xf numFmtId="0" fontId="123" fillId="0" borderId="0"/>
    <xf numFmtId="0" fontId="123" fillId="0" borderId="0"/>
    <xf numFmtId="0" fontId="244"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45" fillId="0" borderId="0"/>
    <xf numFmtId="0" fontId="45"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23" fillId="0" borderId="0"/>
    <xf numFmtId="0" fontId="123"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23" fillId="97" borderId="43" applyNumberFormat="0" applyFont="0" applyAlignment="0" applyProtection="0"/>
    <xf numFmtId="0" fontId="123" fillId="97" borderId="43" applyNumberFormat="0" applyFont="0" applyAlignment="0" applyProtection="0"/>
    <xf numFmtId="0" fontId="123" fillId="97" borderId="43" applyNumberFormat="0" applyFont="0" applyAlignment="0" applyProtection="0"/>
    <xf numFmtId="0" fontId="123"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168" fillId="97" borderId="43" applyNumberFormat="0" applyFont="0" applyAlignment="0" applyProtection="0"/>
    <xf numFmtId="0" fontId="245" fillId="14" borderId="14" applyNumberFormat="0" applyAlignment="0" applyProtection="0"/>
    <xf numFmtId="0" fontId="80" fillId="0" borderId="0"/>
    <xf numFmtId="0" fontId="80" fillId="0" borderId="0"/>
    <xf numFmtId="0" fontId="80" fillId="0" borderId="0"/>
    <xf numFmtId="0" fontId="80" fillId="0" borderId="0"/>
    <xf numFmtId="0" fontId="119" fillId="0" borderId="0"/>
    <xf numFmtId="0" fontId="119" fillId="0" borderId="0"/>
    <xf numFmtId="0" fontId="218" fillId="0" borderId="0" applyNumberFormat="0" applyFill="0" applyBorder="0" applyAlignment="0" applyProtection="0"/>
    <xf numFmtId="43" fontId="45" fillId="0" borderId="0" applyFont="0" applyFill="0" applyBorder="0" applyAlignment="0" applyProtection="0"/>
    <xf numFmtId="221" fontId="11" fillId="0" borderId="0"/>
    <xf numFmtId="221" fontId="10" fillId="0" borderId="0"/>
    <xf numFmtId="221" fontId="11" fillId="0" borderId="0"/>
    <xf numFmtId="221" fontId="10" fillId="0" borderId="0"/>
    <xf numFmtId="221" fontId="10" fillId="0" borderId="0"/>
    <xf numFmtId="221" fontId="11" fillId="0" borderId="0"/>
    <xf numFmtId="221" fontId="11" fillId="0" borderId="0"/>
    <xf numFmtId="221" fontId="10" fillId="0" borderId="0"/>
    <xf numFmtId="43" fontId="10" fillId="0" borderId="0" applyFont="0" applyFill="0" applyBorder="0" applyAlignment="0" applyProtection="0"/>
    <xf numFmtId="221" fontId="11" fillId="0" borderId="0"/>
    <xf numFmtId="221" fontId="11" fillId="0" borderId="0"/>
    <xf numFmtId="221" fontId="11" fillId="0" borderId="0"/>
    <xf numFmtId="221" fontId="11" fillId="0" borderId="0"/>
    <xf numFmtId="43" fontId="10" fillId="0" borderId="0" applyFont="0" applyFill="0" applyBorder="0" applyAlignment="0" applyProtection="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0" fillId="25" borderId="0" applyNumberFormat="0" applyBorder="0" applyAlignment="0" applyProtection="0"/>
    <xf numFmtId="221" fontId="10" fillId="26" borderId="0" applyNumberFormat="0" applyBorder="0" applyAlignment="0" applyProtection="0"/>
    <xf numFmtId="221" fontId="10" fillId="29" borderId="0" applyNumberFormat="0" applyBorder="0" applyAlignment="0" applyProtection="0"/>
    <xf numFmtId="221" fontId="10" fillId="30" borderId="0" applyNumberFormat="0" applyBorder="0" applyAlignment="0" applyProtection="0"/>
    <xf numFmtId="221" fontId="10" fillId="33" borderId="0" applyNumberFormat="0" applyBorder="0" applyAlignment="0" applyProtection="0"/>
    <xf numFmtId="221" fontId="10" fillId="34" borderId="0" applyNumberFormat="0" applyBorder="0" applyAlignment="0" applyProtection="0"/>
    <xf numFmtId="221" fontId="10" fillId="37" borderId="0" applyNumberFormat="0" applyBorder="0" applyAlignment="0" applyProtection="0"/>
    <xf numFmtId="221" fontId="10" fillId="38" borderId="0" applyNumberFormat="0" applyBorder="0" applyAlignment="0" applyProtection="0"/>
    <xf numFmtId="221" fontId="10" fillId="41" borderId="0" applyNumberFormat="0" applyBorder="0" applyAlignment="0" applyProtection="0"/>
    <xf numFmtId="221" fontId="10" fillId="42" borderId="0" applyNumberFormat="0" applyBorder="0" applyAlignment="0" applyProtection="0"/>
    <xf numFmtId="221" fontId="10" fillId="45" borderId="0" applyNumberFormat="0" applyBorder="0" applyAlignment="0" applyProtection="0"/>
    <xf numFmtId="221" fontId="10" fillId="46" borderId="0" applyNumberFormat="0" applyBorder="0" applyAlignment="0" applyProtection="0"/>
    <xf numFmtId="221" fontId="10" fillId="0" borderId="0"/>
    <xf numFmtId="221" fontId="10" fillId="0" borderId="0"/>
    <xf numFmtId="221" fontId="10" fillId="0" borderId="0"/>
    <xf numFmtId="221" fontId="10" fillId="0" borderId="0"/>
    <xf numFmtId="221" fontId="10" fillId="23" borderId="33" applyNumberFormat="0" applyFont="0" applyAlignment="0" applyProtection="0"/>
    <xf numFmtId="221" fontId="10" fillId="0" borderId="0"/>
    <xf numFmtId="221" fontId="10" fillId="0" borderId="0"/>
    <xf numFmtId="221" fontId="10" fillId="0" borderId="0"/>
    <xf numFmtId="221" fontId="10" fillId="0" borderId="0"/>
    <xf numFmtId="221" fontId="10" fillId="0" borderId="0"/>
    <xf numFmtId="221" fontId="10" fillId="0" borderId="0"/>
    <xf numFmtId="221"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21" fontId="11"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3" borderId="33" applyNumberFormat="0" applyFont="0" applyAlignment="0" applyProtection="0"/>
    <xf numFmtId="0" fontId="10"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221" fontId="11" fillId="0" borderId="0"/>
    <xf numFmtId="221" fontId="10" fillId="0" borderId="0"/>
    <xf numFmtId="221" fontId="11" fillId="0" borderId="0"/>
    <xf numFmtId="221" fontId="10" fillId="0" borderId="0"/>
    <xf numFmtId="221" fontId="10" fillId="0" borderId="0"/>
    <xf numFmtId="221" fontId="11" fillId="0" borderId="0"/>
    <xf numFmtId="221" fontId="11" fillId="0" borderId="0"/>
    <xf numFmtId="221" fontId="10" fillId="0" borderId="0"/>
    <xf numFmtId="43" fontId="10" fillId="0" borderId="0" applyFont="0" applyFill="0" applyBorder="0" applyAlignment="0" applyProtection="0"/>
    <xf numFmtId="221" fontId="11" fillId="0" borderId="0"/>
    <xf numFmtId="221" fontId="11" fillId="0" borderId="0"/>
    <xf numFmtId="221" fontId="11" fillId="0" borderId="0"/>
    <xf numFmtId="221" fontId="11" fillId="0" borderId="0"/>
    <xf numFmtId="43" fontId="10" fillId="0" borderId="0" applyFont="0" applyFill="0" applyBorder="0" applyAlignment="0" applyProtection="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1" fillId="0" borderId="0"/>
    <xf numFmtId="221" fontId="10" fillId="25" borderId="0" applyNumberFormat="0" applyBorder="0" applyAlignment="0" applyProtection="0"/>
    <xf numFmtId="221" fontId="10" fillId="26" borderId="0" applyNumberFormat="0" applyBorder="0" applyAlignment="0" applyProtection="0"/>
    <xf numFmtId="221" fontId="10" fillId="29" borderId="0" applyNumberFormat="0" applyBorder="0" applyAlignment="0" applyProtection="0"/>
    <xf numFmtId="221" fontId="10" fillId="30" borderId="0" applyNumberFormat="0" applyBorder="0" applyAlignment="0" applyProtection="0"/>
    <xf numFmtId="221" fontId="10" fillId="33" borderId="0" applyNumberFormat="0" applyBorder="0" applyAlignment="0" applyProtection="0"/>
    <xf numFmtId="221" fontId="10" fillId="34" borderId="0" applyNumberFormat="0" applyBorder="0" applyAlignment="0" applyProtection="0"/>
    <xf numFmtId="221" fontId="10" fillId="37" borderId="0" applyNumberFormat="0" applyBorder="0" applyAlignment="0" applyProtection="0"/>
    <xf numFmtId="221" fontId="10" fillId="38" borderId="0" applyNumberFormat="0" applyBorder="0" applyAlignment="0" applyProtection="0"/>
    <xf numFmtId="221" fontId="10" fillId="41" borderId="0" applyNumberFormat="0" applyBorder="0" applyAlignment="0" applyProtection="0"/>
    <xf numFmtId="221" fontId="10" fillId="42" borderId="0" applyNumberFormat="0" applyBorder="0" applyAlignment="0" applyProtection="0"/>
    <xf numFmtId="221" fontId="10" fillId="45" borderId="0" applyNumberFormat="0" applyBorder="0" applyAlignment="0" applyProtection="0"/>
    <xf numFmtId="221" fontId="10" fillId="46" borderId="0" applyNumberFormat="0" applyBorder="0" applyAlignment="0" applyProtection="0"/>
    <xf numFmtId="221" fontId="10" fillId="0" borderId="0"/>
    <xf numFmtId="221" fontId="10" fillId="0" borderId="0"/>
    <xf numFmtId="221" fontId="10" fillId="0" borderId="0"/>
    <xf numFmtId="221" fontId="10" fillId="0" borderId="0"/>
    <xf numFmtId="221" fontId="10" fillId="23" borderId="33" applyNumberFormat="0" applyFont="0" applyAlignment="0" applyProtection="0"/>
    <xf numFmtId="221" fontId="10" fillId="0" borderId="0"/>
    <xf numFmtId="221" fontId="10" fillId="0" borderId="0"/>
    <xf numFmtId="221" fontId="10" fillId="0" borderId="0"/>
    <xf numFmtId="221" fontId="10" fillId="0" borderId="0"/>
    <xf numFmtId="221" fontId="10" fillId="0" borderId="0"/>
    <xf numFmtId="221" fontId="10" fillId="0" borderId="0"/>
    <xf numFmtId="221"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21" fontId="11"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3" borderId="33" applyNumberFormat="0" applyFont="0" applyAlignment="0" applyProtection="0"/>
    <xf numFmtId="0" fontId="10"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0" fontId="10" fillId="23" borderId="33"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43" fontId="45" fillId="0" borderId="0" applyFont="0" applyFill="0" applyBorder="0" applyAlignment="0" applyProtection="0"/>
    <xf numFmtId="221" fontId="7" fillId="29" borderId="0" applyNumberFormat="0" applyBorder="0" applyAlignment="0" applyProtection="0"/>
    <xf numFmtId="43" fontId="45" fillId="0" borderId="0" applyFont="0" applyFill="0" applyBorder="0" applyAlignment="0" applyProtection="0"/>
    <xf numFmtId="221" fontId="8" fillId="0" borderId="0"/>
    <xf numFmtId="221" fontId="7" fillId="0" borderId="0"/>
    <xf numFmtId="221" fontId="8" fillId="0" borderId="0"/>
    <xf numFmtId="221" fontId="7" fillId="0" borderId="0"/>
    <xf numFmtId="221" fontId="7" fillId="0" borderId="0"/>
    <xf numFmtId="221" fontId="7" fillId="30" borderId="0" applyNumberFormat="0" applyBorder="0" applyAlignment="0" applyProtection="0"/>
    <xf numFmtId="221" fontId="7" fillId="0" borderId="0"/>
    <xf numFmtId="221" fontId="8" fillId="0" borderId="0"/>
    <xf numFmtId="221" fontId="8" fillId="0" borderId="0"/>
    <xf numFmtId="221" fontId="7" fillId="0" borderId="0"/>
    <xf numFmtId="43" fontId="7" fillId="0" borderId="0" applyFont="0" applyFill="0" applyBorder="0" applyAlignment="0" applyProtection="0"/>
    <xf numFmtId="221" fontId="8" fillId="0" borderId="0"/>
    <xf numFmtId="221" fontId="8" fillId="0" borderId="0"/>
    <xf numFmtId="221" fontId="8" fillId="0" borderId="0"/>
    <xf numFmtId="221" fontId="8" fillId="0" borderId="0"/>
    <xf numFmtId="43" fontId="7" fillId="0" borderId="0" applyFont="0" applyFill="0" applyBorder="0" applyAlignment="0" applyProtection="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7" fillId="25" borderId="0" applyNumberFormat="0" applyBorder="0" applyAlignment="0" applyProtection="0"/>
    <xf numFmtId="221" fontId="7" fillId="26" borderId="0" applyNumberFormat="0" applyBorder="0" applyAlignment="0" applyProtection="0"/>
    <xf numFmtId="221" fontId="7" fillId="29" borderId="0" applyNumberFormat="0" applyBorder="0" applyAlignment="0" applyProtection="0"/>
    <xf numFmtId="221" fontId="7" fillId="30" borderId="0" applyNumberFormat="0" applyBorder="0" applyAlignment="0" applyProtection="0"/>
    <xf numFmtId="221" fontId="7" fillId="33" borderId="0" applyNumberFormat="0" applyBorder="0" applyAlignment="0" applyProtection="0"/>
    <xf numFmtId="221" fontId="7" fillId="34" borderId="0" applyNumberFormat="0" applyBorder="0" applyAlignment="0" applyProtection="0"/>
    <xf numFmtId="221" fontId="7" fillId="37" borderId="0" applyNumberFormat="0" applyBorder="0" applyAlignment="0" applyProtection="0"/>
    <xf numFmtId="221" fontId="7" fillId="38" borderId="0" applyNumberFormat="0" applyBorder="0" applyAlignment="0" applyProtection="0"/>
    <xf numFmtId="221" fontId="7" fillId="41" borderId="0" applyNumberFormat="0" applyBorder="0" applyAlignment="0" applyProtection="0"/>
    <xf numFmtId="221" fontId="7" fillId="42" borderId="0" applyNumberFormat="0" applyBorder="0" applyAlignment="0" applyProtection="0"/>
    <xf numFmtId="221" fontId="7" fillId="45" borderId="0" applyNumberFormat="0" applyBorder="0" applyAlignment="0" applyProtection="0"/>
    <xf numFmtId="221" fontId="7" fillId="46" borderId="0" applyNumberFormat="0" applyBorder="0" applyAlignment="0" applyProtection="0"/>
    <xf numFmtId="221" fontId="7" fillId="0" borderId="0"/>
    <xf numFmtId="221" fontId="7" fillId="0" borderId="0"/>
    <xf numFmtId="221" fontId="7" fillId="0" borderId="0"/>
    <xf numFmtId="221" fontId="7" fillId="0" borderId="0"/>
    <xf numFmtId="221" fontId="7" fillId="23" borderId="33" applyNumberFormat="0" applyFont="0" applyAlignment="0" applyProtection="0"/>
    <xf numFmtId="221" fontId="7" fillId="0" borderId="0"/>
    <xf numFmtId="221" fontId="7" fillId="0" borderId="0"/>
    <xf numFmtId="221" fontId="7" fillId="0" borderId="0"/>
    <xf numFmtId="221" fontId="7" fillId="0" borderId="0"/>
    <xf numFmtId="221" fontId="7" fillId="0" borderId="0"/>
    <xf numFmtId="221" fontId="7" fillId="0" borderId="0"/>
    <xf numFmtId="221"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21" fontId="8"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43" fontId="4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33" applyNumberFormat="0" applyFont="0" applyAlignment="0" applyProtection="0"/>
    <xf numFmtId="0" fontId="7" fillId="23" borderId="33" applyNumberFormat="0" applyFont="0" applyAlignment="0" applyProtection="0"/>
    <xf numFmtId="0" fontId="8" fillId="23" borderId="33" applyNumberFormat="0" applyFont="0" applyAlignment="0" applyProtection="0"/>
    <xf numFmtId="0" fontId="8"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221" fontId="8" fillId="0" borderId="0"/>
    <xf numFmtId="221" fontId="7" fillId="0" borderId="0"/>
    <xf numFmtId="221" fontId="8" fillId="0" borderId="0"/>
    <xf numFmtId="221" fontId="7" fillId="0" borderId="0"/>
    <xf numFmtId="221" fontId="7" fillId="0" borderId="0"/>
    <xf numFmtId="221" fontId="8" fillId="0" borderId="0"/>
    <xf numFmtId="221" fontId="8" fillId="0" borderId="0"/>
    <xf numFmtId="221" fontId="7" fillId="0" borderId="0"/>
    <xf numFmtId="43" fontId="7" fillId="0" borderId="0" applyFont="0" applyFill="0" applyBorder="0" applyAlignment="0" applyProtection="0"/>
    <xf numFmtId="221" fontId="8" fillId="0" borderId="0"/>
    <xf numFmtId="221" fontId="8" fillId="0" borderId="0"/>
    <xf numFmtId="221" fontId="8" fillId="0" borderId="0"/>
    <xf numFmtId="221" fontId="8" fillId="0" borderId="0"/>
    <xf numFmtId="43" fontId="7" fillId="0" borderId="0" applyFont="0" applyFill="0" applyBorder="0" applyAlignment="0" applyProtection="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7" fillId="25" borderId="0" applyNumberFormat="0" applyBorder="0" applyAlignment="0" applyProtection="0"/>
    <xf numFmtId="221" fontId="7" fillId="26" borderId="0" applyNumberFormat="0" applyBorder="0" applyAlignment="0" applyProtection="0"/>
    <xf numFmtId="221" fontId="7" fillId="29" borderId="0" applyNumberFormat="0" applyBorder="0" applyAlignment="0" applyProtection="0"/>
    <xf numFmtId="221" fontId="7" fillId="30" borderId="0" applyNumberFormat="0" applyBorder="0" applyAlignment="0" applyProtection="0"/>
    <xf numFmtId="221" fontId="7" fillId="33" borderId="0" applyNumberFormat="0" applyBorder="0" applyAlignment="0" applyProtection="0"/>
    <xf numFmtId="221" fontId="7" fillId="34" borderId="0" applyNumberFormat="0" applyBorder="0" applyAlignment="0" applyProtection="0"/>
    <xf numFmtId="221" fontId="7" fillId="37" borderId="0" applyNumberFormat="0" applyBorder="0" applyAlignment="0" applyProtection="0"/>
    <xf numFmtId="221" fontId="7" fillId="38" borderId="0" applyNumberFormat="0" applyBorder="0" applyAlignment="0" applyProtection="0"/>
    <xf numFmtId="221" fontId="7" fillId="41" borderId="0" applyNumberFormat="0" applyBorder="0" applyAlignment="0" applyProtection="0"/>
    <xf numFmtId="221" fontId="7" fillId="42" borderId="0" applyNumberFormat="0" applyBorder="0" applyAlignment="0" applyProtection="0"/>
    <xf numFmtId="221" fontId="7" fillId="45" borderId="0" applyNumberFormat="0" applyBorder="0" applyAlignment="0" applyProtection="0"/>
    <xf numFmtId="221" fontId="7" fillId="46" borderId="0" applyNumberFormat="0" applyBorder="0" applyAlignment="0" applyProtection="0"/>
    <xf numFmtId="221" fontId="7" fillId="0" borderId="0"/>
    <xf numFmtId="221" fontId="7" fillId="0" borderId="0"/>
    <xf numFmtId="221" fontId="7" fillId="0" borderId="0"/>
    <xf numFmtId="221" fontId="7" fillId="0" borderId="0"/>
    <xf numFmtId="221" fontId="7" fillId="23" borderId="33" applyNumberFormat="0" applyFont="0" applyAlignment="0" applyProtection="0"/>
    <xf numFmtId="221" fontId="7" fillId="0" borderId="0"/>
    <xf numFmtId="221" fontId="7" fillId="0" borderId="0"/>
    <xf numFmtId="221" fontId="7" fillId="0" borderId="0"/>
    <xf numFmtId="221" fontId="7" fillId="0" borderId="0"/>
    <xf numFmtId="221" fontId="7" fillId="0" borderId="0"/>
    <xf numFmtId="221" fontId="7" fillId="0" borderId="0"/>
    <xf numFmtId="221"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21" fontId="8"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33" applyNumberFormat="0" applyFont="0" applyAlignment="0" applyProtection="0"/>
    <xf numFmtId="0" fontId="7" fillId="23" borderId="33" applyNumberFormat="0" applyFont="0" applyAlignment="0" applyProtection="0"/>
    <xf numFmtId="0" fontId="8" fillId="23" borderId="33" applyNumberFormat="0" applyFont="0" applyAlignment="0" applyProtection="0"/>
    <xf numFmtId="0" fontId="8"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45" fillId="0" borderId="0" applyFont="0" applyFill="0" applyBorder="0" applyAlignment="0" applyProtection="0"/>
    <xf numFmtId="221" fontId="7" fillId="45" borderId="0" applyNumberFormat="0" applyBorder="0" applyAlignment="0" applyProtection="0"/>
    <xf numFmtId="43" fontId="45" fillId="0" borderId="0" applyFont="0" applyFill="0" applyBorder="0" applyAlignment="0" applyProtection="0"/>
    <xf numFmtId="221" fontId="7" fillId="0" borderId="0"/>
    <xf numFmtId="221" fontId="7" fillId="0" borderId="0"/>
    <xf numFmtId="221" fontId="7" fillId="23" borderId="33" applyNumberFormat="0" applyFont="0" applyAlignment="0" applyProtection="0"/>
    <xf numFmtId="43" fontId="45" fillId="0" borderId="0" applyFont="0" applyFill="0" applyBorder="0" applyAlignment="0" applyProtection="0"/>
    <xf numFmtId="221" fontId="7" fillId="33" borderId="0" applyNumberFormat="0" applyBorder="0" applyAlignment="0" applyProtection="0"/>
    <xf numFmtId="221" fontId="7" fillId="38" borderId="0" applyNumberFormat="0" applyBorder="0" applyAlignment="0" applyProtection="0"/>
    <xf numFmtId="221" fontId="7" fillId="45" borderId="0" applyNumberFormat="0" applyBorder="0" applyAlignment="0" applyProtection="0"/>
    <xf numFmtId="221" fontId="7" fillId="23" borderId="33" applyNumberFormat="0" applyFont="0" applyAlignment="0" applyProtection="0"/>
    <xf numFmtId="221" fontId="7" fillId="46" borderId="0" applyNumberFormat="0" applyBorder="0" applyAlignment="0" applyProtection="0"/>
    <xf numFmtId="221" fontId="7" fillId="37" borderId="0" applyNumberFormat="0" applyBorder="0" applyAlignment="0" applyProtection="0"/>
    <xf numFmtId="221" fontId="7" fillId="41" borderId="0" applyNumberFormat="0" applyBorder="0" applyAlignment="0" applyProtection="0"/>
    <xf numFmtId="221" fontId="7" fillId="42" borderId="0" applyNumberFormat="0" applyBorder="0" applyAlignment="0" applyProtection="0"/>
    <xf numFmtId="221" fontId="7" fillId="38" borderId="0" applyNumberFormat="0" applyBorder="0" applyAlignment="0" applyProtection="0"/>
    <xf numFmtId="221" fontId="7" fillId="29" borderId="0" applyNumberFormat="0" applyBorder="0" applyAlignment="0" applyProtection="0"/>
    <xf numFmtId="221" fontId="7" fillId="33" borderId="0" applyNumberFormat="0" applyBorder="0" applyAlignment="0" applyProtection="0"/>
    <xf numFmtId="221" fontId="7" fillId="34" borderId="0" applyNumberFormat="0" applyBorder="0" applyAlignment="0" applyProtection="0"/>
    <xf numFmtId="221" fontId="7" fillId="30" borderId="0" applyNumberFormat="0" applyBorder="0" applyAlignment="0" applyProtection="0"/>
    <xf numFmtId="221" fontId="7" fillId="25" borderId="0" applyNumberFormat="0" applyBorder="0" applyAlignment="0" applyProtection="0"/>
    <xf numFmtId="221" fontId="7" fillId="26" borderId="0" applyNumberFormat="0" applyBorder="0" applyAlignment="0" applyProtection="0"/>
    <xf numFmtId="221" fontId="7" fillId="0" borderId="0"/>
    <xf numFmtId="221" fontId="7" fillId="0" borderId="0"/>
    <xf numFmtId="221" fontId="7" fillId="0" borderId="0"/>
    <xf numFmtId="43" fontId="45" fillId="0" borderId="0" applyFont="0" applyFill="0" applyBorder="0" applyAlignment="0" applyProtection="0"/>
    <xf numFmtId="221" fontId="8" fillId="0" borderId="0"/>
    <xf numFmtId="221" fontId="7" fillId="0" borderId="0"/>
    <xf numFmtId="221" fontId="8" fillId="0" borderId="0"/>
    <xf numFmtId="221" fontId="7" fillId="0" borderId="0"/>
    <xf numFmtId="221" fontId="7" fillId="0" borderId="0"/>
    <xf numFmtId="221" fontId="8" fillId="0" borderId="0"/>
    <xf numFmtId="221" fontId="8" fillId="0" borderId="0"/>
    <xf numFmtId="221" fontId="7" fillId="0" borderId="0"/>
    <xf numFmtId="43" fontId="7" fillId="0" borderId="0" applyFont="0" applyFill="0" applyBorder="0" applyAlignment="0" applyProtection="0"/>
    <xf numFmtId="221" fontId="8" fillId="0" borderId="0"/>
    <xf numFmtId="221" fontId="8" fillId="0" borderId="0"/>
    <xf numFmtId="221" fontId="8" fillId="0" borderId="0"/>
    <xf numFmtId="221" fontId="8" fillId="0" borderId="0"/>
    <xf numFmtId="43" fontId="7" fillId="0" borderId="0" applyFont="0" applyFill="0" applyBorder="0" applyAlignment="0" applyProtection="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7" fillId="25" borderId="0" applyNumberFormat="0" applyBorder="0" applyAlignment="0" applyProtection="0"/>
    <xf numFmtId="221" fontId="7" fillId="26" borderId="0" applyNumberFormat="0" applyBorder="0" applyAlignment="0" applyProtection="0"/>
    <xf numFmtId="221" fontId="7" fillId="29" borderId="0" applyNumberFormat="0" applyBorder="0" applyAlignment="0" applyProtection="0"/>
    <xf numFmtId="221" fontId="7" fillId="30" borderId="0" applyNumberFormat="0" applyBorder="0" applyAlignment="0" applyProtection="0"/>
    <xf numFmtId="221" fontId="7" fillId="33" borderId="0" applyNumberFormat="0" applyBorder="0" applyAlignment="0" applyProtection="0"/>
    <xf numFmtId="221" fontId="7" fillId="34" borderId="0" applyNumberFormat="0" applyBorder="0" applyAlignment="0" applyProtection="0"/>
    <xf numFmtId="221" fontId="7" fillId="37" borderId="0" applyNumberFormat="0" applyBorder="0" applyAlignment="0" applyProtection="0"/>
    <xf numFmtId="221" fontId="7" fillId="38" borderId="0" applyNumberFormat="0" applyBorder="0" applyAlignment="0" applyProtection="0"/>
    <xf numFmtId="221" fontId="7" fillId="41" borderId="0" applyNumberFormat="0" applyBorder="0" applyAlignment="0" applyProtection="0"/>
    <xf numFmtId="221" fontId="7" fillId="42" borderId="0" applyNumberFormat="0" applyBorder="0" applyAlignment="0" applyProtection="0"/>
    <xf numFmtId="221" fontId="7" fillId="45" borderId="0" applyNumberFormat="0" applyBorder="0" applyAlignment="0" applyProtection="0"/>
    <xf numFmtId="221" fontId="7" fillId="46" borderId="0" applyNumberFormat="0" applyBorder="0" applyAlignment="0" applyProtection="0"/>
    <xf numFmtId="221" fontId="7" fillId="0" borderId="0"/>
    <xf numFmtId="221" fontId="7" fillId="0" borderId="0"/>
    <xf numFmtId="221" fontId="7" fillId="0" borderId="0"/>
    <xf numFmtId="221" fontId="7" fillId="0" borderId="0"/>
    <xf numFmtId="221" fontId="7" fillId="23" borderId="33" applyNumberFormat="0" applyFont="0" applyAlignment="0" applyProtection="0"/>
    <xf numFmtId="221" fontId="7" fillId="0" borderId="0"/>
    <xf numFmtId="221" fontId="7" fillId="0" borderId="0"/>
    <xf numFmtId="221" fontId="7" fillId="0" borderId="0"/>
    <xf numFmtId="221" fontId="7" fillId="0" borderId="0"/>
    <xf numFmtId="221" fontId="7" fillId="0" borderId="0"/>
    <xf numFmtId="221" fontId="7" fillId="0" borderId="0"/>
    <xf numFmtId="221"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21" fontId="8"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33" applyNumberFormat="0" applyFont="0" applyAlignment="0" applyProtection="0"/>
    <xf numFmtId="0" fontId="7" fillId="23" borderId="33" applyNumberFormat="0" applyFont="0" applyAlignment="0" applyProtection="0"/>
    <xf numFmtId="0" fontId="8" fillId="23" borderId="33" applyNumberFormat="0" applyFont="0" applyAlignment="0" applyProtection="0"/>
    <xf numFmtId="0" fontId="8"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221" fontId="8" fillId="0" borderId="0"/>
    <xf numFmtId="221" fontId="7" fillId="0" borderId="0"/>
    <xf numFmtId="221" fontId="8" fillId="0" borderId="0"/>
    <xf numFmtId="221" fontId="7" fillId="0" borderId="0"/>
    <xf numFmtId="221" fontId="7" fillId="0" borderId="0"/>
    <xf numFmtId="221" fontId="8" fillId="0" borderId="0"/>
    <xf numFmtId="221" fontId="8" fillId="0" borderId="0"/>
    <xf numFmtId="221" fontId="7" fillId="0" borderId="0"/>
    <xf numFmtId="43" fontId="7" fillId="0" borderId="0" applyFont="0" applyFill="0" applyBorder="0" applyAlignment="0" applyProtection="0"/>
    <xf numFmtId="221" fontId="8" fillId="0" borderId="0"/>
    <xf numFmtId="221" fontId="8" fillId="0" borderId="0"/>
    <xf numFmtId="221" fontId="8" fillId="0" borderId="0"/>
    <xf numFmtId="221" fontId="8" fillId="0" borderId="0"/>
    <xf numFmtId="43" fontId="7" fillId="0" borderId="0" applyFont="0" applyFill="0" applyBorder="0" applyAlignment="0" applyProtection="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8" fillId="0" borderId="0"/>
    <xf numFmtId="221" fontId="7" fillId="25" borderId="0" applyNumberFormat="0" applyBorder="0" applyAlignment="0" applyProtection="0"/>
    <xf numFmtId="221" fontId="7" fillId="26" borderId="0" applyNumberFormat="0" applyBorder="0" applyAlignment="0" applyProtection="0"/>
    <xf numFmtId="221" fontId="7" fillId="29" borderId="0" applyNumberFormat="0" applyBorder="0" applyAlignment="0" applyProtection="0"/>
    <xf numFmtId="221" fontId="7" fillId="30" borderId="0" applyNumberFormat="0" applyBorder="0" applyAlignment="0" applyProtection="0"/>
    <xf numFmtId="221" fontId="7" fillId="33" borderId="0" applyNumberFormat="0" applyBorder="0" applyAlignment="0" applyProtection="0"/>
    <xf numFmtId="221" fontId="7" fillId="34" borderId="0" applyNumberFormat="0" applyBorder="0" applyAlignment="0" applyProtection="0"/>
    <xf numFmtId="221" fontId="7" fillId="37" borderId="0" applyNumberFormat="0" applyBorder="0" applyAlignment="0" applyProtection="0"/>
    <xf numFmtId="221" fontId="7" fillId="38" borderId="0" applyNumberFormat="0" applyBorder="0" applyAlignment="0" applyProtection="0"/>
    <xf numFmtId="221" fontId="7" fillId="41" borderId="0" applyNumberFormat="0" applyBorder="0" applyAlignment="0" applyProtection="0"/>
    <xf numFmtId="221" fontId="7" fillId="42" borderId="0" applyNumberFormat="0" applyBorder="0" applyAlignment="0" applyProtection="0"/>
    <xf numFmtId="221" fontId="7" fillId="45" borderId="0" applyNumberFormat="0" applyBorder="0" applyAlignment="0" applyProtection="0"/>
    <xf numFmtId="221" fontId="7" fillId="46" borderId="0" applyNumberFormat="0" applyBorder="0" applyAlignment="0" applyProtection="0"/>
    <xf numFmtId="221" fontId="7" fillId="0" borderId="0"/>
    <xf numFmtId="221" fontId="7" fillId="0" borderId="0"/>
    <xf numFmtId="221" fontId="7" fillId="0" borderId="0"/>
    <xf numFmtId="221" fontId="7" fillId="0" borderId="0"/>
    <xf numFmtId="221" fontId="7" fillId="23" borderId="33" applyNumberFormat="0" applyFont="0" applyAlignment="0" applyProtection="0"/>
    <xf numFmtId="221" fontId="7" fillId="0" borderId="0"/>
    <xf numFmtId="221" fontId="7" fillId="0" borderId="0"/>
    <xf numFmtId="221" fontId="7" fillId="0" borderId="0"/>
    <xf numFmtId="221" fontId="7" fillId="0" borderId="0"/>
    <xf numFmtId="221" fontId="7" fillId="0" borderId="0"/>
    <xf numFmtId="221" fontId="7" fillId="0" borderId="0"/>
    <xf numFmtId="221"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21" fontId="8"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33" applyNumberFormat="0" applyFont="0" applyAlignment="0" applyProtection="0"/>
    <xf numFmtId="0" fontId="7" fillId="23" borderId="33" applyNumberFormat="0" applyFont="0" applyAlignment="0" applyProtection="0"/>
    <xf numFmtId="0" fontId="8" fillId="23" borderId="33" applyNumberFormat="0" applyFont="0" applyAlignment="0" applyProtection="0"/>
    <xf numFmtId="0" fontId="8"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221" fontId="7" fillId="45" borderId="0" applyNumberFormat="0" applyBorder="0" applyAlignment="0" applyProtection="0"/>
    <xf numFmtId="221" fontId="7" fillId="33" borderId="0" applyNumberFormat="0" applyBorder="0" applyAlignment="0" applyProtection="0"/>
    <xf numFmtId="221" fontId="7" fillId="38" borderId="0" applyNumberFormat="0" applyBorder="0" applyAlignment="0" applyProtection="0"/>
    <xf numFmtId="221" fontId="7" fillId="26" borderId="0" applyNumberFormat="0" applyBorder="0" applyAlignment="0" applyProtection="0"/>
    <xf numFmtId="221" fontId="7" fillId="37" borderId="0" applyNumberFormat="0" applyBorder="0" applyAlignment="0" applyProtection="0"/>
    <xf numFmtId="221" fontId="7" fillId="34" borderId="0" applyNumberFormat="0" applyBorder="0" applyAlignment="0" applyProtection="0"/>
    <xf numFmtId="221" fontId="7" fillId="41" borderId="0" applyNumberFormat="0" applyBorder="0" applyAlignment="0" applyProtection="0"/>
    <xf numFmtId="221" fontId="7" fillId="0" borderId="0"/>
    <xf numFmtId="221" fontId="7" fillId="26" borderId="0" applyNumberFormat="0" applyBorder="0" applyAlignment="0" applyProtection="0"/>
    <xf numFmtId="221" fontId="7" fillId="0" borderId="0"/>
    <xf numFmtId="221" fontId="7" fillId="41" borderId="0" applyNumberFormat="0" applyBorder="0" applyAlignment="0" applyProtection="0"/>
    <xf numFmtId="221" fontId="7" fillId="46" borderId="0" applyNumberFormat="0" applyBorder="0" applyAlignment="0" applyProtection="0"/>
    <xf numFmtId="221" fontId="7" fillId="29" borderId="0" applyNumberFormat="0" applyBorder="0" applyAlignment="0" applyProtection="0"/>
    <xf numFmtId="221" fontId="7" fillId="34" borderId="0" applyNumberFormat="0" applyBorder="0" applyAlignment="0" applyProtection="0"/>
    <xf numFmtId="221" fontId="7" fillId="0" borderId="0"/>
    <xf numFmtId="221" fontId="7" fillId="25" borderId="0" applyNumberFormat="0" applyBorder="0" applyAlignment="0" applyProtection="0"/>
    <xf numFmtId="221" fontId="7" fillId="42" borderId="0" applyNumberFormat="0" applyBorder="0" applyAlignment="0" applyProtection="0"/>
    <xf numFmtId="221" fontId="7" fillId="42" borderId="0" applyNumberFormat="0" applyBorder="0" applyAlignment="0" applyProtection="0"/>
    <xf numFmtId="221" fontId="7" fillId="30" borderId="0" applyNumberFormat="0" applyBorder="0" applyAlignment="0" applyProtection="0"/>
    <xf numFmtId="221" fontId="7" fillId="23" borderId="33" applyNumberFormat="0" applyFont="0" applyAlignment="0" applyProtection="0"/>
    <xf numFmtId="221" fontId="7" fillId="46" borderId="0" applyNumberFormat="0" applyBorder="0" applyAlignment="0" applyProtection="0"/>
    <xf numFmtId="221" fontId="7" fillId="0" borderId="0"/>
    <xf numFmtId="221" fontId="7" fillId="23" borderId="33" applyNumberFormat="0" applyFont="0" applyAlignment="0" applyProtection="0"/>
    <xf numFmtId="221" fontId="7" fillId="37" borderId="0" applyNumberFormat="0" applyBorder="0" applyAlignment="0" applyProtection="0"/>
    <xf numFmtId="221" fontId="7" fillId="25" borderId="0" applyNumberFormat="0" applyBorder="0" applyAlignment="0" applyProtection="0"/>
    <xf numFmtId="285" fontId="45" fillId="0" borderId="0" applyFont="0" applyFill="0" applyBorder="0" applyAlignment="0" applyProtection="0"/>
    <xf numFmtId="0" fontId="45"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173" fontId="34" fillId="0" borderId="0" applyProtection="0"/>
    <xf numFmtId="0" fontId="1" fillId="0" borderId="0"/>
    <xf numFmtId="44" fontId="34" fillId="0" borderId="0" applyFont="0" applyFill="0" applyBorder="0" applyAlignment="0" applyProtection="0"/>
  </cellStyleXfs>
  <cellXfs count="1040">
    <xf numFmtId="173" fontId="0" fillId="0" borderId="0" xfId="0"/>
    <xf numFmtId="221" fontId="37" fillId="0" borderId="0" xfId="0" applyNumberFormat="1" applyFont="1"/>
    <xf numFmtId="3" fontId="37" fillId="0" borderId="0" xfId="0" applyNumberFormat="1" applyFont="1"/>
    <xf numFmtId="221" fontId="37" fillId="0" borderId="0" xfId="0" applyNumberFormat="1" applyFont="1" applyAlignment="1">
      <alignment horizontal="center"/>
    </xf>
    <xf numFmtId="3" fontId="37" fillId="0" borderId="0" xfId="0" applyNumberFormat="1" applyFont="1" applyAlignment="1">
      <alignment horizontal="center"/>
    </xf>
    <xf numFmtId="49" fontId="37" fillId="0" borderId="0" xfId="0" applyNumberFormat="1" applyFont="1" applyAlignment="1">
      <alignment horizontal="center"/>
    </xf>
    <xf numFmtId="221" fontId="38" fillId="0" borderId="0" xfId="0" applyNumberFormat="1" applyFont="1" applyAlignment="1">
      <alignment horizontal="center"/>
    </xf>
    <xf numFmtId="3" fontId="38" fillId="0" borderId="0" xfId="0" applyNumberFormat="1" applyFont="1"/>
    <xf numFmtId="221" fontId="39" fillId="0" borderId="0" xfId="0" applyNumberFormat="1" applyFont="1" applyAlignment="1">
      <alignment horizontal="center"/>
    </xf>
    <xf numFmtId="173" fontId="37" fillId="0" borderId="0" xfId="0" applyFont="1"/>
    <xf numFmtId="221" fontId="39" fillId="0" borderId="0" xfId="0" applyNumberFormat="1" applyFont="1"/>
    <xf numFmtId="165" fontId="37" fillId="0" borderId="0" xfId="0" applyNumberFormat="1" applyFont="1"/>
    <xf numFmtId="3" fontId="37" fillId="0" borderId="0" xfId="0" applyNumberFormat="1" applyFont="1" applyAlignment="1">
      <alignment horizontal="left"/>
    </xf>
    <xf numFmtId="166" fontId="37" fillId="0" borderId="0" xfId="0" applyNumberFormat="1" applyFont="1" applyAlignment="1">
      <alignment horizontal="center"/>
    </xf>
    <xf numFmtId="3" fontId="37" fillId="0" borderId="0" xfId="0" applyNumberFormat="1" applyFont="1" applyAlignment="1">
      <alignment horizontal="fill"/>
    </xf>
    <xf numFmtId="164" fontId="37" fillId="0" borderId="0" xfId="0" applyNumberFormat="1" applyFont="1" applyAlignment="1">
      <alignment horizontal="center"/>
    </xf>
    <xf numFmtId="166" fontId="37" fillId="0" borderId="0" xfId="0" applyNumberFormat="1" applyFont="1"/>
    <xf numFmtId="49" fontId="37" fillId="0" borderId="0" xfId="0" applyNumberFormat="1" applyFont="1"/>
    <xf numFmtId="4" fontId="37" fillId="0" borderId="0" xfId="0" applyNumberFormat="1" applyFont="1"/>
    <xf numFmtId="169" fontId="37" fillId="0" borderId="0" xfId="0" applyNumberFormat="1" applyFont="1"/>
    <xf numFmtId="3" fontId="37" fillId="0" borderId="0" xfId="0" quotePrefix="1" applyNumberFormat="1" applyFont="1"/>
    <xf numFmtId="172" fontId="37" fillId="0" borderId="0" xfId="0" applyNumberFormat="1" applyFont="1"/>
    <xf numFmtId="164" fontId="37" fillId="0" borderId="0" xfId="0" applyNumberFormat="1" applyFont="1" applyAlignment="1">
      <alignment horizontal="left"/>
    </xf>
    <xf numFmtId="173" fontId="40" fillId="0" borderId="0" xfId="0" applyFont="1"/>
    <xf numFmtId="221" fontId="37" fillId="0" borderId="0" xfId="0" applyNumberFormat="1" applyFont="1" applyProtection="1">
      <protection locked="0"/>
    </xf>
    <xf numFmtId="221" fontId="37" fillId="0" borderId="0" xfId="0" applyNumberFormat="1" applyFont="1" applyAlignment="1" applyProtection="1">
      <alignment horizontal="left"/>
      <protection locked="0"/>
    </xf>
    <xf numFmtId="221" fontId="37" fillId="0" borderId="0" xfId="0" applyNumberFormat="1" applyFont="1" applyAlignment="1" applyProtection="1">
      <alignment horizontal="center"/>
      <protection locked="0"/>
    </xf>
    <xf numFmtId="221" fontId="39" fillId="0" borderId="0" xfId="0" applyNumberFormat="1" applyFont="1" applyAlignment="1" applyProtection="1">
      <alignment horizontal="center"/>
      <protection locked="0"/>
    </xf>
    <xf numFmtId="166" fontId="37" fillId="0" borderId="0" xfId="0" applyNumberFormat="1" applyFont="1" applyAlignment="1" applyProtection="1">
      <alignment horizontal="center"/>
      <protection locked="0"/>
    </xf>
    <xf numFmtId="221" fontId="40" fillId="0" borderId="0" xfId="0" applyNumberFormat="1" applyFont="1" applyProtection="1">
      <protection locked="0"/>
    </xf>
    <xf numFmtId="42" fontId="37" fillId="0" borderId="0" xfId="0" applyNumberFormat="1" applyFont="1"/>
    <xf numFmtId="173" fontId="37" fillId="0" borderId="0" xfId="0" applyFont="1" applyProtection="1">
      <protection locked="0"/>
    </xf>
    <xf numFmtId="221" fontId="37" fillId="0" borderId="1" xfId="0" applyNumberFormat="1" applyFont="1" applyBorder="1" applyAlignment="1" applyProtection="1">
      <alignment horizontal="center"/>
      <protection locked="0"/>
    </xf>
    <xf numFmtId="170" fontId="37" fillId="0" borderId="0" xfId="0" applyNumberFormat="1" applyFont="1" applyProtection="1"/>
    <xf numFmtId="1" fontId="37" fillId="0" borderId="0" xfId="0" applyNumberFormat="1" applyFont="1" applyProtection="1"/>
    <xf numFmtId="3" fontId="37" fillId="0" borderId="1" xfId="0" applyNumberFormat="1" applyFont="1" applyBorder="1"/>
    <xf numFmtId="3" fontId="37" fillId="0" borderId="1" xfId="0" applyNumberFormat="1" applyFont="1" applyBorder="1" applyAlignment="1">
      <alignment horizontal="center"/>
    </xf>
    <xf numFmtId="172" fontId="37" fillId="0" borderId="0" xfId="0" applyNumberFormat="1" applyFont="1" applyProtection="1">
      <protection locked="0"/>
    </xf>
    <xf numFmtId="221" fontId="37" fillId="0" borderId="1" xfId="0" applyNumberFormat="1" applyFont="1" applyBorder="1" applyAlignment="1" applyProtection="1">
      <alignment horizontal="centerContinuous"/>
      <protection locked="0"/>
    </xf>
    <xf numFmtId="42" fontId="37" fillId="0" borderId="2" xfId="0" applyNumberFormat="1" applyFont="1" applyBorder="1" applyAlignment="1" applyProtection="1">
      <alignment horizontal="right"/>
      <protection locked="0"/>
    </xf>
    <xf numFmtId="221" fontId="39" fillId="0" borderId="0" xfId="0" applyNumberFormat="1" applyFont="1" applyProtection="1">
      <protection locked="0"/>
    </xf>
    <xf numFmtId="221" fontId="37" fillId="0" borderId="1" xfId="0" applyNumberFormat="1" applyFont="1" applyBorder="1" applyProtection="1">
      <protection locked="0"/>
    </xf>
    <xf numFmtId="221" fontId="37" fillId="0" borderId="1" xfId="0" applyNumberFormat="1" applyFont="1" applyBorder="1"/>
    <xf numFmtId="9" fontId="37" fillId="0" borderId="0" xfId="0" applyNumberFormat="1" applyFont="1"/>
    <xf numFmtId="173" fontId="37" fillId="0" borderId="1" xfId="0" applyFont="1" applyBorder="1"/>
    <xf numFmtId="168" fontId="37" fillId="0" borderId="0" xfId="0" applyNumberFormat="1" applyFont="1" applyProtection="1">
      <protection locked="0"/>
    </xf>
    <xf numFmtId="38" fontId="37" fillId="0" borderId="0" xfId="0" applyNumberFormat="1" applyFont="1" applyProtection="1"/>
    <xf numFmtId="169" fontId="37" fillId="0" borderId="1" xfId="0" applyNumberFormat="1" applyFont="1" applyBorder="1"/>
    <xf numFmtId="165" fontId="37" fillId="0" borderId="0" xfId="0" applyNumberFormat="1" applyFont="1" applyAlignment="1">
      <alignment horizontal="right"/>
    </xf>
    <xf numFmtId="171" fontId="37" fillId="0" borderId="0" xfId="0" applyNumberFormat="1" applyFont="1" applyAlignment="1">
      <alignment horizontal="left"/>
    </xf>
    <xf numFmtId="221" fontId="37" fillId="0" borderId="0" xfId="0" applyNumberFormat="1" applyFont="1" applyAlignment="1">
      <alignment horizontal="right"/>
    </xf>
    <xf numFmtId="170" fontId="40" fillId="0" borderId="0" xfId="0" applyNumberFormat="1" applyFont="1" applyProtection="1"/>
    <xf numFmtId="173" fontId="45" fillId="0" borderId="0" xfId="0" applyFont="1"/>
    <xf numFmtId="165" fontId="52" fillId="0" borderId="0" xfId="0" applyNumberFormat="1" applyFont="1" applyAlignment="1">
      <alignment horizontal="right"/>
    </xf>
    <xf numFmtId="166" fontId="52" fillId="0" borderId="0" xfId="0" applyNumberFormat="1" applyFont="1" applyAlignment="1">
      <alignment horizontal="right"/>
    </xf>
    <xf numFmtId="4" fontId="52" fillId="0" borderId="0" xfId="0" applyNumberFormat="1" applyFont="1"/>
    <xf numFmtId="221" fontId="45" fillId="0" borderId="0" xfId="8" applyFont="1"/>
    <xf numFmtId="221" fontId="50" fillId="0" borderId="0" xfId="10"/>
    <xf numFmtId="221" fontId="55" fillId="0" borderId="0" xfId="10" applyFont="1" applyAlignment="1">
      <alignment horizontal="center"/>
    </xf>
    <xf numFmtId="221" fontId="56" fillId="0" borderId="0" xfId="10" applyFont="1" applyAlignment="1">
      <alignment horizontal="center"/>
    </xf>
    <xf numFmtId="221" fontId="52" fillId="0" borderId="0" xfId="0" applyNumberFormat="1" applyFont="1" applyAlignment="1" applyProtection="1">
      <alignment horizontal="right"/>
      <protection locked="0"/>
    </xf>
    <xf numFmtId="221" fontId="37" fillId="0" borderId="0" xfId="0" applyNumberFormat="1" applyFont="1" applyAlignment="1" applyProtection="1">
      <alignment horizontal="right"/>
      <protection locked="0"/>
    </xf>
    <xf numFmtId="221" fontId="54" fillId="0" borderId="0" xfId="10" applyFont="1" applyAlignment="1">
      <alignment horizontal="centerContinuous"/>
    </xf>
    <xf numFmtId="221" fontId="46" fillId="0" borderId="0" xfId="10" applyFont="1" applyAlignment="1">
      <alignment horizontal="centerContinuous"/>
    </xf>
    <xf numFmtId="221" fontId="50" fillId="0" borderId="0" xfId="6"/>
    <xf numFmtId="173" fontId="45" fillId="0" borderId="0" xfId="0" applyFont="1" applyAlignment="1">
      <alignment horizontal="centerContinuous"/>
    </xf>
    <xf numFmtId="173" fontId="34" fillId="0" borderId="0" xfId="0" applyFont="1"/>
    <xf numFmtId="173" fontId="37" fillId="0" borderId="0" xfId="0" applyFont="1" applyAlignment="1">
      <alignment horizontal="center"/>
    </xf>
    <xf numFmtId="42" fontId="37" fillId="2" borderId="0" xfId="0" applyNumberFormat="1" applyFont="1" applyFill="1" applyProtection="1"/>
    <xf numFmtId="173" fontId="39" fillId="0" borderId="0" xfId="0" applyFont="1" applyAlignment="1">
      <alignment horizontal="centerContinuous"/>
    </xf>
    <xf numFmtId="173" fontId="37" fillId="0" borderId="0" xfId="0" applyFont="1" applyAlignment="1">
      <alignment horizontal="centerContinuous"/>
    </xf>
    <xf numFmtId="221" fontId="37" fillId="0" borderId="0" xfId="7" applyFont="1"/>
    <xf numFmtId="221" fontId="39" fillId="0" borderId="0" xfId="5" applyFont="1" applyAlignment="1">
      <alignment horizontal="center"/>
    </xf>
    <xf numFmtId="221" fontId="37" fillId="0" borderId="0" xfId="5" applyFont="1" applyAlignment="1">
      <alignment horizontal="centerContinuous"/>
    </xf>
    <xf numFmtId="221" fontId="59" fillId="0" borderId="0" xfId="7" applyFont="1" applyAlignment="1">
      <alignment horizontal="center"/>
    </xf>
    <xf numFmtId="221" fontId="37" fillId="0" borderId="0" xfId="5" applyFont="1" applyAlignment="1">
      <alignment horizontal="left"/>
    </xf>
    <xf numFmtId="221" fontId="37" fillId="0" borderId="0" xfId="7" applyFont="1" applyAlignment="1">
      <alignment horizontal="left"/>
    </xf>
    <xf numFmtId="41" fontId="70" fillId="0" borderId="0" xfId="6" applyNumberFormat="1" applyFont="1"/>
    <xf numFmtId="221" fontId="37" fillId="0" borderId="0" xfId="7" applyFont="1" applyAlignment="1">
      <alignment horizontal="left" vertical="center"/>
    </xf>
    <xf numFmtId="173" fontId="61" fillId="0" borderId="0" xfId="0" applyFont="1" applyAlignment="1">
      <alignment horizontal="centerContinuous"/>
    </xf>
    <xf numFmtId="41" fontId="60" fillId="0" borderId="0" xfId="6" applyNumberFormat="1" applyFont="1"/>
    <xf numFmtId="221" fontId="37" fillId="0" borderId="0" xfId="6" applyFont="1" applyAlignment="1">
      <alignment horizontal="left" vertical="center"/>
    </xf>
    <xf numFmtId="221" fontId="37" fillId="0" borderId="0" xfId="6" applyFont="1"/>
    <xf numFmtId="42" fontId="67" fillId="0" borderId="0" xfId="7" applyNumberFormat="1" applyFont="1" applyAlignment="1">
      <alignment vertical="center"/>
    </xf>
    <xf numFmtId="221" fontId="0" fillId="0" borderId="0" xfId="0" applyNumberFormat="1"/>
    <xf numFmtId="221" fontId="43" fillId="0" borderId="0" xfId="0" applyNumberFormat="1" applyFont="1"/>
    <xf numFmtId="221" fontId="0" fillId="0" borderId="0" xfId="0" applyNumberFormat="1" applyAlignment="1" applyProtection="1">
      <alignment horizontal="center"/>
      <protection locked="0"/>
    </xf>
    <xf numFmtId="3" fontId="0" fillId="0" borderId="0" xfId="0" applyNumberFormat="1"/>
    <xf numFmtId="3" fontId="39" fillId="0" borderId="0" xfId="0" applyNumberFormat="1" applyFont="1" applyAlignment="1">
      <alignment horizontal="center"/>
    </xf>
    <xf numFmtId="221" fontId="0" fillId="0" borderId="0" xfId="0" applyNumberFormat="1" applyAlignment="1">
      <alignment horizontal="center"/>
    </xf>
    <xf numFmtId="221" fontId="73" fillId="0" borderId="0" xfId="0" applyNumberFormat="1" applyFont="1" applyAlignment="1" applyProtection="1">
      <alignment horizontal="center"/>
      <protection locked="0"/>
    </xf>
    <xf numFmtId="3" fontId="0" fillId="0" borderId="0" xfId="0" applyNumberFormat="1" applyAlignment="1">
      <alignment horizontal="center"/>
    </xf>
    <xf numFmtId="41" fontId="37" fillId="2" borderId="0" xfId="0" applyNumberFormat="1" applyFont="1" applyFill="1"/>
    <xf numFmtId="10" fontId="37" fillId="0" borderId="0" xfId="0" applyNumberFormat="1" applyFont="1"/>
    <xf numFmtId="10" fontId="0" fillId="0" borderId="0" xfId="11" applyNumberFormat="1" applyFont="1" applyFill="1" applyBorder="1" applyAlignment="1"/>
    <xf numFmtId="10" fontId="39" fillId="0" borderId="0" xfId="0" applyNumberFormat="1" applyFont="1"/>
    <xf numFmtId="3" fontId="42" fillId="0" borderId="0" xfId="0" applyNumberFormat="1" applyFont="1"/>
    <xf numFmtId="49" fontId="0" fillId="0" borderId="0" xfId="0" applyNumberFormat="1" applyAlignment="1">
      <alignment horizontal="center"/>
    </xf>
    <xf numFmtId="49" fontId="42" fillId="0" borderId="0" xfId="0" applyNumberFormat="1" applyFont="1" applyAlignment="1">
      <alignment horizontal="center"/>
    </xf>
    <xf numFmtId="173" fontId="42" fillId="0" borderId="0" xfId="0" applyFont="1"/>
    <xf numFmtId="3" fontId="39" fillId="0" borderId="0" xfId="0" applyNumberFormat="1" applyFont="1"/>
    <xf numFmtId="10" fontId="39" fillId="0" borderId="0" xfId="11" applyNumberFormat="1" applyFont="1" applyFill="1" applyBorder="1" applyAlignment="1"/>
    <xf numFmtId="173" fontId="44" fillId="0" borderId="0" xfId="0" applyFont="1"/>
    <xf numFmtId="10" fontId="37" fillId="0" borderId="0" xfId="11" applyNumberFormat="1" applyFont="1" applyFill="1" applyBorder="1" applyAlignment="1"/>
    <xf numFmtId="49" fontId="35" fillId="0" borderId="0" xfId="0" applyNumberFormat="1" applyFont="1" applyAlignment="1">
      <alignment horizontal="left"/>
    </xf>
    <xf numFmtId="221" fontId="35" fillId="0" borderId="0" xfId="0" applyNumberFormat="1" applyFont="1" applyAlignment="1">
      <alignment horizontal="right"/>
    </xf>
    <xf numFmtId="49" fontId="0" fillId="0" borderId="0" xfId="0" applyNumberFormat="1" applyAlignment="1">
      <alignment horizontal="left"/>
    </xf>
    <xf numFmtId="173" fontId="37" fillId="0" borderId="0" xfId="0" applyFont="1" applyAlignment="1">
      <alignment horizontal="right"/>
    </xf>
    <xf numFmtId="177" fontId="39" fillId="0" borderId="0" xfId="0" applyNumberFormat="1" applyFont="1" applyAlignment="1">
      <alignment horizontal="center"/>
    </xf>
    <xf numFmtId="173" fontId="42" fillId="0" borderId="15" xfId="0" applyFont="1" applyBorder="1" applyAlignment="1">
      <alignment horizontal="center" wrapText="1"/>
    </xf>
    <xf numFmtId="173" fontId="42" fillId="0" borderId="16" xfId="0" applyFont="1" applyBorder="1"/>
    <xf numFmtId="173" fontId="42" fillId="0" borderId="16" xfId="0" applyFont="1" applyBorder="1" applyAlignment="1">
      <alignment horizontal="center" wrapText="1"/>
    </xf>
    <xf numFmtId="221" fontId="39" fillId="0" borderId="16" xfId="0" applyNumberFormat="1" applyFont="1" applyBorder="1" applyAlignment="1">
      <alignment horizontal="center" wrapText="1"/>
    </xf>
    <xf numFmtId="173" fontId="42" fillId="0" borderId="14" xfId="0" applyFont="1" applyBorder="1" applyAlignment="1">
      <alignment horizontal="center" wrapText="1"/>
    </xf>
    <xf numFmtId="3" fontId="39" fillId="0" borderId="14" xfId="0" applyNumberFormat="1" applyFont="1" applyBorder="1" applyAlignment="1">
      <alignment horizontal="center" wrapText="1"/>
    </xf>
    <xf numFmtId="3" fontId="39" fillId="0" borderId="16" xfId="0" applyNumberFormat="1" applyFont="1" applyBorder="1" applyAlignment="1">
      <alignment horizontal="center" wrapText="1"/>
    </xf>
    <xf numFmtId="221" fontId="37" fillId="0" borderId="15" xfId="0" applyNumberFormat="1" applyFont="1" applyBorder="1"/>
    <xf numFmtId="221" fontId="37" fillId="0" borderId="16" xfId="0" applyNumberFormat="1" applyFont="1" applyBorder="1"/>
    <xf numFmtId="221" fontId="37" fillId="0" borderId="16" xfId="0" applyNumberFormat="1" applyFont="1" applyBorder="1" applyAlignment="1">
      <alignment horizontal="center"/>
    </xf>
    <xf numFmtId="221" fontId="37" fillId="0" borderId="14" xfId="0" applyNumberFormat="1" applyFont="1" applyBorder="1" applyAlignment="1">
      <alignment horizontal="center"/>
    </xf>
    <xf numFmtId="3" fontId="37" fillId="0" borderId="16" xfId="0" applyNumberFormat="1" applyFont="1" applyBorder="1" applyAlignment="1">
      <alignment horizontal="center"/>
    </xf>
    <xf numFmtId="3" fontId="37" fillId="0" borderId="14" xfId="0" applyNumberFormat="1" applyFont="1" applyBorder="1" applyAlignment="1">
      <alignment horizontal="center" wrapText="1"/>
    </xf>
    <xf numFmtId="221" fontId="37" fillId="0" borderId="3" xfId="0" applyNumberFormat="1" applyFont="1" applyBorder="1"/>
    <xf numFmtId="221" fontId="37" fillId="0" borderId="17" xfId="0" applyNumberFormat="1" applyFont="1" applyBorder="1"/>
    <xf numFmtId="3" fontId="37" fillId="0" borderId="17" xfId="0" applyNumberFormat="1" applyFont="1" applyBorder="1"/>
    <xf numFmtId="173" fontId="0" fillId="0" borderId="3" xfId="0" applyBorder="1"/>
    <xf numFmtId="175" fontId="0" fillId="2" borderId="0" xfId="12" applyNumberFormat="1" applyFont="1" applyFill="1" applyBorder="1" applyAlignment="1"/>
    <xf numFmtId="173" fontId="0" fillId="0" borderId="17" xfId="0" applyBorder="1"/>
    <xf numFmtId="175" fontId="37" fillId="2" borderId="0" xfId="12" applyNumberFormat="1" applyFont="1" applyFill="1" applyBorder="1" applyAlignment="1"/>
    <xf numFmtId="173" fontId="36" fillId="0" borderId="0" xfId="0" applyFont="1"/>
    <xf numFmtId="173" fontId="36" fillId="0" borderId="17" xfId="0" applyFont="1" applyBorder="1"/>
    <xf numFmtId="173" fontId="0" fillId="0" borderId="5" xfId="0" applyBorder="1"/>
    <xf numFmtId="173" fontId="0" fillId="0" borderId="6" xfId="0" applyBorder="1"/>
    <xf numFmtId="173" fontId="36" fillId="0" borderId="6" xfId="0" applyFont="1" applyBorder="1"/>
    <xf numFmtId="173" fontId="36" fillId="0" borderId="12" xfId="0" applyFont="1" applyBorder="1"/>
    <xf numFmtId="1" fontId="37" fillId="0" borderId="0" xfId="13" applyNumberFormat="1" applyFont="1" applyFill="1" applyBorder="1" applyAlignment="1">
      <alignment horizontal="center"/>
    </xf>
    <xf numFmtId="173" fontId="34" fillId="0" borderId="0" xfId="0" applyFont="1" applyAlignment="1">
      <alignment horizontal="center"/>
    </xf>
    <xf numFmtId="173" fontId="34" fillId="0" borderId="0" xfId="0" applyFont="1" applyAlignment="1">
      <alignment horizontal="center" vertical="top"/>
    </xf>
    <xf numFmtId="173" fontId="35" fillId="0" borderId="0" xfId="0" applyFont="1"/>
    <xf numFmtId="49" fontId="35" fillId="0" borderId="0" xfId="0" applyNumberFormat="1" applyFont="1" applyAlignment="1">
      <alignment horizontal="center"/>
    </xf>
    <xf numFmtId="169" fontId="39" fillId="2" borderId="0" xfId="0" applyNumberFormat="1" applyFont="1" applyFill="1"/>
    <xf numFmtId="221" fontId="39" fillId="0" borderId="0" xfId="7" applyFont="1" applyAlignment="1">
      <alignment horizontal="center"/>
    </xf>
    <xf numFmtId="221" fontId="59" fillId="0" borderId="0" xfId="5" applyFont="1" applyAlignment="1">
      <alignment horizontal="centerContinuous"/>
    </xf>
    <xf numFmtId="42" fontId="37" fillId="0" borderId="0" xfId="7" applyNumberFormat="1" applyFont="1"/>
    <xf numFmtId="221" fontId="37" fillId="0" borderId="0" xfId="0" applyNumberFormat="1" applyFont="1" applyAlignment="1" applyProtection="1">
      <alignment horizontal="centerContinuous"/>
      <protection locked="0"/>
    </xf>
    <xf numFmtId="3" fontId="37" fillId="0" borderId="0" xfId="0" applyNumberFormat="1" applyFont="1" applyAlignment="1">
      <alignment horizontal="centerContinuous"/>
    </xf>
    <xf numFmtId="221" fontId="37" fillId="0" borderId="0" xfId="0" applyNumberFormat="1" applyFont="1" applyAlignment="1">
      <alignment horizontal="centerContinuous"/>
    </xf>
    <xf numFmtId="37" fontId="37" fillId="0" borderId="0" xfId="0" applyNumberFormat="1" applyFont="1"/>
    <xf numFmtId="37" fontId="37" fillId="0" borderId="1" xfId="0" applyNumberFormat="1" applyFont="1" applyBorder="1"/>
    <xf numFmtId="37" fontId="52" fillId="0" borderId="0" xfId="0" applyNumberFormat="1" applyFont="1"/>
    <xf numFmtId="37" fontId="52" fillId="2" borderId="0" xfId="0" applyNumberFormat="1" applyFont="1" applyFill="1"/>
    <xf numFmtId="37" fontId="37" fillId="2" borderId="1" xfId="0" applyNumberFormat="1" applyFont="1" applyFill="1" applyBorder="1"/>
    <xf numFmtId="173" fontId="37" fillId="0" borderId="0" xfId="0" applyFont="1" applyProtection="1"/>
    <xf numFmtId="38" fontId="37" fillId="0" borderId="0" xfId="0" applyNumberFormat="1" applyFont="1"/>
    <xf numFmtId="3" fontId="37" fillId="0" borderId="0" xfId="0" applyNumberFormat="1" applyFont="1" applyProtection="1"/>
    <xf numFmtId="170" fontId="37" fillId="0" borderId="0" xfId="0" applyNumberFormat="1" applyFont="1" applyProtection="1">
      <protection locked="0"/>
    </xf>
    <xf numFmtId="221" fontId="64" fillId="0" borderId="0" xfId="0" applyNumberFormat="1" applyFont="1" applyProtection="1">
      <protection locked="0"/>
    </xf>
    <xf numFmtId="173" fontId="75" fillId="0" borderId="0" xfId="0" applyFont="1"/>
    <xf numFmtId="221" fontId="45" fillId="0" borderId="0" xfId="0" applyNumberFormat="1" applyFont="1"/>
    <xf numFmtId="37" fontId="37" fillId="0" borderId="0" xfId="0" applyNumberFormat="1" applyFont="1" applyProtection="1"/>
    <xf numFmtId="175" fontId="68" fillId="2" borderId="0" xfId="12" applyNumberFormat="1" applyFont="1" applyFill="1" applyBorder="1" applyAlignment="1"/>
    <xf numFmtId="221" fontId="45" fillId="0" borderId="0" xfId="8" applyFont="1" applyAlignment="1">
      <alignment horizontal="right"/>
    </xf>
    <xf numFmtId="41" fontId="45" fillId="0" borderId="0" xfId="8" applyNumberFormat="1" applyFont="1"/>
    <xf numFmtId="221" fontId="45" fillId="0" borderId="0" xfId="8" applyFont="1" applyAlignment="1">
      <alignment horizontal="left"/>
    </xf>
    <xf numFmtId="221" fontId="47" fillId="0" borderId="0" xfId="8" applyFont="1" applyAlignment="1">
      <alignment horizontal="center"/>
    </xf>
    <xf numFmtId="41" fontId="47" fillId="0" borderId="0" xfId="8" applyNumberFormat="1" applyFont="1"/>
    <xf numFmtId="41" fontId="57" fillId="0" borderId="0" xfId="8" applyNumberFormat="1" applyFont="1" applyAlignment="1">
      <alignment vertical="center"/>
    </xf>
    <xf numFmtId="221" fontId="45" fillId="0" borderId="0" xfId="8" applyFont="1" applyAlignment="1">
      <alignment horizontal="center"/>
    </xf>
    <xf numFmtId="37" fontId="45" fillId="0" borderId="0" xfId="8" applyNumberFormat="1" applyFont="1"/>
    <xf numFmtId="41" fontId="45" fillId="0" borderId="0" xfId="13" applyNumberFormat="1" applyFont="1" applyFill="1" applyBorder="1"/>
    <xf numFmtId="221" fontId="41" fillId="0" borderId="0" xfId="15" applyFont="1"/>
    <xf numFmtId="221" fontId="62" fillId="0" borderId="0" xfId="15" applyFont="1"/>
    <xf numFmtId="173" fontId="69" fillId="0" borderId="0" xfId="0" applyFont="1" applyAlignment="1">
      <alignment horizontal="centerContinuous"/>
    </xf>
    <xf numFmtId="173" fontId="37" fillId="0" borderId="0" xfId="0" applyFont="1" applyAlignment="1">
      <alignment horizontal="left"/>
    </xf>
    <xf numFmtId="173" fontId="0" fillId="0" borderId="0" xfId="0" applyAlignment="1">
      <alignment horizontal="centerContinuous"/>
    </xf>
    <xf numFmtId="221" fontId="39" fillId="0" borderId="0" xfId="0" applyNumberFormat="1" applyFont="1" applyAlignment="1">
      <alignment horizontal="centerContinuous"/>
    </xf>
    <xf numFmtId="49" fontId="69" fillId="0" borderId="0" xfId="0" applyNumberFormat="1" applyFont="1" applyAlignment="1">
      <alignment horizontal="centerContinuous"/>
    </xf>
    <xf numFmtId="49" fontId="37" fillId="0" borderId="0" xfId="0" applyNumberFormat="1" applyFont="1" applyAlignment="1">
      <alignment horizontal="centerContinuous"/>
    </xf>
    <xf numFmtId="37" fontId="69" fillId="4" borderId="0" xfId="0" applyNumberFormat="1" applyFont="1" applyFill="1"/>
    <xf numFmtId="221" fontId="45" fillId="0" borderId="0" xfId="10" applyFont="1"/>
    <xf numFmtId="221" fontId="130" fillId="0" borderId="0" xfId="0" applyNumberFormat="1" applyFont="1" applyAlignment="1" applyProtection="1">
      <alignment horizontal="center"/>
      <protection locked="0"/>
    </xf>
    <xf numFmtId="173" fontId="130" fillId="0" borderId="0" xfId="0" applyFont="1"/>
    <xf numFmtId="221" fontId="131" fillId="0" borderId="0" xfId="0" applyNumberFormat="1" applyFont="1" applyAlignment="1" applyProtection="1">
      <alignment horizontal="center"/>
      <protection locked="0"/>
    </xf>
    <xf numFmtId="173" fontId="130" fillId="0" borderId="0" xfId="0" applyFont="1" applyAlignment="1">
      <alignment horizontal="centerContinuous"/>
    </xf>
    <xf numFmtId="221" fontId="130" fillId="0" borderId="0" xfId="0" applyNumberFormat="1" applyFont="1"/>
    <xf numFmtId="221" fontId="69" fillId="0" borderId="0" xfId="0" applyNumberFormat="1" applyFont="1" applyAlignment="1" applyProtection="1">
      <alignment horizontal="centerContinuous"/>
      <protection locked="0"/>
    </xf>
    <xf numFmtId="221" fontId="45" fillId="0" borderId="0" xfId="6" applyFont="1"/>
    <xf numFmtId="173" fontId="37" fillId="0" borderId="0" xfId="325" applyFont="1"/>
    <xf numFmtId="173" fontId="34" fillId="0" borderId="0" xfId="325"/>
    <xf numFmtId="221" fontId="37" fillId="0" borderId="0" xfId="325" applyNumberFormat="1" applyFont="1"/>
    <xf numFmtId="221" fontId="34" fillId="0" borderId="0" xfId="325" applyNumberFormat="1"/>
    <xf numFmtId="221" fontId="132" fillId="0" borderId="0" xfId="326"/>
    <xf numFmtId="221" fontId="37" fillId="0" borderId="0" xfId="325" applyNumberFormat="1" applyFont="1" applyProtection="1">
      <protection locked="0"/>
    </xf>
    <xf numFmtId="221" fontId="34" fillId="0" borderId="0" xfId="325" applyNumberFormat="1" applyProtection="1">
      <protection locked="0"/>
    </xf>
    <xf numFmtId="221" fontId="37" fillId="0" borderId="0" xfId="326" applyFont="1"/>
    <xf numFmtId="173" fontId="37" fillId="0" borderId="0" xfId="325" applyFont="1" applyProtection="1">
      <protection locked="0"/>
    </xf>
    <xf numFmtId="221" fontId="34" fillId="0" borderId="0" xfId="325" applyNumberFormat="1" applyAlignment="1" applyProtection="1">
      <alignment horizontal="center"/>
      <protection locked="0"/>
    </xf>
    <xf numFmtId="272" fontId="37" fillId="0" borderId="0" xfId="325" applyNumberFormat="1" applyFont="1"/>
    <xf numFmtId="221" fontId="37" fillId="0" borderId="0" xfId="326" quotePrefix="1" applyFont="1"/>
    <xf numFmtId="221" fontId="37" fillId="0" borderId="0" xfId="326" applyFont="1" applyAlignment="1">
      <alignment horizontal="center"/>
    </xf>
    <xf numFmtId="43" fontId="37" fillId="0" borderId="0" xfId="89" applyFont="1" applyAlignment="1"/>
    <xf numFmtId="1" fontId="37" fillId="0" borderId="0" xfId="325" applyNumberFormat="1" applyFont="1" applyAlignment="1" applyProtection="1">
      <alignment horizontal="center"/>
      <protection locked="0"/>
    </xf>
    <xf numFmtId="221" fontId="37" fillId="0" borderId="0" xfId="325" applyNumberFormat="1" applyFont="1" applyAlignment="1" applyProtection="1">
      <alignment horizontal="center"/>
      <protection locked="0"/>
    </xf>
    <xf numFmtId="173" fontId="39" fillId="0" borderId="0" xfId="325" applyFont="1" applyAlignment="1">
      <alignment horizontal="center"/>
    </xf>
    <xf numFmtId="170" fontId="37" fillId="0" borderId="0" xfId="325" applyNumberFormat="1" applyFont="1" applyProtection="1">
      <protection locked="0"/>
    </xf>
    <xf numFmtId="42" fontId="37" fillId="0" borderId="0" xfId="325" applyNumberFormat="1" applyFont="1" applyProtection="1">
      <protection locked="0"/>
    </xf>
    <xf numFmtId="42" fontId="37" fillId="0" borderId="22" xfId="325" applyNumberFormat="1" applyFont="1" applyBorder="1" applyProtection="1">
      <protection locked="0"/>
    </xf>
    <xf numFmtId="1" fontId="37" fillId="0" borderId="20" xfId="325" applyNumberFormat="1" applyFont="1" applyBorder="1" applyAlignment="1" applyProtection="1">
      <alignment horizontal="center"/>
      <protection locked="0"/>
    </xf>
    <xf numFmtId="221" fontId="37" fillId="0" borderId="20" xfId="325" applyNumberFormat="1" applyFont="1" applyBorder="1" applyProtection="1">
      <protection locked="0"/>
    </xf>
    <xf numFmtId="221" fontId="37" fillId="0" borderId="23" xfId="326" applyFont="1" applyBorder="1"/>
    <xf numFmtId="42" fontId="37" fillId="0" borderId="0" xfId="325" applyNumberFormat="1" applyFont="1"/>
    <xf numFmtId="221" fontId="39" fillId="0" borderId="0" xfId="325" applyNumberFormat="1" applyFont="1" applyAlignment="1" applyProtection="1">
      <alignment horizontal="center"/>
      <protection locked="0"/>
    </xf>
    <xf numFmtId="49" fontId="37" fillId="0" borderId="0" xfId="325" applyNumberFormat="1" applyFont="1" applyAlignment="1" applyProtection="1">
      <alignment horizontal="center"/>
      <protection locked="0"/>
    </xf>
    <xf numFmtId="49" fontId="53" fillId="0" borderId="0" xfId="325" applyNumberFormat="1" applyFont="1" applyAlignment="1" applyProtection="1">
      <alignment horizontal="center"/>
      <protection locked="0"/>
    </xf>
    <xf numFmtId="49" fontId="53" fillId="0" borderId="0" xfId="325" applyNumberFormat="1" applyFont="1" applyAlignment="1" applyProtection="1">
      <alignment horizontal="left"/>
      <protection locked="0"/>
    </xf>
    <xf numFmtId="49" fontId="53" fillId="0" borderId="0" xfId="325" applyNumberFormat="1" applyFont="1" applyAlignment="1" applyProtection="1">
      <alignment horizontal="centerContinuous"/>
      <protection locked="0"/>
    </xf>
    <xf numFmtId="221" fontId="37" fillId="0" borderId="0" xfId="326" applyFont="1" applyAlignment="1">
      <alignment horizontal="left"/>
    </xf>
    <xf numFmtId="221" fontId="37" fillId="0" borderId="0" xfId="326" applyFont="1" applyAlignment="1">
      <alignment horizontal="centerContinuous"/>
    </xf>
    <xf numFmtId="3" fontId="37" fillId="0" borderId="0" xfId="326" applyNumberFormat="1" applyFont="1" applyAlignment="1">
      <alignment horizontal="left"/>
    </xf>
    <xf numFmtId="3" fontId="37" fillId="0" borderId="0" xfId="326" applyNumberFormat="1" applyFont="1" applyAlignment="1">
      <alignment horizontal="centerContinuous"/>
    </xf>
    <xf numFmtId="174" fontId="37" fillId="0" borderId="0" xfId="89" applyNumberFormat="1" applyFont="1" applyAlignment="1"/>
    <xf numFmtId="221" fontId="0" fillId="0" borderId="0" xfId="325" applyNumberFormat="1" applyFont="1" applyAlignment="1" applyProtection="1">
      <alignment horizontal="center"/>
      <protection locked="0"/>
    </xf>
    <xf numFmtId="221" fontId="133" fillId="0" borderId="0" xfId="325" applyNumberFormat="1" applyFont="1" applyAlignment="1" applyProtection="1">
      <alignment horizontal="center"/>
      <protection locked="0"/>
    </xf>
    <xf numFmtId="221" fontId="0" fillId="0" borderId="0" xfId="326" applyFont="1" applyAlignment="1">
      <alignment horizontal="center"/>
    </xf>
    <xf numFmtId="221" fontId="34" fillId="0" borderId="0" xfId="326" applyFont="1" applyAlignment="1">
      <alignment horizontal="center"/>
    </xf>
    <xf numFmtId="173" fontId="37" fillId="0" borderId="0" xfId="325" applyFont="1" applyAlignment="1">
      <alignment horizontal="center"/>
    </xf>
    <xf numFmtId="221" fontId="69" fillId="0" borderId="0" xfId="0" applyNumberFormat="1" applyFont="1" applyAlignment="1">
      <alignment horizontal="centerContinuous"/>
    </xf>
    <xf numFmtId="42" fontId="37" fillId="0" borderId="2" xfId="0" applyNumberFormat="1" applyFont="1" applyBorder="1"/>
    <xf numFmtId="37" fontId="37" fillId="4" borderId="0" xfId="0" applyNumberFormat="1" applyFont="1" applyFill="1"/>
    <xf numFmtId="49" fontId="45" fillId="0" borderId="0" xfId="0" applyNumberFormat="1" applyFont="1" applyAlignment="1">
      <alignment horizontal="center"/>
    </xf>
    <xf numFmtId="173" fontId="45" fillId="0" borderId="0" xfId="325" applyFont="1"/>
    <xf numFmtId="41" fontId="37" fillId="0" borderId="0" xfId="0" applyNumberFormat="1" applyFont="1"/>
    <xf numFmtId="221" fontId="37" fillId="0" borderId="0" xfId="5" applyFont="1"/>
    <xf numFmtId="221" fontId="60" fillId="0" borderId="0" xfId="5" applyFont="1" applyAlignment="1">
      <alignment horizontal="centerContinuous"/>
    </xf>
    <xf numFmtId="221" fontId="37" fillId="0" borderId="0" xfId="5" applyFont="1" applyAlignment="1">
      <alignment horizontal="left" indent="1"/>
    </xf>
    <xf numFmtId="221" fontId="37" fillId="0" borderId="0" xfId="7" applyFont="1" applyAlignment="1">
      <alignment horizontal="left" indent="1"/>
    </xf>
    <xf numFmtId="42" fontId="67" fillId="0" borderId="0" xfId="7" applyNumberFormat="1" applyFont="1"/>
    <xf numFmtId="41" fontId="52" fillId="0" borderId="0" xfId="7" applyNumberFormat="1" applyFont="1"/>
    <xf numFmtId="173" fontId="130" fillId="0" borderId="0" xfId="0" applyFont="1" applyAlignment="1">
      <alignment horizontal="center"/>
    </xf>
    <xf numFmtId="3" fontId="130" fillId="0" borderId="0" xfId="0" applyNumberFormat="1" applyFont="1"/>
    <xf numFmtId="221" fontId="130" fillId="0" borderId="0" xfId="0" applyNumberFormat="1" applyFont="1" applyAlignment="1" applyProtection="1">
      <alignment horizontal="centerContinuous"/>
      <protection locked="0"/>
    </xf>
    <xf numFmtId="273" fontId="37" fillId="0" borderId="0" xfId="0" applyNumberFormat="1" applyFont="1" applyAlignment="1">
      <alignment horizontal="right"/>
    </xf>
    <xf numFmtId="37" fontId="52" fillId="0" borderId="0" xfId="0" applyNumberFormat="1" applyFont="1" applyProtection="1">
      <protection locked="0"/>
    </xf>
    <xf numFmtId="37" fontId="52" fillId="0" borderId="1" xfId="0" applyNumberFormat="1" applyFont="1" applyBorder="1" applyProtection="1">
      <protection locked="0"/>
    </xf>
    <xf numFmtId="10" fontId="52" fillId="2" borderId="0" xfId="0" applyNumberFormat="1" applyFont="1" applyFill="1" applyProtection="1">
      <protection locked="0"/>
    </xf>
    <xf numFmtId="10" fontId="37" fillId="0" borderId="0" xfId="0" applyNumberFormat="1" applyFont="1" applyProtection="1">
      <protection locked="0"/>
    </xf>
    <xf numFmtId="221" fontId="133" fillId="0" borderId="0" xfId="325" applyNumberFormat="1" applyFont="1" applyAlignment="1" applyProtection="1">
      <alignment horizontal="left"/>
      <protection locked="0"/>
    </xf>
    <xf numFmtId="221" fontId="34" fillId="0" borderId="6" xfId="325" applyNumberFormat="1" applyBorder="1" applyAlignment="1" applyProtection="1">
      <alignment horizontal="center"/>
      <protection locked="0"/>
    </xf>
    <xf numFmtId="173" fontId="0" fillId="0" borderId="0" xfId="0" applyAlignment="1">
      <alignment horizontal="center"/>
    </xf>
    <xf numFmtId="173" fontId="133" fillId="0" borderId="0" xfId="0" applyFont="1"/>
    <xf numFmtId="221" fontId="0" fillId="0" borderId="0" xfId="0" applyNumberFormat="1" applyAlignment="1" applyProtection="1">
      <alignment horizontal="centerContinuous"/>
      <protection locked="0"/>
    </xf>
    <xf numFmtId="221" fontId="37" fillId="0" borderId="0" xfId="0" quotePrefix="1" applyNumberFormat="1" applyFont="1" applyAlignment="1">
      <alignment horizontal="left" indent="1"/>
    </xf>
    <xf numFmtId="221" fontId="37" fillId="0" borderId="0" xfId="0" quotePrefix="1" applyNumberFormat="1" applyFont="1" applyAlignment="1" applyProtection="1">
      <alignment horizontal="left"/>
      <protection locked="0"/>
    </xf>
    <xf numFmtId="221" fontId="37" fillId="0" borderId="1" xfId="0" quotePrefix="1" applyNumberFormat="1" applyFont="1" applyBorder="1" applyAlignment="1" applyProtection="1">
      <alignment horizontal="left"/>
      <protection locked="0"/>
    </xf>
    <xf numFmtId="221" fontId="39" fillId="0" borderId="0" xfId="0" quotePrefix="1" applyNumberFormat="1" applyFont="1" applyAlignment="1">
      <alignment horizontal="left"/>
    </xf>
    <xf numFmtId="173" fontId="0" fillId="4" borderId="0" xfId="0" applyFill="1"/>
    <xf numFmtId="174" fontId="37" fillId="0" borderId="0" xfId="1" applyNumberFormat="1" applyFont="1"/>
    <xf numFmtId="174" fontId="37" fillId="0" borderId="0" xfId="0" applyNumberFormat="1" applyFont="1"/>
    <xf numFmtId="221" fontId="69" fillId="0" borderId="0" xfId="326" applyFont="1" applyAlignment="1">
      <alignment horizontal="centerContinuous"/>
    </xf>
    <xf numFmtId="172" fontId="37" fillId="0" borderId="0" xfId="0" applyNumberFormat="1" applyFont="1" applyAlignment="1">
      <alignment horizontal="center"/>
    </xf>
    <xf numFmtId="221" fontId="37" fillId="0" borderId="0" xfId="8" applyFont="1" applyAlignment="1">
      <alignment horizontal="right"/>
    </xf>
    <xf numFmtId="41" fontId="37" fillId="0" borderId="0" xfId="7" applyNumberFormat="1" applyFont="1"/>
    <xf numFmtId="49" fontId="53" fillId="4" borderId="0" xfId="0" applyNumberFormat="1" applyFont="1" applyFill="1" applyAlignment="1">
      <alignment horizontal="centerContinuous"/>
    </xf>
    <xf numFmtId="173" fontId="37" fillId="4" borderId="0" xfId="0" applyFont="1" applyFill="1" applyAlignment="1">
      <alignment horizontal="centerContinuous"/>
    </xf>
    <xf numFmtId="221" fontId="37" fillId="4" borderId="0" xfId="0" applyNumberFormat="1" applyFont="1" applyFill="1" applyAlignment="1">
      <alignment horizontal="centerContinuous"/>
    </xf>
    <xf numFmtId="37" fontId="37" fillId="4" borderId="1" xfId="0" applyNumberFormat="1" applyFont="1" applyFill="1" applyBorder="1"/>
    <xf numFmtId="165" fontId="52" fillId="4" borderId="0" xfId="0" applyNumberFormat="1" applyFont="1" applyFill="1"/>
    <xf numFmtId="42" fontId="37" fillId="4" borderId="0" xfId="0" applyNumberFormat="1" applyFont="1" applyFill="1"/>
    <xf numFmtId="38" fontId="52" fillId="4" borderId="0" xfId="0" applyNumberFormat="1" applyFont="1" applyFill="1" applyProtection="1">
      <protection locked="0"/>
    </xf>
    <xf numFmtId="38" fontId="52" fillId="4" borderId="1" xfId="0" applyNumberFormat="1" applyFont="1" applyFill="1" applyBorder="1" applyProtection="1">
      <protection locked="0"/>
    </xf>
    <xf numFmtId="175" fontId="0" fillId="4" borderId="0" xfId="12" applyNumberFormat="1" applyFont="1" applyFill="1" applyBorder="1" applyAlignment="1"/>
    <xf numFmtId="173" fontId="0" fillId="4" borderId="0" xfId="0" quotePrefix="1" applyFill="1" applyAlignment="1">
      <alignment horizontal="left"/>
    </xf>
    <xf numFmtId="221" fontId="41" fillId="0" borderId="0" xfId="9" applyFont="1"/>
    <xf numFmtId="166" fontId="69" fillId="0" borderId="0" xfId="0" applyNumberFormat="1" applyFont="1"/>
    <xf numFmtId="221" fontId="39" fillId="0" borderId="0" xfId="10" applyFont="1" applyAlignment="1">
      <alignment horizontal="centerContinuous"/>
    </xf>
    <xf numFmtId="221" fontId="37" fillId="0" borderId="0" xfId="0" applyNumberFormat="1" applyFont="1" applyAlignment="1">
      <alignment horizontal="left"/>
    </xf>
    <xf numFmtId="166" fontId="37" fillId="0" borderId="0" xfId="0" applyNumberFormat="1" applyFont="1" applyAlignment="1">
      <alignment horizontal="left"/>
    </xf>
    <xf numFmtId="221" fontId="33" fillId="0" borderId="0" xfId="328" applyAlignment="1">
      <alignment horizontal="centerContinuous"/>
    </xf>
    <xf numFmtId="221" fontId="33" fillId="0" borderId="0" xfId="328"/>
    <xf numFmtId="221" fontId="33" fillId="0" borderId="0" xfId="328" applyAlignment="1">
      <alignment horizontal="center"/>
    </xf>
    <xf numFmtId="221" fontId="139" fillId="0" borderId="0" xfId="328" quotePrefix="1" applyFont="1"/>
    <xf numFmtId="221" fontId="37" fillId="0" borderId="0" xfId="7" applyFont="1" applyAlignment="1">
      <alignment horizontal="right"/>
    </xf>
    <xf numFmtId="174" fontId="69" fillId="0" borderId="0" xfId="89" applyNumberFormat="1" applyFont="1" applyFill="1"/>
    <xf numFmtId="221" fontId="69" fillId="0" borderId="0" xfId="7" applyFont="1"/>
    <xf numFmtId="174" fontId="37" fillId="0" borderId="0" xfId="7" applyNumberFormat="1" applyFont="1"/>
    <xf numFmtId="174" fontId="70" fillId="0" borderId="0" xfId="89" applyNumberFormat="1" applyFont="1" applyFill="1"/>
    <xf numFmtId="174" fontId="37" fillId="0" borderId="0" xfId="89" applyNumberFormat="1" applyFont="1" applyFill="1"/>
    <xf numFmtId="174" fontId="60" fillId="0" borderId="0" xfId="89" applyNumberFormat="1" applyFont="1" applyFill="1"/>
    <xf numFmtId="41" fontId="41" fillId="0" borderId="0" xfId="16" applyNumberFormat="1" applyFont="1" applyFill="1" applyBorder="1"/>
    <xf numFmtId="41" fontId="140" fillId="0" borderId="0" xfId="16" applyNumberFormat="1" applyFont="1" applyFill="1" applyBorder="1"/>
    <xf numFmtId="175" fontId="62" fillId="0" borderId="0" xfId="16" applyNumberFormat="1" applyFont="1" applyFill="1" applyBorder="1"/>
    <xf numFmtId="221" fontId="63" fillId="0" borderId="0" xfId="9" applyFont="1" applyAlignment="1">
      <alignment horizontal="centerContinuous"/>
    </xf>
    <xf numFmtId="221" fontId="45" fillId="0" borderId="0" xfId="0" applyNumberFormat="1" applyFont="1" applyProtection="1">
      <protection locked="0"/>
    </xf>
    <xf numFmtId="221" fontId="45" fillId="0" borderId="0" xfId="0" quotePrefix="1" applyNumberFormat="1" applyFont="1" applyAlignment="1" applyProtection="1">
      <alignment horizontal="left"/>
      <protection locked="0"/>
    </xf>
    <xf numFmtId="221" fontId="49" fillId="0" borderId="0" xfId="0" applyNumberFormat="1" applyFont="1" applyProtection="1">
      <protection locked="0"/>
    </xf>
    <xf numFmtId="37" fontId="45" fillId="0" borderId="0" xfId="0" applyNumberFormat="1" applyFont="1" applyProtection="1">
      <protection locked="0"/>
    </xf>
    <xf numFmtId="37" fontId="37" fillId="2" borderId="0" xfId="0" applyNumberFormat="1" applyFont="1" applyFill="1" applyProtection="1">
      <protection locked="0"/>
    </xf>
    <xf numFmtId="37" fontId="37" fillId="4" borderId="0" xfId="0" quotePrefix="1" applyNumberFormat="1" applyFont="1" applyFill="1"/>
    <xf numFmtId="273" fontId="37" fillId="4" borderId="0" xfId="0" applyNumberFormat="1" applyFont="1" applyFill="1" applyAlignment="1">
      <alignment horizontal="right"/>
    </xf>
    <xf numFmtId="37" fontId="37" fillId="0" borderId="0" xfId="0" applyNumberFormat="1" applyFont="1" applyProtection="1">
      <protection locked="0"/>
    </xf>
    <xf numFmtId="10" fontId="37" fillId="2" borderId="0" xfId="0" applyNumberFormat="1" applyFont="1" applyFill="1" applyProtection="1">
      <protection locked="0"/>
    </xf>
    <xf numFmtId="221" fontId="39" fillId="0" borderId="0" xfId="0" applyNumberFormat="1" applyFont="1" applyAlignment="1" applyProtection="1">
      <alignment horizontal="right"/>
      <protection locked="0"/>
    </xf>
    <xf numFmtId="221" fontId="39" fillId="15" borderId="9" xfId="0" applyNumberFormat="1" applyFont="1" applyFill="1" applyBorder="1" applyAlignment="1" applyProtection="1">
      <alignment horizontal="right"/>
      <protection locked="0"/>
    </xf>
    <xf numFmtId="221" fontId="39" fillId="15" borderId="5" xfId="0" applyNumberFormat="1" applyFont="1" applyFill="1" applyBorder="1" applyAlignment="1" applyProtection="1">
      <alignment horizontal="right"/>
      <protection locked="0"/>
    </xf>
    <xf numFmtId="14" fontId="39" fillId="0" borderId="0" xfId="0" applyNumberFormat="1" applyFont="1" applyAlignment="1" applyProtection="1">
      <alignment horizontal="right"/>
      <protection locked="0"/>
    </xf>
    <xf numFmtId="173" fontId="45" fillId="0" borderId="0" xfId="0" applyFont="1" applyProtection="1">
      <protection locked="0"/>
    </xf>
    <xf numFmtId="14" fontId="39" fillId="0" borderId="0" xfId="0" applyNumberFormat="1" applyFont="1" applyProtection="1">
      <protection locked="0"/>
    </xf>
    <xf numFmtId="42" fontId="45" fillId="0" borderId="0" xfId="0" applyNumberFormat="1" applyFont="1" applyProtection="1">
      <protection locked="0"/>
    </xf>
    <xf numFmtId="37" fontId="45" fillId="0" borderId="1" xfId="0" applyNumberFormat="1" applyFont="1" applyBorder="1" applyProtection="1">
      <protection locked="0"/>
    </xf>
    <xf numFmtId="221" fontId="45" fillId="0" borderId="0" xfId="0" quotePrefix="1" applyNumberFormat="1" applyFont="1" applyAlignment="1" applyProtection="1">
      <alignment horizontal="left" vertical="top" wrapText="1" indent="1"/>
      <protection locked="0"/>
    </xf>
    <xf numFmtId="37" fontId="72" fillId="0" borderId="0" xfId="0" applyNumberFormat="1" applyFont="1" applyProtection="1">
      <protection locked="0"/>
    </xf>
    <xf numFmtId="173" fontId="49" fillId="0" borderId="0" xfId="0" applyFont="1" applyAlignment="1" applyProtection="1">
      <alignment horizontal="center"/>
      <protection locked="0"/>
    </xf>
    <xf numFmtId="273" fontId="72" fillId="0" borderId="0" xfId="0" applyNumberFormat="1" applyFont="1" applyAlignment="1" applyProtection="1">
      <alignment horizontal="right"/>
      <protection locked="0"/>
    </xf>
    <xf numFmtId="221" fontId="45" fillId="0" borderId="0" xfId="10" applyFont="1" applyAlignment="1">
      <alignment horizontal="left"/>
    </xf>
    <xf numFmtId="42" fontId="45" fillId="0" borderId="0" xfId="0" applyNumberFormat="1" applyFont="1" applyProtection="1"/>
    <xf numFmtId="37" fontId="45" fillId="0" borderId="0" xfId="0" applyNumberFormat="1" applyFont="1" applyProtection="1"/>
    <xf numFmtId="173" fontId="45" fillId="0" borderId="0" xfId="0" applyFont="1" applyProtection="1"/>
    <xf numFmtId="173" fontId="45" fillId="0" borderId="0" xfId="0" applyFont="1" applyAlignment="1" applyProtection="1">
      <alignment vertical="top"/>
      <protection locked="0"/>
    </xf>
    <xf numFmtId="221" fontId="49" fillId="0" borderId="24" xfId="0" applyNumberFormat="1" applyFont="1" applyBorder="1" applyProtection="1">
      <protection locked="0"/>
    </xf>
    <xf numFmtId="173" fontId="45" fillId="0" borderId="24" xfId="0" applyFont="1" applyBorder="1" applyProtection="1">
      <protection locked="0"/>
    </xf>
    <xf numFmtId="221" fontId="146" fillId="0" borderId="0" xfId="10" applyFont="1" applyAlignment="1">
      <alignment horizontal="left"/>
    </xf>
    <xf numFmtId="221" fontId="146" fillId="0" borderId="0" xfId="10" applyFont="1" applyAlignment="1">
      <alignment horizontal="center"/>
    </xf>
    <xf numFmtId="221" fontId="45" fillId="0" borderId="0" xfId="0" quotePrefix="1" applyNumberFormat="1" applyFont="1" applyAlignment="1" applyProtection="1">
      <alignment horizontal="left" vertical="top" wrapText="1"/>
      <protection locked="0"/>
    </xf>
    <xf numFmtId="221" fontId="59" fillId="0" borderId="0" xfId="7" quotePrefix="1" applyFont="1" applyAlignment="1">
      <alignment horizontal="center"/>
    </xf>
    <xf numFmtId="42" fontId="69" fillId="0" borderId="0" xfId="7" applyNumberFormat="1" applyFont="1" applyProtection="1">
      <protection locked="0"/>
    </xf>
    <xf numFmtId="42" fontId="52" fillId="0" borderId="0" xfId="7" applyNumberFormat="1" applyFont="1" applyProtection="1">
      <protection locked="0"/>
    </xf>
    <xf numFmtId="221" fontId="37" fillId="0" borderId="0" xfId="7" applyFont="1" applyProtection="1">
      <protection locked="0"/>
    </xf>
    <xf numFmtId="41" fontId="52" fillId="0" borderId="0" xfId="7" applyNumberFormat="1" applyFont="1" applyProtection="1">
      <protection locked="0"/>
    </xf>
    <xf numFmtId="176" fontId="134" fillId="0" borderId="0" xfId="7" applyNumberFormat="1" applyFont="1" applyProtection="1">
      <protection locked="0"/>
    </xf>
    <xf numFmtId="41" fontId="134" fillId="0" borderId="0" xfId="7" applyNumberFormat="1" applyFont="1" applyProtection="1">
      <protection locked="0"/>
    </xf>
    <xf numFmtId="221" fontId="69" fillId="0" borderId="0" xfId="6" applyFont="1"/>
    <xf numFmtId="37" fontId="69" fillId="0" borderId="0" xfId="6" applyNumberFormat="1" applyFont="1"/>
    <xf numFmtId="41" fontId="70" fillId="0" borderId="0" xfId="6" applyNumberFormat="1" applyFont="1" applyProtection="1">
      <protection locked="0"/>
    </xf>
    <xf numFmtId="221" fontId="45" fillId="0" borderId="0" xfId="0" applyNumberFormat="1" applyFont="1" applyAlignment="1" applyProtection="1">
      <alignment horizontal="right"/>
    </xf>
    <xf numFmtId="173" fontId="61" fillId="0" borderId="0" xfId="0" applyFont="1" applyAlignment="1" applyProtection="1">
      <alignment horizontal="centerContinuous"/>
    </xf>
    <xf numFmtId="221" fontId="37" fillId="0" borderId="0" xfId="0" applyNumberFormat="1" applyFont="1" applyAlignment="1" applyProtection="1">
      <alignment horizontal="right"/>
    </xf>
    <xf numFmtId="173" fontId="37" fillId="0" borderId="0" xfId="0" applyFont="1" applyAlignment="1" applyProtection="1">
      <alignment horizontal="centerContinuous"/>
    </xf>
    <xf numFmtId="173" fontId="39" fillId="0" borderId="0" xfId="0" applyFont="1" applyAlignment="1" applyProtection="1">
      <alignment horizontal="centerContinuous"/>
    </xf>
    <xf numFmtId="221" fontId="39" fillId="0" borderId="8" xfId="7" applyFont="1" applyBorder="1" applyAlignment="1">
      <alignment horizontal="center" vertical="center"/>
    </xf>
    <xf numFmtId="274" fontId="37" fillId="0" borderId="0" xfId="0" applyNumberFormat="1" applyFont="1" applyAlignment="1">
      <alignment horizontal="right"/>
    </xf>
    <xf numFmtId="3" fontId="69" fillId="0" borderId="0" xfId="0" applyNumberFormat="1" applyFont="1"/>
    <xf numFmtId="221" fontId="69" fillId="0" borderId="0" xfId="0" applyNumberFormat="1" applyFont="1"/>
    <xf numFmtId="173" fontId="69" fillId="0" borderId="0" xfId="0" applyFont="1"/>
    <xf numFmtId="221" fontId="37" fillId="0" borderId="0" xfId="0" applyNumberFormat="1" applyFont="1" applyAlignment="1">
      <alignment horizontal="left" indent="1"/>
    </xf>
    <xf numFmtId="221" fontId="37" fillId="0" borderId="0" xfId="0" applyNumberFormat="1" applyFont="1" applyAlignment="1">
      <alignment horizontal="left" indent="3"/>
    </xf>
    <xf numFmtId="221" fontId="37" fillId="0" borderId="0" xfId="0" quotePrefix="1" applyNumberFormat="1" applyFont="1" applyAlignment="1">
      <alignment horizontal="left"/>
    </xf>
    <xf numFmtId="221" fontId="37" fillId="0" borderId="0" xfId="355" applyFont="1" applyAlignment="1">
      <alignment horizontal="left" indent="1"/>
    </xf>
    <xf numFmtId="221" fontId="45" fillId="0" borderId="0" xfId="371" applyAlignment="1">
      <alignment horizontal="left" indent="1"/>
    </xf>
    <xf numFmtId="221" fontId="45" fillId="0" borderId="0" xfId="0" applyNumberFormat="1" applyFont="1" applyAlignment="1" applyProtection="1">
      <alignment horizontal="left" indent="1"/>
      <protection locked="0"/>
    </xf>
    <xf numFmtId="221" fontId="37" fillId="0" borderId="0" xfId="0" applyNumberFormat="1" applyFont="1" applyAlignment="1" applyProtection="1">
      <alignment vertical="center"/>
      <protection locked="0"/>
    </xf>
    <xf numFmtId="3" fontId="37" fillId="0" borderId="0" xfId="0" applyNumberFormat="1" applyFont="1" applyAlignment="1">
      <alignment vertical="center"/>
    </xf>
    <xf numFmtId="173" fontId="0" fillId="4" borderId="0" xfId="0" applyFill="1" applyAlignment="1">
      <alignment vertical="top"/>
    </xf>
    <xf numFmtId="173" fontId="0" fillId="4" borderId="0" xfId="0" applyFill="1" applyAlignment="1">
      <alignment vertical="top" wrapText="1"/>
    </xf>
    <xf numFmtId="175" fontId="68" fillId="2" borderId="0" xfId="12" applyNumberFormat="1" applyFont="1" applyFill="1" applyBorder="1" applyAlignment="1">
      <alignment vertical="top"/>
    </xf>
    <xf numFmtId="10" fontId="0" fillId="0" borderId="0" xfId="11" applyNumberFormat="1" applyFont="1" applyFill="1" applyBorder="1" applyAlignment="1">
      <alignment vertical="top"/>
    </xf>
    <xf numFmtId="175" fontId="0" fillId="4" borderId="0" xfId="12" applyNumberFormat="1" applyFont="1" applyFill="1" applyBorder="1" applyAlignment="1">
      <alignment vertical="top"/>
    </xf>
    <xf numFmtId="221" fontId="37" fillId="0" borderId="0" xfId="369" applyFont="1" applyAlignment="1">
      <alignment horizontal="left" vertical="center"/>
    </xf>
    <xf numFmtId="221" fontId="37" fillId="0" borderId="0" xfId="355" applyFont="1" applyAlignment="1">
      <alignment horizontal="left" vertical="center"/>
    </xf>
    <xf numFmtId="174" fontId="70" fillId="0" borderId="0" xfId="13" applyNumberFormat="1" applyFont="1" applyFill="1" applyProtection="1">
      <protection locked="0"/>
    </xf>
    <xf numFmtId="221" fontId="37" fillId="0" borderId="0" xfId="370" applyFont="1" applyAlignment="1">
      <alignment horizontal="left" vertical="center"/>
    </xf>
    <xf numFmtId="174" fontId="69" fillId="0" borderId="0" xfId="13" applyNumberFormat="1" applyFont="1" applyFill="1" applyProtection="1">
      <protection locked="0"/>
    </xf>
    <xf numFmtId="221" fontId="59" fillId="0" borderId="0" xfId="355" applyFont="1" applyAlignment="1">
      <alignment horizontal="center"/>
    </xf>
    <xf numFmtId="3" fontId="45" fillId="0" borderId="0" xfId="0" applyNumberFormat="1" applyFont="1" applyProtection="1">
      <protection locked="0"/>
    </xf>
    <xf numFmtId="14" fontId="147" fillId="16" borderId="11" xfId="0" applyNumberFormat="1" applyFont="1" applyFill="1" applyBorder="1" applyProtection="1">
      <protection locked="0"/>
    </xf>
    <xf numFmtId="14" fontId="39" fillId="16" borderId="7" xfId="0" applyNumberFormat="1" applyFont="1" applyFill="1" applyBorder="1" applyProtection="1"/>
    <xf numFmtId="9" fontId="62" fillId="0" borderId="0" xfId="15" applyNumberFormat="1" applyFont="1"/>
    <xf numFmtId="221" fontId="166" fillId="0" borderId="0" xfId="428" applyFont="1" applyAlignment="1">
      <alignment horizontal="right"/>
    </xf>
    <xf numFmtId="221" fontId="23" fillId="0" borderId="0" xfId="554"/>
    <xf numFmtId="221" fontId="41" fillId="0" borderId="0" xfId="428" applyFont="1"/>
    <xf numFmtId="9" fontId="62" fillId="0" borderId="0" xfId="428" applyNumberFormat="1" applyFont="1"/>
    <xf numFmtId="41" fontId="69" fillId="0" borderId="0" xfId="6" applyNumberFormat="1" applyFont="1" applyProtection="1">
      <protection locked="0"/>
    </xf>
    <xf numFmtId="221" fontId="50" fillId="0" borderId="0" xfId="6" applyAlignment="1">
      <alignment horizontal="center"/>
    </xf>
    <xf numFmtId="221" fontId="39" fillId="0" borderId="0" xfId="371" applyFont="1" applyAlignment="1">
      <alignment horizontal="centerContinuous"/>
    </xf>
    <xf numFmtId="37" fontId="37" fillId="0" borderId="0" xfId="0" applyNumberFormat="1" applyFont="1" applyAlignment="1">
      <alignment horizontal="center" vertical="top"/>
    </xf>
    <xf numFmtId="173" fontId="37" fillId="0" borderId="0" xfId="0" applyFont="1" applyAlignment="1">
      <alignment vertical="top" wrapText="1"/>
    </xf>
    <xf numFmtId="37" fontId="69" fillId="0" borderId="0" xfId="0" applyNumberFormat="1" applyFont="1"/>
    <xf numFmtId="221" fontId="37" fillId="0" borderId="0" xfId="428" applyFont="1"/>
    <xf numFmtId="41" fontId="50" fillId="0" borderId="0" xfId="1" applyNumberFormat="1" applyFill="1"/>
    <xf numFmtId="3" fontId="69" fillId="0" borderId="0" xfId="0" applyNumberFormat="1" applyFont="1" applyAlignment="1">
      <alignment vertical="center"/>
    </xf>
    <xf numFmtId="37" fontId="37" fillId="4" borderId="0" xfId="0" applyNumberFormat="1" applyFont="1" applyFill="1" applyAlignment="1">
      <alignment vertical="center"/>
    </xf>
    <xf numFmtId="37" fontId="37" fillId="0" borderId="0" xfId="0" applyNumberFormat="1" applyFont="1" applyAlignment="1">
      <alignment vertical="center"/>
    </xf>
    <xf numFmtId="221" fontId="37" fillId="0" borderId="0" xfId="0" applyNumberFormat="1" applyFont="1" applyAlignment="1">
      <alignment wrapText="1"/>
    </xf>
    <xf numFmtId="49" fontId="0" fillId="0" borderId="0" xfId="0" applyNumberFormat="1" applyAlignment="1">
      <alignment horizontal="center" vertical="center"/>
    </xf>
    <xf numFmtId="3" fontId="37" fillId="0" borderId="0" xfId="0" applyNumberFormat="1" applyFont="1" applyAlignment="1">
      <alignment horizontal="center" vertical="center"/>
    </xf>
    <xf numFmtId="10" fontId="37" fillId="0" borderId="0" xfId="0" applyNumberFormat="1" applyFont="1" applyAlignment="1">
      <alignment vertical="center"/>
    </xf>
    <xf numFmtId="173" fontId="0" fillId="0" borderId="0" xfId="0" applyAlignment="1">
      <alignment vertical="center"/>
    </xf>
    <xf numFmtId="10" fontId="0" fillId="0" borderId="0" xfId="11" applyNumberFormat="1" applyFont="1" applyFill="1" applyBorder="1" applyAlignment="1">
      <alignment vertical="center"/>
    </xf>
    <xf numFmtId="173" fontId="38" fillId="0" borderId="0" xfId="0" applyFont="1" applyAlignment="1">
      <alignment horizontal="center"/>
    </xf>
    <xf numFmtId="221" fontId="45" fillId="0" borderId="0" xfId="0" applyNumberFormat="1" applyFont="1" applyAlignment="1" applyProtection="1">
      <alignment horizontal="right"/>
      <protection locked="0"/>
    </xf>
    <xf numFmtId="221" fontId="39" fillId="0" borderId="0" xfId="9" applyFont="1" applyAlignment="1">
      <alignment horizontal="center"/>
    </xf>
    <xf numFmtId="221" fontId="37" fillId="0" borderId="0" xfId="9" applyFont="1"/>
    <xf numFmtId="221" fontId="37" fillId="0" borderId="0" xfId="15" applyFont="1"/>
    <xf numFmtId="221" fontId="37" fillId="0" borderId="0" xfId="15" applyFont="1" applyAlignment="1">
      <alignment horizontal="centerContinuous"/>
    </xf>
    <xf numFmtId="15" fontId="37" fillId="0" borderId="0" xfId="15" quotePrefix="1" applyNumberFormat="1" applyFont="1" applyAlignment="1">
      <alignment horizontal="centerContinuous"/>
    </xf>
    <xf numFmtId="15" fontId="37" fillId="0" borderId="0" xfId="15" applyNumberFormat="1" applyFont="1" applyAlignment="1">
      <alignment horizontal="centerContinuous"/>
    </xf>
    <xf numFmtId="15" fontId="37" fillId="0" borderId="0" xfId="15" applyNumberFormat="1" applyFont="1" applyAlignment="1">
      <alignment horizontal="center"/>
    </xf>
    <xf numFmtId="221" fontId="37" fillId="0" borderId="0" xfId="428" applyFont="1" applyAlignment="1">
      <alignment horizontal="center"/>
    </xf>
    <xf numFmtId="221" fontId="167" fillId="0" borderId="0" xfId="554" applyFont="1"/>
    <xf numFmtId="3" fontId="39" fillId="0" borderId="0" xfId="15" applyNumberFormat="1" applyFont="1"/>
    <xf numFmtId="221" fontId="39" fillId="0" borderId="0" xfId="15" applyFont="1"/>
    <xf numFmtId="175" fontId="37" fillId="0" borderId="0" xfId="16" applyNumberFormat="1" applyFont="1" applyFill="1"/>
    <xf numFmtId="175" fontId="69" fillId="0" borderId="0" xfId="16" applyNumberFormat="1" applyFont="1" applyFill="1" applyBorder="1"/>
    <xf numFmtId="175" fontId="37" fillId="0" borderId="0" xfId="16" applyNumberFormat="1" applyFont="1" applyFill="1" applyBorder="1"/>
    <xf numFmtId="175" fontId="69" fillId="0" borderId="0" xfId="16" applyNumberFormat="1" applyFont="1" applyFill="1"/>
    <xf numFmtId="41" fontId="37" fillId="0" borderId="0" xfId="16" applyNumberFormat="1" applyFont="1" applyFill="1"/>
    <xf numFmtId="41" fontId="69" fillId="0" borderId="0" xfId="16" applyNumberFormat="1" applyFont="1" applyFill="1"/>
    <xf numFmtId="41" fontId="69" fillId="0" borderId="0" xfId="15" applyNumberFormat="1" applyFont="1"/>
    <xf numFmtId="9" fontId="39" fillId="0" borderId="0" xfId="428" applyNumberFormat="1" applyFont="1"/>
    <xf numFmtId="221" fontId="69" fillId="0" borderId="1" xfId="0" applyNumberFormat="1" applyFont="1" applyBorder="1"/>
    <xf numFmtId="42" fontId="37" fillId="0" borderId="10" xfId="0" applyNumberFormat="1" applyFont="1" applyBorder="1"/>
    <xf numFmtId="221" fontId="37" fillId="0" borderId="0" xfId="0" applyNumberFormat="1" applyFont="1" applyAlignment="1">
      <alignment horizontal="left" vertical="top" wrapText="1" indent="1"/>
    </xf>
    <xf numFmtId="42" fontId="37" fillId="0" borderId="24" xfId="0" applyNumberFormat="1" applyFont="1" applyBorder="1"/>
    <xf numFmtId="165" fontId="37" fillId="0" borderId="0" xfId="0" applyNumberFormat="1" applyFont="1" applyAlignment="1">
      <alignment vertical="center"/>
    </xf>
    <xf numFmtId="42" fontId="37" fillId="0" borderId="0" xfId="0" applyNumberFormat="1" applyFont="1" applyProtection="1"/>
    <xf numFmtId="221" fontId="69" fillId="0" borderId="0" xfId="0" applyNumberFormat="1" applyFont="1" applyProtection="1">
      <protection locked="0"/>
    </xf>
    <xf numFmtId="173" fontId="69" fillId="0" borderId="0" xfId="0" applyFont="1" applyProtection="1">
      <protection locked="0"/>
    </xf>
    <xf numFmtId="0" fontId="37" fillId="0" borderId="0" xfId="0" applyNumberFormat="1" applyFont="1" applyAlignment="1" applyProtection="1">
      <alignment horizontal="center"/>
      <protection locked="0"/>
    </xf>
    <xf numFmtId="0" fontId="37" fillId="0" borderId="0" xfId="0" applyNumberFormat="1" applyFont="1"/>
    <xf numFmtId="0" fontId="75" fillId="0" borderId="0" xfId="0" applyNumberFormat="1" applyFont="1"/>
    <xf numFmtId="0" fontId="37" fillId="0" borderId="0" xfId="0" applyNumberFormat="1" applyFont="1" applyAlignment="1" applyProtection="1">
      <alignment horizontal="centerContinuous"/>
      <protection locked="0"/>
    </xf>
    <xf numFmtId="0" fontId="37" fillId="0" borderId="0" xfId="0" applyNumberFormat="1" applyFont="1" applyAlignment="1">
      <alignment horizontal="centerContinuous"/>
    </xf>
    <xf numFmtId="0" fontId="39" fillId="0" borderId="0" xfId="0" applyNumberFormat="1" applyFont="1" applyAlignment="1">
      <alignment horizontal="centerContinuous"/>
    </xf>
    <xf numFmtId="0" fontId="130" fillId="0" borderId="0" xfId="0" applyNumberFormat="1" applyFont="1" applyAlignment="1" applyProtection="1">
      <alignment horizontal="center"/>
      <protection locked="0"/>
    </xf>
    <xf numFmtId="0" fontId="37" fillId="0" borderId="0" xfId="0" applyNumberFormat="1" applyFont="1" applyAlignment="1" applyProtection="1">
      <alignment horizontal="center" vertical="center"/>
      <protection locked="0"/>
    </xf>
    <xf numFmtId="0" fontId="37" fillId="0" borderId="0" xfId="0" quotePrefix="1" applyNumberFormat="1" applyFont="1" applyAlignment="1" applyProtection="1">
      <alignment horizontal="center"/>
      <protection locked="0"/>
    </xf>
    <xf numFmtId="0" fontId="69" fillId="0" borderId="0" xfId="0" applyNumberFormat="1" applyFont="1" applyAlignment="1" applyProtection="1">
      <alignment horizontal="centerContinuous"/>
      <protection locked="0"/>
    </xf>
    <xf numFmtId="0" fontId="53" fillId="4" borderId="0" xfId="0" applyNumberFormat="1" applyFont="1" applyFill="1" applyAlignment="1">
      <alignment horizontal="centerContinuous"/>
    </xf>
    <xf numFmtId="0" fontId="53" fillId="0" borderId="0" xfId="0" applyNumberFormat="1" applyFont="1" applyAlignment="1">
      <alignment horizontal="centerContinuous"/>
    </xf>
    <xf numFmtId="0" fontId="37" fillId="0" borderId="0" xfId="0" applyNumberFormat="1" applyFont="1" applyAlignment="1">
      <alignment horizontal="center"/>
    </xf>
    <xf numFmtId="0" fontId="37" fillId="0" borderId="0" xfId="576" applyFont="1"/>
    <xf numFmtId="0" fontId="39" fillId="0" borderId="0" xfId="576" applyFont="1" applyAlignment="1">
      <alignment horizontal="centerContinuous"/>
    </xf>
    <xf numFmtId="0" fontId="37" fillId="0" borderId="0" xfId="577" applyFont="1"/>
    <xf numFmtId="0" fontId="37" fillId="0" borderId="10" xfId="577" applyFont="1" applyBorder="1"/>
    <xf numFmtId="174" fontId="69" fillId="0" borderId="0" xfId="564" applyNumberFormat="1" applyFont="1" applyFill="1" applyBorder="1"/>
    <xf numFmtId="0" fontId="34" fillId="0" borderId="0" xfId="325" applyNumberFormat="1" applyAlignment="1" applyProtection="1">
      <alignment horizontal="center"/>
      <protection locked="0"/>
    </xf>
    <xf numFmtId="0" fontId="133" fillId="0" borderId="0" xfId="325" applyNumberFormat="1" applyFont="1" applyAlignment="1" applyProtection="1">
      <alignment horizontal="left"/>
      <protection locked="0"/>
    </xf>
    <xf numFmtId="173" fontId="39" fillId="0" borderId="0" xfId="0" applyFont="1" applyAlignment="1">
      <alignment horizontal="center"/>
    </xf>
    <xf numFmtId="173" fontId="223" fillId="0" borderId="0" xfId="0" applyFont="1"/>
    <xf numFmtId="3" fontId="37" fillId="4" borderId="0" xfId="0" applyNumberFormat="1" applyFont="1" applyFill="1" applyAlignment="1">
      <alignment horizontal="left"/>
    </xf>
    <xf numFmtId="37" fontId="37" fillId="4" borderId="6" xfId="0" applyNumberFormat="1" applyFont="1" applyFill="1" applyBorder="1"/>
    <xf numFmtId="221" fontId="69" fillId="0" borderId="0" xfId="0" applyNumberFormat="1" applyFont="1" applyAlignment="1" applyProtection="1">
      <alignment vertical="center"/>
      <protection locked="0"/>
    </xf>
    <xf numFmtId="42" fontId="37" fillId="4" borderId="0" xfId="325" applyNumberFormat="1" applyFont="1" applyFill="1" applyProtection="1">
      <protection locked="0"/>
    </xf>
    <xf numFmtId="0" fontId="33" fillId="0" borderId="0" xfId="328" applyNumberFormat="1" applyAlignment="1">
      <alignment horizontal="center"/>
    </xf>
    <xf numFmtId="0" fontId="45" fillId="0" borderId="0" xfId="328" applyNumberFormat="1" applyFont="1" applyAlignment="1">
      <alignment horizontal="center"/>
    </xf>
    <xf numFmtId="0" fontId="37" fillId="0" borderId="0" xfId="329" applyNumberFormat="1" applyFont="1" applyAlignment="1">
      <alignment horizontal="center"/>
    </xf>
    <xf numFmtId="0" fontId="20" fillId="0" borderId="0" xfId="1622"/>
    <xf numFmtId="0" fontId="20" fillId="0" borderId="0" xfId="1622" applyAlignment="1">
      <alignment horizontal="right"/>
    </xf>
    <xf numFmtId="9" fontId="70" fillId="0" borderId="0" xfId="7" applyNumberFormat="1" applyFont="1" applyProtection="1">
      <protection locked="0"/>
    </xf>
    <xf numFmtId="0" fontId="20" fillId="0" borderId="0" xfId="1622" quotePrefix="1"/>
    <xf numFmtId="0" fontId="164" fillId="0" borderId="0" xfId="1622" applyFont="1" applyAlignment="1">
      <alignment horizontal="centerContinuous"/>
    </xf>
    <xf numFmtId="0" fontId="20" fillId="0" borderId="0" xfId="1622" applyAlignment="1">
      <alignment horizontal="centerContinuous"/>
    </xf>
    <xf numFmtId="0" fontId="224" fillId="0" borderId="0" xfId="1622" applyFont="1" applyAlignment="1">
      <alignment horizontal="center"/>
    </xf>
    <xf numFmtId="37" fontId="225" fillId="0" borderId="0" xfId="1622" applyNumberFormat="1" applyFont="1"/>
    <xf numFmtId="0" fontId="20" fillId="0" borderId="0" xfId="1622" applyAlignment="1">
      <alignment horizontal="center"/>
    </xf>
    <xf numFmtId="37" fontId="20" fillId="0" borderId="0" xfId="1622" applyNumberFormat="1"/>
    <xf numFmtId="10" fontId="20" fillId="0" borderId="0" xfId="1622" applyNumberFormat="1"/>
    <xf numFmtId="221" fontId="37" fillId="0" borderId="0" xfId="8" applyFont="1"/>
    <xf numFmtId="221" fontId="62" fillId="0" borderId="0" xfId="9" applyFont="1"/>
    <xf numFmtId="221" fontId="49" fillId="0" borderId="1" xfId="0" applyNumberFormat="1" applyFont="1" applyBorder="1" applyAlignment="1" applyProtection="1">
      <alignment horizontal="center"/>
      <protection locked="0"/>
    </xf>
    <xf numFmtId="37" fontId="45" fillId="0" borderId="1" xfId="0" applyNumberFormat="1" applyFont="1" applyBorder="1" applyProtection="1"/>
    <xf numFmtId="3" fontId="45" fillId="0" borderId="0" xfId="0" applyNumberFormat="1" applyFont="1" applyProtection="1"/>
    <xf numFmtId="3" fontId="45" fillId="0" borderId="24" xfId="0" applyNumberFormat="1" applyFont="1" applyBorder="1" applyProtection="1"/>
    <xf numFmtId="273" fontId="45" fillId="0" borderId="0" xfId="0" applyNumberFormat="1" applyFont="1" applyAlignment="1" applyProtection="1">
      <alignment horizontal="right"/>
    </xf>
    <xf numFmtId="221" fontId="45" fillId="0" borderId="0" xfId="0" applyNumberFormat="1" applyFont="1" applyProtection="1"/>
    <xf numFmtId="173" fontId="45" fillId="0" borderId="24" xfId="0" applyFont="1" applyBorder="1" applyProtection="1"/>
    <xf numFmtId="3" fontId="45" fillId="0" borderId="1" xfId="0" applyNumberFormat="1" applyFont="1" applyBorder="1" applyAlignment="1" applyProtection="1">
      <alignment horizontal="center"/>
    </xf>
    <xf numFmtId="3" fontId="45" fillId="0" borderId="0" xfId="0" applyNumberFormat="1" applyFont="1" applyAlignment="1" applyProtection="1">
      <alignment horizontal="center"/>
    </xf>
    <xf numFmtId="221" fontId="45" fillId="0" borderId="1" xfId="0" applyNumberFormat="1" applyFont="1" applyBorder="1" applyAlignment="1" applyProtection="1">
      <alignment horizontal="center"/>
    </xf>
    <xf numFmtId="0" fontId="145" fillId="4" borderId="0" xfId="0" applyNumberFormat="1" applyFont="1" applyFill="1" applyProtection="1">
      <protection locked="0"/>
    </xf>
    <xf numFmtId="173" fontId="49" fillId="52" borderId="0" xfId="0" applyFont="1" applyFill="1" applyAlignment="1" applyProtection="1">
      <alignment horizontal="center"/>
      <protection locked="0"/>
    </xf>
    <xf numFmtId="43" fontId="45" fillId="0" borderId="0" xfId="0" applyNumberFormat="1" applyFont="1"/>
    <xf numFmtId="41" fontId="37" fillId="4" borderId="0" xfId="0" applyNumberFormat="1" applyFont="1" applyFill="1"/>
    <xf numFmtId="41" fontId="69" fillId="4" borderId="0" xfId="0" applyNumberFormat="1" applyFont="1" applyFill="1"/>
    <xf numFmtId="221" fontId="61" fillId="0" borderId="0" xfId="552" applyFont="1" applyAlignment="1">
      <alignment horizontal="centerContinuous"/>
    </xf>
    <xf numFmtId="221" fontId="39" fillId="0" borderId="0" xfId="552" applyFont="1" applyAlignment="1">
      <alignment horizontal="centerContinuous"/>
    </xf>
    <xf numFmtId="173" fontId="223" fillId="0" borderId="0" xfId="0" applyFont="1" applyAlignment="1">
      <alignment horizontal="centerContinuous"/>
    </xf>
    <xf numFmtId="173" fontId="228" fillId="0" borderId="0" xfId="0" applyFont="1" applyAlignment="1">
      <alignment horizontal="centerContinuous"/>
    </xf>
    <xf numFmtId="3" fontId="45" fillId="0" borderId="0" xfId="0" applyNumberFormat="1" applyFont="1" applyAlignment="1" applyProtection="1">
      <alignment horizontal="left" vertical="top"/>
      <protection locked="0"/>
    </xf>
    <xf numFmtId="3" fontId="45" fillId="0" borderId="0" xfId="0" applyNumberFormat="1" applyFont="1" applyAlignment="1" applyProtection="1">
      <alignment horizontal="left"/>
      <protection locked="0"/>
    </xf>
    <xf numFmtId="173" fontId="45" fillId="0" borderId="0" xfId="0" applyFont="1" applyAlignment="1" applyProtection="1">
      <alignment horizontal="left"/>
      <protection locked="0"/>
    </xf>
    <xf numFmtId="221" fontId="45" fillId="0" borderId="0" xfId="0" applyNumberFormat="1" applyFont="1" applyAlignment="1" applyProtection="1">
      <alignment horizontal="left"/>
      <protection locked="0"/>
    </xf>
    <xf numFmtId="173" fontId="45" fillId="0" borderId="24" xfId="0" applyFont="1" applyBorder="1" applyAlignment="1" applyProtection="1">
      <alignment horizontal="left"/>
      <protection locked="0"/>
    </xf>
    <xf numFmtId="0" fontId="37" fillId="0" borderId="0" xfId="0" applyNumberFormat="1" applyFont="1" applyAlignment="1" applyProtection="1">
      <alignment horizontal="center" vertical="top"/>
      <protection locked="0"/>
    </xf>
    <xf numFmtId="173" fontId="37" fillId="0" borderId="0" xfId="0" applyFont="1" applyAlignment="1">
      <alignment vertical="top"/>
    </xf>
    <xf numFmtId="221" fontId="37" fillId="0" borderId="0" xfId="0" applyNumberFormat="1" applyFont="1" applyAlignment="1">
      <alignment vertical="top"/>
    </xf>
    <xf numFmtId="172" fontId="37" fillId="0" borderId="0" xfId="0" applyNumberFormat="1" applyFont="1" applyAlignment="1">
      <alignment vertical="top"/>
    </xf>
    <xf numFmtId="221" fontId="37" fillId="0" borderId="0" xfId="0" applyNumberFormat="1" applyFont="1" applyAlignment="1">
      <alignment vertical="top" wrapText="1"/>
    </xf>
    <xf numFmtId="221" fontId="69" fillId="0" borderId="0" xfId="0" applyNumberFormat="1" applyFont="1" applyAlignment="1">
      <alignment vertical="center"/>
    </xf>
    <xf numFmtId="221" fontId="37" fillId="0" borderId="0" xfId="0" applyNumberFormat="1" applyFont="1" applyAlignment="1">
      <alignment vertical="center"/>
    </xf>
    <xf numFmtId="173" fontId="37" fillId="0" borderId="0" xfId="0" applyFont="1" applyAlignment="1">
      <alignment vertical="center"/>
    </xf>
    <xf numFmtId="221" fontId="69" fillId="0" borderId="0" xfId="0" applyNumberFormat="1" applyFont="1" applyAlignment="1">
      <alignment vertical="center" wrapText="1"/>
    </xf>
    <xf numFmtId="173" fontId="69" fillId="0" borderId="0" xfId="0" applyFont="1" applyAlignment="1">
      <alignment vertical="center"/>
    </xf>
    <xf numFmtId="173" fontId="37" fillId="0" borderId="1" xfId="0" applyFont="1" applyBorder="1" applyAlignment="1">
      <alignment horizontal="center"/>
    </xf>
    <xf numFmtId="221" fontId="41" fillId="0" borderId="1" xfId="0" applyNumberFormat="1" applyFont="1" applyBorder="1" applyAlignment="1" applyProtection="1">
      <alignment horizontal="center"/>
      <protection locked="0"/>
    </xf>
    <xf numFmtId="44" fontId="37" fillId="0" borderId="0" xfId="0" applyNumberFormat="1" applyFont="1"/>
    <xf numFmtId="173" fontId="60" fillId="0" borderId="0" xfId="0" applyFont="1"/>
    <xf numFmtId="41" fontId="72" fillId="0" borderId="0" xfId="1" applyNumberFormat="1" applyFont="1" applyFill="1"/>
    <xf numFmtId="3" fontId="45" fillId="0" borderId="24" xfId="0" applyNumberFormat="1" applyFont="1" applyBorder="1" applyProtection="1">
      <protection locked="0"/>
    </xf>
    <xf numFmtId="3" fontId="45" fillId="0" borderId="1" xfId="0" applyNumberFormat="1" applyFont="1" applyBorder="1" applyAlignment="1" applyProtection="1">
      <alignment horizontal="center"/>
      <protection locked="0"/>
    </xf>
    <xf numFmtId="3" fontId="45" fillId="0" borderId="0" xfId="0" applyNumberFormat="1" applyFont="1" applyAlignment="1" applyProtection="1">
      <alignment horizontal="center"/>
      <protection locked="0"/>
    </xf>
    <xf numFmtId="221" fontId="45" fillId="0" borderId="1" xfId="0" applyNumberFormat="1" applyFont="1" applyBorder="1" applyAlignment="1" applyProtection="1">
      <alignment horizontal="center"/>
      <protection locked="0"/>
    </xf>
    <xf numFmtId="42" fontId="37" fillId="0" borderId="0" xfId="7" applyNumberFormat="1" applyFont="1" applyAlignment="1">
      <alignment vertical="top"/>
    </xf>
    <xf numFmtId="173" fontId="42" fillId="0" borderId="0" xfId="0" applyFont="1" applyAlignment="1">
      <alignment horizontal="centerContinuous"/>
    </xf>
    <xf numFmtId="2" fontId="33" fillId="0" borderId="0" xfId="328" applyNumberFormat="1" applyAlignment="1">
      <alignment horizontal="right"/>
    </xf>
    <xf numFmtId="3" fontId="69" fillId="0" borderId="0" xfId="0" applyNumberFormat="1" applyFont="1" applyAlignment="1">
      <alignment horizontal="center" vertical="center"/>
    </xf>
    <xf numFmtId="221" fontId="37" fillId="0" borderId="0" xfId="0" applyNumberFormat="1" applyFont="1" applyAlignment="1">
      <alignment horizontal="center" vertical="center"/>
    </xf>
    <xf numFmtId="173" fontId="37" fillId="0" borderId="0" xfId="0" applyFont="1" applyAlignment="1">
      <alignment horizontal="center" vertical="center"/>
    </xf>
    <xf numFmtId="221" fontId="69" fillId="0" borderId="0" xfId="0" applyNumberFormat="1" applyFont="1" applyAlignment="1">
      <alignment horizontal="center" vertical="center"/>
    </xf>
    <xf numFmtId="173" fontId="37" fillId="0" borderId="0" xfId="0" quotePrefix="1" applyFont="1"/>
    <xf numFmtId="49" fontId="53" fillId="0" borderId="0" xfId="0" applyNumberFormat="1" applyFont="1" applyAlignment="1">
      <alignment horizontal="centerContinuous"/>
    </xf>
    <xf numFmtId="221" fontId="37" fillId="0" borderId="0" xfId="0" quotePrefix="1" applyNumberFormat="1" applyFont="1" applyAlignment="1">
      <alignment horizontal="center"/>
    </xf>
    <xf numFmtId="2" fontId="72" fillId="0" borderId="0" xfId="328" applyNumberFormat="1" applyFont="1"/>
    <xf numFmtId="221" fontId="19" fillId="0" borderId="0" xfId="328" applyFont="1"/>
    <xf numFmtId="221" fontId="45" fillId="0" borderId="24" xfId="0" applyNumberFormat="1" applyFont="1" applyBorder="1" applyAlignment="1" applyProtection="1">
      <alignment horizontal="left" vertical="top" wrapText="1"/>
      <protection locked="0"/>
    </xf>
    <xf numFmtId="174" fontId="37" fillId="4" borderId="0" xfId="89" quotePrefix="1" applyNumberFormat="1" applyFont="1" applyFill="1" applyAlignment="1"/>
    <xf numFmtId="174" fontId="37" fillId="0" borderId="0" xfId="89" quotePrefix="1" applyNumberFormat="1" applyFont="1" applyFill="1" applyAlignment="1"/>
    <xf numFmtId="221" fontId="39" fillId="0" borderId="0" xfId="8" applyFont="1" applyAlignment="1">
      <alignment horizontal="centerContinuous"/>
    </xf>
    <xf numFmtId="221" fontId="39" fillId="0" borderId="0" xfId="9" applyFont="1" applyAlignment="1">
      <alignment horizontal="centerContinuous"/>
    </xf>
    <xf numFmtId="221" fontId="39" fillId="0" borderId="0" xfId="15" applyFont="1" applyAlignment="1">
      <alignment horizontal="centerContinuous" vertical="center"/>
    </xf>
    <xf numFmtId="221" fontId="39" fillId="0" borderId="0" xfId="15" applyFont="1" applyAlignment="1">
      <alignment horizontal="centerContinuous"/>
    </xf>
    <xf numFmtId="15" fontId="39" fillId="0" borderId="0" xfId="15" quotePrefix="1" applyNumberFormat="1" applyFont="1" applyAlignment="1">
      <alignment horizontal="centerContinuous"/>
    </xf>
    <xf numFmtId="15" fontId="39" fillId="0" borderId="0" xfId="15" applyNumberFormat="1" applyFont="1" applyAlignment="1">
      <alignment horizontal="centerContinuous"/>
    </xf>
    <xf numFmtId="173" fontId="73" fillId="0" borderId="0" xfId="0" applyFont="1" applyAlignment="1">
      <alignment horizontal="center"/>
    </xf>
    <xf numFmtId="173" fontId="228" fillId="0" borderId="0" xfId="0" applyFont="1" applyAlignment="1">
      <alignment horizontal="center"/>
    </xf>
    <xf numFmtId="49" fontId="39" fillId="0" borderId="0" xfId="428" applyNumberFormat="1" applyFont="1" applyAlignment="1">
      <alignment horizontal="center"/>
    </xf>
    <xf numFmtId="2" fontId="72" fillId="0" borderId="0" xfId="328" applyNumberFormat="1" applyFont="1" applyAlignment="1">
      <alignment horizontal="center"/>
    </xf>
    <xf numFmtId="221" fontId="228" fillId="0" borderId="0" xfId="328" applyFont="1" applyAlignment="1">
      <alignment horizontal="centerContinuous"/>
    </xf>
    <xf numFmtId="0" fontId="226" fillId="0" borderId="0" xfId="1622" applyFont="1" applyAlignment="1">
      <alignment horizontal="center"/>
    </xf>
    <xf numFmtId="0" fontId="20" fillId="0" borderId="0" xfId="1622" applyAlignment="1">
      <alignment horizontal="left"/>
    </xf>
    <xf numFmtId="0" fontId="20" fillId="0" borderId="0" xfId="1622" applyAlignment="1">
      <alignment horizontal="left" indent="1"/>
    </xf>
    <xf numFmtId="0" fontId="20" fillId="0" borderId="0" xfId="1622" applyAlignment="1">
      <alignment horizontal="left" indent="2"/>
    </xf>
    <xf numFmtId="0" fontId="225" fillId="0" borderId="0" xfId="1622" applyFont="1"/>
    <xf numFmtId="221" fontId="47" fillId="0" borderId="0" xfId="6" applyFont="1" applyAlignment="1">
      <alignment horizontal="center"/>
    </xf>
    <xf numFmtId="10" fontId="37" fillId="0" borderId="0" xfId="576" applyNumberFormat="1" applyFont="1"/>
    <xf numFmtId="0" fontId="37" fillId="0" borderId="0" xfId="577" applyFont="1" applyAlignment="1">
      <alignment horizontal="left" wrapText="1" indent="1"/>
    </xf>
    <xf numFmtId="221" fontId="37" fillId="0" borderId="0" xfId="7" applyFont="1" applyAlignment="1">
      <alignment vertical="center"/>
    </xf>
    <xf numFmtId="221" fontId="37" fillId="0" borderId="0" xfId="5" applyFont="1" applyAlignment="1">
      <alignment horizontal="left" vertical="center"/>
    </xf>
    <xf numFmtId="221" fontId="39" fillId="0" borderId="0" xfId="5" applyFont="1" applyAlignment="1">
      <alignment horizontal="center" vertical="center"/>
    </xf>
    <xf numFmtId="221" fontId="26" fillId="0" borderId="0" xfId="455" applyAlignment="1">
      <alignment vertical="center"/>
    </xf>
    <xf numFmtId="221" fontId="37" fillId="0" borderId="0" xfId="355" applyFont="1" applyAlignment="1">
      <alignment vertical="center"/>
    </xf>
    <xf numFmtId="221" fontId="130" fillId="0" borderId="0" xfId="7" applyFont="1" applyAlignment="1">
      <alignment horizontal="center" vertical="center"/>
    </xf>
    <xf numFmtId="221" fontId="37" fillId="0" borderId="0" xfId="7" quotePrefix="1" applyFont="1" applyAlignment="1">
      <alignment horizontal="left"/>
    </xf>
    <xf numFmtId="221" fontId="37" fillId="0" borderId="0" xfId="7" applyFont="1" applyAlignment="1">
      <alignment horizontal="left" vertical="center" wrapText="1"/>
    </xf>
    <xf numFmtId="170" fontId="69" fillId="0" borderId="0" xfId="0" applyNumberFormat="1" applyFont="1"/>
    <xf numFmtId="170" fontId="37" fillId="0" borderId="0" xfId="0" applyNumberFormat="1" applyFont="1"/>
    <xf numFmtId="221" fontId="37" fillId="0" borderId="0" xfId="6" applyFont="1" applyAlignment="1">
      <alignment vertical="center"/>
    </xf>
    <xf numFmtId="221" fontId="37" fillId="0" borderId="0" xfId="8" applyFont="1" applyAlignment="1">
      <alignment horizontal="centerContinuous"/>
    </xf>
    <xf numFmtId="221" fontId="37" fillId="0" borderId="0" xfId="8" quotePrefix="1" applyFont="1"/>
    <xf numFmtId="41" fontId="37" fillId="0" borderId="0" xfId="8" applyNumberFormat="1" applyFont="1"/>
    <xf numFmtId="221" fontId="37" fillId="0" borderId="0" xfId="0" applyNumberFormat="1" applyFont="1" applyAlignment="1" applyProtection="1">
      <alignment horizontal="right" vertical="center"/>
      <protection locked="0"/>
    </xf>
    <xf numFmtId="173" fontId="235" fillId="0" borderId="0" xfId="0" applyFont="1"/>
    <xf numFmtId="173" fontId="149" fillId="0" borderId="0" xfId="0" applyFont="1"/>
    <xf numFmtId="221" fontId="18" fillId="0" borderId="0" xfId="328" applyFont="1"/>
    <xf numFmtId="221" fontId="37" fillId="0" borderId="0" xfId="8" applyFont="1" applyAlignment="1">
      <alignment vertical="center"/>
    </xf>
    <xf numFmtId="41" fontId="69" fillId="0" borderId="0" xfId="13" applyNumberFormat="1" applyFont="1" applyFill="1" applyProtection="1">
      <protection locked="0"/>
    </xf>
    <xf numFmtId="41" fontId="70" fillId="0" borderId="0" xfId="13" applyNumberFormat="1" applyFont="1" applyFill="1" applyProtection="1">
      <protection locked="0"/>
    </xf>
    <xf numFmtId="173" fontId="223" fillId="0" borderId="0" xfId="0" applyFont="1" applyAlignment="1">
      <alignment horizontal="center"/>
    </xf>
    <xf numFmtId="173" fontId="230" fillId="0" borderId="0" xfId="0" applyFont="1" applyAlignment="1">
      <alignment horizontal="center"/>
    </xf>
    <xf numFmtId="173" fontId="229" fillId="0" borderId="0" xfId="0" applyFont="1" applyAlignment="1">
      <alignment horizontal="center"/>
    </xf>
    <xf numFmtId="42" fontId="0" fillId="0" borderId="0" xfId="0" applyNumberFormat="1"/>
    <xf numFmtId="10" fontId="72" fillId="4" borderId="0" xfId="0" applyNumberFormat="1" applyFont="1" applyFill="1" applyProtection="1">
      <protection locked="0"/>
    </xf>
    <xf numFmtId="221" fontId="39" fillId="0" borderId="0" xfId="7" applyFont="1" applyAlignment="1">
      <alignment horizontal="center" vertical="center"/>
    </xf>
    <xf numFmtId="175" fontId="39" fillId="0" borderId="0" xfId="16" applyNumberFormat="1" applyFont="1" applyFill="1" applyBorder="1"/>
    <xf numFmtId="37" fontId="37" fillId="0" borderId="0" xfId="0" applyNumberFormat="1" applyFont="1" applyAlignment="1">
      <alignment horizontal="center" vertical="center"/>
    </xf>
    <xf numFmtId="170" fontId="36" fillId="0" borderId="0" xfId="0" applyNumberFormat="1" applyFont="1"/>
    <xf numFmtId="42" fontId="0" fillId="0" borderId="17" xfId="0" applyNumberFormat="1" applyBorder="1"/>
    <xf numFmtId="42" fontId="0" fillId="2" borderId="0" xfId="0" applyNumberFormat="1" applyFill="1"/>
    <xf numFmtId="0" fontId="0" fillId="0" borderId="0" xfId="0" applyNumberFormat="1" applyAlignment="1">
      <alignment horizontal="center"/>
    </xf>
    <xf numFmtId="173" fontId="49" fillId="0" borderId="0" xfId="0" applyFont="1" applyAlignment="1">
      <alignment horizontal="center"/>
    </xf>
    <xf numFmtId="173" fontId="46" fillId="0" borderId="0" xfId="0" applyFont="1" applyAlignment="1">
      <alignment horizontal="center"/>
    </xf>
    <xf numFmtId="0" fontId="50" fillId="0" borderId="0" xfId="10" applyNumberFormat="1" applyAlignment="1">
      <alignment horizontal="center"/>
    </xf>
    <xf numFmtId="221" fontId="59" fillId="0" borderId="0" xfId="15" applyFont="1" applyAlignment="1">
      <alignment horizontal="center"/>
    </xf>
    <xf numFmtId="0" fontId="37" fillId="0" borderId="0" xfId="7" applyNumberFormat="1" applyFont="1" applyAlignment="1">
      <alignment horizontal="center"/>
    </xf>
    <xf numFmtId="0" fontId="37" fillId="0" borderId="0" xfId="6" applyNumberFormat="1" applyFont="1" applyAlignment="1">
      <alignment horizontal="center"/>
    </xf>
    <xf numFmtId="173" fontId="59" fillId="0" borderId="0" xfId="0" applyFont="1" applyAlignment="1">
      <alignment horizontal="center"/>
    </xf>
    <xf numFmtId="173" fontId="59" fillId="0" borderId="0" xfId="0" applyFont="1" applyAlignment="1">
      <alignment horizontal="center" wrapText="1"/>
    </xf>
    <xf numFmtId="221" fontId="59" fillId="0" borderId="0" xfId="423" applyFont="1" applyAlignment="1">
      <alignment horizontal="center"/>
    </xf>
    <xf numFmtId="221" fontId="59" fillId="0" borderId="0" xfId="423" applyFont="1" applyAlignment="1">
      <alignment horizontal="center" wrapText="1"/>
    </xf>
    <xf numFmtId="221" fontId="59" fillId="0" borderId="0" xfId="423" quotePrefix="1" applyFont="1" applyAlignment="1">
      <alignment horizontal="center"/>
    </xf>
    <xf numFmtId="173" fontId="38" fillId="0" borderId="0" xfId="0" applyFont="1" applyAlignment="1">
      <alignment horizontal="center" wrapText="1"/>
    </xf>
    <xf numFmtId="0" fontId="37" fillId="0" borderId="0" xfId="0" applyNumberFormat="1" applyFont="1" applyAlignment="1">
      <alignment horizontal="center" vertical="center" wrapText="1"/>
    </xf>
    <xf numFmtId="0" fontId="223" fillId="0" borderId="0" xfId="1622" applyFont="1" applyAlignment="1">
      <alignment horizontal="center"/>
    </xf>
    <xf numFmtId="43" fontId="59" fillId="0" borderId="0" xfId="355" applyNumberFormat="1" applyFont="1" applyAlignment="1">
      <alignment horizontal="center" wrapText="1"/>
    </xf>
    <xf numFmtId="221" fontId="50" fillId="0" borderId="0" xfId="6" applyAlignment="1">
      <alignment horizontal="centerContinuous"/>
    </xf>
    <xf numFmtId="221" fontId="45" fillId="0" borderId="0" xfId="8" applyFont="1" applyAlignment="1">
      <alignment horizontal="centerContinuous"/>
    </xf>
    <xf numFmtId="221" fontId="37" fillId="0" borderId="0" xfId="6" applyFont="1" applyAlignment="1">
      <alignment horizontal="centerContinuous"/>
    </xf>
    <xf numFmtId="221" fontId="41" fillId="0" borderId="0" xfId="9" applyFont="1" applyAlignment="1">
      <alignment horizontal="centerContinuous"/>
    </xf>
    <xf numFmtId="221" fontId="41" fillId="0" borderId="0" xfId="15" applyFont="1" applyAlignment="1">
      <alignment horizontal="centerContinuous"/>
    </xf>
    <xf numFmtId="221" fontId="50" fillId="0" borderId="0" xfId="10" applyAlignment="1">
      <alignment horizontal="centerContinuous"/>
    </xf>
    <xf numFmtId="221" fontId="49" fillId="0" borderId="0" xfId="10" applyFont="1" applyAlignment="1">
      <alignment horizontal="center"/>
    </xf>
    <xf numFmtId="221" fontId="50" fillId="0" borderId="0" xfId="10" applyAlignment="1">
      <alignment horizontal="left"/>
    </xf>
    <xf numFmtId="221" fontId="55" fillId="0" borderId="0" xfId="10" applyFont="1" applyAlignment="1">
      <alignment horizontal="centerContinuous"/>
    </xf>
    <xf numFmtId="221" fontId="49" fillId="0" borderId="0" xfId="10" applyFont="1" applyAlignment="1">
      <alignment horizontal="centerContinuous"/>
    </xf>
    <xf numFmtId="0" fontId="37" fillId="0" borderId="0" xfId="0" applyNumberFormat="1" applyFont="1" applyAlignment="1">
      <alignment horizontal="center" vertical="center"/>
    </xf>
    <xf numFmtId="41" fontId="70" fillId="0" borderId="0" xfId="6" applyNumberFormat="1" applyFont="1" applyAlignment="1">
      <alignment vertical="center"/>
    </xf>
    <xf numFmtId="170" fontId="37" fillId="0" borderId="0" xfId="0" applyNumberFormat="1" applyFont="1" applyAlignment="1">
      <alignment wrapText="1"/>
    </xf>
    <xf numFmtId="281" fontId="45" fillId="0" borderId="0" xfId="8" applyNumberFormat="1" applyFont="1"/>
    <xf numFmtId="221" fontId="39" fillId="0" borderId="0" xfId="5" applyFont="1" applyAlignment="1">
      <alignment horizontal="left"/>
    </xf>
    <xf numFmtId="221" fontId="39" fillId="0" borderId="0" xfId="7" applyFont="1"/>
    <xf numFmtId="221" fontId="39" fillId="0" borderId="0" xfId="7" applyFont="1" applyAlignment="1">
      <alignment vertical="center"/>
    </xf>
    <xf numFmtId="0" fontId="147" fillId="0" borderId="0" xfId="576" applyFont="1" applyAlignment="1">
      <alignment horizontal="centerContinuous"/>
    </xf>
    <xf numFmtId="282" fontId="72" fillId="0" borderId="0" xfId="1" applyNumberFormat="1" applyFont="1" applyFill="1"/>
    <xf numFmtId="283" fontId="50" fillId="0" borderId="0" xfId="1" applyNumberFormat="1" applyFill="1"/>
    <xf numFmtId="174" fontId="72" fillId="0" borderId="0" xfId="1" applyNumberFormat="1" applyFont="1"/>
    <xf numFmtId="10" fontId="72" fillId="0" borderId="0" xfId="2463" applyNumberFormat="1" applyFont="1" applyFill="1" applyAlignment="1">
      <alignment horizontal="center" vertical="center"/>
    </xf>
    <xf numFmtId="37" fontId="13" fillId="0" borderId="0" xfId="0" applyNumberFormat="1" applyFont="1"/>
    <xf numFmtId="0" fontId="13" fillId="0" borderId="0" xfId="0" applyNumberFormat="1" applyFont="1" applyAlignment="1">
      <alignment horizontal="center"/>
    </xf>
    <xf numFmtId="0" fontId="0" fillId="4" borderId="0" xfId="0" applyNumberFormat="1" applyFill="1" applyAlignment="1">
      <alignment horizontal="center"/>
    </xf>
    <xf numFmtId="173" fontId="0" fillId="4" borderId="0" xfId="0" applyFill="1" applyAlignment="1">
      <alignment horizontal="center"/>
    </xf>
    <xf numFmtId="173" fontId="0" fillId="4" borderId="3" xfId="0" applyFill="1" applyBorder="1" applyAlignment="1">
      <alignment horizontal="center" vertical="top"/>
    </xf>
    <xf numFmtId="173" fontId="0" fillId="4" borderId="3" xfId="0" quotePrefix="1" applyFill="1" applyBorder="1" applyAlignment="1">
      <alignment horizontal="center"/>
    </xf>
    <xf numFmtId="173" fontId="0" fillId="4" borderId="3" xfId="0" applyFill="1" applyBorder="1" applyAlignment="1">
      <alignment horizontal="center"/>
    </xf>
    <xf numFmtId="10" fontId="37" fillId="0" borderId="0" xfId="7" applyNumberFormat="1" applyFont="1" applyProtection="1">
      <protection locked="0"/>
    </xf>
    <xf numFmtId="42" fontId="13" fillId="0" borderId="0" xfId="1" applyNumberFormat="1" applyFont="1"/>
    <xf numFmtId="10" fontId="69" fillId="0" borderId="0" xfId="0" applyNumberFormat="1" applyFont="1" applyAlignment="1">
      <alignment horizontal="left" vertical="center"/>
    </xf>
    <xf numFmtId="164" fontId="37" fillId="0" borderId="0" xfId="0" applyNumberFormat="1" applyFont="1" applyAlignment="1" applyProtection="1">
      <alignment horizontal="left"/>
      <protection locked="0"/>
    </xf>
    <xf numFmtId="167" fontId="69" fillId="0" borderId="0" xfId="0" applyNumberFormat="1" applyFont="1" applyAlignment="1">
      <alignment vertical="center"/>
    </xf>
    <xf numFmtId="164" fontId="69" fillId="0" borderId="0" xfId="0" applyNumberFormat="1" applyFont="1" applyAlignment="1">
      <alignment horizontal="center" vertical="center"/>
    </xf>
    <xf numFmtId="10" fontId="37" fillId="0" borderId="0" xfId="0" applyNumberFormat="1" applyFont="1" applyAlignment="1">
      <alignment horizontal="left" vertical="center"/>
    </xf>
    <xf numFmtId="167" fontId="37" fillId="0" borderId="0" xfId="0" applyNumberFormat="1" applyFont="1" applyAlignment="1">
      <alignment vertical="center"/>
    </xf>
    <xf numFmtId="164" fontId="37" fillId="0" borderId="0" xfId="0" applyNumberFormat="1" applyFont="1" applyAlignment="1">
      <alignment horizontal="center" vertical="center"/>
    </xf>
    <xf numFmtId="42" fontId="45" fillId="0" borderId="2" xfId="0" applyNumberFormat="1" applyFont="1" applyBorder="1" applyProtection="1">
      <protection locked="0"/>
    </xf>
    <xf numFmtId="42" fontId="45" fillId="0" borderId="2" xfId="0" applyNumberFormat="1" applyFont="1" applyBorder="1" applyProtection="1"/>
    <xf numFmtId="37" fontId="45" fillId="0" borderId="0" xfId="0" applyNumberFormat="1" applyFont="1" applyAlignment="1" applyProtection="1">
      <alignment vertical="top"/>
    </xf>
    <xf numFmtId="37" fontId="45" fillId="0" borderId="24" xfId="0" applyNumberFormat="1" applyFont="1" applyBorder="1" applyProtection="1"/>
    <xf numFmtId="37" fontId="45" fillId="0" borderId="24" xfId="0" quotePrefix="1" applyNumberFormat="1" applyFont="1" applyBorder="1" applyProtection="1"/>
    <xf numFmtId="38" fontId="51" fillId="0" borderId="0" xfId="0" applyNumberFormat="1" applyFont="1" applyProtection="1">
      <protection locked="0"/>
    </xf>
    <xf numFmtId="38" fontId="45" fillId="0" borderId="0" xfId="0" applyNumberFormat="1" applyFont="1" applyProtection="1"/>
    <xf numFmtId="38" fontId="51" fillId="0" borderId="1" xfId="0" applyNumberFormat="1" applyFont="1" applyBorder="1" applyProtection="1">
      <protection locked="0"/>
    </xf>
    <xf numFmtId="38" fontId="45" fillId="0" borderId="1" xfId="0" applyNumberFormat="1" applyFont="1" applyBorder="1" applyProtection="1"/>
    <xf numFmtId="221" fontId="136" fillId="0" borderId="0" xfId="328" applyFont="1" applyAlignment="1">
      <alignment horizontal="center"/>
    </xf>
    <xf numFmtId="221" fontId="233" fillId="0" borderId="0" xfId="328" applyFont="1" applyAlignment="1">
      <alignment horizontal="center"/>
    </xf>
    <xf numFmtId="221" fontId="137" fillId="0" borderId="0" xfId="328" applyFont="1" applyAlignment="1">
      <alignment horizontal="center"/>
    </xf>
    <xf numFmtId="221" fontId="136" fillId="0" borderId="0" xfId="328" quotePrefix="1" applyFont="1" applyAlignment="1">
      <alignment horizontal="center"/>
    </xf>
    <xf numFmtId="221" fontId="33" fillId="0" borderId="0" xfId="328" quotePrefix="1" applyAlignment="1">
      <alignment horizontal="center"/>
    </xf>
    <xf numFmtId="221" fontId="136" fillId="0" borderId="0" xfId="328" applyFont="1" applyAlignment="1">
      <alignment horizontal="centerContinuous"/>
    </xf>
    <xf numFmtId="2" fontId="33" fillId="0" borderId="0" xfId="328" applyNumberFormat="1"/>
    <xf numFmtId="0" fontId="136" fillId="0" borderId="0" xfId="328" applyNumberFormat="1" applyFont="1" applyAlignment="1">
      <alignment horizontal="centerContinuous"/>
    </xf>
    <xf numFmtId="0" fontId="33" fillId="0" borderId="0" xfId="328" applyNumberFormat="1" applyAlignment="1">
      <alignment horizontal="centerContinuous"/>
    </xf>
    <xf numFmtId="2" fontId="72" fillId="0" borderId="0" xfId="328" applyNumberFormat="1" applyFont="1" applyAlignment="1">
      <alignment horizontal="centerContinuous"/>
    </xf>
    <xf numFmtId="221" fontId="33" fillId="0" borderId="0" xfId="328" applyAlignment="1">
      <alignment horizontal="right"/>
    </xf>
    <xf numFmtId="0" fontId="33" fillId="0" borderId="0" xfId="328" applyNumberFormat="1"/>
    <xf numFmtId="221" fontId="72" fillId="0" borderId="0" xfId="328" applyFont="1" applyAlignment="1">
      <alignment horizontal="center"/>
    </xf>
    <xf numFmtId="221" fontId="72" fillId="0" borderId="0" xfId="328" applyFont="1" applyAlignment="1">
      <alignment horizontal="centerContinuous"/>
    </xf>
    <xf numFmtId="2" fontId="33" fillId="0" borderId="0" xfId="328" applyNumberFormat="1" applyAlignment="1">
      <alignment horizontal="center"/>
    </xf>
    <xf numFmtId="221" fontId="16" fillId="0" borderId="0" xfId="328" applyFont="1"/>
    <xf numFmtId="221" fontId="13" fillId="0" borderId="0" xfId="328" applyFont="1" applyAlignment="1">
      <alignment horizontal="right"/>
    </xf>
    <xf numFmtId="221" fontId="9" fillId="0" borderId="0" xfId="328" applyFont="1" applyAlignment="1">
      <alignment horizontal="right"/>
    </xf>
    <xf numFmtId="221" fontId="13" fillId="0" borderId="0" xfId="328" applyFont="1" applyAlignment="1">
      <alignment horizontal="centerContinuous"/>
    </xf>
    <xf numFmtId="173" fontId="13" fillId="0" borderId="0" xfId="0" applyFont="1"/>
    <xf numFmtId="221" fontId="11" fillId="0" borderId="0" xfId="328" applyFont="1" applyAlignment="1">
      <alignment horizontal="center"/>
    </xf>
    <xf numFmtId="173" fontId="45" fillId="0" borderId="0" xfId="0" applyFont="1" applyAlignment="1">
      <alignment horizontal="center"/>
    </xf>
    <xf numFmtId="173" fontId="11" fillId="0" borderId="0" xfId="0" applyFont="1"/>
    <xf numFmtId="173" fontId="11" fillId="0" borderId="0" xfId="0" applyFont="1" applyAlignment="1">
      <alignment horizontal="center"/>
    </xf>
    <xf numFmtId="173" fontId="55" fillId="0" borderId="0" xfId="0" applyFont="1" applyAlignment="1">
      <alignment horizontal="center"/>
    </xf>
    <xf numFmtId="173" fontId="55" fillId="0" borderId="0" xfId="0" applyFont="1"/>
    <xf numFmtId="0" fontId="137" fillId="0" borderId="0" xfId="1" applyNumberFormat="1" applyFont="1" applyFill="1" applyAlignment="1">
      <alignment horizontal="center"/>
    </xf>
    <xf numFmtId="0" fontId="137" fillId="0" borderId="0" xfId="0" applyNumberFormat="1" applyFont="1" applyAlignment="1">
      <alignment horizontal="center"/>
    </xf>
    <xf numFmtId="173" fontId="137" fillId="0" borderId="0" xfId="0" applyFont="1" applyAlignment="1">
      <alignment horizontal="center"/>
    </xf>
    <xf numFmtId="173" fontId="12" fillId="0" borderId="0" xfId="0" quotePrefix="1" applyFont="1" applyAlignment="1">
      <alignment horizontal="center"/>
    </xf>
    <xf numFmtId="0" fontId="12" fillId="0" borderId="0" xfId="1" quotePrefix="1" applyNumberFormat="1" applyFont="1" applyFill="1" applyAlignment="1">
      <alignment horizontal="center"/>
    </xf>
    <xf numFmtId="0" fontId="12" fillId="0" borderId="0" xfId="0" applyNumberFormat="1" applyFont="1" applyAlignment="1">
      <alignment horizontal="center"/>
    </xf>
    <xf numFmtId="42" fontId="72" fillId="0" borderId="0" xfId="1" applyNumberFormat="1" applyFont="1" applyFill="1"/>
    <xf numFmtId="41" fontId="237" fillId="0" borderId="0" xfId="1" applyNumberFormat="1" applyFont="1" applyFill="1"/>
    <xf numFmtId="174" fontId="13" fillId="0" borderId="0" xfId="1" applyNumberFormat="1" applyFont="1" applyFill="1"/>
    <xf numFmtId="10" fontId="45" fillId="0" borderId="0" xfId="2463" applyNumberFormat="1" applyFont="1" applyFill="1" applyAlignment="1">
      <alignment horizontal="center" vertical="center"/>
    </xf>
    <xf numFmtId="0" fontId="13" fillId="0" borderId="0" xfId="0" applyNumberFormat="1" applyFont="1" applyAlignment="1">
      <alignment horizontal="center" vertical="center"/>
    </xf>
    <xf numFmtId="42" fontId="37" fillId="0" borderId="0" xfId="7" applyNumberFormat="1" applyFont="1" applyProtection="1">
      <protection locked="0"/>
    </xf>
    <xf numFmtId="221" fontId="37" fillId="0" borderId="0" xfId="7" applyFont="1" applyAlignment="1">
      <alignment horizontal="left" wrapText="1"/>
    </xf>
    <xf numFmtId="221" fontId="56" fillId="0" borderId="0" xfId="6" applyFont="1" applyAlignment="1">
      <alignment horizontal="center"/>
    </xf>
    <xf numFmtId="221" fontId="37" fillId="0" borderId="0" xfId="8" applyFont="1" applyAlignment="1">
      <alignment horizontal="right" vertical="center"/>
    </xf>
    <xf numFmtId="221" fontId="37" fillId="0" borderId="0" xfId="0" applyNumberFormat="1" applyFont="1" applyAlignment="1" applyProtection="1">
      <alignment horizontal="right" vertical="center"/>
    </xf>
    <xf numFmtId="221" fontId="53" fillId="0" borderId="0" xfId="8" applyFont="1" applyAlignment="1">
      <alignment horizontal="left"/>
    </xf>
    <xf numFmtId="221" fontId="52" fillId="0" borderId="0" xfId="8" applyFont="1" applyAlignment="1">
      <alignment horizontal="left"/>
    </xf>
    <xf numFmtId="221" fontId="37" fillId="0" borderId="0" xfId="8" applyFont="1" applyAlignment="1">
      <alignment horizontal="left"/>
    </xf>
    <xf numFmtId="43" fontId="59" fillId="0" borderId="0" xfId="355" applyNumberFormat="1" applyFont="1" applyAlignment="1">
      <alignment horizontal="center"/>
    </xf>
    <xf numFmtId="221" fontId="39" fillId="0" borderId="0" xfId="8" applyFont="1"/>
    <xf numFmtId="221" fontId="39" fillId="0" borderId="0" xfId="8" applyFont="1" applyAlignment="1">
      <alignment vertical="center"/>
    </xf>
    <xf numFmtId="41" fontId="37" fillId="0" borderId="0" xfId="13" applyNumberFormat="1" applyFont="1" applyFill="1" applyBorder="1"/>
    <xf numFmtId="41" fontId="37" fillId="0" borderId="0" xfId="423" applyNumberFormat="1" applyFont="1"/>
    <xf numFmtId="173" fontId="39" fillId="0" borderId="0" xfId="0" applyFont="1" applyAlignment="1">
      <alignment horizontal="left"/>
    </xf>
    <xf numFmtId="221" fontId="37" fillId="0" borderId="0" xfId="355" applyFont="1"/>
    <xf numFmtId="37" fontId="69" fillId="0" borderId="0" xfId="7" applyNumberFormat="1" applyFont="1" applyAlignment="1" applyProtection="1">
      <alignment vertical="center"/>
      <protection locked="0"/>
    </xf>
    <xf numFmtId="221" fontId="45" fillId="0" borderId="0" xfId="6" quotePrefix="1" applyFont="1" applyAlignment="1">
      <alignment horizontal="center"/>
    </xf>
    <xf numFmtId="0" fontId="14" fillId="0" borderId="0" xfId="1622" applyFont="1"/>
    <xf numFmtId="0" fontId="37" fillId="0" borderId="0" xfId="6" applyNumberFormat="1" applyFont="1" applyAlignment="1">
      <alignment horizontal="center" vertical="center"/>
    </xf>
    <xf numFmtId="173" fontId="38" fillId="0" borderId="0" xfId="0" applyFont="1" applyAlignment="1">
      <alignment horizontal="center" vertical="center"/>
    </xf>
    <xf numFmtId="221" fontId="59" fillId="0" borderId="0" xfId="15" applyFont="1" applyAlignment="1">
      <alignment horizontal="center" vertical="center"/>
    </xf>
    <xf numFmtId="221" fontId="59" fillId="0" borderId="0" xfId="7" applyFont="1" applyAlignment="1">
      <alignment horizontal="center" vertical="center"/>
    </xf>
    <xf numFmtId="0" fontId="41" fillId="0" borderId="0" xfId="15" applyNumberFormat="1" applyFont="1" applyAlignment="1">
      <alignment horizontal="center"/>
    </xf>
    <xf numFmtId="221" fontId="167" fillId="0" borderId="0" xfId="555" applyFont="1"/>
    <xf numFmtId="221" fontId="39" fillId="0" borderId="0" xfId="428" applyFont="1"/>
    <xf numFmtId="221" fontId="41" fillId="0" borderId="0" xfId="15" applyFont="1" applyAlignment="1">
      <alignment vertical="center"/>
    </xf>
    <xf numFmtId="0" fontId="37" fillId="0" borderId="14" xfId="577" applyFont="1" applyBorder="1"/>
    <xf numFmtId="0" fontId="39" fillId="0" borderId="15" xfId="577" applyFont="1" applyBorder="1" applyAlignment="1">
      <alignment horizontal="centerContinuous"/>
    </xf>
    <xf numFmtId="0" fontId="39" fillId="0" borderId="16" xfId="577" applyFont="1" applyBorder="1" applyAlignment="1">
      <alignment horizontal="centerContinuous"/>
    </xf>
    <xf numFmtId="0" fontId="39" fillId="0" borderId="25" xfId="577" applyFont="1" applyBorder="1" applyAlignment="1">
      <alignment horizontal="centerContinuous"/>
    </xf>
    <xf numFmtId="0" fontId="39" fillId="0" borderId="14" xfId="577" applyFont="1" applyBorder="1" applyAlignment="1">
      <alignment horizontal="center"/>
    </xf>
    <xf numFmtId="0" fontId="39" fillId="0" borderId="14" xfId="577" applyFont="1" applyBorder="1" applyAlignment="1">
      <alignment horizontal="center" wrapText="1"/>
    </xf>
    <xf numFmtId="0" fontId="37" fillId="0" borderId="16" xfId="577" applyFont="1" applyBorder="1"/>
    <xf numFmtId="0" fontId="37" fillId="0" borderId="25" xfId="577" applyFont="1" applyBorder="1" applyAlignment="1">
      <alignment horizontal="centerContinuous"/>
    </xf>
    <xf numFmtId="0" fontId="37" fillId="0" borderId="17" xfId="577" applyFont="1" applyBorder="1"/>
    <xf numFmtId="0" fontId="39" fillId="0" borderId="17" xfId="577" applyFont="1" applyBorder="1"/>
    <xf numFmtId="0" fontId="39" fillId="0" borderId="0" xfId="577" applyFont="1"/>
    <xf numFmtId="0" fontId="39" fillId="0" borderId="10" xfId="577" applyFont="1" applyBorder="1"/>
    <xf numFmtId="0" fontId="39" fillId="0" borderId="3" xfId="577" applyFont="1" applyBorder="1"/>
    <xf numFmtId="0" fontId="37" fillId="0" borderId="4" xfId="577" applyFont="1" applyBorder="1"/>
    <xf numFmtId="0" fontId="37" fillId="0" borderId="17" xfId="577" applyFont="1" applyBorder="1" applyAlignment="1">
      <alignment horizontal="center"/>
    </xf>
    <xf numFmtId="0" fontId="39" fillId="0" borderId="17" xfId="577" applyFont="1" applyBorder="1" applyAlignment="1">
      <alignment horizontal="center"/>
    </xf>
    <xf numFmtId="0" fontId="37" fillId="0" borderId="3" xfId="577" applyFont="1" applyBorder="1"/>
    <xf numFmtId="0" fontId="37" fillId="0" borderId="0" xfId="577" applyFont="1" applyAlignment="1">
      <alignment horizontal="left" vertical="center" indent="1"/>
    </xf>
    <xf numFmtId="0" fontId="37" fillId="0" borderId="17" xfId="577" applyFont="1" applyBorder="1" applyAlignment="1">
      <alignment horizontal="center" vertical="center"/>
    </xf>
    <xf numFmtId="0" fontId="37" fillId="0" borderId="17" xfId="577" applyFont="1" applyBorder="1" applyAlignment="1">
      <alignment vertical="center"/>
    </xf>
    <xf numFmtId="0" fontId="37" fillId="0" borderId="0" xfId="577" applyFont="1" applyAlignment="1">
      <alignment horizontal="left" vertical="center"/>
    </xf>
    <xf numFmtId="0" fontId="37" fillId="0" borderId="0" xfId="577" applyFont="1" applyAlignment="1">
      <alignment vertical="center"/>
    </xf>
    <xf numFmtId="0" fontId="37" fillId="0" borderId="0" xfId="577" applyFont="1" applyAlignment="1">
      <alignment horizontal="left" indent="1"/>
    </xf>
    <xf numFmtId="174" fontId="37" fillId="0" borderId="0" xfId="564" applyNumberFormat="1" applyFont="1" applyFill="1" applyBorder="1"/>
    <xf numFmtId="0" fontId="37" fillId="0" borderId="3" xfId="577" applyFont="1" applyBorder="1" applyAlignment="1">
      <alignment horizontal="left" indent="1"/>
    </xf>
    <xf numFmtId="0" fontId="37" fillId="0" borderId="4" xfId="577" applyFont="1" applyBorder="1" applyAlignment="1">
      <alignment horizontal="center"/>
    </xf>
    <xf numFmtId="43" fontId="37" fillId="0" borderId="4" xfId="577" applyNumberFormat="1" applyFont="1" applyBorder="1" applyAlignment="1">
      <alignment horizontal="center"/>
    </xf>
    <xf numFmtId="0" fontId="39" fillId="0" borderId="0" xfId="577" applyFont="1" applyAlignment="1">
      <alignment horizontal="left" indent="1"/>
    </xf>
    <xf numFmtId="0" fontId="37" fillId="0" borderId="12" xfId="577" applyFont="1" applyBorder="1"/>
    <xf numFmtId="0" fontId="37" fillId="0" borderId="6" xfId="577" applyFont="1" applyBorder="1"/>
    <xf numFmtId="0" fontId="37" fillId="0" borderId="7" xfId="577" applyFont="1" applyBorder="1" applyAlignment="1">
      <alignment horizontal="center"/>
    </xf>
    <xf numFmtId="173" fontId="223" fillId="0" borderId="0" xfId="0" applyFont="1" applyAlignment="1">
      <alignment vertical="center"/>
    </xf>
    <xf numFmtId="39" fontId="223" fillId="0" borderId="0" xfId="0" applyNumberFormat="1" applyFont="1"/>
    <xf numFmtId="39" fontId="231" fillId="0" borderId="0" xfId="0" applyNumberFormat="1" applyFont="1"/>
    <xf numFmtId="173" fontId="228" fillId="0" borderId="0" xfId="0" applyFont="1" applyAlignment="1">
      <alignment horizontal="left" indent="1"/>
    </xf>
    <xf numFmtId="44" fontId="39" fillId="0" borderId="0" xfId="0" applyNumberFormat="1" applyFont="1"/>
    <xf numFmtId="173" fontId="37" fillId="0" borderId="0" xfId="0" quotePrefix="1" applyFont="1" applyAlignment="1">
      <alignment vertical="center"/>
    </xf>
    <xf numFmtId="42" fontId="68" fillId="0" borderId="0" xfId="0" applyNumberFormat="1" applyFont="1"/>
    <xf numFmtId="41" fontId="232" fillId="0" borderId="0" xfId="0" applyNumberFormat="1" applyFont="1"/>
    <xf numFmtId="190" fontId="37" fillId="0" borderId="0" xfId="0" applyNumberFormat="1" applyFont="1" applyAlignment="1">
      <alignment horizontal="center" vertical="center"/>
    </xf>
    <xf numFmtId="221" fontId="45" fillId="0" borderId="0" xfId="0" quotePrefix="1" applyNumberFormat="1" applyFont="1" applyAlignment="1" applyProtection="1">
      <alignment vertical="top" wrapText="1"/>
      <protection locked="0"/>
    </xf>
    <xf numFmtId="221" fontId="45" fillId="0" borderId="24" xfId="0" quotePrefix="1" applyNumberFormat="1" applyFont="1" applyBorder="1" applyAlignment="1" applyProtection="1">
      <alignment vertical="top" wrapText="1"/>
      <protection locked="0"/>
    </xf>
    <xf numFmtId="41" fontId="48" fillId="0" borderId="0" xfId="1" applyNumberFormat="1" applyFont="1" applyFill="1" applyAlignment="1">
      <alignment vertical="center"/>
    </xf>
    <xf numFmtId="49" fontId="8" fillId="0" borderId="0" xfId="0" quotePrefix="1" applyNumberFormat="1" applyFont="1" applyAlignment="1">
      <alignment horizontal="center"/>
    </xf>
    <xf numFmtId="0" fontId="8" fillId="0" borderId="0" xfId="0" applyNumberFormat="1" applyFont="1" applyAlignment="1">
      <alignment horizontal="center"/>
    </xf>
    <xf numFmtId="0" fontId="8" fillId="0" borderId="0" xfId="1" quotePrefix="1" applyNumberFormat="1" applyFont="1" applyFill="1" applyAlignment="1">
      <alignment horizontal="center"/>
    </xf>
    <xf numFmtId="44" fontId="37" fillId="0" borderId="0" xfId="6" applyNumberFormat="1" applyFont="1"/>
    <xf numFmtId="0" fontId="6" fillId="0" borderId="0" xfId="1622" applyFont="1"/>
    <xf numFmtId="173" fontId="149" fillId="0" borderId="0" xfId="0" quotePrefix="1" applyFont="1"/>
    <xf numFmtId="0" fontId="5" fillId="0" borderId="0" xfId="1622" applyFont="1"/>
    <xf numFmtId="39" fontId="37" fillId="0" borderId="0" xfId="8" applyNumberFormat="1" applyFont="1"/>
    <xf numFmtId="1" fontId="37" fillId="0" borderId="0" xfId="8" applyNumberFormat="1" applyFont="1"/>
    <xf numFmtId="273" fontId="37" fillId="0" borderId="0" xfId="8" applyNumberFormat="1" applyFont="1"/>
    <xf numFmtId="273" fontId="37" fillId="0" borderId="0" xfId="11" applyNumberFormat="1" applyFont="1" applyFill="1" applyAlignment="1">
      <alignment horizontal="center" vertical="center"/>
    </xf>
    <xf numFmtId="273" fontId="37" fillId="0" borderId="0" xfId="13" applyNumberFormat="1" applyFont="1" applyFill="1" applyBorder="1"/>
    <xf numFmtId="41" fontId="45" fillId="0" borderId="0" xfId="1" applyNumberFormat="1" applyFont="1" applyFill="1"/>
    <xf numFmtId="284" fontId="69" fillId="0" borderId="0" xfId="7" applyNumberFormat="1" applyFont="1"/>
    <xf numFmtId="221" fontId="45" fillId="0" borderId="0" xfId="6" quotePrefix="1" applyFont="1"/>
    <xf numFmtId="42" fontId="8" fillId="0" borderId="0" xfId="0" applyNumberFormat="1" applyFont="1"/>
    <xf numFmtId="42" fontId="72" fillId="0" borderId="0" xfId="354" applyNumberFormat="1" applyFont="1"/>
    <xf numFmtId="42" fontId="8" fillId="0" borderId="0" xfId="354" applyNumberFormat="1" applyFont="1"/>
    <xf numFmtId="4" fontId="37" fillId="0" borderId="0" xfId="7" applyNumberFormat="1" applyFont="1"/>
    <xf numFmtId="7" fontId="37" fillId="0" borderId="0" xfId="7" applyNumberFormat="1" applyFont="1"/>
    <xf numFmtId="7" fontId="69" fillId="0" borderId="0" xfId="7" applyNumberFormat="1" applyFont="1"/>
    <xf numFmtId="174" fontId="69" fillId="0" borderId="0" xfId="13" applyNumberFormat="1" applyFont="1" applyFill="1" applyBorder="1" applyProtection="1">
      <protection locked="0"/>
    </xf>
    <xf numFmtId="10" fontId="60" fillId="0" borderId="0" xfId="7" applyNumberFormat="1" applyFont="1" applyProtection="1">
      <protection locked="0"/>
    </xf>
    <xf numFmtId="175" fontId="60" fillId="0" borderId="0" xfId="7" applyNumberFormat="1" applyFont="1"/>
    <xf numFmtId="8" fontId="0" fillId="0" borderId="0" xfId="0" applyNumberFormat="1"/>
    <xf numFmtId="9" fontId="0" fillId="0" borderId="0" xfId="0" applyNumberFormat="1"/>
    <xf numFmtId="8" fontId="202" fillId="0" borderId="0" xfId="0" quotePrefix="1" applyNumberFormat="1" applyFont="1" applyAlignment="1">
      <alignment horizontal="center"/>
    </xf>
    <xf numFmtId="3" fontId="45" fillId="0" borderId="1" xfId="0" applyNumberFormat="1" applyFont="1" applyBorder="1" applyProtection="1">
      <protection locked="0"/>
    </xf>
    <xf numFmtId="221" fontId="45" fillId="0" borderId="24" xfId="0" applyNumberFormat="1" applyFont="1" applyBorder="1" applyProtection="1">
      <protection locked="0"/>
    </xf>
    <xf numFmtId="221" fontId="45" fillId="0" borderId="1" xfId="0" applyNumberFormat="1" applyFont="1" applyBorder="1" applyProtection="1">
      <protection locked="0"/>
    </xf>
    <xf numFmtId="42" fontId="69" fillId="0" borderId="0" xfId="0" applyNumberFormat="1" applyFont="1"/>
    <xf numFmtId="37" fontId="37" fillId="0" borderId="0" xfId="0" applyNumberFormat="1" applyFont="1" applyAlignment="1">
      <alignment horizontal="center" vertical="top" wrapText="1"/>
    </xf>
    <xf numFmtId="44" fontId="231" fillId="0" borderId="0" xfId="0" applyNumberFormat="1" applyFont="1"/>
    <xf numFmtId="39" fontId="37" fillId="0" borderId="0" xfId="0" applyNumberFormat="1" applyFont="1"/>
    <xf numFmtId="44" fontId="39" fillId="0" borderId="14" xfId="0" applyNumberFormat="1" applyFont="1" applyBorder="1"/>
    <xf numFmtId="0" fontId="39" fillId="0" borderId="6" xfId="577" applyFont="1" applyBorder="1" applyAlignment="1">
      <alignment horizontal="center" wrapText="1"/>
    </xf>
    <xf numFmtId="175" fontId="37" fillId="0" borderId="0" xfId="577" applyNumberFormat="1" applyFont="1"/>
    <xf numFmtId="174" fontId="37" fillId="0" borderId="0" xfId="564" applyNumberFormat="1" applyFont="1" applyFill="1" applyBorder="1" applyAlignment="1">
      <alignment vertical="center"/>
    </xf>
    <xf numFmtId="42" fontId="37" fillId="0" borderId="2" xfId="7" applyNumberFormat="1" applyFont="1" applyBorder="1"/>
    <xf numFmtId="10" fontId="69" fillId="0" borderId="0" xfId="579" applyNumberFormat="1" applyFont="1" applyFill="1" applyBorder="1" applyAlignment="1">
      <alignment vertical="center"/>
    </xf>
    <xf numFmtId="0" fontId="37" fillId="0" borderId="0" xfId="576" applyFont="1" applyAlignment="1">
      <alignment vertical="center"/>
    </xf>
    <xf numFmtId="42" fontId="37" fillId="0" borderId="45" xfId="7" applyNumberFormat="1" applyFont="1" applyBorder="1"/>
    <xf numFmtId="42" fontId="37" fillId="0" borderId="16" xfId="7" applyNumberFormat="1" applyFont="1" applyBorder="1"/>
    <xf numFmtId="174" fontId="37" fillId="0" borderId="6" xfId="564" applyNumberFormat="1" applyFont="1" applyFill="1" applyBorder="1"/>
    <xf numFmtId="42" fontId="37" fillId="0" borderId="6" xfId="7" applyNumberFormat="1" applyFont="1" applyBorder="1"/>
    <xf numFmtId="175" fontId="39" fillId="0" borderId="13" xfId="578" applyNumberFormat="1" applyFont="1" applyFill="1" applyBorder="1"/>
    <xf numFmtId="41" fontId="37" fillId="0" borderId="0" xfId="423" applyNumberFormat="1" applyFont="1" applyAlignment="1">
      <alignment vertical="center"/>
    </xf>
    <xf numFmtId="42" fontId="72" fillId="0" borderId="0" xfId="0" applyNumberFormat="1" applyFont="1" applyProtection="1">
      <protection locked="0"/>
    </xf>
    <xf numFmtId="37" fontId="72" fillId="0" borderId="0" xfId="0" applyNumberFormat="1" applyFont="1" applyAlignment="1" applyProtection="1">
      <alignment vertical="top"/>
      <protection locked="0"/>
    </xf>
    <xf numFmtId="221" fontId="223" fillId="0" borderId="0" xfId="328" applyFont="1"/>
    <xf numFmtId="0" fontId="4" fillId="0" borderId="0" xfId="1622" applyFont="1"/>
    <xf numFmtId="221" fontId="8" fillId="0" borderId="0" xfId="328" applyFont="1"/>
    <xf numFmtId="0" fontId="3" fillId="0" borderId="0" xfId="1622" applyFont="1"/>
    <xf numFmtId="0" fontId="39" fillId="0" borderId="0" xfId="9119" applyFont="1" applyAlignment="1">
      <alignment horizontal="centerContinuous"/>
    </xf>
    <xf numFmtId="41" fontId="69" fillId="0" borderId="0" xfId="0" applyNumberFormat="1" applyFont="1"/>
    <xf numFmtId="10" fontId="69" fillId="0" borderId="0" xfId="0" applyNumberFormat="1" applyFont="1"/>
    <xf numFmtId="10" fontId="130" fillId="0" borderId="0" xfId="0" applyNumberFormat="1" applyFont="1"/>
    <xf numFmtId="190" fontId="37" fillId="0" borderId="0" xfId="0" applyNumberFormat="1" applyFont="1"/>
    <xf numFmtId="190" fontId="69" fillId="0" borderId="0" xfId="0" applyNumberFormat="1" applyFont="1"/>
    <xf numFmtId="42" fontId="60" fillId="0" borderId="0" xfId="0" applyNumberFormat="1" applyFont="1"/>
    <xf numFmtId="41" fontId="70" fillId="0" borderId="0" xfId="0" applyNumberFormat="1" applyFont="1"/>
    <xf numFmtId="14" fontId="247" fillId="0" borderId="0" xfId="9120" applyNumberFormat="1" applyFont="1"/>
    <xf numFmtId="0" fontId="247" fillId="0" borderId="0" xfId="9120" applyFont="1" applyAlignment="1">
      <alignment horizontal="center"/>
    </xf>
    <xf numFmtId="174" fontId="248" fillId="0" borderId="0" xfId="89" applyNumberFormat="1" applyFont="1" applyFill="1"/>
    <xf numFmtId="0" fontId="246" fillId="0" borderId="0" xfId="9120" applyFont="1"/>
    <xf numFmtId="173" fontId="8" fillId="0" borderId="0" xfId="0" applyFont="1"/>
    <xf numFmtId="10" fontId="8" fillId="0" borderId="0" xfId="9122" applyNumberFormat="1" applyFont="1" applyFill="1" applyAlignment="1">
      <alignment horizontal="center" vertical="center"/>
    </xf>
    <xf numFmtId="37" fontId="8" fillId="0" borderId="0" xfId="0" applyNumberFormat="1" applyFont="1"/>
    <xf numFmtId="174" fontId="8" fillId="0" borderId="0" xfId="9121" applyNumberFormat="1" applyFont="1" applyFill="1"/>
    <xf numFmtId="173" fontId="8" fillId="0" borderId="0" xfId="0" applyFont="1" applyAlignment="1">
      <alignment horizontal="center" wrapText="1"/>
    </xf>
    <xf numFmtId="173" fontId="8" fillId="0" borderId="0" xfId="0" applyFont="1" applyAlignment="1">
      <alignment horizontal="center"/>
    </xf>
    <xf numFmtId="173" fontId="8" fillId="0" borderId="6" xfId="0" applyFont="1" applyBorder="1" applyAlignment="1">
      <alignment horizontal="center"/>
    </xf>
    <xf numFmtId="174" fontId="72" fillId="0" borderId="0" xfId="9121" applyNumberFormat="1" applyFont="1" applyFill="1"/>
    <xf numFmtId="174" fontId="72" fillId="0" borderId="0" xfId="89" applyNumberFormat="1" applyFont="1" applyFill="1"/>
    <xf numFmtId="173" fontId="246" fillId="0" borderId="0" xfId="0" applyFont="1" applyAlignment="1">
      <alignment horizontal="center"/>
    </xf>
    <xf numFmtId="174" fontId="246" fillId="0" borderId="0" xfId="9121" applyNumberFormat="1" applyFont="1" applyFill="1"/>
    <xf numFmtId="173" fontId="13" fillId="0" borderId="0" xfId="0" applyFont="1" applyAlignment="1">
      <alignment horizontal="center"/>
    </xf>
    <xf numFmtId="10" fontId="45" fillId="0" borderId="0" xfId="2463" applyNumberFormat="1" applyFont="1" applyFill="1" applyBorder="1" applyAlignment="1">
      <alignment horizontal="center" vertical="center"/>
    </xf>
    <xf numFmtId="42" fontId="13" fillId="0" borderId="0" xfId="0" applyNumberFormat="1" applyFont="1"/>
    <xf numFmtId="42" fontId="72" fillId="0" borderId="0" xfId="1" applyNumberFormat="1" applyFont="1" applyFill="1" applyBorder="1"/>
    <xf numFmtId="42" fontId="13" fillId="0" borderId="0" xfId="1" applyNumberFormat="1" applyFont="1" applyFill="1" applyBorder="1"/>
    <xf numFmtId="221" fontId="249" fillId="0" borderId="0" xfId="0" applyNumberFormat="1" applyFont="1" applyProtection="1">
      <protection locked="0"/>
    </xf>
    <xf numFmtId="0" fontId="45" fillId="0" borderId="0" xfId="9120" applyFont="1"/>
    <xf numFmtId="0" fontId="246" fillId="0" borderId="0" xfId="980" applyFont="1"/>
    <xf numFmtId="10" fontId="8" fillId="0" borderId="0" xfId="9122" applyNumberFormat="1" applyFont="1" applyAlignment="1">
      <alignment horizontal="center" vertical="center"/>
    </xf>
    <xf numFmtId="177" fontId="37" fillId="0" borderId="0" xfId="1" applyNumberFormat="1" applyFont="1"/>
    <xf numFmtId="287" fontId="200" fillId="0" borderId="0" xfId="89" applyNumberFormat="1" applyFont="1" applyFill="1"/>
    <xf numFmtId="174" fontId="200" fillId="0" borderId="0" xfId="89" applyNumberFormat="1" applyFont="1" applyFill="1"/>
    <xf numFmtId="43" fontId="200" fillId="0" borderId="0" xfId="0" applyNumberFormat="1" applyFont="1"/>
    <xf numFmtId="14" fontId="45" fillId="0" borderId="0" xfId="0" applyNumberFormat="1" applyFont="1"/>
    <xf numFmtId="14" fontId="45" fillId="0" borderId="0" xfId="0" applyNumberFormat="1" applyFont="1" applyAlignment="1">
      <alignment horizontal="center"/>
    </xf>
    <xf numFmtId="0" fontId="45" fillId="0" borderId="0" xfId="0" applyNumberFormat="1" applyFont="1" applyAlignment="1">
      <alignment horizontal="center"/>
    </xf>
    <xf numFmtId="0" fontId="45" fillId="0" borderId="0" xfId="0" applyNumberFormat="1" applyFont="1" applyAlignment="1">
      <alignment horizontal="left"/>
    </xf>
    <xf numFmtId="174" fontId="45" fillId="0" borderId="0" xfId="354" applyNumberFormat="1" applyFont="1" applyFill="1"/>
    <xf numFmtId="174" fontId="45" fillId="0" borderId="0" xfId="89" applyNumberFormat="1" applyFont="1" applyFill="1"/>
    <xf numFmtId="174" fontId="45" fillId="0" borderId="0" xfId="9121" applyNumberFormat="1" applyFont="1" applyFill="1"/>
    <xf numFmtId="0" fontId="45" fillId="0" borderId="0" xfId="0" quotePrefix="1" applyNumberFormat="1" applyFont="1" applyAlignment="1">
      <alignment horizontal="center"/>
    </xf>
    <xf numFmtId="0" fontId="45" fillId="0" borderId="0" xfId="980" applyFont="1"/>
    <xf numFmtId="288" fontId="8" fillId="0" borderId="0" xfId="9121" applyNumberFormat="1" applyFont="1" applyFill="1"/>
    <xf numFmtId="288" fontId="45" fillId="0" borderId="0" xfId="0" applyNumberFormat="1" applyFont="1"/>
    <xf numFmtId="14" fontId="45" fillId="0" borderId="0" xfId="9120" applyNumberFormat="1" applyFont="1"/>
    <xf numFmtId="42" fontId="45" fillId="0" borderId="0" xfId="1" applyNumberFormat="1" applyFont="1" applyFill="1"/>
    <xf numFmtId="174" fontId="47" fillId="0" borderId="0" xfId="89" applyNumberFormat="1" applyFont="1" applyFill="1"/>
    <xf numFmtId="41" fontId="47" fillId="0" borderId="0" xfId="1" applyNumberFormat="1" applyFont="1" applyFill="1"/>
    <xf numFmtId="0" fontId="45" fillId="0" borderId="0" xfId="9120" applyFont="1" applyAlignment="1">
      <alignment horizontal="left"/>
    </xf>
    <xf numFmtId="0" fontId="45" fillId="0" borderId="0" xfId="0" applyNumberFormat="1" applyFont="1" applyAlignment="1">
      <alignment horizontal="center" vertical="center"/>
    </xf>
    <xf numFmtId="174" fontId="45" fillId="0" borderId="0" xfId="9121" applyNumberFormat="1" applyFont="1"/>
    <xf numFmtId="174" fontId="45" fillId="0" borderId="0" xfId="1" applyNumberFormat="1" applyFont="1" applyFill="1"/>
    <xf numFmtId="174" fontId="45" fillId="0" borderId="0" xfId="0" applyNumberFormat="1" applyFont="1"/>
    <xf numFmtId="173" fontId="45" fillId="0" borderId="0" xfId="0" applyFont="1" applyAlignment="1">
      <alignment vertical="top" wrapText="1"/>
    </xf>
    <xf numFmtId="42" fontId="48" fillId="0" borderId="0" xfId="1" applyNumberFormat="1" applyFont="1" applyFill="1" applyBorder="1"/>
    <xf numFmtId="173" fontId="45" fillId="0" borderId="0" xfId="0" quotePrefix="1" applyFont="1" applyAlignment="1">
      <alignment horizontal="center"/>
    </xf>
    <xf numFmtId="0" fontId="45" fillId="0" borderId="0" xfId="1" quotePrefix="1" applyNumberFormat="1" applyFont="1" applyFill="1" applyAlignment="1">
      <alignment horizontal="center"/>
    </xf>
    <xf numFmtId="173" fontId="45" fillId="0" borderId="0" xfId="0" quotePrefix="1" applyFont="1" applyAlignment="1">
      <alignment horizontal="center" wrapText="1"/>
    </xf>
    <xf numFmtId="173" fontId="45" fillId="0" borderId="6" xfId="0" applyFont="1" applyBorder="1" applyAlignment="1">
      <alignment horizontal="center"/>
    </xf>
    <xf numFmtId="10" fontId="45" fillId="0" borderId="0" xfId="9122" applyNumberFormat="1" applyFont="1" applyFill="1" applyAlignment="1">
      <alignment horizontal="center" vertical="center"/>
    </xf>
    <xf numFmtId="37" fontId="45" fillId="0" borderId="0" xfId="0" applyNumberFormat="1" applyFont="1"/>
    <xf numFmtId="221" fontId="45" fillId="0" borderId="0" xfId="328" applyFont="1" applyAlignment="1">
      <alignment horizontal="right"/>
    </xf>
    <xf numFmtId="174" fontId="237" fillId="0" borderId="0" xfId="89" applyNumberFormat="1" applyFont="1" applyFill="1"/>
    <xf numFmtId="174" fontId="72" fillId="0" borderId="0" xfId="9121" applyNumberFormat="1" applyFont="1"/>
    <xf numFmtId="221" fontId="49" fillId="0" borderId="0" xfId="328" applyFont="1" applyAlignment="1">
      <alignment horizontal="centerContinuous"/>
    </xf>
    <xf numFmtId="221" fontId="45" fillId="0" borderId="0" xfId="328" applyFont="1" applyAlignment="1">
      <alignment horizontal="centerContinuous"/>
    </xf>
    <xf numFmtId="221" fontId="45" fillId="0" borderId="0" xfId="328" applyFont="1" applyAlignment="1">
      <alignment horizontal="center"/>
    </xf>
    <xf numFmtId="0" fontId="55" fillId="0" borderId="0" xfId="1" applyNumberFormat="1" applyFont="1" applyFill="1" applyAlignment="1">
      <alignment horizontal="center"/>
    </xf>
    <xf numFmtId="0" fontId="55" fillId="0" borderId="0" xfId="0" applyNumberFormat="1" applyFont="1" applyAlignment="1">
      <alignment horizontal="center"/>
    </xf>
    <xf numFmtId="10" fontId="45" fillId="0" borderId="0" xfId="9122" applyNumberFormat="1" applyFont="1" applyAlignment="1">
      <alignment horizontal="center" vertical="center"/>
    </xf>
    <xf numFmtId="173" fontId="45" fillId="0" borderId="0" xfId="0" applyFont="1" applyAlignment="1">
      <alignment horizontal="center" wrapText="1"/>
    </xf>
    <xf numFmtId="174" fontId="45" fillId="0" borderId="0" xfId="89" applyNumberFormat="1" applyFont="1" applyFill="1" applyAlignment="1">
      <alignment horizontal="center"/>
    </xf>
    <xf numFmtId="42" fontId="37" fillId="0" borderId="24" xfId="0" applyNumberFormat="1" applyFont="1" applyBorder="1" applyAlignment="1">
      <alignment horizontal="right"/>
    </xf>
    <xf numFmtId="0" fontId="69" fillId="0" borderId="0" xfId="0" applyNumberFormat="1" applyFont="1" applyAlignment="1">
      <alignment horizontal="center"/>
    </xf>
    <xf numFmtId="0" fontId="69" fillId="0" borderId="0" xfId="0" applyNumberFormat="1" applyFont="1"/>
    <xf numFmtId="173" fontId="39" fillId="0" borderId="0" xfId="9123" applyFont="1" applyAlignment="1" applyProtection="1">
      <alignment horizontal="centerContinuous"/>
    </xf>
    <xf numFmtId="173" fontId="37" fillId="0" borderId="0" xfId="9123" applyFont="1" applyAlignment="1">
      <alignment horizontal="centerContinuous"/>
    </xf>
    <xf numFmtId="173" fontId="37" fillId="0" borderId="0" xfId="9123" applyFont="1" applyAlignment="1" applyProtection="1">
      <alignment horizontal="centerContinuous"/>
    </xf>
    <xf numFmtId="173" fontId="37" fillId="0" borderId="0" xfId="9123" applyFont="1"/>
    <xf numFmtId="221" fontId="37" fillId="0" borderId="0" xfId="423" applyFont="1" applyAlignment="1">
      <alignment horizontal="right"/>
    </xf>
    <xf numFmtId="221" fontId="39" fillId="0" borderId="0" xfId="369" applyFont="1" applyAlignment="1">
      <alignment horizontal="center"/>
    </xf>
    <xf numFmtId="221" fontId="37" fillId="0" borderId="0" xfId="9123" applyNumberFormat="1" applyFont="1" applyProtection="1">
      <protection locked="0"/>
    </xf>
    <xf numFmtId="173" fontId="39" fillId="0" borderId="0" xfId="9123" applyFont="1" applyAlignment="1">
      <alignment horizontal="center" vertical="center"/>
    </xf>
    <xf numFmtId="173" fontId="37" fillId="0" borderId="0" xfId="9123" applyFont="1" applyAlignment="1">
      <alignment vertical="center"/>
    </xf>
    <xf numFmtId="221" fontId="59" fillId="0" borderId="0" xfId="369" applyFont="1" applyAlignment="1">
      <alignment horizontal="center" vertical="center"/>
    </xf>
    <xf numFmtId="221" fontId="37" fillId="0" borderId="0" xfId="369" applyFont="1" applyAlignment="1">
      <alignment horizontal="center" vertical="center"/>
    </xf>
    <xf numFmtId="173" fontId="38" fillId="0" borderId="0" xfId="9123" applyFont="1" applyAlignment="1">
      <alignment horizontal="center" vertical="center"/>
    </xf>
    <xf numFmtId="221" fontId="59" fillId="0" borderId="0" xfId="355" applyFont="1" applyAlignment="1">
      <alignment horizontal="center" vertical="center"/>
    </xf>
    <xf numFmtId="221" fontId="223" fillId="0" borderId="0" xfId="328" applyFont="1" applyAlignment="1">
      <alignment horizontal="right"/>
    </xf>
    <xf numFmtId="44" fontId="50" fillId="0" borderId="0" xfId="9125" applyFont="1"/>
    <xf numFmtId="221" fontId="0" fillId="4" borderId="0" xfId="0" applyNumberFormat="1" applyFill="1" applyAlignment="1">
      <alignment horizontal="center" vertical="top" wrapText="1"/>
    </xf>
    <xf numFmtId="42" fontId="45" fillId="0" borderId="0" xfId="1" applyNumberFormat="1" applyFont="1" applyFill="1" applyAlignment="1">
      <alignment horizontal="center"/>
    </xf>
    <xf numFmtId="221" fontId="39" fillId="0" borderId="0" xfId="355" applyFont="1" applyAlignment="1">
      <alignment horizontal="center" vertical="center"/>
    </xf>
    <xf numFmtId="0" fontId="37" fillId="0" borderId="0" xfId="9123" applyNumberFormat="1" applyFont="1" applyAlignment="1">
      <alignment horizontal="center" vertical="center"/>
    </xf>
    <xf numFmtId="42" fontId="37" fillId="0" borderId="0" xfId="355" applyNumberFormat="1" applyFont="1" applyAlignment="1">
      <alignment vertical="center"/>
    </xf>
    <xf numFmtId="42" fontId="69" fillId="0" borderId="0" xfId="355" applyNumberFormat="1" applyFont="1" applyAlignment="1">
      <alignment vertical="center"/>
    </xf>
    <xf numFmtId="221" fontId="37" fillId="0" borderId="0" xfId="9123" applyNumberFormat="1" applyFont="1" applyAlignment="1">
      <alignment vertical="center"/>
    </xf>
    <xf numFmtId="41" fontId="70" fillId="0" borderId="0" xfId="370" applyNumberFormat="1" applyFont="1" applyAlignment="1">
      <alignment vertical="center"/>
    </xf>
    <xf numFmtId="10" fontId="130" fillId="0" borderId="0" xfId="370" applyNumberFormat="1" applyFont="1" applyAlignment="1" applyProtection="1">
      <alignment vertical="center"/>
      <protection locked="0"/>
    </xf>
    <xf numFmtId="221" fontId="37" fillId="0" borderId="0" xfId="355" applyFont="1" applyAlignment="1">
      <alignment vertical="center" wrapText="1"/>
    </xf>
    <xf numFmtId="42" fontId="67" fillId="0" borderId="0" xfId="355" applyNumberFormat="1" applyFont="1" applyAlignment="1">
      <alignment vertical="center"/>
    </xf>
    <xf numFmtId="173" fontId="45" fillId="0" borderId="0" xfId="9123" quotePrefix="1" applyFont="1" applyAlignment="1">
      <alignment vertical="center"/>
    </xf>
    <xf numFmtId="221" fontId="37" fillId="0" borderId="0" xfId="370" applyFont="1" applyAlignment="1">
      <alignment vertical="center"/>
    </xf>
    <xf numFmtId="173" fontId="130" fillId="0" borderId="0" xfId="9123" applyFont="1" applyAlignment="1">
      <alignment vertical="center"/>
    </xf>
    <xf numFmtId="164" fontId="37" fillId="0" borderId="0" xfId="9124" applyNumberFormat="1" applyFont="1" applyAlignment="1">
      <alignment horizontal="left" vertical="center"/>
    </xf>
    <xf numFmtId="0" fontId="223" fillId="0" borderId="0" xfId="9124" applyFont="1"/>
    <xf numFmtId="42" fontId="69" fillId="0" borderId="0" xfId="7" applyNumberFormat="1" applyFont="1"/>
    <xf numFmtId="173" fontId="202" fillId="0" borderId="0" xfId="0" applyFont="1"/>
    <xf numFmtId="173" fontId="251" fillId="0" borderId="0" xfId="0" applyFont="1" applyAlignment="1">
      <alignment horizontal="left"/>
    </xf>
    <xf numFmtId="49" fontId="202" fillId="0" borderId="0" xfId="0" applyNumberFormat="1" applyFont="1" applyAlignment="1">
      <alignment horizontal="left" vertical="center"/>
    </xf>
    <xf numFmtId="49" fontId="253" fillId="0" borderId="0" xfId="0" applyNumberFormat="1" applyFont="1" applyAlignment="1">
      <alignment horizontal="left" vertical="center"/>
    </xf>
    <xf numFmtId="49" fontId="254" fillId="0" borderId="0" xfId="0" applyNumberFormat="1" applyFont="1" applyAlignment="1">
      <alignment horizontal="center" vertical="center"/>
    </xf>
    <xf numFmtId="49" fontId="255" fillId="0" borderId="0" xfId="0" applyNumberFormat="1" applyFont="1" applyAlignment="1">
      <alignment horizontal="left"/>
    </xf>
    <xf numFmtId="173" fontId="202" fillId="0" borderId="0" xfId="0" applyFont="1" applyAlignment="1">
      <alignment horizontal="right" vertical="center"/>
    </xf>
    <xf numFmtId="173" fontId="202" fillId="0" borderId="0" xfId="0" applyFont="1" applyAlignment="1">
      <alignment horizontal="left" vertical="center"/>
    </xf>
    <xf numFmtId="173" fontId="253" fillId="0" borderId="0" xfId="0" applyFont="1" applyAlignment="1">
      <alignment horizontal="right" vertical="center"/>
    </xf>
    <xf numFmtId="49" fontId="253" fillId="0" borderId="0" xfId="0" applyNumberFormat="1" applyFont="1" applyAlignment="1">
      <alignment horizontal="center" vertical="center"/>
    </xf>
    <xf numFmtId="190" fontId="37" fillId="0" borderId="0" xfId="0" applyNumberFormat="1" applyFont="1" applyAlignment="1">
      <alignment vertical="center"/>
    </xf>
    <xf numFmtId="164" fontId="133" fillId="0" borderId="0" xfId="0" applyNumberFormat="1" applyFont="1"/>
    <xf numFmtId="174" fontId="70" fillId="0" borderId="0" xfId="13" applyNumberFormat="1" applyFont="1" applyFill="1" applyBorder="1" applyProtection="1">
      <protection locked="0"/>
    </xf>
    <xf numFmtId="37" fontId="37" fillId="0" borderId="0" xfId="7" applyNumberFormat="1" applyFont="1" applyProtection="1">
      <protection locked="0"/>
    </xf>
    <xf numFmtId="174" fontId="37" fillId="0" borderId="0" xfId="13" applyNumberFormat="1" applyFont="1" applyFill="1"/>
    <xf numFmtId="10" fontId="37" fillId="0" borderId="2" xfId="7" applyNumberFormat="1" applyFont="1" applyBorder="1" applyProtection="1">
      <protection locked="0"/>
    </xf>
    <xf numFmtId="174" fontId="60" fillId="0" borderId="0" xfId="13" applyNumberFormat="1" applyFont="1" applyFill="1"/>
    <xf numFmtId="173" fontId="223" fillId="0" borderId="0" xfId="0" quotePrefix="1" applyFont="1"/>
    <xf numFmtId="37" fontId="223" fillId="0" borderId="45" xfId="0" applyNumberFormat="1" applyFont="1" applyBorder="1"/>
    <xf numFmtId="37" fontId="223" fillId="0" borderId="0" xfId="0" applyNumberFormat="1" applyFont="1"/>
    <xf numFmtId="37" fontId="69" fillId="0" borderId="16" xfId="0" applyNumberFormat="1" applyFont="1" applyBorder="1"/>
    <xf numFmtId="37" fontId="37" fillId="0" borderId="13" xfId="0" applyNumberFormat="1" applyFont="1" applyBorder="1"/>
    <xf numFmtId="42" fontId="52" fillId="0" borderId="0" xfId="7" applyNumberFormat="1" applyFont="1" applyAlignment="1" applyProtection="1">
      <alignment vertical="center"/>
      <protection locked="0"/>
    </xf>
    <xf numFmtId="42" fontId="37" fillId="0" borderId="0" xfId="7" applyNumberFormat="1" applyFont="1" applyAlignment="1" applyProtection="1">
      <alignment vertical="center"/>
      <protection locked="0"/>
    </xf>
    <xf numFmtId="0" fontId="37" fillId="0" borderId="3" xfId="577" applyFont="1" applyBorder="1" applyAlignment="1">
      <alignment horizontal="left" wrapText="1" indent="1"/>
    </xf>
    <xf numFmtId="0" fontId="37" fillId="0" borderId="4" xfId="577" applyFont="1" applyBorder="1" applyAlignment="1">
      <alignment horizontal="center" vertical="center"/>
    </xf>
    <xf numFmtId="174" fontId="69" fillId="0" borderId="0" xfId="564" applyNumberFormat="1" applyFont="1" applyFill="1" applyBorder="1" applyAlignment="1">
      <alignment vertical="center"/>
    </xf>
    <xf numFmtId="174" fontId="69" fillId="0" borderId="6" xfId="564" applyNumberFormat="1" applyFont="1" applyFill="1" applyBorder="1"/>
    <xf numFmtId="10" fontId="69" fillId="0" borderId="0" xfId="579" applyNumberFormat="1" applyFont="1" applyFill="1" applyAlignment="1">
      <alignment vertical="center"/>
    </xf>
    <xf numFmtId="0" fontId="37" fillId="0" borderId="3" xfId="577" applyFont="1" applyBorder="1" applyAlignment="1">
      <alignment horizontal="left" vertical="center" indent="1"/>
    </xf>
    <xf numFmtId="174" fontId="37" fillId="0" borderId="0" xfId="576" applyNumberFormat="1" applyFont="1"/>
    <xf numFmtId="174" fontId="37" fillId="0" borderId="0" xfId="564" applyNumberFormat="1" applyFont="1" applyFill="1"/>
    <xf numFmtId="37" fontId="45" fillId="0" borderId="0" xfId="371" applyNumberFormat="1"/>
    <xf numFmtId="221" fontId="45" fillId="0" borderId="0" xfId="371"/>
    <xf numFmtId="42" fontId="70" fillId="0" borderId="0" xfId="7" applyNumberFormat="1" applyFont="1"/>
    <xf numFmtId="175" fontId="67" fillId="0" borderId="0" xfId="12" applyNumberFormat="1" applyFont="1" applyFill="1" applyBorder="1"/>
    <xf numFmtId="174" fontId="69" fillId="0" borderId="6" xfId="13" applyNumberFormat="1" applyFont="1" applyFill="1" applyBorder="1" applyProtection="1">
      <protection locked="0"/>
    </xf>
    <xf numFmtId="42" fontId="60" fillId="0" borderId="0" xfId="7" applyNumberFormat="1" applyFont="1"/>
    <xf numFmtId="174" fontId="71" fillId="0" borderId="0" xfId="13" applyNumberFormat="1" applyFont="1" applyFill="1"/>
    <xf numFmtId="221" fontId="37" fillId="0" borderId="0" xfId="7" applyFont="1" applyAlignment="1">
      <alignment wrapText="1"/>
    </xf>
    <xf numFmtId="42" fontId="67" fillId="0" borderId="0" xfId="7" applyNumberFormat="1" applyFont="1" applyAlignment="1">
      <alignment horizontal="left"/>
    </xf>
    <xf numFmtId="10" fontId="69" fillId="0" borderId="0" xfId="0" applyNumberFormat="1" applyFont="1" applyProtection="1">
      <protection locked="0"/>
    </xf>
    <xf numFmtId="41" fontId="69" fillId="0" borderId="0" xfId="6" applyNumberFormat="1" applyFont="1"/>
    <xf numFmtId="42" fontId="69" fillId="0" borderId="0" xfId="7" applyNumberFormat="1" applyFont="1" applyAlignment="1" applyProtection="1">
      <alignment vertical="center"/>
      <protection locked="0"/>
    </xf>
    <xf numFmtId="221" fontId="37" fillId="0" borderId="0" xfId="355" applyFont="1" applyAlignment="1">
      <alignment horizontal="left"/>
    </xf>
    <xf numFmtId="221" fontId="50" fillId="0" borderId="0" xfId="7" applyAlignment="1">
      <alignment horizontal="center"/>
    </xf>
    <xf numFmtId="42" fontId="67" fillId="0" borderId="0" xfId="7" applyNumberFormat="1" applyFont="1" applyAlignment="1">
      <alignment horizontal="left" vertical="center"/>
    </xf>
    <xf numFmtId="42" fontId="71" fillId="0" borderId="0" xfId="0" applyNumberFormat="1" applyFont="1" applyProtection="1">
      <protection locked="0"/>
    </xf>
    <xf numFmtId="42" fontId="67" fillId="0" borderId="0" xfId="0" applyNumberFormat="1" applyFont="1"/>
    <xf numFmtId="42" fontId="69" fillId="0" borderId="0" xfId="423" applyNumberFormat="1" applyFont="1" applyAlignment="1" applyProtection="1">
      <alignment vertical="center"/>
      <protection locked="0"/>
    </xf>
    <xf numFmtId="42" fontId="37" fillId="0" borderId="0" xfId="423" applyNumberFormat="1" applyFont="1" applyAlignment="1" applyProtection="1">
      <alignment vertical="center"/>
      <protection locked="0"/>
    </xf>
    <xf numFmtId="41" fontId="69" fillId="0" borderId="0" xfId="423" applyNumberFormat="1" applyFont="1" applyAlignment="1">
      <alignment vertical="center"/>
    </xf>
    <xf numFmtId="10" fontId="37" fillId="0" borderId="0" xfId="11" applyNumberFormat="1" applyFont="1" applyFill="1" applyAlignment="1">
      <alignment horizontal="center" vertical="center"/>
    </xf>
    <xf numFmtId="10" fontId="37" fillId="0" borderId="0" xfId="11" applyNumberFormat="1" applyFont="1" applyFill="1" applyAlignment="1">
      <alignment vertical="center"/>
    </xf>
    <xf numFmtId="42" fontId="37" fillId="0" borderId="0" xfId="423" applyNumberFormat="1" applyFont="1" applyAlignment="1">
      <alignment vertical="center"/>
    </xf>
    <xf numFmtId="221" fontId="37" fillId="0" borderId="0" xfId="423" quotePrefix="1" applyFont="1" applyAlignment="1">
      <alignment vertical="center"/>
    </xf>
    <xf numFmtId="221" fontId="45" fillId="0" borderId="0" xfId="8" applyFont="1" applyAlignment="1">
      <alignment vertical="center"/>
    </xf>
    <xf numFmtId="41" fontId="69" fillId="0" borderId="0" xfId="423" applyNumberFormat="1" applyFont="1" applyAlignment="1" applyProtection="1">
      <alignment vertical="center"/>
      <protection locked="0"/>
    </xf>
    <xf numFmtId="41" fontId="37" fillId="0" borderId="0" xfId="423" applyNumberFormat="1" applyFont="1" applyAlignment="1" applyProtection="1">
      <alignment vertical="center"/>
      <protection locked="0"/>
    </xf>
    <xf numFmtId="221" fontId="37" fillId="0" borderId="0" xfId="423" applyFont="1" applyAlignment="1">
      <alignment vertical="center"/>
    </xf>
    <xf numFmtId="10" fontId="60" fillId="0" borderId="0" xfId="11" applyNumberFormat="1" applyFont="1" applyFill="1" applyBorder="1" applyAlignment="1">
      <alignment vertical="center"/>
    </xf>
    <xf numFmtId="42" fontId="37" fillId="0" borderId="0" xfId="423" quotePrefix="1" applyNumberFormat="1" applyFont="1" applyAlignment="1">
      <alignment vertical="center"/>
    </xf>
    <xf numFmtId="10" fontId="52" fillId="0" borderId="0" xfId="8" applyNumberFormat="1" applyFont="1" applyAlignment="1">
      <alignment vertical="center"/>
    </xf>
    <xf numFmtId="41" fontId="70" fillId="0" borderId="0" xfId="423" applyNumberFormat="1" applyFont="1" applyAlignment="1" applyProtection="1">
      <alignment vertical="center"/>
      <protection locked="0"/>
    </xf>
    <xf numFmtId="41" fontId="60" fillId="0" borderId="0" xfId="423" applyNumberFormat="1" applyFont="1" applyAlignment="1" applyProtection="1">
      <alignment vertical="center"/>
      <protection locked="0"/>
    </xf>
    <xf numFmtId="10" fontId="130" fillId="0" borderId="0" xfId="11" applyNumberFormat="1" applyFont="1" applyFill="1" applyBorder="1" applyAlignment="1">
      <alignment horizontal="center" vertical="center"/>
    </xf>
    <xf numFmtId="10" fontId="234" fillId="0" borderId="0" xfId="8" applyNumberFormat="1" applyFont="1" applyAlignment="1">
      <alignment vertical="center"/>
    </xf>
    <xf numFmtId="41" fontId="60" fillId="0" borderId="0" xfId="423" applyNumberFormat="1" applyFont="1" applyAlignment="1">
      <alignment vertical="center"/>
    </xf>
    <xf numFmtId="42" fontId="67" fillId="0" borderId="0" xfId="423" applyNumberFormat="1" applyFont="1" applyAlignment="1">
      <alignment vertical="center"/>
    </xf>
    <xf numFmtId="10" fontId="67" fillId="0" borderId="0" xfId="423" applyNumberFormat="1" applyFont="1" applyAlignment="1">
      <alignment horizontal="center" vertical="center"/>
    </xf>
    <xf numFmtId="221" fontId="37" fillId="0" borderId="0" xfId="8" applyFont="1" applyAlignment="1">
      <alignment horizontal="center" vertical="center"/>
    </xf>
    <xf numFmtId="42" fontId="234" fillId="0" borderId="0" xfId="423" applyNumberFormat="1" applyFont="1" applyAlignment="1" applyProtection="1">
      <alignment vertical="center"/>
      <protection locked="0"/>
    </xf>
    <xf numFmtId="221" fontId="37" fillId="0" borderId="0" xfId="423" applyFont="1" applyAlignment="1">
      <alignment horizontal="center" vertical="center"/>
    </xf>
    <xf numFmtId="37" fontId="37" fillId="0" borderId="0" xfId="8" applyNumberFormat="1" applyFont="1" applyAlignment="1">
      <alignment vertical="center"/>
    </xf>
    <xf numFmtId="37" fontId="37" fillId="0" borderId="0" xfId="423" applyNumberFormat="1" applyFont="1" applyAlignment="1">
      <alignment vertical="center"/>
    </xf>
    <xf numFmtId="37" fontId="37" fillId="0" borderId="0" xfId="423" applyNumberFormat="1" applyFont="1" applyAlignment="1">
      <alignment horizontal="center" vertical="center"/>
    </xf>
    <xf numFmtId="221" fontId="60" fillId="0" borderId="0" xfId="423" applyFont="1" applyAlignment="1">
      <alignment horizontal="center" vertical="center"/>
    </xf>
    <xf numFmtId="286" fontId="37" fillId="0" borderId="0" xfId="11" applyNumberFormat="1" applyFont="1" applyFill="1" applyAlignment="1">
      <alignment horizontal="center" vertical="center"/>
    </xf>
    <xf numFmtId="41" fontId="70" fillId="0" borderId="0" xfId="423" applyNumberFormat="1" applyFont="1" applyAlignment="1">
      <alignment vertical="center"/>
    </xf>
    <xf numFmtId="10" fontId="60" fillId="0" borderId="0" xfId="11" applyNumberFormat="1" applyFont="1" applyFill="1" applyBorder="1" applyAlignment="1">
      <alignment horizontal="center" vertical="center"/>
    </xf>
    <xf numFmtId="10" fontId="37" fillId="0" borderId="0" xfId="423" applyNumberFormat="1" applyFont="1" applyAlignment="1">
      <alignment vertical="center"/>
    </xf>
    <xf numFmtId="41" fontId="234" fillId="0" borderId="0" xfId="423" applyNumberFormat="1" applyFont="1" applyAlignment="1">
      <alignment vertical="center"/>
    </xf>
    <xf numFmtId="1" fontId="37" fillId="0" borderId="0" xfId="13" applyNumberFormat="1" applyFont="1" applyFill="1" applyBorder="1" applyAlignment="1">
      <alignment vertical="center"/>
    </xf>
    <xf numFmtId="41" fontId="37" fillId="0" borderId="0" xfId="13" applyNumberFormat="1" applyFont="1" applyFill="1" applyBorder="1" applyAlignment="1">
      <alignment vertical="center"/>
    </xf>
    <xf numFmtId="41" fontId="37" fillId="0" borderId="0" xfId="8" applyNumberFormat="1" applyFont="1" applyAlignment="1">
      <alignment vertical="center"/>
    </xf>
    <xf numFmtId="221" fontId="37" fillId="0" borderId="0" xfId="5" applyFont="1" applyAlignment="1">
      <alignment horizontal="center"/>
    </xf>
    <xf numFmtId="221" fontId="69" fillId="0" borderId="0" xfId="7" applyFont="1" applyProtection="1">
      <protection locked="0"/>
    </xf>
    <xf numFmtId="42" fontId="37" fillId="0" borderId="0" xfId="6" applyNumberFormat="1" applyFont="1" applyProtection="1">
      <protection locked="0"/>
    </xf>
    <xf numFmtId="221" fontId="37" fillId="0" borderId="0" xfId="7" applyFont="1" applyAlignment="1">
      <alignment horizontal="left" vertical="center" indent="1"/>
    </xf>
    <xf numFmtId="221" fontId="148" fillId="0" borderId="0" xfId="6" applyFont="1"/>
    <xf numFmtId="221" fontId="50" fillId="0" borderId="0" xfId="7"/>
    <xf numFmtId="41" fontId="51" fillId="0" borderId="0" xfId="7" applyNumberFormat="1" applyFont="1"/>
    <xf numFmtId="174" fontId="37" fillId="0" borderId="0" xfId="1" applyNumberFormat="1" applyFont="1" applyFill="1"/>
    <xf numFmtId="173" fontId="45" fillId="0" borderId="0" xfId="0" quotePrefix="1" applyFont="1"/>
    <xf numFmtId="42" fontId="69" fillId="0" borderId="0" xfId="355" applyNumberFormat="1" applyFont="1" applyProtection="1">
      <protection locked="0"/>
    </xf>
    <xf numFmtId="175" fontId="69" fillId="0" borderId="0" xfId="9125" applyNumberFormat="1" applyFont="1" applyFill="1" applyProtection="1">
      <protection locked="0"/>
    </xf>
    <xf numFmtId="221" fontId="39" fillId="0" borderId="0" xfId="7" applyFont="1" applyAlignment="1">
      <alignment horizontal="left"/>
    </xf>
    <xf numFmtId="41" fontId="69" fillId="0" borderId="0" xfId="370" applyNumberFormat="1" applyFont="1" applyProtection="1">
      <protection locked="0"/>
    </xf>
    <xf numFmtId="221" fontId="8" fillId="0" borderId="0" xfId="328" applyFont="1" applyAlignment="1">
      <alignment horizontal="left"/>
    </xf>
    <xf numFmtId="173" fontId="38" fillId="0" borderId="0" xfId="325" applyFont="1" applyAlignment="1">
      <alignment horizontal="center"/>
    </xf>
    <xf numFmtId="174" fontId="37" fillId="0" borderId="0" xfId="89" applyNumberFormat="1" applyFont="1" applyFill="1" applyBorder="1" applyAlignment="1"/>
    <xf numFmtId="43" fontId="37" fillId="0" borderId="0" xfId="89" applyFont="1" applyFill="1" applyBorder="1" applyAlignment="1"/>
    <xf numFmtId="177" fontId="147" fillId="0" borderId="0" xfId="1" quotePrefix="1" applyNumberFormat="1" applyFont="1" applyFill="1" applyBorder="1" applyAlignment="1">
      <alignment horizontal="center"/>
    </xf>
    <xf numFmtId="173" fontId="39" fillId="0" borderId="0" xfId="325" applyFont="1"/>
    <xf numFmtId="42" fontId="69" fillId="0" borderId="0" xfId="325" applyNumberFormat="1" applyFont="1" applyProtection="1">
      <protection locked="0"/>
    </xf>
    <xf numFmtId="10" fontId="37" fillId="0" borderId="0" xfId="325" applyNumberFormat="1" applyFont="1"/>
    <xf numFmtId="221" fontId="49" fillId="0" borderId="23" xfId="0" applyNumberFormat="1" applyFont="1" applyBorder="1" applyAlignment="1" applyProtection="1">
      <alignment horizontal="centerContinuous"/>
      <protection locked="0"/>
    </xf>
    <xf numFmtId="173" fontId="49" fillId="0" borderId="20" xfId="0" applyFont="1" applyBorder="1" applyAlignment="1" applyProtection="1">
      <alignment horizontal="centerContinuous"/>
      <protection locked="0"/>
    </xf>
    <xf numFmtId="173" fontId="49" fillId="0" borderId="22" xfId="0" applyFont="1" applyBorder="1" applyAlignment="1" applyProtection="1">
      <alignment horizontal="centerContinuous"/>
      <protection locked="0"/>
    </xf>
    <xf numFmtId="3" fontId="49" fillId="0" borderId="0" xfId="0" applyNumberFormat="1" applyFont="1" applyAlignment="1" applyProtection="1">
      <alignment horizontal="center"/>
      <protection locked="0"/>
    </xf>
    <xf numFmtId="3" fontId="49" fillId="0" borderId="0" xfId="0" applyNumberFormat="1" applyFont="1" applyProtection="1">
      <protection locked="0"/>
    </xf>
    <xf numFmtId="221" fontId="49" fillId="0" borderId="1" xfId="0" applyNumberFormat="1" applyFont="1" applyBorder="1" applyProtection="1">
      <protection locked="0"/>
    </xf>
    <xf numFmtId="173" fontId="49" fillId="0" borderId="1" xfId="0" applyFont="1" applyBorder="1" applyAlignment="1" applyProtection="1">
      <alignment horizontal="center"/>
      <protection locked="0"/>
    </xf>
    <xf numFmtId="3" fontId="45" fillId="0" borderId="1" xfId="0" quotePrefix="1" applyNumberFormat="1" applyFont="1" applyBorder="1" applyProtection="1">
      <protection locked="0"/>
    </xf>
    <xf numFmtId="37" fontId="72" fillId="0" borderId="1" xfId="0" applyNumberFormat="1" applyFont="1" applyBorder="1" applyProtection="1">
      <protection locked="0"/>
    </xf>
    <xf numFmtId="221" fontId="49" fillId="0" borderId="0" xfId="0" quotePrefix="1" applyNumberFormat="1" applyFont="1" applyAlignment="1" applyProtection="1">
      <alignment horizontal="left"/>
      <protection locked="0"/>
    </xf>
    <xf numFmtId="173" fontId="45" fillId="0" borderId="1" xfId="0" applyFont="1" applyBorder="1" applyProtection="1">
      <protection locked="0"/>
    </xf>
    <xf numFmtId="37" fontId="72" fillId="0" borderId="1" xfId="0" applyNumberFormat="1" applyFont="1" applyBorder="1" applyProtection="1"/>
    <xf numFmtId="37" fontId="45" fillId="0" borderId="0" xfId="0" applyNumberFormat="1" applyFont="1" applyAlignment="1" applyProtection="1">
      <alignment vertical="top"/>
      <protection locked="0"/>
    </xf>
    <xf numFmtId="3" fontId="45" fillId="0" borderId="1" xfId="0" applyNumberFormat="1" applyFont="1" applyBorder="1" applyAlignment="1" applyProtection="1">
      <alignment horizontal="left"/>
      <protection locked="0"/>
    </xf>
    <xf numFmtId="221" fontId="45" fillId="0" borderId="0" xfId="0" applyNumberFormat="1" applyFont="1" applyAlignment="1" applyProtection="1">
      <alignment horizontal="left" indent="3"/>
      <protection locked="0"/>
    </xf>
    <xf numFmtId="273" fontId="45" fillId="0" borderId="0" xfId="0" applyNumberFormat="1" applyFont="1" applyAlignment="1" applyProtection="1">
      <alignment horizontal="right"/>
      <protection locked="0"/>
    </xf>
    <xf numFmtId="273" fontId="143" fillId="0" borderId="0" xfId="0" applyNumberFormat="1" applyFont="1" applyAlignment="1" applyProtection="1">
      <alignment horizontal="right"/>
      <protection locked="0"/>
    </xf>
    <xf numFmtId="221" fontId="45" fillId="0" borderId="0" xfId="0" applyNumberFormat="1" applyFont="1" applyAlignment="1" applyProtection="1">
      <alignment horizontal="left" vertical="top" wrapText="1"/>
      <protection locked="0"/>
    </xf>
    <xf numFmtId="37" fontId="45" fillId="0" borderId="24" xfId="0" applyNumberFormat="1" applyFont="1" applyBorder="1" applyProtection="1">
      <protection locked="0"/>
    </xf>
    <xf numFmtId="41" fontId="72" fillId="0" borderId="0" xfId="0" applyNumberFormat="1" applyFont="1" applyProtection="1">
      <protection locked="0"/>
    </xf>
    <xf numFmtId="221" fontId="45" fillId="0" borderId="24" xfId="0" applyNumberFormat="1" applyFont="1" applyBorder="1" applyAlignment="1" applyProtection="1">
      <alignment horizontal="left"/>
      <protection locked="0"/>
    </xf>
    <xf numFmtId="170" fontId="144" fillId="0" borderId="0" xfId="0" applyNumberFormat="1" applyFont="1" applyProtection="1">
      <protection locked="0"/>
    </xf>
    <xf numFmtId="221" fontId="45" fillId="0" borderId="0" xfId="0" applyNumberFormat="1" applyFont="1" applyAlignment="1" applyProtection="1">
      <alignment horizontal="left"/>
    </xf>
    <xf numFmtId="173" fontId="145" fillId="0" borderId="23" xfId="0" applyFont="1" applyBorder="1" applyProtection="1">
      <protection locked="0"/>
    </xf>
    <xf numFmtId="173" fontId="45" fillId="0" borderId="20" xfId="0" applyFont="1" applyBorder="1" applyAlignment="1" applyProtection="1">
      <alignment horizontal="left"/>
      <protection locked="0"/>
    </xf>
    <xf numFmtId="10" fontId="145" fillId="0" borderId="20" xfId="0" applyNumberFormat="1" applyFont="1" applyBorder="1" applyProtection="1">
      <protection locked="0"/>
    </xf>
    <xf numFmtId="221" fontId="37" fillId="0" borderId="0" xfId="0" applyNumberFormat="1" applyFont="1" applyAlignment="1">
      <alignment horizontal="right" vertical="center"/>
    </xf>
    <xf numFmtId="10" fontId="49" fillId="0" borderId="22" xfId="0" applyNumberFormat="1" applyFont="1" applyBorder="1" applyAlignment="1" applyProtection="1">
      <alignment horizontal="center"/>
    </xf>
    <xf numFmtId="173" fontId="0" fillId="0" borderId="0" xfId="0" applyAlignment="1">
      <alignment horizontal="left"/>
    </xf>
    <xf numFmtId="173" fontId="34" fillId="0" borderId="0" xfId="0" applyFont="1" applyAlignment="1">
      <alignment horizontal="left"/>
    </xf>
    <xf numFmtId="173" fontId="34" fillId="0" borderId="0" xfId="0" applyFont="1" applyAlignment="1">
      <alignment horizontal="left" wrapText="1"/>
    </xf>
    <xf numFmtId="173" fontId="45" fillId="0" borderId="0" xfId="0" applyFont="1" applyAlignment="1">
      <alignment horizontal="center"/>
    </xf>
    <xf numFmtId="173" fontId="37" fillId="0" borderId="0" xfId="0" applyFont="1" applyAlignment="1">
      <alignment wrapText="1"/>
    </xf>
    <xf numFmtId="221" fontId="59" fillId="0" borderId="0" xfId="5" applyFont="1" applyAlignment="1">
      <alignment horizontal="center"/>
    </xf>
    <xf numFmtId="49" fontId="252" fillId="0" borderId="0" xfId="0" applyNumberFormat="1" applyFont="1" applyAlignment="1">
      <alignment horizontal="left" vertical="center"/>
    </xf>
  </cellXfs>
  <cellStyles count="9126">
    <cellStyle name="_x0013_" xfId="580" xr:uid="{00000000-0005-0000-0000-000000000000}"/>
    <cellStyle name="¢ Currency [1]" xfId="18" xr:uid="{00000000-0005-0000-0000-000001000000}"/>
    <cellStyle name="¢ Currency [2]" xfId="19" xr:uid="{00000000-0005-0000-0000-000002000000}"/>
    <cellStyle name="¢ Currency [3]" xfId="20" xr:uid="{00000000-0005-0000-0000-000003000000}"/>
    <cellStyle name="£ Currency [0]" xfId="21" xr:uid="{00000000-0005-0000-0000-000004000000}"/>
    <cellStyle name="£ Currency [1]" xfId="22" xr:uid="{00000000-0005-0000-0000-000005000000}"/>
    <cellStyle name="£ Currency [2]" xfId="23" xr:uid="{00000000-0005-0000-0000-000006000000}"/>
    <cellStyle name="=C:\WINNT35\SYSTEM32\COMMAND.COM" xfId="17" xr:uid="{00000000-0005-0000-0000-000007000000}"/>
    <cellStyle name="20% - Accent1" xfId="529" builtinId="30" customBuiltin="1"/>
    <cellStyle name="20% - Accent1 10" xfId="9108" xr:uid="{9A32F82C-A7E8-4645-8BC4-E370BD45C7A2}"/>
    <cellStyle name="20% - Accent1 2" xfId="581" xr:uid="{00000000-0005-0000-0000-000009000000}"/>
    <cellStyle name="20% - Accent1 2 2" xfId="582" xr:uid="{00000000-0005-0000-0000-00000A000000}"/>
    <cellStyle name="20% - Accent1 2 2 2" xfId="583" xr:uid="{00000000-0005-0000-0000-00000B000000}"/>
    <cellStyle name="20% - Accent1 2 2 2 2" xfId="584" xr:uid="{00000000-0005-0000-0000-00000C000000}"/>
    <cellStyle name="20% - Accent1 2 2 2 2 2" xfId="1744" xr:uid="{00000000-0005-0000-0000-00000D000000}"/>
    <cellStyle name="20% - Accent1 2 2 2 2 2 2" xfId="4994" xr:uid="{37E1CCBC-97E0-4E90-AB43-DE854646DE26}"/>
    <cellStyle name="20% - Accent1 2 2 2 2 2 2 2" xfId="8374" xr:uid="{B6B02C5C-D52F-46EC-86BC-B31DF8AD57BD}"/>
    <cellStyle name="20% - Accent1 2 2 2 2 2 3" xfId="6674" xr:uid="{38A0DA8E-2430-480C-BAE0-D019FB4C1C0F}"/>
    <cellStyle name="20% - Accent1 2 2 2 2 2_DEO ADIT Unprotected" xfId="2468" xr:uid="{DD0F3108-9A46-4E3D-B045-8B0BBB4B2471}"/>
    <cellStyle name="20% - Accent1 2 2 2 2 3" xfId="4157" xr:uid="{642C734E-85AD-4CA7-A44B-B08A62E301B9}"/>
    <cellStyle name="20% - Accent1 2 2 2 2 3 2" xfId="7537" xr:uid="{F9287E7A-AEE4-4FEE-953C-B7ADE16964E9}"/>
    <cellStyle name="20% - Accent1 2 2 2 2 4" xfId="5836" xr:uid="{CF5E652A-7819-4F79-B86A-1F13DE6D8DE4}"/>
    <cellStyle name="20% - Accent1 2 2 2 2_DEO ADIT Unprotected" xfId="2467" xr:uid="{F25FF2F8-3491-4CD1-8CC6-4506B33D076E}"/>
    <cellStyle name="20% - Accent1 2 2 2 3" xfId="1743" xr:uid="{00000000-0005-0000-0000-00000E000000}"/>
    <cellStyle name="20% - Accent1 2 2 2 3 2" xfId="4993" xr:uid="{D6FC8089-C5EF-4344-83E5-1A8637F02708}"/>
    <cellStyle name="20% - Accent1 2 2 2 3 2 2" xfId="8373" xr:uid="{A41B3A37-9830-47BF-A8A5-7A3D06BD2AEB}"/>
    <cellStyle name="20% - Accent1 2 2 2 3 3" xfId="6673" xr:uid="{F2AB1DF1-134D-413B-B9AB-DC98347F3177}"/>
    <cellStyle name="20% - Accent1 2 2 2 3_DEO ADIT Unprotected" xfId="2469" xr:uid="{9CFA75B8-D7FC-46F6-ADBD-4A8755F00376}"/>
    <cellStyle name="20% - Accent1 2 2 2 4" xfId="4156" xr:uid="{0B7BEE4F-F7E6-4D66-B3C2-CF9383E4A601}"/>
    <cellStyle name="20% - Accent1 2 2 2 4 2" xfId="7536" xr:uid="{7F1FE66D-7223-401C-B84D-6C44380A8BB4}"/>
    <cellStyle name="20% - Accent1 2 2 2 5" xfId="5835" xr:uid="{B0DA58F2-3294-4896-A72D-411BB2D111F6}"/>
    <cellStyle name="20% - Accent1 2 2 2_DEO ADIT Unprotected" xfId="2466" xr:uid="{5E19EE7C-D028-4542-8FF0-B502CED5B4D4}"/>
    <cellStyle name="20% - Accent1 2 2_DEO ADIT Unprotected" xfId="2465" xr:uid="{6BD8AE26-A22B-4191-A8B5-5267AA1188F2}"/>
    <cellStyle name="20% - Accent1 2 3" xfId="585" xr:uid="{00000000-0005-0000-0000-00000F000000}"/>
    <cellStyle name="20% - Accent1 2_DEO ADIT Unprotected" xfId="2464" xr:uid="{3DF87FA5-E8A8-4F88-BCC0-3A8F3BFDA4CA}"/>
    <cellStyle name="20% - Accent1 3" xfId="586" xr:uid="{00000000-0005-0000-0000-000010000000}"/>
    <cellStyle name="20% - Accent1 3 2" xfId="587" xr:uid="{00000000-0005-0000-0000-000011000000}"/>
    <cellStyle name="20% - Accent1 3 2 2" xfId="588" xr:uid="{00000000-0005-0000-0000-000012000000}"/>
    <cellStyle name="20% - Accent1 3 2 2 2" xfId="1746" xr:uid="{00000000-0005-0000-0000-000013000000}"/>
    <cellStyle name="20% - Accent1 3 2 2 2 2" xfId="4996" xr:uid="{8543D859-3273-43CE-A5E5-282F20BF9CB5}"/>
    <cellStyle name="20% - Accent1 3 2 2 2 2 2" xfId="8376" xr:uid="{C1535853-9077-485A-803D-64C96DF1C660}"/>
    <cellStyle name="20% - Accent1 3 2 2 2 3" xfId="6676" xr:uid="{E21A616B-968E-4F2B-9B28-8C84BE1330B8}"/>
    <cellStyle name="20% - Accent1 3 2 2 2_DEO ADIT Unprotected" xfId="2473" xr:uid="{08BBD79B-4DFA-4DA1-BBD2-BD01B0328164}"/>
    <cellStyle name="20% - Accent1 3 2 2 3" xfId="4159" xr:uid="{1F0C0968-A8E7-41CE-90CC-F0F414475F87}"/>
    <cellStyle name="20% - Accent1 3 2 2 3 2" xfId="7539" xr:uid="{B60E610B-1F9C-4929-88B8-03991C88D7CE}"/>
    <cellStyle name="20% - Accent1 3 2 2 4" xfId="5838" xr:uid="{06E7D9E1-C10E-4921-80AF-13CAD624AC77}"/>
    <cellStyle name="20% - Accent1 3 2 2_DEO ADIT Unprotected" xfId="2472" xr:uid="{15D0D1DF-0102-4CE7-8D51-0B42D12E3E5F}"/>
    <cellStyle name="20% - Accent1 3 2 3" xfId="1745" xr:uid="{00000000-0005-0000-0000-000014000000}"/>
    <cellStyle name="20% - Accent1 3 2 3 2" xfId="4995" xr:uid="{68D8451D-65F9-4D80-8BC8-8560B508DB2A}"/>
    <cellStyle name="20% - Accent1 3 2 3 2 2" xfId="8375" xr:uid="{E9F36210-BF28-4CCE-875F-AAE7A45D59D1}"/>
    <cellStyle name="20% - Accent1 3 2 3 3" xfId="6675" xr:uid="{DD93C664-B9BE-418B-88B7-078386A65E60}"/>
    <cellStyle name="20% - Accent1 3 2 3_DEO ADIT Unprotected" xfId="2474" xr:uid="{E3BF2158-8218-4ABA-8079-8A811E905178}"/>
    <cellStyle name="20% - Accent1 3 2 4" xfId="4158" xr:uid="{F8FEC411-984C-4ACA-8DCB-72296D20C498}"/>
    <cellStyle name="20% - Accent1 3 2 4 2" xfId="7538" xr:uid="{0F22AA04-8B7E-4D04-B28D-9B9CA895C43C}"/>
    <cellStyle name="20% - Accent1 3 2 5" xfId="5837" xr:uid="{360B2FE4-1559-4833-BD79-629DCBC7A68F}"/>
    <cellStyle name="20% - Accent1 3 2_DEO ADIT Unprotected" xfId="2471" xr:uid="{7D6C29E3-77DB-45C0-8AAA-45595C8A75BE}"/>
    <cellStyle name="20% - Accent1 3_DEO ADIT Unprotected" xfId="2470" xr:uid="{FE66E04E-3E44-4876-9104-617CD37F8FB5}"/>
    <cellStyle name="20% - Accent1 4" xfId="589" xr:uid="{00000000-0005-0000-0000-000015000000}"/>
    <cellStyle name="20% - Accent1 4 2" xfId="590" xr:uid="{00000000-0005-0000-0000-000016000000}"/>
    <cellStyle name="20% - Accent1 4 2 2" xfId="1748" xr:uid="{00000000-0005-0000-0000-000017000000}"/>
    <cellStyle name="20% - Accent1 4 2 2 2" xfId="4998" xr:uid="{F6C98B7E-9D47-479D-8768-3F82C94E2D7B}"/>
    <cellStyle name="20% - Accent1 4 2 2 2 2" xfId="8378" xr:uid="{AB7D882E-BBB3-4975-8DF7-6659EB25A73F}"/>
    <cellStyle name="20% - Accent1 4 2 2 3" xfId="6678" xr:uid="{39D70D69-AD4C-46A3-85BB-BAB938076501}"/>
    <cellStyle name="20% - Accent1 4 2 2_DEO ADIT Unprotected" xfId="2477" xr:uid="{A4510A9A-DD3E-4655-9B81-40945E140E7F}"/>
    <cellStyle name="20% - Accent1 4 2 3" xfId="4161" xr:uid="{E6EDC3EC-D4BC-4EAC-8CD6-338CF5E27720}"/>
    <cellStyle name="20% - Accent1 4 2 3 2" xfId="7541" xr:uid="{D3A1CF80-345B-48E2-B231-D0CA72F4F984}"/>
    <cellStyle name="20% - Accent1 4 2 4" xfId="5840" xr:uid="{B4F59FD1-6305-4C13-8AC0-036FF99EE7FF}"/>
    <cellStyle name="20% - Accent1 4 2_DEO ADIT Unprotected" xfId="2476" xr:uid="{0B33D6D7-77A5-43D4-A535-7896386E506D}"/>
    <cellStyle name="20% - Accent1 4 3" xfId="1747" xr:uid="{00000000-0005-0000-0000-000018000000}"/>
    <cellStyle name="20% - Accent1 4 3 2" xfId="4997" xr:uid="{59041279-59CC-47EE-9BE6-F24675C8BC7F}"/>
    <cellStyle name="20% - Accent1 4 3 2 2" xfId="8377" xr:uid="{B38F94E3-5885-457B-AE8F-D480416EB985}"/>
    <cellStyle name="20% - Accent1 4 3 3" xfId="6677" xr:uid="{0369328C-0D9B-4253-9F90-F8CA96B0A64D}"/>
    <cellStyle name="20% - Accent1 4 3_DEO ADIT Unprotected" xfId="2478" xr:uid="{5177CA25-45C2-44D9-BD91-35E6BA106955}"/>
    <cellStyle name="20% - Accent1 4 4" xfId="4160" xr:uid="{57A1C21E-B9DE-4B84-8561-6AAD4B80D080}"/>
    <cellStyle name="20% - Accent1 4 4 2" xfId="7540" xr:uid="{A309AA3F-192E-4910-898D-6523F44417C7}"/>
    <cellStyle name="20% - Accent1 4 5" xfId="5839" xr:uid="{0B7AC0DF-6395-4388-8474-7D64CDEE3CD1}"/>
    <cellStyle name="20% - Accent1 4_DEO ADIT Unprotected" xfId="2475" xr:uid="{B80197FF-0965-4CAF-8749-64D75528BD9A}"/>
    <cellStyle name="20% - Accent1 5" xfId="1704" xr:uid="{00000000-0005-0000-0000-000019000000}"/>
    <cellStyle name="20% - Accent1 5 2" xfId="4954" xr:uid="{6FFC1B83-A5F9-4279-B0CA-E043EE7A1BB2}"/>
    <cellStyle name="20% - Accent1 5 2 2" xfId="8334" xr:uid="{3E4724B5-1399-4959-B49B-5A9312C59FCE}"/>
    <cellStyle name="20% - Accent1 5 3" xfId="6634" xr:uid="{04C1D522-CD90-4128-BB42-91A0D61615B9}"/>
    <cellStyle name="20% - Accent1 5_DEO ADIT Unprotected" xfId="2479" xr:uid="{42CEDD2B-E80F-44EA-BBE6-B7E026C1B12E}"/>
    <cellStyle name="20% - Accent1 6" xfId="4117" xr:uid="{37981157-C925-4DD6-AA08-D7BE8886A863}"/>
    <cellStyle name="20% - Accent1 6 2" xfId="7497" xr:uid="{D45B4954-72C5-458F-8548-CCDE599B97A4}"/>
    <cellStyle name="20% - Accent1 7" xfId="5796" xr:uid="{A9D73DAB-281C-4EBF-969B-C9D5ACFF601C}"/>
    <cellStyle name="20% - Accent1 8" xfId="7413" xr:uid="{2C8FB82A-1857-40C6-9155-BF51C1406A9E}"/>
    <cellStyle name="20% - Accent1 9" xfId="9117" xr:uid="{D80B63B3-7E2F-46DF-BF15-83D1106FE44D}"/>
    <cellStyle name="20% - Accent2" xfId="533" builtinId="34" customBuiltin="1"/>
    <cellStyle name="20% - Accent2 10" xfId="5714" xr:uid="{3ADE4E3E-446D-4604-93B4-4BF5EB61C73C}"/>
    <cellStyle name="20% - Accent2 2" xfId="591" xr:uid="{00000000-0005-0000-0000-00001B000000}"/>
    <cellStyle name="20% - Accent2 2 2" xfId="592" xr:uid="{00000000-0005-0000-0000-00001C000000}"/>
    <cellStyle name="20% - Accent2 2 2 2" xfId="593" xr:uid="{00000000-0005-0000-0000-00001D000000}"/>
    <cellStyle name="20% - Accent2 2 2 2 2" xfId="594" xr:uid="{00000000-0005-0000-0000-00001E000000}"/>
    <cellStyle name="20% - Accent2 2 2 2 2 2" xfId="1750" xr:uid="{00000000-0005-0000-0000-00001F000000}"/>
    <cellStyle name="20% - Accent2 2 2 2 2 2 2" xfId="5000" xr:uid="{1200B762-3415-4208-BDDD-6B737EA6697B}"/>
    <cellStyle name="20% - Accent2 2 2 2 2 2 2 2" xfId="8380" xr:uid="{176E8131-58F5-4C29-836D-BB53D1E2B524}"/>
    <cellStyle name="20% - Accent2 2 2 2 2 2 3" xfId="6680" xr:uid="{DC89DBFF-E151-463A-B298-5DA1579C3093}"/>
    <cellStyle name="20% - Accent2 2 2 2 2 2_DEO ADIT Unprotected" xfId="2484" xr:uid="{A4041F36-F551-48B7-B580-DA9347E00E80}"/>
    <cellStyle name="20% - Accent2 2 2 2 2 3" xfId="4163" xr:uid="{8A8D3BA5-9C52-4033-A47C-3D0335C6701D}"/>
    <cellStyle name="20% - Accent2 2 2 2 2 3 2" xfId="7543" xr:uid="{432F5135-0355-41AC-B169-5C64EDF8A2D5}"/>
    <cellStyle name="20% - Accent2 2 2 2 2 4" xfId="5842" xr:uid="{C652A7D7-2E87-4FFA-A2AD-F764EE490305}"/>
    <cellStyle name="20% - Accent2 2 2 2 2_DEO ADIT Unprotected" xfId="2483" xr:uid="{3E0AE57E-2593-40AE-A646-2393B9F28DA4}"/>
    <cellStyle name="20% - Accent2 2 2 2 3" xfId="1749" xr:uid="{00000000-0005-0000-0000-000020000000}"/>
    <cellStyle name="20% - Accent2 2 2 2 3 2" xfId="4999" xr:uid="{4B384E02-4DB6-4E98-848A-6B0ACCFEAE5D}"/>
    <cellStyle name="20% - Accent2 2 2 2 3 2 2" xfId="8379" xr:uid="{4FF8C83C-21B7-4EAE-B238-A01E0D017080}"/>
    <cellStyle name="20% - Accent2 2 2 2 3 3" xfId="6679" xr:uid="{C9F15B9C-474C-4594-842C-A951F986C905}"/>
    <cellStyle name="20% - Accent2 2 2 2 3_DEO ADIT Unprotected" xfId="2485" xr:uid="{A726FCA0-694E-44B6-80D5-19CB02894F1A}"/>
    <cellStyle name="20% - Accent2 2 2 2 4" xfId="4162" xr:uid="{8FEBFD4C-FD31-4CA6-906D-9150730871C5}"/>
    <cellStyle name="20% - Accent2 2 2 2 4 2" xfId="7542" xr:uid="{5811FE2E-60FA-40CE-8579-04B675C12258}"/>
    <cellStyle name="20% - Accent2 2 2 2 5" xfId="5841" xr:uid="{3B445AC5-D275-48E8-BF4F-B37B2ABB0B3A}"/>
    <cellStyle name="20% - Accent2 2 2 2_DEO ADIT Unprotected" xfId="2482" xr:uid="{D99E804A-C37E-49B2-BCD4-437B7F0A9B80}"/>
    <cellStyle name="20% - Accent2 2 2_DEO ADIT Unprotected" xfId="2481" xr:uid="{B9A7E014-E7DB-4391-9240-A7E6E1C6FDCE}"/>
    <cellStyle name="20% - Accent2 2 3" xfId="595" xr:uid="{00000000-0005-0000-0000-000021000000}"/>
    <cellStyle name="20% - Accent2 2_DEO ADIT Unprotected" xfId="2480" xr:uid="{0F60FFEE-CB21-44F8-BD2F-C3CB68977E14}"/>
    <cellStyle name="20% - Accent2 3" xfId="596" xr:uid="{00000000-0005-0000-0000-000022000000}"/>
    <cellStyle name="20% - Accent2 3 2" xfId="597" xr:uid="{00000000-0005-0000-0000-000023000000}"/>
    <cellStyle name="20% - Accent2 3 2 2" xfId="598" xr:uid="{00000000-0005-0000-0000-000024000000}"/>
    <cellStyle name="20% - Accent2 3 2 2 2" xfId="1752" xr:uid="{00000000-0005-0000-0000-000025000000}"/>
    <cellStyle name="20% - Accent2 3 2 2 2 2" xfId="5002" xr:uid="{8FDAFD19-E178-4190-B98C-E71165DF7C5A}"/>
    <cellStyle name="20% - Accent2 3 2 2 2 2 2" xfId="8382" xr:uid="{3173B248-7075-490C-9085-77E90728A8D0}"/>
    <cellStyle name="20% - Accent2 3 2 2 2 3" xfId="6682" xr:uid="{DEB273A6-329D-433C-A37D-1340BF6D01DC}"/>
    <cellStyle name="20% - Accent2 3 2 2 2_DEO ADIT Unprotected" xfId="2489" xr:uid="{EA21B0F5-060D-4096-9AD9-9D38F0B17492}"/>
    <cellStyle name="20% - Accent2 3 2 2 3" xfId="4165" xr:uid="{B31B3FAE-2C52-4FA1-953F-3C06B126702F}"/>
    <cellStyle name="20% - Accent2 3 2 2 3 2" xfId="7545" xr:uid="{FD9BF81E-DF0C-4124-B2C3-CA7675EDB04B}"/>
    <cellStyle name="20% - Accent2 3 2 2 4" xfId="5844" xr:uid="{AFD436B1-4C18-4E9C-BD83-9AA0E5E9853C}"/>
    <cellStyle name="20% - Accent2 3 2 2_DEO ADIT Unprotected" xfId="2488" xr:uid="{44FADD86-C5E7-441B-97A2-F32E6F30C237}"/>
    <cellStyle name="20% - Accent2 3 2 3" xfId="1751" xr:uid="{00000000-0005-0000-0000-000026000000}"/>
    <cellStyle name="20% - Accent2 3 2 3 2" xfId="5001" xr:uid="{BEA90590-9ED8-450F-8464-9D31619A86F1}"/>
    <cellStyle name="20% - Accent2 3 2 3 2 2" xfId="8381" xr:uid="{2ED216C8-9794-4517-986A-E255364EC6F6}"/>
    <cellStyle name="20% - Accent2 3 2 3 3" xfId="6681" xr:uid="{934808F4-4E24-434C-A676-9FC2CBB27DBD}"/>
    <cellStyle name="20% - Accent2 3 2 3_DEO ADIT Unprotected" xfId="2490" xr:uid="{8758C905-6A46-49E2-B124-0D05A8BD56B5}"/>
    <cellStyle name="20% - Accent2 3 2 4" xfId="4164" xr:uid="{5B3F6D87-5A19-4A46-AD4B-2FE1F6B3C321}"/>
    <cellStyle name="20% - Accent2 3 2 4 2" xfId="7544" xr:uid="{DF1D8575-75A4-41FD-9540-6101C63AA08C}"/>
    <cellStyle name="20% - Accent2 3 2 5" xfId="5843" xr:uid="{1AC10117-B723-4F91-992E-F63A92E456C8}"/>
    <cellStyle name="20% - Accent2 3 2_DEO ADIT Unprotected" xfId="2487" xr:uid="{1630D4ED-1710-4860-A652-90915C103A09}"/>
    <cellStyle name="20% - Accent2 3_DEO ADIT Unprotected" xfId="2486" xr:uid="{C2FCEC9A-2178-4334-A1AA-E031AD180050}"/>
    <cellStyle name="20% - Accent2 4" xfId="599" xr:uid="{00000000-0005-0000-0000-000027000000}"/>
    <cellStyle name="20% - Accent2 4 2" xfId="600" xr:uid="{00000000-0005-0000-0000-000028000000}"/>
    <cellStyle name="20% - Accent2 4 2 2" xfId="1754" xr:uid="{00000000-0005-0000-0000-000029000000}"/>
    <cellStyle name="20% - Accent2 4 2 2 2" xfId="5004" xr:uid="{BA392A66-1AB6-468A-A6F3-F360D966D0A0}"/>
    <cellStyle name="20% - Accent2 4 2 2 2 2" xfId="8384" xr:uid="{C825F153-17BD-44D2-B3FB-3333FDDEEFCA}"/>
    <cellStyle name="20% - Accent2 4 2 2 3" xfId="6684" xr:uid="{44B9F96D-6750-4A14-9872-6F670D2BF671}"/>
    <cellStyle name="20% - Accent2 4 2 2_DEO ADIT Unprotected" xfId="2493" xr:uid="{C6E9C25F-AE70-4EED-95C0-CC66D9B4E8A8}"/>
    <cellStyle name="20% - Accent2 4 2 3" xfId="4167" xr:uid="{B8B0E05D-F5E9-4143-8719-1AA7269537D9}"/>
    <cellStyle name="20% - Accent2 4 2 3 2" xfId="7547" xr:uid="{7A11E263-8D53-447B-8A9B-BE2F520B64B1}"/>
    <cellStyle name="20% - Accent2 4 2 4" xfId="5846" xr:uid="{0EC81A5D-157D-4CE2-872C-5CEAF445FAB3}"/>
    <cellStyle name="20% - Accent2 4 2_DEO ADIT Unprotected" xfId="2492" xr:uid="{0F4269D3-26DD-4C8E-BD3F-EA35ADDFC1AD}"/>
    <cellStyle name="20% - Accent2 4 3" xfId="1753" xr:uid="{00000000-0005-0000-0000-00002A000000}"/>
    <cellStyle name="20% - Accent2 4 3 2" xfId="5003" xr:uid="{324A12B1-451E-46FC-A68F-31CEDBFDA610}"/>
    <cellStyle name="20% - Accent2 4 3 2 2" xfId="8383" xr:uid="{278F37D9-C23E-47C3-A4F1-860978AD47CC}"/>
    <cellStyle name="20% - Accent2 4 3 3" xfId="6683" xr:uid="{E62C0DD3-4AC9-4D51-ADB2-760B4F9CAF7D}"/>
    <cellStyle name="20% - Accent2 4 3_DEO ADIT Unprotected" xfId="2494" xr:uid="{26A2F10E-1530-4A94-A95D-6AC62F933356}"/>
    <cellStyle name="20% - Accent2 4 4" xfId="4166" xr:uid="{CC9CA333-E74B-4C73-A6DB-3EB0E04A5921}"/>
    <cellStyle name="20% - Accent2 4 4 2" xfId="7546" xr:uid="{8A6371C5-DB4F-4FDA-914E-FF6D9E5CF9BE}"/>
    <cellStyle name="20% - Accent2 4 5" xfId="5845" xr:uid="{76167437-BEC3-42C0-8A90-40FC5F16F03E}"/>
    <cellStyle name="20% - Accent2 4_DEO ADIT Unprotected" xfId="2491" xr:uid="{978035E3-8B4A-4404-995F-9E7DA19714AF}"/>
    <cellStyle name="20% - Accent2 5" xfId="1706" xr:uid="{00000000-0005-0000-0000-00002B000000}"/>
    <cellStyle name="20% - Accent2 5 2" xfId="4956" xr:uid="{080414C7-C6F0-4542-8B03-C1893F8ADE9A}"/>
    <cellStyle name="20% - Accent2 5 2 2" xfId="8336" xr:uid="{CEB913B4-9AD1-4779-9C0A-1FA246C1692F}"/>
    <cellStyle name="20% - Accent2 5 3" xfId="6636" xr:uid="{864A7548-1EEA-4C1E-BD4B-4A3D68A3ED1A}"/>
    <cellStyle name="20% - Accent2 5_DEO ADIT Unprotected" xfId="2495" xr:uid="{0A5CD977-D9BA-42B1-83CD-D150F786E316}"/>
    <cellStyle name="20% - Accent2 6" xfId="4119" xr:uid="{D78F690C-2867-4C9E-90DC-02800EF25D2E}"/>
    <cellStyle name="20% - Accent2 6 2" xfId="7499" xr:uid="{934489BB-E52B-489B-B794-04873723878C}"/>
    <cellStyle name="20% - Accent2 7" xfId="5798" xr:uid="{E5DD855C-E806-4468-8BE2-8773F6618791}"/>
    <cellStyle name="20% - Accent2 8" xfId="7409" xr:uid="{6BEFCA8C-CC6C-45A0-81EA-2AF036E8BA44}"/>
    <cellStyle name="20% - Accent2 9" xfId="9105" xr:uid="{3ED8FB73-E878-4D10-B2AA-7FA84DB44EA9}"/>
    <cellStyle name="20% - Accent3" xfId="537" builtinId="38" customBuiltin="1"/>
    <cellStyle name="20% - Accent3 10" xfId="7400" xr:uid="{616081E4-87F3-4333-901E-F36787B7A1E1}"/>
    <cellStyle name="20% - Accent3 2" xfId="601" xr:uid="{00000000-0005-0000-0000-00002D000000}"/>
    <cellStyle name="20% - Accent3 2 2" xfId="602" xr:uid="{00000000-0005-0000-0000-00002E000000}"/>
    <cellStyle name="20% - Accent3 2 2 2" xfId="603" xr:uid="{00000000-0005-0000-0000-00002F000000}"/>
    <cellStyle name="20% - Accent3 2 2 2 2" xfId="604" xr:uid="{00000000-0005-0000-0000-000030000000}"/>
    <cellStyle name="20% - Accent3 2 2 2 2 2" xfId="1756" xr:uid="{00000000-0005-0000-0000-000031000000}"/>
    <cellStyle name="20% - Accent3 2 2 2 2 2 2" xfId="5006" xr:uid="{13778F6A-3C5E-4FE8-8610-CC3F2B813F3D}"/>
    <cellStyle name="20% - Accent3 2 2 2 2 2 2 2" xfId="8386" xr:uid="{CD2392F0-CA38-48CA-B39B-35C96B29FBD8}"/>
    <cellStyle name="20% - Accent3 2 2 2 2 2 3" xfId="6686" xr:uid="{736BF4C3-53A4-48F0-861F-9452CED12505}"/>
    <cellStyle name="20% - Accent3 2 2 2 2 2_DEO ADIT Unprotected" xfId="2500" xr:uid="{EB14DED4-DF83-4648-B345-22A869800187}"/>
    <cellStyle name="20% - Accent3 2 2 2 2 3" xfId="4169" xr:uid="{0105EDD3-6138-4520-AF59-C9CDD7DE2863}"/>
    <cellStyle name="20% - Accent3 2 2 2 2 3 2" xfId="7549" xr:uid="{32E55A82-FCA6-4562-83CF-849FD207E999}"/>
    <cellStyle name="20% - Accent3 2 2 2 2 4" xfId="5848" xr:uid="{B2F0A39C-A1FE-4A26-BCED-ADF8127582BA}"/>
    <cellStyle name="20% - Accent3 2 2 2 2_DEO ADIT Unprotected" xfId="2499" xr:uid="{52B48446-E00A-4F79-9924-9FF0AE0A8EF3}"/>
    <cellStyle name="20% - Accent3 2 2 2 3" xfId="1755" xr:uid="{00000000-0005-0000-0000-000032000000}"/>
    <cellStyle name="20% - Accent3 2 2 2 3 2" xfId="5005" xr:uid="{94C9CE72-08CA-41A5-84D1-78E3EF6554A5}"/>
    <cellStyle name="20% - Accent3 2 2 2 3 2 2" xfId="8385" xr:uid="{BCA932F1-1DDE-46ED-8D3A-4876CE6BC7A0}"/>
    <cellStyle name="20% - Accent3 2 2 2 3 3" xfId="6685" xr:uid="{E9A8E25C-7C9A-4369-99B1-871903C39B06}"/>
    <cellStyle name="20% - Accent3 2 2 2 3_DEO ADIT Unprotected" xfId="2501" xr:uid="{2FAB4F27-EF2B-499F-87C3-1BD04ACE2949}"/>
    <cellStyle name="20% - Accent3 2 2 2 4" xfId="4168" xr:uid="{CB8FEDEB-AF13-4CAB-BF91-E8DA82F52A69}"/>
    <cellStyle name="20% - Accent3 2 2 2 4 2" xfId="7548" xr:uid="{29FADC97-F5C5-43BF-AD27-D21414ED3EB2}"/>
    <cellStyle name="20% - Accent3 2 2 2 5" xfId="5847" xr:uid="{31E1EAD6-3B6C-4661-8216-53674435BF4A}"/>
    <cellStyle name="20% - Accent3 2 2 2_DEO ADIT Unprotected" xfId="2498" xr:uid="{DAEFA827-B233-4C43-AFC0-DFA95DFF5A72}"/>
    <cellStyle name="20% - Accent3 2 2_DEO ADIT Unprotected" xfId="2497" xr:uid="{7CA09962-2F10-4D2A-AE7E-25B2E5F47698}"/>
    <cellStyle name="20% - Accent3 2 3" xfId="605" xr:uid="{00000000-0005-0000-0000-000033000000}"/>
    <cellStyle name="20% - Accent3 2_DEO ADIT Unprotected" xfId="2496" xr:uid="{B02C8CA6-C687-4D58-A27B-1EAAAF7048B5}"/>
    <cellStyle name="20% - Accent3 3" xfId="606" xr:uid="{00000000-0005-0000-0000-000034000000}"/>
    <cellStyle name="20% - Accent3 3 2" xfId="607" xr:uid="{00000000-0005-0000-0000-000035000000}"/>
    <cellStyle name="20% - Accent3 3 2 2" xfId="608" xr:uid="{00000000-0005-0000-0000-000036000000}"/>
    <cellStyle name="20% - Accent3 3 2 2 2" xfId="1758" xr:uid="{00000000-0005-0000-0000-000037000000}"/>
    <cellStyle name="20% - Accent3 3 2 2 2 2" xfId="5008" xr:uid="{F5ADA5E2-008C-417C-A062-0B98A5672CB2}"/>
    <cellStyle name="20% - Accent3 3 2 2 2 2 2" xfId="8388" xr:uid="{73C03B5B-6E40-47D9-9260-45C4CCE2D688}"/>
    <cellStyle name="20% - Accent3 3 2 2 2 3" xfId="6688" xr:uid="{853517BA-2579-4248-B6ED-A8443D72302F}"/>
    <cellStyle name="20% - Accent3 3 2 2 2_DEO ADIT Unprotected" xfId="2505" xr:uid="{7267DA86-0DBB-4D71-8CB3-B25BD85EFFE4}"/>
    <cellStyle name="20% - Accent3 3 2 2 3" xfId="4171" xr:uid="{02705BAC-18E7-4EF2-8262-DC44984EF5A0}"/>
    <cellStyle name="20% - Accent3 3 2 2 3 2" xfId="7551" xr:uid="{F52B51BF-602B-421E-8B46-D8C8C10042E7}"/>
    <cellStyle name="20% - Accent3 3 2 2 4" xfId="5850" xr:uid="{601B78E8-C5C7-4FED-8BDB-26226D2FDD3D}"/>
    <cellStyle name="20% - Accent3 3 2 2_DEO ADIT Unprotected" xfId="2504" xr:uid="{5EA8E780-BE49-4D25-883E-51534CFDBD1F}"/>
    <cellStyle name="20% - Accent3 3 2 3" xfId="1757" xr:uid="{00000000-0005-0000-0000-000038000000}"/>
    <cellStyle name="20% - Accent3 3 2 3 2" xfId="5007" xr:uid="{59CA87AB-DE29-4859-BE23-CDF6915B25C2}"/>
    <cellStyle name="20% - Accent3 3 2 3 2 2" xfId="8387" xr:uid="{15B8927C-69EE-4451-85F3-73004723416D}"/>
    <cellStyle name="20% - Accent3 3 2 3 3" xfId="6687" xr:uid="{4E234BFD-F5F4-4760-B8F6-00811EC766BD}"/>
    <cellStyle name="20% - Accent3 3 2 3_DEO ADIT Unprotected" xfId="2506" xr:uid="{15E14CD3-FBEA-433F-829D-6C07480C5829}"/>
    <cellStyle name="20% - Accent3 3 2 4" xfId="4170" xr:uid="{28FFD4C2-B20D-42D1-BFEE-663F44F0F9F3}"/>
    <cellStyle name="20% - Accent3 3 2 4 2" xfId="7550" xr:uid="{42F616EC-6751-4F63-8A17-5A540F6CA787}"/>
    <cellStyle name="20% - Accent3 3 2 5" xfId="5849" xr:uid="{E35ECF70-B726-4FC3-A4DC-A1A52E0E1632}"/>
    <cellStyle name="20% - Accent3 3 2_DEO ADIT Unprotected" xfId="2503" xr:uid="{8DFE4031-43CA-4BF2-99A6-7B6E64F53FBD}"/>
    <cellStyle name="20% - Accent3 3_DEO ADIT Unprotected" xfId="2502" xr:uid="{CD9AD1A5-C717-4E85-8FF7-4D5348FA62EF}"/>
    <cellStyle name="20% - Accent3 4" xfId="609" xr:uid="{00000000-0005-0000-0000-000039000000}"/>
    <cellStyle name="20% - Accent3 4 2" xfId="610" xr:uid="{00000000-0005-0000-0000-00003A000000}"/>
    <cellStyle name="20% - Accent3 4 2 2" xfId="1760" xr:uid="{00000000-0005-0000-0000-00003B000000}"/>
    <cellStyle name="20% - Accent3 4 2 2 2" xfId="5010" xr:uid="{2CFF09A2-36B6-4A0F-84ED-C9BC0A15872A}"/>
    <cellStyle name="20% - Accent3 4 2 2 2 2" xfId="8390" xr:uid="{7A53DCA9-B733-4371-B0E2-576E916DE868}"/>
    <cellStyle name="20% - Accent3 4 2 2 3" xfId="6690" xr:uid="{07654C31-BCD8-404C-8D6A-DFBACF3335A5}"/>
    <cellStyle name="20% - Accent3 4 2 2_DEO ADIT Unprotected" xfId="2509" xr:uid="{7F537FC8-BA1F-4204-AD4D-90F236FAA78A}"/>
    <cellStyle name="20% - Accent3 4 2 3" xfId="4173" xr:uid="{E0EE990D-3015-4DB7-A0E8-CEA6DF072304}"/>
    <cellStyle name="20% - Accent3 4 2 3 2" xfId="7553" xr:uid="{86251840-B7F4-461B-ABCC-EA12C5BB0597}"/>
    <cellStyle name="20% - Accent3 4 2 4" xfId="5852" xr:uid="{CD069B46-BB63-4A63-84B8-EB653574379F}"/>
    <cellStyle name="20% - Accent3 4 2_DEO ADIT Unprotected" xfId="2508" xr:uid="{B0AE60E8-827E-4AD7-9568-077D78E52D57}"/>
    <cellStyle name="20% - Accent3 4 3" xfId="1759" xr:uid="{00000000-0005-0000-0000-00003C000000}"/>
    <cellStyle name="20% - Accent3 4 3 2" xfId="5009" xr:uid="{6EF42F2F-9092-4EBA-80BC-13EA1305592C}"/>
    <cellStyle name="20% - Accent3 4 3 2 2" xfId="8389" xr:uid="{F4448B8D-C62A-41EC-A694-98FCDC8981D3}"/>
    <cellStyle name="20% - Accent3 4 3 3" xfId="6689" xr:uid="{5A69A29E-9CC6-431A-AADC-AFFFE341427E}"/>
    <cellStyle name="20% - Accent3 4 3_DEO ADIT Unprotected" xfId="2510" xr:uid="{548F15B0-47CE-4471-BE89-BD3415B6FE66}"/>
    <cellStyle name="20% - Accent3 4 4" xfId="4172" xr:uid="{A81C42A7-C6CA-42E8-A1F9-3B4BC2A25A27}"/>
    <cellStyle name="20% - Accent3 4 4 2" xfId="7552" xr:uid="{332C9FFB-53AD-4C4A-B5BB-1C90DABB9273}"/>
    <cellStyle name="20% - Accent3 4 5" xfId="5851" xr:uid="{16F8DB08-C1AF-4FE7-8E41-188E910819BF}"/>
    <cellStyle name="20% - Accent3 4_DEO ADIT Unprotected" xfId="2507" xr:uid="{5411A343-62EB-4664-AD16-57B9E25E6768}"/>
    <cellStyle name="20% - Accent3 5" xfId="1708" xr:uid="{00000000-0005-0000-0000-00003D000000}"/>
    <cellStyle name="20% - Accent3 5 2" xfId="4958" xr:uid="{0AF73F32-5415-4690-8FCD-E41A11924A4E}"/>
    <cellStyle name="20% - Accent3 5 2 2" xfId="8338" xr:uid="{1956022B-5A6E-4813-84EF-CF5066906CBA}"/>
    <cellStyle name="20% - Accent3 5 3" xfId="6638" xr:uid="{8136471A-A62C-4F8E-B7D7-C006AF7FBAB5}"/>
    <cellStyle name="20% - Accent3 5_DEO ADIT Unprotected" xfId="2511" xr:uid="{3CC4A1E4-E624-484F-93E7-0B531C9E6B1F}"/>
    <cellStyle name="20% - Accent3 6" xfId="4121" xr:uid="{CEBBDF5D-69AF-44AA-806D-D2ECF4E8C09A}"/>
    <cellStyle name="20% - Accent3 6 2" xfId="7501" xr:uid="{4B480C45-8EDF-4275-AE00-E4D8BE288E4F}"/>
    <cellStyle name="20% - Accent3 7" xfId="5800" xr:uid="{E9DD4491-79D9-49BC-BD87-EDEE858381B6}"/>
    <cellStyle name="20% - Accent3 8" xfId="7410" xr:uid="{C30140AF-DCD4-4C54-9FF4-B4E7429E19B2}"/>
    <cellStyle name="20% - Accent3 9" xfId="9094" xr:uid="{242C995D-6773-49F8-B0A2-AD76B63990D1}"/>
    <cellStyle name="20% - Accent4" xfId="541" builtinId="42" customBuiltin="1"/>
    <cellStyle name="20% - Accent4 10" xfId="9097" xr:uid="{48318BE3-4097-4DF4-9EAB-00430EB486F0}"/>
    <cellStyle name="20% - Accent4 2" xfId="611" xr:uid="{00000000-0005-0000-0000-00003F000000}"/>
    <cellStyle name="20% - Accent4 2 2" xfId="612" xr:uid="{00000000-0005-0000-0000-000040000000}"/>
    <cellStyle name="20% - Accent4 2 2 2" xfId="613" xr:uid="{00000000-0005-0000-0000-000041000000}"/>
    <cellStyle name="20% - Accent4 2 2 2 2" xfId="614" xr:uid="{00000000-0005-0000-0000-000042000000}"/>
    <cellStyle name="20% - Accent4 2 2 2 2 2" xfId="1762" xr:uid="{00000000-0005-0000-0000-000043000000}"/>
    <cellStyle name="20% - Accent4 2 2 2 2 2 2" xfId="5012" xr:uid="{00ECBD9F-804E-43FE-91D7-A361B4E07145}"/>
    <cellStyle name="20% - Accent4 2 2 2 2 2 2 2" xfId="8392" xr:uid="{E8EF081E-5104-4258-B5A1-B6E95CD04152}"/>
    <cellStyle name="20% - Accent4 2 2 2 2 2 3" xfId="6692" xr:uid="{085EADC1-9483-4E4E-814D-CD63D849AD30}"/>
    <cellStyle name="20% - Accent4 2 2 2 2 2_DEO ADIT Unprotected" xfId="2516" xr:uid="{FA8F696B-BED6-466F-A872-21AA0F1112EF}"/>
    <cellStyle name="20% - Accent4 2 2 2 2 3" xfId="4175" xr:uid="{A8CB7E2C-E745-47D2-8266-A2F4FCB47BF4}"/>
    <cellStyle name="20% - Accent4 2 2 2 2 3 2" xfId="7555" xr:uid="{3FAE922C-4BA8-4DBE-84D6-38A2D1C6AFE7}"/>
    <cellStyle name="20% - Accent4 2 2 2 2 4" xfId="5854" xr:uid="{09A0BECF-8AA3-4F42-B0A0-ADA33FD91867}"/>
    <cellStyle name="20% - Accent4 2 2 2 2_DEO ADIT Unprotected" xfId="2515" xr:uid="{71E13047-CC81-43B1-9BB0-8E8562C3EB54}"/>
    <cellStyle name="20% - Accent4 2 2 2 3" xfId="1761" xr:uid="{00000000-0005-0000-0000-000044000000}"/>
    <cellStyle name="20% - Accent4 2 2 2 3 2" xfId="5011" xr:uid="{1561DA9A-64C6-43B2-AB4E-CD386DD5B81D}"/>
    <cellStyle name="20% - Accent4 2 2 2 3 2 2" xfId="8391" xr:uid="{71493AC0-BF80-47D5-BB14-B2F5042E4079}"/>
    <cellStyle name="20% - Accent4 2 2 2 3 3" xfId="6691" xr:uid="{1FB4CADF-5084-4010-9E1A-BD800D4EA51F}"/>
    <cellStyle name="20% - Accent4 2 2 2 3_DEO ADIT Unprotected" xfId="2517" xr:uid="{A4F3B480-1F2C-46A7-B186-928844BEE527}"/>
    <cellStyle name="20% - Accent4 2 2 2 4" xfId="4174" xr:uid="{35DA1894-65FB-4847-9F8C-25CF50A60225}"/>
    <cellStyle name="20% - Accent4 2 2 2 4 2" xfId="7554" xr:uid="{85D853DF-FD8A-49D5-8AC0-4448B3BA6BD2}"/>
    <cellStyle name="20% - Accent4 2 2 2 5" xfId="5853" xr:uid="{F6C3BCB4-62F8-4596-AA1F-8B22B0626DE9}"/>
    <cellStyle name="20% - Accent4 2 2 2_DEO ADIT Unprotected" xfId="2514" xr:uid="{A2E6089B-F167-4ADC-B0EA-0DB4AD7D38A3}"/>
    <cellStyle name="20% - Accent4 2 2_DEO ADIT Unprotected" xfId="2513" xr:uid="{BEAE30CA-6150-46E6-9944-C5086A689C62}"/>
    <cellStyle name="20% - Accent4 2 3" xfId="615" xr:uid="{00000000-0005-0000-0000-000045000000}"/>
    <cellStyle name="20% - Accent4 2_DEO ADIT Unprotected" xfId="2512" xr:uid="{1DB4C5B3-A470-4179-A399-01AF6B667F8A}"/>
    <cellStyle name="20% - Accent4 3" xfId="616" xr:uid="{00000000-0005-0000-0000-000046000000}"/>
    <cellStyle name="20% - Accent4 3 2" xfId="617" xr:uid="{00000000-0005-0000-0000-000047000000}"/>
    <cellStyle name="20% - Accent4 3 2 2" xfId="618" xr:uid="{00000000-0005-0000-0000-000048000000}"/>
    <cellStyle name="20% - Accent4 3 2 2 2" xfId="1764" xr:uid="{00000000-0005-0000-0000-000049000000}"/>
    <cellStyle name="20% - Accent4 3 2 2 2 2" xfId="5014" xr:uid="{EDBD5ACC-E9E1-45D0-8541-6DDEBD4ECD25}"/>
    <cellStyle name="20% - Accent4 3 2 2 2 2 2" xfId="8394" xr:uid="{9AD649BF-9B7D-4159-948B-0EA8181FA0FC}"/>
    <cellStyle name="20% - Accent4 3 2 2 2 3" xfId="6694" xr:uid="{145FEA20-4DBA-4677-8DCD-61D3EE503E19}"/>
    <cellStyle name="20% - Accent4 3 2 2 2_DEO ADIT Unprotected" xfId="2521" xr:uid="{6F491880-9274-4B6E-B3A1-40DCD6237D19}"/>
    <cellStyle name="20% - Accent4 3 2 2 3" xfId="4177" xr:uid="{01759CE7-5C53-43A5-A9ED-65F9074A3FEC}"/>
    <cellStyle name="20% - Accent4 3 2 2 3 2" xfId="7557" xr:uid="{7867B6AC-1899-4B4D-AA68-D8EEA9BCB307}"/>
    <cellStyle name="20% - Accent4 3 2 2 4" xfId="5856" xr:uid="{5E4BEA86-9CA2-43C2-98D6-FA894F5178C3}"/>
    <cellStyle name="20% - Accent4 3 2 2_DEO ADIT Unprotected" xfId="2520" xr:uid="{56128D2F-60A3-4B85-8552-D7115C91F4A6}"/>
    <cellStyle name="20% - Accent4 3 2 3" xfId="1763" xr:uid="{00000000-0005-0000-0000-00004A000000}"/>
    <cellStyle name="20% - Accent4 3 2 3 2" xfId="5013" xr:uid="{E941CD89-DFD2-4BD0-9C03-CEB5D2AE734A}"/>
    <cellStyle name="20% - Accent4 3 2 3 2 2" xfId="8393" xr:uid="{5584A108-E928-4B29-979A-9120F4F2FC42}"/>
    <cellStyle name="20% - Accent4 3 2 3 3" xfId="6693" xr:uid="{C39225AA-3319-4ABA-A7FE-2EE2EE2F13A4}"/>
    <cellStyle name="20% - Accent4 3 2 3_DEO ADIT Unprotected" xfId="2522" xr:uid="{69DCD0A3-266F-4521-B6D1-24297C519195}"/>
    <cellStyle name="20% - Accent4 3 2 4" xfId="4176" xr:uid="{8B3D9794-D1B5-48AA-B9AB-953EA949ED0E}"/>
    <cellStyle name="20% - Accent4 3 2 4 2" xfId="7556" xr:uid="{8EBDB443-4C6A-472E-BA5E-38C94EA9962A}"/>
    <cellStyle name="20% - Accent4 3 2 5" xfId="5855" xr:uid="{7EBD21F7-1269-4992-91D8-A76EA46C5DD1}"/>
    <cellStyle name="20% - Accent4 3 2_DEO ADIT Unprotected" xfId="2519" xr:uid="{8826C438-4B8D-44BC-BC79-52536ED2786E}"/>
    <cellStyle name="20% - Accent4 3_DEO ADIT Unprotected" xfId="2518" xr:uid="{401199F3-FA48-48F5-B3D7-17D40060021B}"/>
    <cellStyle name="20% - Accent4 4" xfId="619" xr:uid="{00000000-0005-0000-0000-00004B000000}"/>
    <cellStyle name="20% - Accent4 4 2" xfId="620" xr:uid="{00000000-0005-0000-0000-00004C000000}"/>
    <cellStyle name="20% - Accent4 4 2 2" xfId="1766" xr:uid="{00000000-0005-0000-0000-00004D000000}"/>
    <cellStyle name="20% - Accent4 4 2 2 2" xfId="5016" xr:uid="{6679FA42-0C84-4025-8094-B989FC5B5886}"/>
    <cellStyle name="20% - Accent4 4 2 2 2 2" xfId="8396" xr:uid="{A974AB80-6C88-4CC9-A4DC-56BD05457BA1}"/>
    <cellStyle name="20% - Accent4 4 2 2 3" xfId="6696" xr:uid="{D381EE1B-B0F0-4BB3-A96B-197CCBED44FA}"/>
    <cellStyle name="20% - Accent4 4 2 2_DEO ADIT Unprotected" xfId="2525" xr:uid="{876DDD8E-208C-4628-8E05-DDE2A17B6581}"/>
    <cellStyle name="20% - Accent4 4 2 3" xfId="4179" xr:uid="{378059D8-D953-42CF-9008-DCE91A00D15B}"/>
    <cellStyle name="20% - Accent4 4 2 3 2" xfId="7559" xr:uid="{6907970B-D374-45B2-A403-357682ADDA97}"/>
    <cellStyle name="20% - Accent4 4 2 4" xfId="5858" xr:uid="{2239E4E2-83D5-43FE-8789-C9B71A93692B}"/>
    <cellStyle name="20% - Accent4 4 2_DEO ADIT Unprotected" xfId="2524" xr:uid="{52C1F421-2377-4361-8DCF-ED0A57BD62E6}"/>
    <cellStyle name="20% - Accent4 4 3" xfId="1765" xr:uid="{00000000-0005-0000-0000-00004E000000}"/>
    <cellStyle name="20% - Accent4 4 3 2" xfId="5015" xr:uid="{053808E6-ACB6-43DD-8120-35FA2D48DA51}"/>
    <cellStyle name="20% - Accent4 4 3 2 2" xfId="8395" xr:uid="{663208CC-A3A5-46A7-9C24-36799CCDB2BE}"/>
    <cellStyle name="20% - Accent4 4 3 3" xfId="6695" xr:uid="{AABD7C02-94DA-4B9A-BE5D-7F6312C2E409}"/>
    <cellStyle name="20% - Accent4 4 3_DEO ADIT Unprotected" xfId="2526" xr:uid="{7AAA5589-32EC-437E-A765-1B2447021C4A}"/>
    <cellStyle name="20% - Accent4 4 4" xfId="4178" xr:uid="{D99E62C2-71CB-40FD-B959-A8FE9CCC85F4}"/>
    <cellStyle name="20% - Accent4 4 4 2" xfId="7558" xr:uid="{CF56114A-3A84-4FBA-9B1A-53D069C3595C}"/>
    <cellStyle name="20% - Accent4 4 5" xfId="5857" xr:uid="{CEBFB45E-2E0A-4FA7-BC59-4C359C5390C2}"/>
    <cellStyle name="20% - Accent4 4_DEO ADIT Unprotected" xfId="2523" xr:uid="{AC4BCC4F-D1DE-453E-9D18-6DC26BC4A165}"/>
    <cellStyle name="20% - Accent4 5" xfId="1710" xr:uid="{00000000-0005-0000-0000-00004F000000}"/>
    <cellStyle name="20% - Accent4 5 2" xfId="4960" xr:uid="{48FD7015-CF61-4119-9C25-98C1E8C246E1}"/>
    <cellStyle name="20% - Accent4 5 2 2" xfId="8340" xr:uid="{1813B478-6C3A-4FD9-A7EC-202D0D6C989F}"/>
    <cellStyle name="20% - Accent4 5 3" xfId="6640" xr:uid="{BEB85427-9BBF-4D6E-A0F2-97ED1D1823F8}"/>
    <cellStyle name="20% - Accent4 5_DEO ADIT Unprotected" xfId="2527" xr:uid="{2189E838-8767-4A70-A55D-137EF8FF54A1}"/>
    <cellStyle name="20% - Accent4 6" xfId="4123" xr:uid="{222AD56A-B275-4497-A74F-FA2AB698A40D}"/>
    <cellStyle name="20% - Accent4 6 2" xfId="7503" xr:uid="{A2DC7E24-17E6-4819-9EDE-3AD83F09327E}"/>
    <cellStyle name="20% - Accent4 7" xfId="5802" xr:uid="{6A616A5E-CDC9-496F-AD75-B31C8C2235CE}"/>
    <cellStyle name="20% - Accent4 8" xfId="7405" xr:uid="{AD1D14A9-76AF-41D3-A483-EEC976D2CA7D}"/>
    <cellStyle name="20% - Accent4 9" xfId="9116" xr:uid="{1A694720-B0B7-4C28-8F2E-837C00E6FD0E}"/>
    <cellStyle name="20% - Accent5" xfId="545" builtinId="46" customBuiltin="1"/>
    <cellStyle name="20% - Accent5 10" xfId="9099" xr:uid="{8C61FA10-B7D0-4DF2-A1AE-99D03CA9B150}"/>
    <cellStyle name="20% - Accent5 2" xfId="621" xr:uid="{00000000-0005-0000-0000-000051000000}"/>
    <cellStyle name="20% - Accent5 2 2" xfId="622" xr:uid="{00000000-0005-0000-0000-000052000000}"/>
    <cellStyle name="20% - Accent5 2 2 2" xfId="623" xr:uid="{00000000-0005-0000-0000-000053000000}"/>
    <cellStyle name="20% - Accent5 2 2 2 2" xfId="624" xr:uid="{00000000-0005-0000-0000-000054000000}"/>
    <cellStyle name="20% - Accent5 2 2 2 2 2" xfId="1768" xr:uid="{00000000-0005-0000-0000-000055000000}"/>
    <cellStyle name="20% - Accent5 2 2 2 2 2 2" xfId="5018" xr:uid="{AFE4D90E-488D-44B0-AABE-9ECBD654C5F2}"/>
    <cellStyle name="20% - Accent5 2 2 2 2 2 2 2" xfId="8398" xr:uid="{CBCC0BAA-C634-493D-BDA0-18D972852ECF}"/>
    <cellStyle name="20% - Accent5 2 2 2 2 2 3" xfId="6698" xr:uid="{0166C84C-FF18-4D0B-AE76-C2271E9B7BD6}"/>
    <cellStyle name="20% - Accent5 2 2 2 2 2_DEO ADIT Unprotected" xfId="2532" xr:uid="{5EEC24C2-1EA7-4BE1-8F9E-FA877BAFD803}"/>
    <cellStyle name="20% - Accent5 2 2 2 2 3" xfId="4181" xr:uid="{97F42BC0-97C7-4534-9395-BECF07E8B634}"/>
    <cellStyle name="20% - Accent5 2 2 2 2 3 2" xfId="7561" xr:uid="{2D94A3CD-A7EC-42CA-B5C4-B87137A581E4}"/>
    <cellStyle name="20% - Accent5 2 2 2 2 4" xfId="5860" xr:uid="{F53BA81C-78D5-4E3C-B713-2114E969822B}"/>
    <cellStyle name="20% - Accent5 2 2 2 2_DEO ADIT Unprotected" xfId="2531" xr:uid="{57B6FED3-6059-42E3-937E-AB89031B8CD5}"/>
    <cellStyle name="20% - Accent5 2 2 2 3" xfId="1767" xr:uid="{00000000-0005-0000-0000-000056000000}"/>
    <cellStyle name="20% - Accent5 2 2 2 3 2" xfId="5017" xr:uid="{FA828375-16C5-425C-9D62-C0F78DE47149}"/>
    <cellStyle name="20% - Accent5 2 2 2 3 2 2" xfId="8397" xr:uid="{7F6BD35E-AB38-4DA6-9E7A-7C9067ECBE48}"/>
    <cellStyle name="20% - Accent5 2 2 2 3 3" xfId="6697" xr:uid="{576724BD-150A-4511-8E11-DE651202CCDC}"/>
    <cellStyle name="20% - Accent5 2 2 2 3_DEO ADIT Unprotected" xfId="2533" xr:uid="{64F9EE7A-0F98-4901-9689-8F54DE5038D3}"/>
    <cellStyle name="20% - Accent5 2 2 2 4" xfId="4180" xr:uid="{0FE0D0CB-ED5E-40B8-95D7-E357FA536B26}"/>
    <cellStyle name="20% - Accent5 2 2 2 4 2" xfId="7560" xr:uid="{35EAC1C8-B6EE-4ED4-A949-76BA5AD48DC8}"/>
    <cellStyle name="20% - Accent5 2 2 2 5" xfId="5859" xr:uid="{D7AEBD4E-2F16-4CAE-81EB-D5D8162E625C}"/>
    <cellStyle name="20% - Accent5 2 2 2_DEO ADIT Unprotected" xfId="2530" xr:uid="{4DAFFEAE-611C-4819-816B-23A19C1931B3}"/>
    <cellStyle name="20% - Accent5 2 2_DEO ADIT Unprotected" xfId="2529" xr:uid="{6461C487-CCF7-4397-953B-A8BBD4A542A2}"/>
    <cellStyle name="20% - Accent5 2 3" xfId="625" xr:uid="{00000000-0005-0000-0000-000057000000}"/>
    <cellStyle name="20% - Accent5 2_DEO ADIT Unprotected" xfId="2528" xr:uid="{5EC25D20-0B32-4C4B-AF47-66F5DC66BAB1}"/>
    <cellStyle name="20% - Accent5 3" xfId="626" xr:uid="{00000000-0005-0000-0000-000058000000}"/>
    <cellStyle name="20% - Accent5 3 2" xfId="627" xr:uid="{00000000-0005-0000-0000-000059000000}"/>
    <cellStyle name="20% - Accent5 3 2 2" xfId="628" xr:uid="{00000000-0005-0000-0000-00005A000000}"/>
    <cellStyle name="20% - Accent5 3 2 2 2" xfId="1770" xr:uid="{00000000-0005-0000-0000-00005B000000}"/>
    <cellStyle name="20% - Accent5 3 2 2 2 2" xfId="5020" xr:uid="{911E6627-8EB1-46E7-9E15-FB3981EDE2B3}"/>
    <cellStyle name="20% - Accent5 3 2 2 2 2 2" xfId="8400" xr:uid="{B5F7E5E8-29BD-46D5-B8C0-0C0AC651A6D4}"/>
    <cellStyle name="20% - Accent5 3 2 2 2 3" xfId="6700" xr:uid="{F7695753-4F65-4FB5-88FD-423B002429A8}"/>
    <cellStyle name="20% - Accent5 3 2 2 2_DEO ADIT Unprotected" xfId="2537" xr:uid="{F8F34DDC-65BD-4C74-8B23-6EDF07C502E9}"/>
    <cellStyle name="20% - Accent5 3 2 2 3" xfId="4183" xr:uid="{60F08B1B-9EED-40BC-984C-A324848A3803}"/>
    <cellStyle name="20% - Accent5 3 2 2 3 2" xfId="7563" xr:uid="{BB36D64C-01DA-4EE0-A7A2-B104FEA7255E}"/>
    <cellStyle name="20% - Accent5 3 2 2 4" xfId="5862" xr:uid="{1E76D28C-F32B-4BA5-B6DC-7656D738CA18}"/>
    <cellStyle name="20% - Accent5 3 2 2_DEO ADIT Unprotected" xfId="2536" xr:uid="{33539DF2-1DEB-4026-8921-B1BFC2FC3013}"/>
    <cellStyle name="20% - Accent5 3 2 3" xfId="1769" xr:uid="{00000000-0005-0000-0000-00005C000000}"/>
    <cellStyle name="20% - Accent5 3 2 3 2" xfId="5019" xr:uid="{EEC13F69-A604-4B54-AA00-8938CCD940AC}"/>
    <cellStyle name="20% - Accent5 3 2 3 2 2" xfId="8399" xr:uid="{C4BBDABF-C71B-40FA-978A-507DB39D8EC9}"/>
    <cellStyle name="20% - Accent5 3 2 3 3" xfId="6699" xr:uid="{E4BA4CC8-9F77-4043-B972-180EE5F6846C}"/>
    <cellStyle name="20% - Accent5 3 2 3_DEO ADIT Unprotected" xfId="2538" xr:uid="{48F71A80-C0D7-42BE-B678-CF739F116526}"/>
    <cellStyle name="20% - Accent5 3 2 4" xfId="4182" xr:uid="{44DDA7D9-E434-47CB-9514-A1F66DA1B479}"/>
    <cellStyle name="20% - Accent5 3 2 4 2" xfId="7562" xr:uid="{3B7F0531-A8C3-457E-A836-5D9597C7CC8B}"/>
    <cellStyle name="20% - Accent5 3 2 5" xfId="5861" xr:uid="{DFA2CA2D-3249-430B-B737-C3479B91CD4E}"/>
    <cellStyle name="20% - Accent5 3 2_DEO ADIT Unprotected" xfId="2535" xr:uid="{DF4B0DD2-6652-42D3-A924-28361622226A}"/>
    <cellStyle name="20% - Accent5 3_DEO ADIT Unprotected" xfId="2534" xr:uid="{E18565D4-AB13-48C5-9466-59949E237327}"/>
    <cellStyle name="20% - Accent5 4" xfId="629" xr:uid="{00000000-0005-0000-0000-00005D000000}"/>
    <cellStyle name="20% - Accent5 4 2" xfId="630" xr:uid="{00000000-0005-0000-0000-00005E000000}"/>
    <cellStyle name="20% - Accent5 4 2 2" xfId="1772" xr:uid="{00000000-0005-0000-0000-00005F000000}"/>
    <cellStyle name="20% - Accent5 4 2 2 2" xfId="5022" xr:uid="{ABD8CF3F-1808-411A-90A9-0934997B521E}"/>
    <cellStyle name="20% - Accent5 4 2 2 2 2" xfId="8402" xr:uid="{E2DDDFC6-41F9-4FA3-B8BB-ED8E48947EED}"/>
    <cellStyle name="20% - Accent5 4 2 2 3" xfId="6702" xr:uid="{7A3D9CE5-4147-403B-B3AF-B9B241B632ED}"/>
    <cellStyle name="20% - Accent5 4 2 2_DEO ADIT Unprotected" xfId="2541" xr:uid="{302CBAC0-5271-456E-912C-C23DE209558C}"/>
    <cellStyle name="20% - Accent5 4 2 3" xfId="4185" xr:uid="{07F583E5-EB21-4316-8D66-7BB240A2E5C7}"/>
    <cellStyle name="20% - Accent5 4 2 3 2" xfId="7565" xr:uid="{2A1069E2-F5CD-4950-97D1-D6A168126324}"/>
    <cellStyle name="20% - Accent5 4 2 4" xfId="5864" xr:uid="{3DEFE659-05FA-4C73-AA95-BEF1337D614C}"/>
    <cellStyle name="20% - Accent5 4 2_DEO ADIT Unprotected" xfId="2540" xr:uid="{BCF9B95F-0892-48CA-B586-647CD36F9F40}"/>
    <cellStyle name="20% - Accent5 4 3" xfId="1771" xr:uid="{00000000-0005-0000-0000-000060000000}"/>
    <cellStyle name="20% - Accent5 4 3 2" xfId="5021" xr:uid="{B4532601-C689-428F-AD37-89F5E851E5A4}"/>
    <cellStyle name="20% - Accent5 4 3 2 2" xfId="8401" xr:uid="{2B5F9FCF-6A48-4CBD-A19E-671507857D1B}"/>
    <cellStyle name="20% - Accent5 4 3 3" xfId="6701" xr:uid="{CA2501A4-739E-4AE7-880C-C5EB1B532529}"/>
    <cellStyle name="20% - Accent5 4 3_DEO ADIT Unprotected" xfId="2542" xr:uid="{40052F17-AA76-49BB-A04D-1196D0616A68}"/>
    <cellStyle name="20% - Accent5 4 4" xfId="4184" xr:uid="{E5855A9E-6EB4-4CB7-8E13-D38F6F5444AF}"/>
    <cellStyle name="20% - Accent5 4 4 2" xfId="7564" xr:uid="{40659083-C0FB-4A87-AB93-205172CECF40}"/>
    <cellStyle name="20% - Accent5 4 5" xfId="5863" xr:uid="{B1A93C56-D259-44F4-8039-DE62CF59B028}"/>
    <cellStyle name="20% - Accent5 4_DEO ADIT Unprotected" xfId="2539" xr:uid="{7F3CCBE2-37D7-4C32-A487-675F9BD0329B}"/>
    <cellStyle name="20% - Accent5 5" xfId="1712" xr:uid="{00000000-0005-0000-0000-000061000000}"/>
    <cellStyle name="20% - Accent5 5 2" xfId="4962" xr:uid="{18BBD9B9-77E6-4DD0-827A-AFC609E8C8F8}"/>
    <cellStyle name="20% - Accent5 5 2 2" xfId="8342" xr:uid="{878B7ECC-4BC0-4DA8-86A4-9ECC7916180A}"/>
    <cellStyle name="20% - Accent5 5 3" xfId="6642" xr:uid="{683B79C0-712A-4187-B8DE-193D676F3976}"/>
    <cellStyle name="20% - Accent5 5_DEO ADIT Unprotected" xfId="2543" xr:uid="{C8A4889C-3806-4A14-9A0C-128858BF7F0E}"/>
    <cellStyle name="20% - Accent5 6" xfId="4125" xr:uid="{09844859-AF31-4AA9-8998-1B5C11C32B5A}"/>
    <cellStyle name="20% - Accent5 6 2" xfId="7505" xr:uid="{4B5BCF5A-B2E9-4459-9ED8-3427E56B8FFB}"/>
    <cellStyle name="20% - Accent5 7" xfId="5804" xr:uid="{6A1E322D-654B-4E33-8C05-AC941C88DE09}"/>
    <cellStyle name="20% - Accent5 8" xfId="7406" xr:uid="{920A47C1-DAE7-47AD-A22A-F7F8459CF2E4}"/>
    <cellStyle name="20% - Accent5 9" xfId="9103" xr:uid="{DCF5D641-D216-4027-9D46-782305C91417}"/>
    <cellStyle name="20% - Accent6" xfId="549" builtinId="50" customBuiltin="1"/>
    <cellStyle name="20% - Accent6 10" xfId="7394" xr:uid="{8C51A7C9-FCFB-4EAB-858B-9E77F13175F9}"/>
    <cellStyle name="20% - Accent6 2" xfId="631" xr:uid="{00000000-0005-0000-0000-000063000000}"/>
    <cellStyle name="20% - Accent6 2 2" xfId="632" xr:uid="{00000000-0005-0000-0000-000064000000}"/>
    <cellStyle name="20% - Accent6 2 2 2" xfId="633" xr:uid="{00000000-0005-0000-0000-000065000000}"/>
    <cellStyle name="20% - Accent6 2 2 2 2" xfId="634" xr:uid="{00000000-0005-0000-0000-000066000000}"/>
    <cellStyle name="20% - Accent6 2 2 2 2 2" xfId="1774" xr:uid="{00000000-0005-0000-0000-000067000000}"/>
    <cellStyle name="20% - Accent6 2 2 2 2 2 2" xfId="5024" xr:uid="{073BD7DA-1C59-4F7A-B773-2144B7DE63C1}"/>
    <cellStyle name="20% - Accent6 2 2 2 2 2 2 2" xfId="8404" xr:uid="{B9AD4E1B-D728-438E-9FF8-01B8CB215199}"/>
    <cellStyle name="20% - Accent6 2 2 2 2 2 3" xfId="6704" xr:uid="{86CBF6FB-4E61-4F5E-86AA-55D4AFC2B7A6}"/>
    <cellStyle name="20% - Accent6 2 2 2 2 2_DEO ADIT Unprotected" xfId="2548" xr:uid="{875F6570-5C36-4E10-8A69-7FA21223E102}"/>
    <cellStyle name="20% - Accent6 2 2 2 2 3" xfId="4187" xr:uid="{9099C24F-1014-4E6B-A091-B6444C65EB7A}"/>
    <cellStyle name="20% - Accent6 2 2 2 2 3 2" xfId="7567" xr:uid="{C1732AC7-C64F-4452-9EC0-EB0E9CC09B2B}"/>
    <cellStyle name="20% - Accent6 2 2 2 2 4" xfId="5866" xr:uid="{2B74A338-BBCB-4AF3-B5DC-BFC525CE7646}"/>
    <cellStyle name="20% - Accent6 2 2 2 2_DEO ADIT Unprotected" xfId="2547" xr:uid="{ADD9DED0-861B-4D1A-94C8-CEE87B2E159C}"/>
    <cellStyle name="20% - Accent6 2 2 2 3" xfId="1773" xr:uid="{00000000-0005-0000-0000-000068000000}"/>
    <cellStyle name="20% - Accent6 2 2 2 3 2" xfId="5023" xr:uid="{661AD3AE-44D8-4D2D-B169-D0C0BBF9AEFA}"/>
    <cellStyle name="20% - Accent6 2 2 2 3 2 2" xfId="8403" xr:uid="{0B2975DA-4F6E-4E3A-B529-BC3BFCF59A82}"/>
    <cellStyle name="20% - Accent6 2 2 2 3 3" xfId="6703" xr:uid="{D5CFA152-172F-4238-A1D3-DACC19DCDF4C}"/>
    <cellStyle name="20% - Accent6 2 2 2 3_DEO ADIT Unprotected" xfId="2549" xr:uid="{F8E4A3B0-BEEF-4742-B72F-B5C4C482E8BF}"/>
    <cellStyle name="20% - Accent6 2 2 2 4" xfId="4186" xr:uid="{500D3F82-B42C-4C4A-A4D4-9639D161F82E}"/>
    <cellStyle name="20% - Accent6 2 2 2 4 2" xfId="7566" xr:uid="{96FDCAE7-7C09-4DF5-89E0-2743875F230E}"/>
    <cellStyle name="20% - Accent6 2 2 2 5" xfId="5865" xr:uid="{E77DF9F1-FFA1-43D4-81B8-9632B9BC3AEA}"/>
    <cellStyle name="20% - Accent6 2 2 2_DEO ADIT Unprotected" xfId="2546" xr:uid="{43040284-1A6C-4B7F-B883-11C5DCEDFDE7}"/>
    <cellStyle name="20% - Accent6 2 2_DEO ADIT Unprotected" xfId="2545" xr:uid="{F309913C-A0B1-46EE-998A-0064DFFF772B}"/>
    <cellStyle name="20% - Accent6 2 3" xfId="635" xr:uid="{00000000-0005-0000-0000-000069000000}"/>
    <cellStyle name="20% - Accent6 2_DEO ADIT Unprotected" xfId="2544" xr:uid="{BFACDB3F-978F-4897-9C3A-43FC6D95E6BE}"/>
    <cellStyle name="20% - Accent6 3" xfId="636" xr:uid="{00000000-0005-0000-0000-00006A000000}"/>
    <cellStyle name="20% - Accent6 3 2" xfId="637" xr:uid="{00000000-0005-0000-0000-00006B000000}"/>
    <cellStyle name="20% - Accent6 3 2 2" xfId="638" xr:uid="{00000000-0005-0000-0000-00006C000000}"/>
    <cellStyle name="20% - Accent6 3 2 2 2" xfId="1776" xr:uid="{00000000-0005-0000-0000-00006D000000}"/>
    <cellStyle name="20% - Accent6 3 2 2 2 2" xfId="5026" xr:uid="{D29F8F38-23F8-4505-AF48-A7C3CD1BD615}"/>
    <cellStyle name="20% - Accent6 3 2 2 2 2 2" xfId="8406" xr:uid="{CA0CE742-BEEE-4ACD-8EFF-0230E343AAE9}"/>
    <cellStyle name="20% - Accent6 3 2 2 2 3" xfId="6706" xr:uid="{7B43C3F0-F270-4F4E-A73C-C1C32BE825C8}"/>
    <cellStyle name="20% - Accent6 3 2 2 2_DEO ADIT Unprotected" xfId="2553" xr:uid="{88548B35-E125-4933-B9F1-91E50D1AEF7D}"/>
    <cellStyle name="20% - Accent6 3 2 2 3" xfId="4189" xr:uid="{97A2B0EE-0DA0-4708-AECB-7FADAD371CD5}"/>
    <cellStyle name="20% - Accent6 3 2 2 3 2" xfId="7569" xr:uid="{939AF8C9-7D62-4144-82D5-53F1F9A28483}"/>
    <cellStyle name="20% - Accent6 3 2 2 4" xfId="5868" xr:uid="{E487BC1B-0EBD-4349-AA92-6F1EDA749268}"/>
    <cellStyle name="20% - Accent6 3 2 2_DEO ADIT Unprotected" xfId="2552" xr:uid="{6C4D8A1F-A3B5-4716-BA97-0A380BEB4AB8}"/>
    <cellStyle name="20% - Accent6 3 2 3" xfId="1775" xr:uid="{00000000-0005-0000-0000-00006E000000}"/>
    <cellStyle name="20% - Accent6 3 2 3 2" xfId="5025" xr:uid="{2E0AA9FA-D0D6-4357-AC2B-E1514E6F3768}"/>
    <cellStyle name="20% - Accent6 3 2 3 2 2" xfId="8405" xr:uid="{4EAC9391-ED97-4792-8D87-1D99CE5B40B2}"/>
    <cellStyle name="20% - Accent6 3 2 3 3" xfId="6705" xr:uid="{B063CCFF-0050-48CA-8FD6-03916D7A6B6F}"/>
    <cellStyle name="20% - Accent6 3 2 3_DEO ADIT Unprotected" xfId="2554" xr:uid="{76047039-A01F-49C5-B014-6860FFED48AA}"/>
    <cellStyle name="20% - Accent6 3 2 4" xfId="4188" xr:uid="{87EAAD58-1603-4EC3-901B-887031E03D1F}"/>
    <cellStyle name="20% - Accent6 3 2 4 2" xfId="7568" xr:uid="{DE8AA698-D10B-4B1F-95C9-D494D413FE5A}"/>
    <cellStyle name="20% - Accent6 3 2 5" xfId="5867" xr:uid="{058A95D7-5C3E-4642-94C7-EF7CDD584486}"/>
    <cellStyle name="20% - Accent6 3 2_DEO ADIT Unprotected" xfId="2551" xr:uid="{91D14C32-1016-4792-ABF4-E9ABC123495A}"/>
    <cellStyle name="20% - Accent6 3_DEO ADIT Unprotected" xfId="2550" xr:uid="{4A873AC2-4E20-4E52-9B34-1E12CF68FF5E}"/>
    <cellStyle name="20% - Accent6 4" xfId="639" xr:uid="{00000000-0005-0000-0000-00006F000000}"/>
    <cellStyle name="20% - Accent6 4 2" xfId="640" xr:uid="{00000000-0005-0000-0000-000070000000}"/>
    <cellStyle name="20% - Accent6 4 2 2" xfId="1778" xr:uid="{00000000-0005-0000-0000-000071000000}"/>
    <cellStyle name="20% - Accent6 4 2 2 2" xfId="5028" xr:uid="{D0E3669E-961E-4F4D-9D99-3960E5EDCC2B}"/>
    <cellStyle name="20% - Accent6 4 2 2 2 2" xfId="8408" xr:uid="{2BB8C5D5-DAE1-48E5-BA5D-A3946F130FA4}"/>
    <cellStyle name="20% - Accent6 4 2 2 3" xfId="6708" xr:uid="{D5ACA547-9A15-4CBD-8354-D60A03D01967}"/>
    <cellStyle name="20% - Accent6 4 2 2_DEO ADIT Unprotected" xfId="2557" xr:uid="{43906C3D-32D9-4C53-9F9B-77F9CF04C044}"/>
    <cellStyle name="20% - Accent6 4 2 3" xfId="4191" xr:uid="{C182C4CA-DF69-407C-A163-ACB2AD4FDF93}"/>
    <cellStyle name="20% - Accent6 4 2 3 2" xfId="7571" xr:uid="{904CC32D-EF1A-4D97-8A98-856771C16F75}"/>
    <cellStyle name="20% - Accent6 4 2 4" xfId="5870" xr:uid="{AE711209-F671-4311-845F-6563AEA6C8FD}"/>
    <cellStyle name="20% - Accent6 4 2_DEO ADIT Unprotected" xfId="2556" xr:uid="{2E672708-769F-40D5-AEA7-8DC4DD3F89B6}"/>
    <cellStyle name="20% - Accent6 4 3" xfId="1777" xr:uid="{00000000-0005-0000-0000-000072000000}"/>
    <cellStyle name="20% - Accent6 4 3 2" xfId="5027" xr:uid="{E87B5DD6-034C-4AFC-83B5-967E96E0AEBB}"/>
    <cellStyle name="20% - Accent6 4 3 2 2" xfId="8407" xr:uid="{EDE9D123-57F2-4FF0-85D9-A2EDA81C7EB8}"/>
    <cellStyle name="20% - Accent6 4 3 3" xfId="6707" xr:uid="{CC5E6039-D8DB-414E-8BE7-20BC839EBE8D}"/>
    <cellStyle name="20% - Accent6 4 3_DEO ADIT Unprotected" xfId="2558" xr:uid="{1A368919-71B8-420C-A0D8-0E3922921E4B}"/>
    <cellStyle name="20% - Accent6 4 4" xfId="4190" xr:uid="{C3034EBB-080A-4B8A-95AE-F1EE3720534D}"/>
    <cellStyle name="20% - Accent6 4 4 2" xfId="7570" xr:uid="{D1A2FB3D-F94D-4FBD-9D52-09D4EAAF0999}"/>
    <cellStyle name="20% - Accent6 4 5" xfId="5869" xr:uid="{D00A8037-0FF1-4BB6-AEF4-0A7889E87478}"/>
    <cellStyle name="20% - Accent6 4_DEO ADIT Unprotected" xfId="2555" xr:uid="{3ACA0E34-4922-4A8F-830F-3C8EDCFF733F}"/>
    <cellStyle name="20% - Accent6 5" xfId="1714" xr:uid="{00000000-0005-0000-0000-000073000000}"/>
    <cellStyle name="20% - Accent6 5 2" xfId="4964" xr:uid="{27D4DBF9-D08C-4067-BDB0-6A8A37F65F72}"/>
    <cellStyle name="20% - Accent6 5 2 2" xfId="8344" xr:uid="{945123E5-ABBC-4433-BBA7-F628DD4BAD81}"/>
    <cellStyle name="20% - Accent6 5 3" xfId="6644" xr:uid="{A0AD68E2-5EF6-4144-9586-74F99F67EDC9}"/>
    <cellStyle name="20% - Accent6 5_DEO ADIT Unprotected" xfId="2559" xr:uid="{5CFA243D-D6BC-4DFE-92A0-2CD4A39764F3}"/>
    <cellStyle name="20% - Accent6 6" xfId="4127" xr:uid="{D39D1D76-C855-4248-A181-329CCA53F7AA}"/>
    <cellStyle name="20% - Accent6 6 2" xfId="7507" xr:uid="{DB3033EA-D1C3-4CB4-BDC9-FABC791F6207}"/>
    <cellStyle name="20% - Accent6 7" xfId="5806" xr:uid="{0A2668DA-58FB-44E4-95C9-3AA31559119B}"/>
    <cellStyle name="20% - Accent6 8" xfId="7402" xr:uid="{845961A5-470C-4292-BFCF-B94322B1A9EC}"/>
    <cellStyle name="20% - Accent6 9" xfId="9093" xr:uid="{8E38DF21-639D-4C91-BD40-D562C2FF34A2}"/>
    <cellStyle name="40% - Accent1" xfId="530" builtinId="31" customBuiltin="1"/>
    <cellStyle name="40% - Accent1 10" xfId="9101" xr:uid="{482693E8-9948-43F8-B65E-F6B75C0D8AD0}"/>
    <cellStyle name="40% - Accent1 2" xfId="641" xr:uid="{00000000-0005-0000-0000-000075000000}"/>
    <cellStyle name="40% - Accent1 2 2" xfId="642" xr:uid="{00000000-0005-0000-0000-000076000000}"/>
    <cellStyle name="40% - Accent1 2 2 2" xfId="643" xr:uid="{00000000-0005-0000-0000-000077000000}"/>
    <cellStyle name="40% - Accent1 2 2 2 2" xfId="644" xr:uid="{00000000-0005-0000-0000-000078000000}"/>
    <cellStyle name="40% - Accent1 2 2 2 2 2" xfId="1780" xr:uid="{00000000-0005-0000-0000-000079000000}"/>
    <cellStyle name="40% - Accent1 2 2 2 2 2 2" xfId="5030" xr:uid="{DB59C5CD-93B1-40F6-8D79-507133D7AADB}"/>
    <cellStyle name="40% - Accent1 2 2 2 2 2 2 2" xfId="8410" xr:uid="{8D493A99-C72D-4410-90B2-BEC98CD8DC87}"/>
    <cellStyle name="40% - Accent1 2 2 2 2 2 3" xfId="6710" xr:uid="{B043FE78-1DCB-4ABF-8BC6-20EB8CA515FC}"/>
    <cellStyle name="40% - Accent1 2 2 2 2 2_DEO ADIT Unprotected" xfId="2564" xr:uid="{83AB4E3E-7862-43A0-9F9D-D5EDB543FAFE}"/>
    <cellStyle name="40% - Accent1 2 2 2 2 3" xfId="4193" xr:uid="{5408DCC9-4195-4FDC-9458-7FD56C4B8514}"/>
    <cellStyle name="40% - Accent1 2 2 2 2 3 2" xfId="7573" xr:uid="{9837FE29-94B0-4964-B8E5-F74DE235A057}"/>
    <cellStyle name="40% - Accent1 2 2 2 2 4" xfId="5872" xr:uid="{A766BD49-12F3-4E96-A6CA-D6CB6E97425C}"/>
    <cellStyle name="40% - Accent1 2 2 2 2_DEO ADIT Unprotected" xfId="2563" xr:uid="{7C2D8A4D-A322-4AE4-A174-82059C819E14}"/>
    <cellStyle name="40% - Accent1 2 2 2 3" xfId="1779" xr:uid="{00000000-0005-0000-0000-00007A000000}"/>
    <cellStyle name="40% - Accent1 2 2 2 3 2" xfId="5029" xr:uid="{C5BB02DD-9E7B-407F-8E1F-569D190A682F}"/>
    <cellStyle name="40% - Accent1 2 2 2 3 2 2" xfId="8409" xr:uid="{8F3F3A51-0EC1-4BFB-9A42-23A18BD92750}"/>
    <cellStyle name="40% - Accent1 2 2 2 3 3" xfId="6709" xr:uid="{1C6D1B5C-D97E-49AF-8E0A-7A0107EE5C5E}"/>
    <cellStyle name="40% - Accent1 2 2 2 3_DEO ADIT Unprotected" xfId="2565" xr:uid="{2B3B28E3-201A-4F81-9EE7-1AE74F036CDF}"/>
    <cellStyle name="40% - Accent1 2 2 2 4" xfId="4192" xr:uid="{5616DD92-DD39-4515-9200-8EC56C4DCEB2}"/>
    <cellStyle name="40% - Accent1 2 2 2 4 2" xfId="7572" xr:uid="{7928CF19-E11C-4EF1-B900-7AACC14A11B3}"/>
    <cellStyle name="40% - Accent1 2 2 2 5" xfId="5871" xr:uid="{14CD45FE-CF61-471F-AB45-5FE63E32DD4E}"/>
    <cellStyle name="40% - Accent1 2 2 2_DEO ADIT Unprotected" xfId="2562" xr:uid="{81C20DBD-158D-40C3-A139-81841D9977C5}"/>
    <cellStyle name="40% - Accent1 2 2_DEO ADIT Unprotected" xfId="2561" xr:uid="{F939CD5A-A4BF-47EC-B44A-81E8583F4B7D}"/>
    <cellStyle name="40% - Accent1 2 3" xfId="645" xr:uid="{00000000-0005-0000-0000-00007B000000}"/>
    <cellStyle name="40% - Accent1 2_DEO ADIT Unprotected" xfId="2560" xr:uid="{CF4C31DF-6245-4133-8471-CE0B28770667}"/>
    <cellStyle name="40% - Accent1 3" xfId="646" xr:uid="{00000000-0005-0000-0000-00007C000000}"/>
    <cellStyle name="40% - Accent1 3 2" xfId="647" xr:uid="{00000000-0005-0000-0000-00007D000000}"/>
    <cellStyle name="40% - Accent1 3 2 2" xfId="648" xr:uid="{00000000-0005-0000-0000-00007E000000}"/>
    <cellStyle name="40% - Accent1 3 2 2 2" xfId="1782" xr:uid="{00000000-0005-0000-0000-00007F000000}"/>
    <cellStyle name="40% - Accent1 3 2 2 2 2" xfId="5032" xr:uid="{0D83A7C3-D821-4D9C-A6AD-6845244A812A}"/>
    <cellStyle name="40% - Accent1 3 2 2 2 2 2" xfId="8412" xr:uid="{130F1A6C-3AC6-453B-B82B-DF3480076D39}"/>
    <cellStyle name="40% - Accent1 3 2 2 2 3" xfId="6712" xr:uid="{93D5ED36-55D3-4643-B433-F8250451D01C}"/>
    <cellStyle name="40% - Accent1 3 2 2 2_DEO ADIT Unprotected" xfId="2569" xr:uid="{4079178F-2847-4350-AAD6-55C440072B66}"/>
    <cellStyle name="40% - Accent1 3 2 2 3" xfId="4195" xr:uid="{E4E4C01D-216C-4828-A8CE-C05A26E8289B}"/>
    <cellStyle name="40% - Accent1 3 2 2 3 2" xfId="7575" xr:uid="{B5424F18-135E-43EF-BCF5-5813A6D8D298}"/>
    <cellStyle name="40% - Accent1 3 2 2 4" xfId="5874" xr:uid="{707FB70F-62CB-4773-9097-00AC56C0CFAA}"/>
    <cellStyle name="40% - Accent1 3 2 2_DEO ADIT Unprotected" xfId="2568" xr:uid="{36C5E3A3-28E2-4336-97AA-A6E99B47599C}"/>
    <cellStyle name="40% - Accent1 3 2 3" xfId="1781" xr:uid="{00000000-0005-0000-0000-000080000000}"/>
    <cellStyle name="40% - Accent1 3 2 3 2" xfId="5031" xr:uid="{DE9613E1-E772-48AF-B179-CAE2E0223EB8}"/>
    <cellStyle name="40% - Accent1 3 2 3 2 2" xfId="8411" xr:uid="{B24D64DF-FE49-44D9-93A2-3C4ADF82A639}"/>
    <cellStyle name="40% - Accent1 3 2 3 3" xfId="6711" xr:uid="{2CEE9E93-4484-4C40-A06B-3B34E52A2B74}"/>
    <cellStyle name="40% - Accent1 3 2 3_DEO ADIT Unprotected" xfId="2570" xr:uid="{825B3BEC-A066-46E3-A4A4-3D7ED82C3386}"/>
    <cellStyle name="40% - Accent1 3 2 4" xfId="4194" xr:uid="{4CD08253-E70D-489B-B2DF-AD3852E66FB7}"/>
    <cellStyle name="40% - Accent1 3 2 4 2" xfId="7574" xr:uid="{D32C5486-1C81-4A34-9617-13B186F2132A}"/>
    <cellStyle name="40% - Accent1 3 2 5" xfId="5873" xr:uid="{746FA7B7-76D2-4FEA-AB40-6A5859F9A50E}"/>
    <cellStyle name="40% - Accent1 3 2_DEO ADIT Unprotected" xfId="2567" xr:uid="{54D0D37E-981E-495C-A311-3B5BE0E805A3}"/>
    <cellStyle name="40% - Accent1 3_DEO ADIT Unprotected" xfId="2566" xr:uid="{34F900CF-49F3-4068-906B-C6BB18ACC53B}"/>
    <cellStyle name="40% - Accent1 4" xfId="649" xr:uid="{00000000-0005-0000-0000-000081000000}"/>
    <cellStyle name="40% - Accent1 4 2" xfId="650" xr:uid="{00000000-0005-0000-0000-000082000000}"/>
    <cellStyle name="40% - Accent1 4 2 2" xfId="1784" xr:uid="{00000000-0005-0000-0000-000083000000}"/>
    <cellStyle name="40% - Accent1 4 2 2 2" xfId="5034" xr:uid="{FF040EC5-56C9-4BF7-BB62-7E795E9251F8}"/>
    <cellStyle name="40% - Accent1 4 2 2 2 2" xfId="8414" xr:uid="{5199C66B-08E4-490F-A998-037A2E6991FB}"/>
    <cellStyle name="40% - Accent1 4 2 2 3" xfId="6714" xr:uid="{A44157DF-E8A8-4019-A5D8-1AA8AC99F50F}"/>
    <cellStyle name="40% - Accent1 4 2 2_DEO ADIT Unprotected" xfId="2573" xr:uid="{A1816D70-C7E1-4A0D-818D-0BC017E61810}"/>
    <cellStyle name="40% - Accent1 4 2 3" xfId="4197" xr:uid="{83051D2C-06D9-4FE2-9F16-C5AEE21B5B9D}"/>
    <cellStyle name="40% - Accent1 4 2 3 2" xfId="7577" xr:uid="{2E253FFF-217C-42E2-9AC5-DB0E76DBB046}"/>
    <cellStyle name="40% - Accent1 4 2 4" xfId="5876" xr:uid="{561D971C-15F2-4C60-81EC-D7E6554AB909}"/>
    <cellStyle name="40% - Accent1 4 2_DEO ADIT Unprotected" xfId="2572" xr:uid="{4354D7A4-1CC8-4E05-8597-5B8FBDAC7770}"/>
    <cellStyle name="40% - Accent1 4 3" xfId="1783" xr:uid="{00000000-0005-0000-0000-000084000000}"/>
    <cellStyle name="40% - Accent1 4 3 2" xfId="5033" xr:uid="{2257AFBF-600D-4334-9E6C-997CD220685D}"/>
    <cellStyle name="40% - Accent1 4 3 2 2" xfId="8413" xr:uid="{328397E7-39A6-4A4C-BCFA-6C3699ACE1E7}"/>
    <cellStyle name="40% - Accent1 4 3 3" xfId="6713" xr:uid="{9AA9955F-27E8-435B-9525-CC211B43B317}"/>
    <cellStyle name="40% - Accent1 4 3_DEO ADIT Unprotected" xfId="2574" xr:uid="{4349298F-F39D-47D8-9CD3-01D3CB96A17C}"/>
    <cellStyle name="40% - Accent1 4 4" xfId="4196" xr:uid="{70D0658D-CA2F-4333-BAC5-B6750708EA99}"/>
    <cellStyle name="40% - Accent1 4 4 2" xfId="7576" xr:uid="{73B555A2-9A4C-446D-9429-2460295951F8}"/>
    <cellStyle name="40% - Accent1 4 5" xfId="5875" xr:uid="{9F358BA3-327E-4243-8AC7-5F706E0AD00D}"/>
    <cellStyle name="40% - Accent1 4_DEO ADIT Unprotected" xfId="2571" xr:uid="{D4DF145D-A3F3-494B-A50C-E87BFDFAD949}"/>
    <cellStyle name="40% - Accent1 5" xfId="1705" xr:uid="{00000000-0005-0000-0000-000085000000}"/>
    <cellStyle name="40% - Accent1 5 2" xfId="4955" xr:uid="{0165E3B2-DD52-4006-B4D6-1C18241A9BA5}"/>
    <cellStyle name="40% - Accent1 5 2 2" xfId="8335" xr:uid="{F31A5763-3C59-457C-B3C8-418D49DC7C6B}"/>
    <cellStyle name="40% - Accent1 5 3" xfId="6635" xr:uid="{D96E490B-4EC5-4BB7-80AA-4FA2A65B2C7A}"/>
    <cellStyle name="40% - Accent1 5_DEO ADIT Unprotected" xfId="2575" xr:uid="{65B54BE8-DCD9-4ED6-BE31-0E01897249F6}"/>
    <cellStyle name="40% - Accent1 6" xfId="4118" xr:uid="{66DD8BE9-3E81-4D29-AA92-464106BE24BA}"/>
    <cellStyle name="40% - Accent1 6 2" xfId="7498" xr:uid="{C1BE0839-6747-4856-8227-2B9C3EA52850}"/>
    <cellStyle name="40% - Accent1 7" xfId="5797" xr:uid="{EB67A6EF-1A50-4291-9035-6AD77E1F3D31}"/>
    <cellStyle name="40% - Accent1 8" xfId="7414" xr:uid="{4BABDDF3-A2D9-41AF-87BE-1A5651CF5864}"/>
    <cellStyle name="40% - Accent1 9" xfId="9096" xr:uid="{4E2179C1-C9B2-424B-B823-3BBB024E84D6}"/>
    <cellStyle name="40% - Accent2" xfId="534" builtinId="35" customBuiltin="1"/>
    <cellStyle name="40% - Accent2 10" xfId="5721" xr:uid="{394CFEC3-A437-4846-A2AE-F39BFAE15C2A}"/>
    <cellStyle name="40% - Accent2 2" xfId="651" xr:uid="{00000000-0005-0000-0000-000087000000}"/>
    <cellStyle name="40% - Accent2 2 2" xfId="652" xr:uid="{00000000-0005-0000-0000-000088000000}"/>
    <cellStyle name="40% - Accent2 2 2 2" xfId="653" xr:uid="{00000000-0005-0000-0000-000089000000}"/>
    <cellStyle name="40% - Accent2 2 2 2 2" xfId="654" xr:uid="{00000000-0005-0000-0000-00008A000000}"/>
    <cellStyle name="40% - Accent2 2 2 2 2 2" xfId="1786" xr:uid="{00000000-0005-0000-0000-00008B000000}"/>
    <cellStyle name="40% - Accent2 2 2 2 2 2 2" xfId="5036" xr:uid="{9444FF85-6B02-406B-9BB8-E8EC187A7869}"/>
    <cellStyle name="40% - Accent2 2 2 2 2 2 2 2" xfId="8416" xr:uid="{FC6EE748-5FB2-4B2F-B4FC-4E3B57C76C87}"/>
    <cellStyle name="40% - Accent2 2 2 2 2 2 3" xfId="6716" xr:uid="{FA35DC97-F49D-4DD1-BDBF-C968C0FA922F}"/>
    <cellStyle name="40% - Accent2 2 2 2 2 2_DEO ADIT Unprotected" xfId="2580" xr:uid="{C1786E64-DCC2-476E-848C-43E41095AC96}"/>
    <cellStyle name="40% - Accent2 2 2 2 2 3" xfId="4199" xr:uid="{0D860B0E-6BF1-4EB6-B94E-B04FFE9F280F}"/>
    <cellStyle name="40% - Accent2 2 2 2 2 3 2" xfId="7579" xr:uid="{C5EE4E73-F3B4-46E3-822B-31D94FAE0F32}"/>
    <cellStyle name="40% - Accent2 2 2 2 2 4" xfId="5878" xr:uid="{D69A2E1D-5EA7-44FF-9AD4-7BD243156944}"/>
    <cellStyle name="40% - Accent2 2 2 2 2_DEO ADIT Unprotected" xfId="2579" xr:uid="{7F122CAA-394A-4E34-AFF2-29DF0136F227}"/>
    <cellStyle name="40% - Accent2 2 2 2 3" xfId="1785" xr:uid="{00000000-0005-0000-0000-00008C000000}"/>
    <cellStyle name="40% - Accent2 2 2 2 3 2" xfId="5035" xr:uid="{779252C2-A76F-4E70-BF63-B3CD8AB89C56}"/>
    <cellStyle name="40% - Accent2 2 2 2 3 2 2" xfId="8415" xr:uid="{8342F2C8-134E-449A-BDB9-15ACDA3BED58}"/>
    <cellStyle name="40% - Accent2 2 2 2 3 3" xfId="6715" xr:uid="{16556460-4BC5-4325-9684-22E928A6FCAE}"/>
    <cellStyle name="40% - Accent2 2 2 2 3_DEO ADIT Unprotected" xfId="2581" xr:uid="{D247A1A2-0052-46D2-901B-F791D4F2F77B}"/>
    <cellStyle name="40% - Accent2 2 2 2 4" xfId="4198" xr:uid="{FFCFA799-6F27-4F7D-B0C6-CB123751B9CD}"/>
    <cellStyle name="40% - Accent2 2 2 2 4 2" xfId="7578" xr:uid="{CE785163-2018-4BCA-B0A3-AA9D422C3874}"/>
    <cellStyle name="40% - Accent2 2 2 2 5" xfId="5877" xr:uid="{43311901-84A3-4EDC-97E1-5F6AD79C012A}"/>
    <cellStyle name="40% - Accent2 2 2 2_DEO ADIT Unprotected" xfId="2578" xr:uid="{BBBBF921-A08B-4977-985F-53971FD8416B}"/>
    <cellStyle name="40% - Accent2 2 2_DEO ADIT Unprotected" xfId="2577" xr:uid="{DB7EBD47-8320-4DFC-BC76-921B645DCDBC}"/>
    <cellStyle name="40% - Accent2 2 3" xfId="655" xr:uid="{00000000-0005-0000-0000-00008D000000}"/>
    <cellStyle name="40% - Accent2 2_DEO ADIT Unprotected" xfId="2576" xr:uid="{3C13DF69-AB22-445C-ADDD-0726FB9CEE80}"/>
    <cellStyle name="40% - Accent2 3" xfId="656" xr:uid="{00000000-0005-0000-0000-00008E000000}"/>
    <cellStyle name="40% - Accent2 3 2" xfId="657" xr:uid="{00000000-0005-0000-0000-00008F000000}"/>
    <cellStyle name="40% - Accent2 3 2 2" xfId="658" xr:uid="{00000000-0005-0000-0000-000090000000}"/>
    <cellStyle name="40% - Accent2 3 2 2 2" xfId="1788" xr:uid="{00000000-0005-0000-0000-000091000000}"/>
    <cellStyle name="40% - Accent2 3 2 2 2 2" xfId="5038" xr:uid="{F92BF197-5EFE-4945-B589-67752ECCB14A}"/>
    <cellStyle name="40% - Accent2 3 2 2 2 2 2" xfId="8418" xr:uid="{4F53414E-2B9D-4539-AE29-CEA4BE25F111}"/>
    <cellStyle name="40% - Accent2 3 2 2 2 3" xfId="6718" xr:uid="{74A16C1F-5A20-49A8-A715-B9347AFEFC63}"/>
    <cellStyle name="40% - Accent2 3 2 2 2_DEO ADIT Unprotected" xfId="2585" xr:uid="{FB4AB72A-1BFD-4EDF-8062-87CEF13EFAF4}"/>
    <cellStyle name="40% - Accent2 3 2 2 3" xfId="4201" xr:uid="{5C05E0CB-3766-4001-8D35-BA43D67CDEE7}"/>
    <cellStyle name="40% - Accent2 3 2 2 3 2" xfId="7581" xr:uid="{51EBCDE7-2BE3-40E9-A16A-6B86B132AA61}"/>
    <cellStyle name="40% - Accent2 3 2 2 4" xfId="5880" xr:uid="{327EDF43-34A3-4F36-9934-1AC8199D0243}"/>
    <cellStyle name="40% - Accent2 3 2 2_DEO ADIT Unprotected" xfId="2584" xr:uid="{99181E6C-6B0D-49E4-8E83-E8A74BEFF4CF}"/>
    <cellStyle name="40% - Accent2 3 2 3" xfId="1787" xr:uid="{00000000-0005-0000-0000-000092000000}"/>
    <cellStyle name="40% - Accent2 3 2 3 2" xfId="5037" xr:uid="{B2469939-1E9D-4C8C-A42B-31E291CE3C0C}"/>
    <cellStyle name="40% - Accent2 3 2 3 2 2" xfId="8417" xr:uid="{62BBB52F-2996-45E9-A1D0-E2CAD4E4A721}"/>
    <cellStyle name="40% - Accent2 3 2 3 3" xfId="6717" xr:uid="{9174589C-0BE9-4CC2-8CD8-CA33D45A559E}"/>
    <cellStyle name="40% - Accent2 3 2 3_DEO ADIT Unprotected" xfId="2586" xr:uid="{0AEA30DE-8A49-409B-A56E-01185F5AAC3E}"/>
    <cellStyle name="40% - Accent2 3 2 4" xfId="4200" xr:uid="{03592209-1497-475F-8288-D0480FF6DB35}"/>
    <cellStyle name="40% - Accent2 3 2 4 2" xfId="7580" xr:uid="{2E428937-E210-4851-B000-90FD51F09074}"/>
    <cellStyle name="40% - Accent2 3 2 5" xfId="5879" xr:uid="{78029AA4-C85C-42E3-9274-A5635AB22F32}"/>
    <cellStyle name="40% - Accent2 3 2_DEO ADIT Unprotected" xfId="2583" xr:uid="{27A8449A-3FA2-47D9-BB73-DD6C61A839A8}"/>
    <cellStyle name="40% - Accent2 3_DEO ADIT Unprotected" xfId="2582" xr:uid="{4CD11600-BACC-4213-A0B9-7437A37A6125}"/>
    <cellStyle name="40% - Accent2 4" xfId="659" xr:uid="{00000000-0005-0000-0000-000093000000}"/>
    <cellStyle name="40% - Accent2 4 2" xfId="660" xr:uid="{00000000-0005-0000-0000-000094000000}"/>
    <cellStyle name="40% - Accent2 4 2 2" xfId="1790" xr:uid="{00000000-0005-0000-0000-000095000000}"/>
    <cellStyle name="40% - Accent2 4 2 2 2" xfId="5040" xr:uid="{BEBE9EA4-D4EA-4E9C-95DB-285D389C3231}"/>
    <cellStyle name="40% - Accent2 4 2 2 2 2" xfId="8420" xr:uid="{7DF34CE4-A135-4F4C-8F85-A1D48082A7EA}"/>
    <cellStyle name="40% - Accent2 4 2 2 3" xfId="6720" xr:uid="{757F1D4C-2184-4572-8EF9-793FB8ABD8C2}"/>
    <cellStyle name="40% - Accent2 4 2 2_DEO ADIT Unprotected" xfId="2589" xr:uid="{7DC84300-70E8-4E77-B9CB-5F5045078263}"/>
    <cellStyle name="40% - Accent2 4 2 3" xfId="4203" xr:uid="{E3D0A10F-F848-4E18-B75F-387B498B4FB9}"/>
    <cellStyle name="40% - Accent2 4 2 3 2" xfId="7583" xr:uid="{496806D9-468C-4D1D-8F28-628E492C898D}"/>
    <cellStyle name="40% - Accent2 4 2 4" xfId="5882" xr:uid="{37986FB3-1ACA-44CF-90AF-0D1177D952DC}"/>
    <cellStyle name="40% - Accent2 4 2_DEO ADIT Unprotected" xfId="2588" xr:uid="{5FA65CF7-9A20-440B-BE7E-9C3C792DA0C9}"/>
    <cellStyle name="40% - Accent2 4 3" xfId="1789" xr:uid="{00000000-0005-0000-0000-000096000000}"/>
    <cellStyle name="40% - Accent2 4 3 2" xfId="5039" xr:uid="{A5B5E26C-F61B-4A1D-988B-52416041A991}"/>
    <cellStyle name="40% - Accent2 4 3 2 2" xfId="8419" xr:uid="{647D4909-5133-4B23-9942-F171DE3E7180}"/>
    <cellStyle name="40% - Accent2 4 3 3" xfId="6719" xr:uid="{39295171-79F3-47F0-87C0-22FF767F2B9C}"/>
    <cellStyle name="40% - Accent2 4 3_DEO ADIT Unprotected" xfId="2590" xr:uid="{DAD8A612-DF4F-4FA8-B368-53445495FA7B}"/>
    <cellStyle name="40% - Accent2 4 4" xfId="4202" xr:uid="{42F57E1A-A48C-4744-A2FD-C5D435F57C79}"/>
    <cellStyle name="40% - Accent2 4 4 2" xfId="7582" xr:uid="{7246BB3C-C3FF-4092-BB9A-87562C1821D0}"/>
    <cellStyle name="40% - Accent2 4 5" xfId="5881" xr:uid="{24252431-17F8-4B02-8FD4-948C9AAB1933}"/>
    <cellStyle name="40% - Accent2 4_DEO ADIT Unprotected" xfId="2587" xr:uid="{27E569AD-0C8E-4E0B-9731-A264338836AA}"/>
    <cellStyle name="40% - Accent2 5" xfId="1707" xr:uid="{00000000-0005-0000-0000-000097000000}"/>
    <cellStyle name="40% - Accent2 5 2" xfId="4957" xr:uid="{E5196F51-5430-4666-9B0E-2744EC8A162B}"/>
    <cellStyle name="40% - Accent2 5 2 2" xfId="8337" xr:uid="{1B301088-07EB-41BA-8220-EFB23E020DB1}"/>
    <cellStyle name="40% - Accent2 5 3" xfId="6637" xr:uid="{C6F8A1CF-8234-416C-A23B-82FE7024AAD3}"/>
    <cellStyle name="40% - Accent2 5_DEO ADIT Unprotected" xfId="2591" xr:uid="{945327EE-BAB5-4A1F-99D4-429F399657F4}"/>
    <cellStyle name="40% - Accent2 6" xfId="4120" xr:uid="{2339D191-F5CD-45A6-BCB1-809C29B819EE}"/>
    <cellStyle name="40% - Accent2 6 2" xfId="7500" xr:uid="{5BF1F861-03F7-4318-8CC8-6520147AC871}"/>
    <cellStyle name="40% - Accent2 7" xfId="5799" xr:uid="{E6F76AD1-0CCC-4503-B4CF-016CF27683F2}"/>
    <cellStyle name="40% - Accent2 8" xfId="7412" xr:uid="{986EFE0A-DE7B-449C-A446-1F3A095F5D5D}"/>
    <cellStyle name="40% - Accent2 9" xfId="9111" xr:uid="{9245F412-DE21-4E88-BC24-782629502283}"/>
    <cellStyle name="40% - Accent3" xfId="538" builtinId="39" customBuiltin="1"/>
    <cellStyle name="40% - Accent3 10" xfId="9098" xr:uid="{DDC6A00F-F8F2-4B2C-AEB9-B88F8D064201}"/>
    <cellStyle name="40% - Accent3 2" xfId="661" xr:uid="{00000000-0005-0000-0000-000099000000}"/>
    <cellStyle name="40% - Accent3 2 2" xfId="662" xr:uid="{00000000-0005-0000-0000-00009A000000}"/>
    <cellStyle name="40% - Accent3 2 2 2" xfId="663" xr:uid="{00000000-0005-0000-0000-00009B000000}"/>
    <cellStyle name="40% - Accent3 2 2 2 2" xfId="664" xr:uid="{00000000-0005-0000-0000-00009C000000}"/>
    <cellStyle name="40% - Accent3 2 2 2 2 2" xfId="1792" xr:uid="{00000000-0005-0000-0000-00009D000000}"/>
    <cellStyle name="40% - Accent3 2 2 2 2 2 2" xfId="5042" xr:uid="{7E03ADF2-B8FA-4C69-81D7-4BCD6B9FA1A8}"/>
    <cellStyle name="40% - Accent3 2 2 2 2 2 2 2" xfId="8422" xr:uid="{E20C831E-C30A-4D4C-9C3C-32CBFBA3466B}"/>
    <cellStyle name="40% - Accent3 2 2 2 2 2 3" xfId="6722" xr:uid="{4E914398-A12D-43E7-A846-95C29A8140D4}"/>
    <cellStyle name="40% - Accent3 2 2 2 2 2_DEO ADIT Unprotected" xfId="2596" xr:uid="{7932D1A4-C0C2-4E1B-94D5-F792BEF1EE0B}"/>
    <cellStyle name="40% - Accent3 2 2 2 2 3" xfId="4205" xr:uid="{27D95515-7623-43B4-9812-B340944C7660}"/>
    <cellStyle name="40% - Accent3 2 2 2 2 3 2" xfId="7585" xr:uid="{FBA65AAB-F6AB-4114-9D51-4CA576881E0B}"/>
    <cellStyle name="40% - Accent3 2 2 2 2 4" xfId="5884" xr:uid="{60CA85A9-05E7-453E-9DC5-D8F1FFC53471}"/>
    <cellStyle name="40% - Accent3 2 2 2 2_DEO ADIT Unprotected" xfId="2595" xr:uid="{BED38808-0A4E-4CD4-A102-49E705D08AA1}"/>
    <cellStyle name="40% - Accent3 2 2 2 3" xfId="1791" xr:uid="{00000000-0005-0000-0000-00009E000000}"/>
    <cellStyle name="40% - Accent3 2 2 2 3 2" xfId="5041" xr:uid="{794E927F-DDE2-4C80-B63A-93BA05D6D36A}"/>
    <cellStyle name="40% - Accent3 2 2 2 3 2 2" xfId="8421" xr:uid="{9260D171-128B-44DB-9A24-D4EEF3D41186}"/>
    <cellStyle name="40% - Accent3 2 2 2 3 3" xfId="6721" xr:uid="{185D0386-B6C9-4043-AAC2-84A187D52E69}"/>
    <cellStyle name="40% - Accent3 2 2 2 3_DEO ADIT Unprotected" xfId="2597" xr:uid="{674DD770-275E-4D70-B7BB-50FCAE773B18}"/>
    <cellStyle name="40% - Accent3 2 2 2 4" xfId="4204" xr:uid="{C859E78D-B201-4B58-841B-3FD03A66FFE0}"/>
    <cellStyle name="40% - Accent3 2 2 2 4 2" xfId="7584" xr:uid="{3DF5705C-FA87-48D1-9101-367B7BA093F8}"/>
    <cellStyle name="40% - Accent3 2 2 2 5" xfId="5883" xr:uid="{2C863614-2F3F-40B3-899C-C50F2B5A29D6}"/>
    <cellStyle name="40% - Accent3 2 2 2_DEO ADIT Unprotected" xfId="2594" xr:uid="{BF5505C8-022B-491B-A626-858F5D2CEA23}"/>
    <cellStyle name="40% - Accent3 2 2_DEO ADIT Unprotected" xfId="2593" xr:uid="{F29A35A9-040C-4B30-B13D-9E38243407FC}"/>
    <cellStyle name="40% - Accent3 2 3" xfId="665" xr:uid="{00000000-0005-0000-0000-00009F000000}"/>
    <cellStyle name="40% - Accent3 2_DEO ADIT Unprotected" xfId="2592" xr:uid="{5E223A50-2D83-4FBD-B3EB-9FCE0D47AA10}"/>
    <cellStyle name="40% - Accent3 3" xfId="666" xr:uid="{00000000-0005-0000-0000-0000A0000000}"/>
    <cellStyle name="40% - Accent3 3 2" xfId="667" xr:uid="{00000000-0005-0000-0000-0000A1000000}"/>
    <cellStyle name="40% - Accent3 3 2 2" xfId="668" xr:uid="{00000000-0005-0000-0000-0000A2000000}"/>
    <cellStyle name="40% - Accent3 3 2 2 2" xfId="1794" xr:uid="{00000000-0005-0000-0000-0000A3000000}"/>
    <cellStyle name="40% - Accent3 3 2 2 2 2" xfId="5044" xr:uid="{EDE6594F-0223-4670-A1A7-EA2F9817636C}"/>
    <cellStyle name="40% - Accent3 3 2 2 2 2 2" xfId="8424" xr:uid="{507BB588-4623-478B-A954-A9C6A2A308EF}"/>
    <cellStyle name="40% - Accent3 3 2 2 2 3" xfId="6724" xr:uid="{9F788DAC-48F2-4CB4-A7C6-0A4FEF60CA41}"/>
    <cellStyle name="40% - Accent3 3 2 2 2_DEO ADIT Unprotected" xfId="2601" xr:uid="{3A4BA142-D713-4F1D-8CE7-1CB4F4678647}"/>
    <cellStyle name="40% - Accent3 3 2 2 3" xfId="4207" xr:uid="{61C76966-4E74-4F5A-A149-093EA73FF364}"/>
    <cellStyle name="40% - Accent3 3 2 2 3 2" xfId="7587" xr:uid="{D02214A5-0261-4A3C-AC30-8C450FDDDD13}"/>
    <cellStyle name="40% - Accent3 3 2 2 4" xfId="5886" xr:uid="{240E65A1-AEAB-49FC-B478-B30EB2570D07}"/>
    <cellStyle name="40% - Accent3 3 2 2_DEO ADIT Unprotected" xfId="2600" xr:uid="{F5CD159E-8AEE-44D8-BDE5-2038A3E3FBB5}"/>
    <cellStyle name="40% - Accent3 3 2 3" xfId="1793" xr:uid="{00000000-0005-0000-0000-0000A4000000}"/>
    <cellStyle name="40% - Accent3 3 2 3 2" xfId="5043" xr:uid="{73CBC24A-1183-4B23-BCD9-9BABB27C04CB}"/>
    <cellStyle name="40% - Accent3 3 2 3 2 2" xfId="8423" xr:uid="{4F6C34DF-3073-4812-A3A6-BE532C6DC7C8}"/>
    <cellStyle name="40% - Accent3 3 2 3 3" xfId="6723" xr:uid="{26F9A48C-8F72-4F19-AE85-CD7937AE4B7D}"/>
    <cellStyle name="40% - Accent3 3 2 3_DEO ADIT Unprotected" xfId="2602" xr:uid="{546C941C-51D2-414B-9C67-77AA4517C632}"/>
    <cellStyle name="40% - Accent3 3 2 4" xfId="4206" xr:uid="{0C09F045-5034-4AC0-8068-73DEB3DEE837}"/>
    <cellStyle name="40% - Accent3 3 2 4 2" xfId="7586" xr:uid="{EC18EEE1-6357-4545-8AAA-D93DE817F77B}"/>
    <cellStyle name="40% - Accent3 3 2 5" xfId="5885" xr:uid="{E5F7C898-4C4A-43BB-9FAC-04FAD99F29D4}"/>
    <cellStyle name="40% - Accent3 3 2_DEO ADIT Unprotected" xfId="2599" xr:uid="{417D0A87-1647-492A-976C-2380007287F3}"/>
    <cellStyle name="40% - Accent3 3_DEO ADIT Unprotected" xfId="2598" xr:uid="{19DC09E7-966C-4EA3-A810-515D2688A16B}"/>
    <cellStyle name="40% - Accent3 4" xfId="669" xr:uid="{00000000-0005-0000-0000-0000A5000000}"/>
    <cellStyle name="40% - Accent3 4 2" xfId="670" xr:uid="{00000000-0005-0000-0000-0000A6000000}"/>
    <cellStyle name="40% - Accent3 4 2 2" xfId="1796" xr:uid="{00000000-0005-0000-0000-0000A7000000}"/>
    <cellStyle name="40% - Accent3 4 2 2 2" xfId="5046" xr:uid="{A89F2E86-DBA4-4738-BB38-E2CB92C23525}"/>
    <cellStyle name="40% - Accent3 4 2 2 2 2" xfId="8426" xr:uid="{515F0F17-F2A0-4A98-9E60-C64788614E2A}"/>
    <cellStyle name="40% - Accent3 4 2 2 3" xfId="6726" xr:uid="{165CBC7F-708D-4DF1-986B-C1A49399DE74}"/>
    <cellStyle name="40% - Accent3 4 2 2_DEO ADIT Unprotected" xfId="2605" xr:uid="{FCE90FCC-1F63-4AC0-8C53-36BBA3E6E816}"/>
    <cellStyle name="40% - Accent3 4 2 3" xfId="4209" xr:uid="{A07344BC-F007-4419-852B-16F2E0347201}"/>
    <cellStyle name="40% - Accent3 4 2 3 2" xfId="7589" xr:uid="{1F26E292-3B08-4B44-A0DF-570931CF43AA}"/>
    <cellStyle name="40% - Accent3 4 2 4" xfId="5888" xr:uid="{AD9F7CBE-EEAE-49D6-829C-1B00DD42E713}"/>
    <cellStyle name="40% - Accent3 4 2_DEO ADIT Unprotected" xfId="2604" xr:uid="{F2D099A2-76E9-49A1-8B6B-AEB5B7757E17}"/>
    <cellStyle name="40% - Accent3 4 3" xfId="1795" xr:uid="{00000000-0005-0000-0000-0000A8000000}"/>
    <cellStyle name="40% - Accent3 4 3 2" xfId="5045" xr:uid="{5558DD99-EC34-4BC7-89B5-69E2B83B188F}"/>
    <cellStyle name="40% - Accent3 4 3 2 2" xfId="8425" xr:uid="{159800C0-80BB-461D-AAB0-7C199E9727CC}"/>
    <cellStyle name="40% - Accent3 4 3 3" xfId="6725" xr:uid="{309560B0-D882-4D0D-95CB-73EA2F59FD7C}"/>
    <cellStyle name="40% - Accent3 4 3_DEO ADIT Unprotected" xfId="2606" xr:uid="{DB6E1C90-87D0-44E3-9B59-77B4A9648E4B}"/>
    <cellStyle name="40% - Accent3 4 4" xfId="4208" xr:uid="{5E48209C-2592-43D8-A4F6-C86012114A96}"/>
    <cellStyle name="40% - Accent3 4 4 2" xfId="7588" xr:uid="{2885ED2E-B33F-4926-8F4B-4C3873CD2FAA}"/>
    <cellStyle name="40% - Accent3 4 5" xfId="5887" xr:uid="{33FA70EC-0F21-4AE1-845D-F283D74132C2}"/>
    <cellStyle name="40% - Accent3 4_DEO ADIT Unprotected" xfId="2603" xr:uid="{549B29A9-7980-47C6-9726-4CD7C48F4DEE}"/>
    <cellStyle name="40% - Accent3 5" xfId="1709" xr:uid="{00000000-0005-0000-0000-0000A9000000}"/>
    <cellStyle name="40% - Accent3 5 2" xfId="4959" xr:uid="{04CD9E93-DB71-4A3A-99B7-9C1E127B0143}"/>
    <cellStyle name="40% - Accent3 5 2 2" xfId="8339" xr:uid="{8E24F990-9358-40B1-810E-BF0AD1C52310}"/>
    <cellStyle name="40% - Accent3 5 3" xfId="6639" xr:uid="{58F691F2-01BC-48C4-B6A2-E248FBCBF357}"/>
    <cellStyle name="40% - Accent3 5_DEO ADIT Unprotected" xfId="2607" xr:uid="{3EDCC7CD-F998-4544-BD01-6B2E29302A5A}"/>
    <cellStyle name="40% - Accent3 6" xfId="4122" xr:uid="{EDD9755D-6450-4F2D-8E9C-865A85C427EC}"/>
    <cellStyle name="40% - Accent3 6 2" xfId="7502" xr:uid="{CC36C58F-E6F2-4EE8-AFBA-5CB07198E2B0}"/>
    <cellStyle name="40% - Accent3 7" xfId="5801" xr:uid="{FB7BA00C-505D-4393-A3EB-EDBCF425FDAE}"/>
    <cellStyle name="40% - Accent3 8" xfId="7411" xr:uid="{6C3441B5-DF0F-4897-B292-4DFA952106B1}"/>
    <cellStyle name="40% - Accent3 9" xfId="9106" xr:uid="{D71E3FC3-B7D1-4BAF-95FE-78832E4FC3CC}"/>
    <cellStyle name="40% - Accent4" xfId="542" builtinId="43" customBuiltin="1"/>
    <cellStyle name="40% - Accent4 10" xfId="7401" xr:uid="{8741440C-0AB4-4F28-9341-512FC38A7586}"/>
    <cellStyle name="40% - Accent4 2" xfId="671" xr:uid="{00000000-0005-0000-0000-0000AB000000}"/>
    <cellStyle name="40% - Accent4 2 2" xfId="672" xr:uid="{00000000-0005-0000-0000-0000AC000000}"/>
    <cellStyle name="40% - Accent4 2 2 2" xfId="673" xr:uid="{00000000-0005-0000-0000-0000AD000000}"/>
    <cellStyle name="40% - Accent4 2 2 2 2" xfId="674" xr:uid="{00000000-0005-0000-0000-0000AE000000}"/>
    <cellStyle name="40% - Accent4 2 2 2 2 2" xfId="1798" xr:uid="{00000000-0005-0000-0000-0000AF000000}"/>
    <cellStyle name="40% - Accent4 2 2 2 2 2 2" xfId="5048" xr:uid="{7FC95BFE-528C-427F-B269-E6EF0A9C9258}"/>
    <cellStyle name="40% - Accent4 2 2 2 2 2 2 2" xfId="8428" xr:uid="{8178435D-B345-41A8-A96F-11EF2B8B109F}"/>
    <cellStyle name="40% - Accent4 2 2 2 2 2 3" xfId="6728" xr:uid="{79389DA0-77CE-4209-800F-C4419792B90C}"/>
    <cellStyle name="40% - Accent4 2 2 2 2 2_DEO ADIT Unprotected" xfId="2612" xr:uid="{B804C887-87AD-4DE9-B31D-A939883B41B8}"/>
    <cellStyle name="40% - Accent4 2 2 2 2 3" xfId="4211" xr:uid="{4656EEC3-A117-4009-9BB6-99DE5BB186FF}"/>
    <cellStyle name="40% - Accent4 2 2 2 2 3 2" xfId="7591" xr:uid="{F1443E65-48B4-40E6-944B-D6ECE9FD0D0F}"/>
    <cellStyle name="40% - Accent4 2 2 2 2 4" xfId="5890" xr:uid="{90D1B5B8-948A-4202-BC18-190633397070}"/>
    <cellStyle name="40% - Accent4 2 2 2 2_DEO ADIT Unprotected" xfId="2611" xr:uid="{9A7C206B-B750-4553-BAEB-AA71A5A57C46}"/>
    <cellStyle name="40% - Accent4 2 2 2 3" xfId="1797" xr:uid="{00000000-0005-0000-0000-0000B0000000}"/>
    <cellStyle name="40% - Accent4 2 2 2 3 2" xfId="5047" xr:uid="{1C24F461-BD07-45FF-B2C3-C52D979D117A}"/>
    <cellStyle name="40% - Accent4 2 2 2 3 2 2" xfId="8427" xr:uid="{CAE30AA8-BD0F-4F70-86FD-6E6C524C37F3}"/>
    <cellStyle name="40% - Accent4 2 2 2 3 3" xfId="6727" xr:uid="{9D1A421C-6B7A-4801-B890-973CBA030AD6}"/>
    <cellStyle name="40% - Accent4 2 2 2 3_DEO ADIT Unprotected" xfId="2613" xr:uid="{FCFC679D-8A00-4C14-8260-808DB7C149F3}"/>
    <cellStyle name="40% - Accent4 2 2 2 4" xfId="4210" xr:uid="{A5B25A65-717D-43C5-A59C-DD4B1F70CD00}"/>
    <cellStyle name="40% - Accent4 2 2 2 4 2" xfId="7590" xr:uid="{2F371828-F50D-4B30-94A5-42329077F733}"/>
    <cellStyle name="40% - Accent4 2 2 2 5" xfId="5889" xr:uid="{FCC24F73-F18F-4602-8286-C0C68E8BEC9D}"/>
    <cellStyle name="40% - Accent4 2 2 2_DEO ADIT Unprotected" xfId="2610" xr:uid="{7A5A2108-5CF1-4D67-8A4B-F7136534D407}"/>
    <cellStyle name="40% - Accent4 2 2_DEO ADIT Unprotected" xfId="2609" xr:uid="{B2E92750-9285-4A51-8775-2C9852CB7297}"/>
    <cellStyle name="40% - Accent4 2 3" xfId="675" xr:uid="{00000000-0005-0000-0000-0000B1000000}"/>
    <cellStyle name="40% - Accent4 2_DEO ADIT Unprotected" xfId="2608" xr:uid="{766B430C-BCF7-4080-B2D2-7553E4E0FEE8}"/>
    <cellStyle name="40% - Accent4 3" xfId="676" xr:uid="{00000000-0005-0000-0000-0000B2000000}"/>
    <cellStyle name="40% - Accent4 3 2" xfId="677" xr:uid="{00000000-0005-0000-0000-0000B3000000}"/>
    <cellStyle name="40% - Accent4 3 2 2" xfId="678" xr:uid="{00000000-0005-0000-0000-0000B4000000}"/>
    <cellStyle name="40% - Accent4 3 2 2 2" xfId="1800" xr:uid="{00000000-0005-0000-0000-0000B5000000}"/>
    <cellStyle name="40% - Accent4 3 2 2 2 2" xfId="5050" xr:uid="{A741C205-25DD-4DE9-833E-C1F03BB1FB14}"/>
    <cellStyle name="40% - Accent4 3 2 2 2 2 2" xfId="8430" xr:uid="{184241B5-1DF2-4034-911D-8F16893F6390}"/>
    <cellStyle name="40% - Accent4 3 2 2 2 3" xfId="6730" xr:uid="{FA4B1F28-EC06-4053-9BA3-7978A75AD1E7}"/>
    <cellStyle name="40% - Accent4 3 2 2 2_DEO ADIT Unprotected" xfId="2617" xr:uid="{08975AF2-BCD1-4BE4-BEAF-50F420D3F929}"/>
    <cellStyle name="40% - Accent4 3 2 2 3" xfId="4213" xr:uid="{B60AEE14-A77F-4521-899B-C98E82E3D2A3}"/>
    <cellStyle name="40% - Accent4 3 2 2 3 2" xfId="7593" xr:uid="{831ACA35-8C6E-489C-A101-6C0D9B98770C}"/>
    <cellStyle name="40% - Accent4 3 2 2 4" xfId="5892" xr:uid="{2FF46D26-8484-42D1-84BE-76E5C013753D}"/>
    <cellStyle name="40% - Accent4 3 2 2_DEO ADIT Unprotected" xfId="2616" xr:uid="{80034386-7F44-4657-BA7D-1B4191BAC26F}"/>
    <cellStyle name="40% - Accent4 3 2 3" xfId="1799" xr:uid="{00000000-0005-0000-0000-0000B6000000}"/>
    <cellStyle name="40% - Accent4 3 2 3 2" xfId="5049" xr:uid="{55E12686-5428-44D8-9E88-B33089A6B462}"/>
    <cellStyle name="40% - Accent4 3 2 3 2 2" xfId="8429" xr:uid="{DB2CD5A8-0522-427C-8E29-300B94C92280}"/>
    <cellStyle name="40% - Accent4 3 2 3 3" xfId="6729" xr:uid="{48EA84B0-94CA-4C26-BC5D-D4BA8AC742E6}"/>
    <cellStyle name="40% - Accent4 3 2 3_DEO ADIT Unprotected" xfId="2618" xr:uid="{5673BF07-C94C-40A3-AC4E-28927DAF5577}"/>
    <cellStyle name="40% - Accent4 3 2 4" xfId="4212" xr:uid="{D04C4387-E343-466E-BAF0-A03365477DB2}"/>
    <cellStyle name="40% - Accent4 3 2 4 2" xfId="7592" xr:uid="{C6C3CE29-E01B-46D3-A75D-F3F221D145E5}"/>
    <cellStyle name="40% - Accent4 3 2 5" xfId="5891" xr:uid="{5FC796BF-9885-41EC-857D-7E3719DDEF27}"/>
    <cellStyle name="40% - Accent4 3 2_DEO ADIT Unprotected" xfId="2615" xr:uid="{D94261D7-C0CE-4FB0-B723-02824C4330A9}"/>
    <cellStyle name="40% - Accent4 3_DEO ADIT Unprotected" xfId="2614" xr:uid="{665F7ACD-3706-4AC8-8F8E-C16562629421}"/>
    <cellStyle name="40% - Accent4 4" xfId="679" xr:uid="{00000000-0005-0000-0000-0000B7000000}"/>
    <cellStyle name="40% - Accent4 4 2" xfId="680" xr:uid="{00000000-0005-0000-0000-0000B8000000}"/>
    <cellStyle name="40% - Accent4 4 2 2" xfId="1802" xr:uid="{00000000-0005-0000-0000-0000B9000000}"/>
    <cellStyle name="40% - Accent4 4 2 2 2" xfId="5052" xr:uid="{B4ECC7BD-E339-4E0B-AE83-0CC043CBEE93}"/>
    <cellStyle name="40% - Accent4 4 2 2 2 2" xfId="8432" xr:uid="{E58ECF01-B422-49C6-94B4-C2C95940918F}"/>
    <cellStyle name="40% - Accent4 4 2 2 3" xfId="6732" xr:uid="{6DC57D6C-56E3-4D41-89D3-A1BA4E0294B6}"/>
    <cellStyle name="40% - Accent4 4 2 2_DEO ADIT Unprotected" xfId="2621" xr:uid="{839252EE-8EA0-4870-BF48-B4BBCF7E032D}"/>
    <cellStyle name="40% - Accent4 4 2 3" xfId="4215" xr:uid="{7FA89F9A-6F2E-4B09-9E9F-686F55EE9965}"/>
    <cellStyle name="40% - Accent4 4 2 3 2" xfId="7595" xr:uid="{54BDE734-49E5-4AFB-B0CE-2EF21AA80BE1}"/>
    <cellStyle name="40% - Accent4 4 2 4" xfId="5894" xr:uid="{C13F443A-1BD7-4234-BF29-C929B662D27B}"/>
    <cellStyle name="40% - Accent4 4 2_DEO ADIT Unprotected" xfId="2620" xr:uid="{00276B0B-66EB-4B1F-9578-8FA9582634F7}"/>
    <cellStyle name="40% - Accent4 4 3" xfId="1801" xr:uid="{00000000-0005-0000-0000-0000BA000000}"/>
    <cellStyle name="40% - Accent4 4 3 2" xfId="5051" xr:uid="{3D5D9807-9EEF-4994-A8FD-C41FE4A56879}"/>
    <cellStyle name="40% - Accent4 4 3 2 2" xfId="8431" xr:uid="{7CC745B6-4C50-48AB-A8E6-CAFD0AA5CCE8}"/>
    <cellStyle name="40% - Accent4 4 3 3" xfId="6731" xr:uid="{1D898F96-27D6-4BD5-A68B-073F97C1E9C9}"/>
    <cellStyle name="40% - Accent4 4 3_DEO ADIT Unprotected" xfId="2622" xr:uid="{9965F1A5-5A1B-4416-81BB-CDEFDA52D76E}"/>
    <cellStyle name="40% - Accent4 4 4" xfId="4214" xr:uid="{8A35983A-25A8-483E-B2C5-80ED1A7F0B7D}"/>
    <cellStyle name="40% - Accent4 4 4 2" xfId="7594" xr:uid="{1104A314-3FC3-44F9-A59B-5CE04B816B29}"/>
    <cellStyle name="40% - Accent4 4 5" xfId="5893" xr:uid="{2D8C30F6-68FB-43FC-8874-D12D71F0E396}"/>
    <cellStyle name="40% - Accent4 4_DEO ADIT Unprotected" xfId="2619" xr:uid="{02FB49FF-A3F5-48DB-B527-7DD1E3BEF9F4}"/>
    <cellStyle name="40% - Accent4 5" xfId="1711" xr:uid="{00000000-0005-0000-0000-0000BB000000}"/>
    <cellStyle name="40% - Accent4 5 2" xfId="4961" xr:uid="{DF44DAEB-1A43-43F2-9E7C-CBA63924CAE2}"/>
    <cellStyle name="40% - Accent4 5 2 2" xfId="8341" xr:uid="{3DD698B0-F08C-4112-82F6-3F2E253C36AF}"/>
    <cellStyle name="40% - Accent4 5 3" xfId="6641" xr:uid="{45118BD7-11AE-4372-840B-B98DB7C02AB3}"/>
    <cellStyle name="40% - Accent4 5_DEO ADIT Unprotected" xfId="2623" xr:uid="{193D636A-481C-44E8-9914-BC1D740FE1E7}"/>
    <cellStyle name="40% - Accent4 6" xfId="4124" xr:uid="{E81CBCD0-8AA9-45D6-B746-10C543C5018D}"/>
    <cellStyle name="40% - Accent4 6 2" xfId="7504" xr:uid="{8470D330-3DB3-4019-BC61-BBFA12182B2C}"/>
    <cellStyle name="40% - Accent4 7" xfId="5803" xr:uid="{078BB014-D298-49AD-AB6A-F14589A6C43C}"/>
    <cellStyle name="40% - Accent4 8" xfId="7408" xr:uid="{86BCC262-CE0B-469A-89D6-8820B55B5338}"/>
    <cellStyle name="40% - Accent4 9" xfId="9095" xr:uid="{F0D4A5C9-66DE-49DF-83AF-2B8B05B14278}"/>
    <cellStyle name="40% - Accent5" xfId="546" builtinId="47" customBuiltin="1"/>
    <cellStyle name="40% - Accent5 10" xfId="9109" xr:uid="{79E531B2-44E5-4757-B93D-19FA46712F08}"/>
    <cellStyle name="40% - Accent5 2" xfId="681" xr:uid="{00000000-0005-0000-0000-0000BD000000}"/>
    <cellStyle name="40% - Accent5 2 2" xfId="682" xr:uid="{00000000-0005-0000-0000-0000BE000000}"/>
    <cellStyle name="40% - Accent5 2 2 2" xfId="683" xr:uid="{00000000-0005-0000-0000-0000BF000000}"/>
    <cellStyle name="40% - Accent5 2 2 2 2" xfId="684" xr:uid="{00000000-0005-0000-0000-0000C0000000}"/>
    <cellStyle name="40% - Accent5 2 2 2 2 2" xfId="1804" xr:uid="{00000000-0005-0000-0000-0000C1000000}"/>
    <cellStyle name="40% - Accent5 2 2 2 2 2 2" xfId="5054" xr:uid="{8637A570-A183-4C1F-A292-98AE796C2FF8}"/>
    <cellStyle name="40% - Accent5 2 2 2 2 2 2 2" xfId="8434" xr:uid="{17AC8DD8-3041-4D02-AE44-B418D739679D}"/>
    <cellStyle name="40% - Accent5 2 2 2 2 2 3" xfId="6734" xr:uid="{29217059-FF87-4D1B-BCD1-47336A0B124A}"/>
    <cellStyle name="40% - Accent5 2 2 2 2 2_DEO ADIT Unprotected" xfId="2628" xr:uid="{CDFB50E0-2996-45D3-AAE5-A7487FA71B4F}"/>
    <cellStyle name="40% - Accent5 2 2 2 2 3" xfId="4217" xr:uid="{BA2F0D4C-7AD2-4F86-A411-AFF0CBE77B21}"/>
    <cellStyle name="40% - Accent5 2 2 2 2 3 2" xfId="7597" xr:uid="{9DF04011-0776-46E5-8AC4-D7B8AB0F30AB}"/>
    <cellStyle name="40% - Accent5 2 2 2 2 4" xfId="5896" xr:uid="{2A8B6D26-3013-473B-94B3-82AF50FEF1AE}"/>
    <cellStyle name="40% - Accent5 2 2 2 2_DEO ADIT Unprotected" xfId="2627" xr:uid="{C841D15B-C813-4E33-867E-1C3C0109B5EF}"/>
    <cellStyle name="40% - Accent5 2 2 2 3" xfId="1803" xr:uid="{00000000-0005-0000-0000-0000C2000000}"/>
    <cellStyle name="40% - Accent5 2 2 2 3 2" xfId="5053" xr:uid="{77130743-CD0E-4A9B-8E47-631D7CC6889F}"/>
    <cellStyle name="40% - Accent5 2 2 2 3 2 2" xfId="8433" xr:uid="{FE7863D9-3A74-4DA1-99FD-ACD59C06BC75}"/>
    <cellStyle name="40% - Accent5 2 2 2 3 3" xfId="6733" xr:uid="{B9508784-E79C-40F4-A09B-34D0879D058B}"/>
    <cellStyle name="40% - Accent5 2 2 2 3_DEO ADIT Unprotected" xfId="2629" xr:uid="{BEB65002-F6F2-4586-B8D8-58DE73DBC71B}"/>
    <cellStyle name="40% - Accent5 2 2 2 4" xfId="4216" xr:uid="{33559E43-72FE-46A7-BF4C-F299642B393E}"/>
    <cellStyle name="40% - Accent5 2 2 2 4 2" xfId="7596" xr:uid="{0B054310-B43A-450A-8AF5-D6E7E059A32C}"/>
    <cellStyle name="40% - Accent5 2 2 2 5" xfId="5895" xr:uid="{4F010F91-C2C2-440A-A3E8-D45B9A9CBA05}"/>
    <cellStyle name="40% - Accent5 2 2 2_DEO ADIT Unprotected" xfId="2626" xr:uid="{E4659C29-01F7-43B7-9638-D7DE75EFF581}"/>
    <cellStyle name="40% - Accent5 2 2_DEO ADIT Unprotected" xfId="2625" xr:uid="{65C71ECF-965A-4DFB-901A-849578844B15}"/>
    <cellStyle name="40% - Accent5 2 3" xfId="685" xr:uid="{00000000-0005-0000-0000-0000C3000000}"/>
    <cellStyle name="40% - Accent5 2_DEO ADIT Unprotected" xfId="2624" xr:uid="{FECEF60C-1770-475B-B619-9D8E3C5381A8}"/>
    <cellStyle name="40% - Accent5 3" xfId="686" xr:uid="{00000000-0005-0000-0000-0000C4000000}"/>
    <cellStyle name="40% - Accent5 3 2" xfId="687" xr:uid="{00000000-0005-0000-0000-0000C5000000}"/>
    <cellStyle name="40% - Accent5 3 2 2" xfId="688" xr:uid="{00000000-0005-0000-0000-0000C6000000}"/>
    <cellStyle name="40% - Accent5 3 2 2 2" xfId="1806" xr:uid="{00000000-0005-0000-0000-0000C7000000}"/>
    <cellStyle name="40% - Accent5 3 2 2 2 2" xfId="5056" xr:uid="{8150533F-75B6-42C6-A4E9-8895474152B6}"/>
    <cellStyle name="40% - Accent5 3 2 2 2 2 2" xfId="8436" xr:uid="{D8F615CE-4A43-48A4-9BE9-4797A955F13F}"/>
    <cellStyle name="40% - Accent5 3 2 2 2 3" xfId="6736" xr:uid="{84367A0A-C7FC-47A2-BE9E-E5CE34641C28}"/>
    <cellStyle name="40% - Accent5 3 2 2 2_DEO ADIT Unprotected" xfId="2633" xr:uid="{4898F361-866F-44A2-B85C-A1DCD2F3FF66}"/>
    <cellStyle name="40% - Accent5 3 2 2 3" xfId="4219" xr:uid="{C47D498E-2CA9-4048-B663-FC64EEE99A9D}"/>
    <cellStyle name="40% - Accent5 3 2 2 3 2" xfId="7599" xr:uid="{6D72307A-8810-4468-AE5D-7D43B61718D8}"/>
    <cellStyle name="40% - Accent5 3 2 2 4" xfId="5898" xr:uid="{B9C98E57-AFD7-44EA-83DB-FAB32393484E}"/>
    <cellStyle name="40% - Accent5 3 2 2_DEO ADIT Unprotected" xfId="2632" xr:uid="{3E2060B1-1904-4A64-9EE0-F23C22D01279}"/>
    <cellStyle name="40% - Accent5 3 2 3" xfId="1805" xr:uid="{00000000-0005-0000-0000-0000C8000000}"/>
    <cellStyle name="40% - Accent5 3 2 3 2" xfId="5055" xr:uid="{3EBCF8A0-9745-4F5B-9AB8-92EBF95B85C9}"/>
    <cellStyle name="40% - Accent5 3 2 3 2 2" xfId="8435" xr:uid="{C837022F-AE95-4529-BA90-D6B5489FC091}"/>
    <cellStyle name="40% - Accent5 3 2 3 3" xfId="6735" xr:uid="{65EB4BA9-ABC7-46CD-884D-3A20E17466DA}"/>
    <cellStyle name="40% - Accent5 3 2 3_DEO ADIT Unprotected" xfId="2634" xr:uid="{418EEB26-6A5A-43E9-87AE-88E35F8F432E}"/>
    <cellStyle name="40% - Accent5 3 2 4" xfId="4218" xr:uid="{88B8FB12-E8AE-4462-9D82-E0B62694C868}"/>
    <cellStyle name="40% - Accent5 3 2 4 2" xfId="7598" xr:uid="{E4F792EA-957F-4DDB-9C8E-5C961EB1C847}"/>
    <cellStyle name="40% - Accent5 3 2 5" xfId="5897" xr:uid="{9AB95B53-15DA-49A2-928F-46A4F72D5A36}"/>
    <cellStyle name="40% - Accent5 3 2_DEO ADIT Unprotected" xfId="2631" xr:uid="{CE11D170-CB74-4840-B2A3-AE1836004052}"/>
    <cellStyle name="40% - Accent5 3_DEO ADIT Unprotected" xfId="2630" xr:uid="{0B089345-CD0B-49D0-A5DB-3F5F99FC3AD0}"/>
    <cellStyle name="40% - Accent5 4" xfId="689" xr:uid="{00000000-0005-0000-0000-0000C9000000}"/>
    <cellStyle name="40% - Accent5 4 2" xfId="690" xr:uid="{00000000-0005-0000-0000-0000CA000000}"/>
    <cellStyle name="40% - Accent5 4 2 2" xfId="1808" xr:uid="{00000000-0005-0000-0000-0000CB000000}"/>
    <cellStyle name="40% - Accent5 4 2 2 2" xfId="5058" xr:uid="{4F0E26EA-27D0-418B-B18C-04FC76717A31}"/>
    <cellStyle name="40% - Accent5 4 2 2 2 2" xfId="8438" xr:uid="{36588352-006A-42CC-B080-043D27E3C1E9}"/>
    <cellStyle name="40% - Accent5 4 2 2 3" xfId="6738" xr:uid="{0FC933B1-CC78-431B-95E0-3915462623F9}"/>
    <cellStyle name="40% - Accent5 4 2 2_DEO ADIT Unprotected" xfId="2637" xr:uid="{BABADC89-8D06-4E01-A12C-31A5350DF329}"/>
    <cellStyle name="40% - Accent5 4 2 3" xfId="4221" xr:uid="{7F007374-45F4-442A-BF32-96A53A1AF1EF}"/>
    <cellStyle name="40% - Accent5 4 2 3 2" xfId="7601" xr:uid="{C00CCF3B-4CC9-4FFF-8EDB-8FBA9B8D4D62}"/>
    <cellStyle name="40% - Accent5 4 2 4" xfId="5900" xr:uid="{EB875F5A-3CE4-4F14-80B9-E943C40A19FC}"/>
    <cellStyle name="40% - Accent5 4 2_DEO ADIT Unprotected" xfId="2636" xr:uid="{4312E560-9B67-49B6-BCD9-304C4F9CC703}"/>
    <cellStyle name="40% - Accent5 4 3" xfId="1807" xr:uid="{00000000-0005-0000-0000-0000CC000000}"/>
    <cellStyle name="40% - Accent5 4 3 2" xfId="5057" xr:uid="{7A36564E-0D57-41CE-A7C8-9E7E6661CBD7}"/>
    <cellStyle name="40% - Accent5 4 3 2 2" xfId="8437" xr:uid="{542E7701-CB99-4A67-816E-5A550171F72D}"/>
    <cellStyle name="40% - Accent5 4 3 3" xfId="6737" xr:uid="{D2773734-D171-4530-BDB1-D89FD97ED0DB}"/>
    <cellStyle name="40% - Accent5 4 3_DEO ADIT Unprotected" xfId="2638" xr:uid="{776F1083-4D52-4A45-904F-F7409FEBCF1C}"/>
    <cellStyle name="40% - Accent5 4 4" xfId="4220" xr:uid="{956A0BB2-DA4E-4885-B49F-02510F8CF352}"/>
    <cellStyle name="40% - Accent5 4 4 2" xfId="7600" xr:uid="{41E4AA38-DC74-4B6D-8850-1DFBA77CECF7}"/>
    <cellStyle name="40% - Accent5 4 5" xfId="5899" xr:uid="{4C57141F-094E-442B-AEBA-EEBCA08A1743}"/>
    <cellStyle name="40% - Accent5 4_DEO ADIT Unprotected" xfId="2635" xr:uid="{94838DDD-4839-40E2-B0ED-2D809FB03EE4}"/>
    <cellStyle name="40% - Accent5 5" xfId="1713" xr:uid="{00000000-0005-0000-0000-0000CD000000}"/>
    <cellStyle name="40% - Accent5 5 2" xfId="4963" xr:uid="{4C59D531-3F03-4742-84EF-12893118B7D2}"/>
    <cellStyle name="40% - Accent5 5 2 2" xfId="8343" xr:uid="{5F1552F7-A335-40E0-99C3-419D644AFAED}"/>
    <cellStyle name="40% - Accent5 5 3" xfId="6643" xr:uid="{571F8520-5EF1-4EFC-B389-FA2A59764249}"/>
    <cellStyle name="40% - Accent5 5_DEO ADIT Unprotected" xfId="2639" xr:uid="{1A3F2FF3-059F-449E-B659-8D93351A5934}"/>
    <cellStyle name="40% - Accent5 6" xfId="4126" xr:uid="{4A40E182-892E-46C3-9C74-E269C9E65BF8}"/>
    <cellStyle name="40% - Accent5 6 2" xfId="7506" xr:uid="{5C9EA461-7911-4B1A-9A65-3F0C1CF3403F}"/>
    <cellStyle name="40% - Accent5 7" xfId="5805" xr:uid="{FAF6200D-4381-49FF-8D29-0B95AE01EEF8}"/>
    <cellStyle name="40% - Accent5 8" xfId="7407" xr:uid="{98655B17-26B4-46F1-8860-B6BBFD32F79C}"/>
    <cellStyle name="40% - Accent5 9" xfId="9110" xr:uid="{1D37AE03-E372-43D0-BE3E-1B7982A0C7BD}"/>
    <cellStyle name="40% - Accent6" xfId="550" builtinId="51" customBuiltin="1"/>
    <cellStyle name="40% - Accent6 10" xfId="9113" xr:uid="{72BAF237-9AE8-4BD9-9A93-AAD59E95AB62}"/>
    <cellStyle name="40% - Accent6 2" xfId="691" xr:uid="{00000000-0005-0000-0000-0000CF000000}"/>
    <cellStyle name="40% - Accent6 2 2" xfId="692" xr:uid="{00000000-0005-0000-0000-0000D0000000}"/>
    <cellStyle name="40% - Accent6 2 2 2" xfId="693" xr:uid="{00000000-0005-0000-0000-0000D1000000}"/>
    <cellStyle name="40% - Accent6 2 2 2 2" xfId="694" xr:uid="{00000000-0005-0000-0000-0000D2000000}"/>
    <cellStyle name="40% - Accent6 2 2 2 2 2" xfId="1810" xr:uid="{00000000-0005-0000-0000-0000D3000000}"/>
    <cellStyle name="40% - Accent6 2 2 2 2 2 2" xfId="5060" xr:uid="{BA16640B-A4B3-4EC8-8178-70A557A95FE5}"/>
    <cellStyle name="40% - Accent6 2 2 2 2 2 2 2" xfId="8440" xr:uid="{BC8597A6-AB89-4385-B5D3-B60A8E507B22}"/>
    <cellStyle name="40% - Accent6 2 2 2 2 2 3" xfId="6740" xr:uid="{B5CEDC2B-C4FD-4D43-B1C9-60505A250B66}"/>
    <cellStyle name="40% - Accent6 2 2 2 2 2_DEO ADIT Unprotected" xfId="2644" xr:uid="{481010E8-B04B-404C-9CAD-AC108CF940D6}"/>
    <cellStyle name="40% - Accent6 2 2 2 2 3" xfId="4223" xr:uid="{8DC0AFB1-8F2C-4294-A8F8-CE245D082388}"/>
    <cellStyle name="40% - Accent6 2 2 2 2 3 2" xfId="7603" xr:uid="{B5DB4C11-D3F1-4972-A281-CFC06DF54B73}"/>
    <cellStyle name="40% - Accent6 2 2 2 2 4" xfId="5902" xr:uid="{37B8A655-F076-4966-96D9-132F8FD6BABA}"/>
    <cellStyle name="40% - Accent6 2 2 2 2_DEO ADIT Unprotected" xfId="2643" xr:uid="{543A7087-3AC9-4665-B39C-E22C8F56AB38}"/>
    <cellStyle name="40% - Accent6 2 2 2 3" xfId="1809" xr:uid="{00000000-0005-0000-0000-0000D4000000}"/>
    <cellStyle name="40% - Accent6 2 2 2 3 2" xfId="5059" xr:uid="{673117D2-9E05-4BB4-A6B2-54BA92BAE0A3}"/>
    <cellStyle name="40% - Accent6 2 2 2 3 2 2" xfId="8439" xr:uid="{FA548630-9B8B-4ACD-96A0-AF922952EDF3}"/>
    <cellStyle name="40% - Accent6 2 2 2 3 3" xfId="6739" xr:uid="{C3596B13-96BF-42FA-8CDA-117B4434C084}"/>
    <cellStyle name="40% - Accent6 2 2 2 3_DEO ADIT Unprotected" xfId="2645" xr:uid="{A2F63106-4F56-4860-9326-B6D4A103450C}"/>
    <cellStyle name="40% - Accent6 2 2 2 4" xfId="4222" xr:uid="{BE5A87B3-2DA5-4E4C-A2F1-0131DF3743D5}"/>
    <cellStyle name="40% - Accent6 2 2 2 4 2" xfId="7602" xr:uid="{557E017A-78D9-4B51-8E47-076DAE306616}"/>
    <cellStyle name="40% - Accent6 2 2 2 5" xfId="5901" xr:uid="{BE0C00BC-6B61-4F59-B644-ED43E0301129}"/>
    <cellStyle name="40% - Accent6 2 2 2_DEO ADIT Unprotected" xfId="2642" xr:uid="{FF4844D8-3E0C-4DED-A239-55B11DD4942D}"/>
    <cellStyle name="40% - Accent6 2 2_DEO ADIT Unprotected" xfId="2641" xr:uid="{8BBB7064-5BBC-456A-865F-C3EFAB445350}"/>
    <cellStyle name="40% - Accent6 2 3" xfId="695" xr:uid="{00000000-0005-0000-0000-0000D5000000}"/>
    <cellStyle name="40% - Accent6 2_DEO ADIT Unprotected" xfId="2640" xr:uid="{CCD59F22-7389-482D-B533-1C2E44F2DC1A}"/>
    <cellStyle name="40% - Accent6 3" xfId="696" xr:uid="{00000000-0005-0000-0000-0000D6000000}"/>
    <cellStyle name="40% - Accent6 3 2" xfId="697" xr:uid="{00000000-0005-0000-0000-0000D7000000}"/>
    <cellStyle name="40% - Accent6 3 2 2" xfId="698" xr:uid="{00000000-0005-0000-0000-0000D8000000}"/>
    <cellStyle name="40% - Accent6 3 2 2 2" xfId="1812" xr:uid="{00000000-0005-0000-0000-0000D9000000}"/>
    <cellStyle name="40% - Accent6 3 2 2 2 2" xfId="5062" xr:uid="{A682CBC1-3632-4066-A87D-6B72852E6D33}"/>
    <cellStyle name="40% - Accent6 3 2 2 2 2 2" xfId="8442" xr:uid="{7EF81479-0AE1-4364-A24C-AC7979870742}"/>
    <cellStyle name="40% - Accent6 3 2 2 2 3" xfId="6742" xr:uid="{A401AC22-26C9-467B-B4D5-09531C98061B}"/>
    <cellStyle name="40% - Accent6 3 2 2 2_DEO ADIT Unprotected" xfId="2649" xr:uid="{13A52971-4B5B-433E-B1CD-FC290B782EF2}"/>
    <cellStyle name="40% - Accent6 3 2 2 3" xfId="4225" xr:uid="{CA2B4488-3DE4-456B-8AFF-3D7C1B0C39D5}"/>
    <cellStyle name="40% - Accent6 3 2 2 3 2" xfId="7605" xr:uid="{CC233311-0978-46AF-9235-EE7D118097A9}"/>
    <cellStyle name="40% - Accent6 3 2 2 4" xfId="5904" xr:uid="{0D45EDD3-331A-460A-A731-B29B33D1067D}"/>
    <cellStyle name="40% - Accent6 3 2 2_DEO ADIT Unprotected" xfId="2648" xr:uid="{9AFAA7D8-B1D5-4B96-B069-CC5B08575E49}"/>
    <cellStyle name="40% - Accent6 3 2 3" xfId="1811" xr:uid="{00000000-0005-0000-0000-0000DA000000}"/>
    <cellStyle name="40% - Accent6 3 2 3 2" xfId="5061" xr:uid="{EEC28CE4-BF58-4609-8978-23B8A4EEC85E}"/>
    <cellStyle name="40% - Accent6 3 2 3 2 2" xfId="8441" xr:uid="{06B781E0-28A1-4E76-A1A9-6F1F2C146F83}"/>
    <cellStyle name="40% - Accent6 3 2 3 3" xfId="6741" xr:uid="{78027920-D408-489F-B997-DCE87B14F432}"/>
    <cellStyle name="40% - Accent6 3 2 3_DEO ADIT Unprotected" xfId="2650" xr:uid="{69522694-19B5-47F5-AC8B-9B2B7861AA05}"/>
    <cellStyle name="40% - Accent6 3 2 4" xfId="4224" xr:uid="{2CC9DB93-A4A0-431F-94FB-B5CBC86E0BD5}"/>
    <cellStyle name="40% - Accent6 3 2 4 2" xfId="7604" xr:uid="{82099A01-B339-46BC-B651-DADC4FD06924}"/>
    <cellStyle name="40% - Accent6 3 2 5" xfId="5903" xr:uid="{4C7A7B97-33B9-4424-8E2B-EFA3CD55F3B4}"/>
    <cellStyle name="40% - Accent6 3 2_DEO ADIT Unprotected" xfId="2647" xr:uid="{4978B10F-5350-45AB-891C-02FE43BBAB2B}"/>
    <cellStyle name="40% - Accent6 3_DEO ADIT Unprotected" xfId="2646" xr:uid="{5C36D304-2AD3-4C29-BC46-25400BD1EC44}"/>
    <cellStyle name="40% - Accent6 4" xfId="699" xr:uid="{00000000-0005-0000-0000-0000DB000000}"/>
    <cellStyle name="40% - Accent6 4 2" xfId="700" xr:uid="{00000000-0005-0000-0000-0000DC000000}"/>
    <cellStyle name="40% - Accent6 4 2 2" xfId="1814" xr:uid="{00000000-0005-0000-0000-0000DD000000}"/>
    <cellStyle name="40% - Accent6 4 2 2 2" xfId="5064" xr:uid="{5C687042-3CDA-432D-9F8E-353E89A7B44A}"/>
    <cellStyle name="40% - Accent6 4 2 2 2 2" xfId="8444" xr:uid="{4407FFB6-172A-48B3-90AF-FC26373B23B6}"/>
    <cellStyle name="40% - Accent6 4 2 2 3" xfId="6744" xr:uid="{30367712-6C8B-4A39-B90A-8445DAEABEC6}"/>
    <cellStyle name="40% - Accent6 4 2 2_DEO ADIT Unprotected" xfId="2653" xr:uid="{804DF157-08D0-46E5-A1F1-3807CC15BE9B}"/>
    <cellStyle name="40% - Accent6 4 2 3" xfId="4227" xr:uid="{7E8C0342-5C16-4A00-9FC1-22CACDAB2CE0}"/>
    <cellStyle name="40% - Accent6 4 2 3 2" xfId="7607" xr:uid="{C77289D9-1FC6-4FF6-8E26-B5EA58B77AD0}"/>
    <cellStyle name="40% - Accent6 4 2 4" xfId="5906" xr:uid="{D2C491D7-DF61-4DA3-B9D3-CE982AB81F24}"/>
    <cellStyle name="40% - Accent6 4 2_DEO ADIT Unprotected" xfId="2652" xr:uid="{819EF173-A3B2-454B-B973-CD7E72D26E38}"/>
    <cellStyle name="40% - Accent6 4 3" xfId="1813" xr:uid="{00000000-0005-0000-0000-0000DE000000}"/>
    <cellStyle name="40% - Accent6 4 3 2" xfId="5063" xr:uid="{0BE8380F-6775-4CFC-B4FF-25819074A012}"/>
    <cellStyle name="40% - Accent6 4 3 2 2" xfId="8443" xr:uid="{C1CE8750-F242-467D-8B89-6C0E1D3DC788}"/>
    <cellStyle name="40% - Accent6 4 3 3" xfId="6743" xr:uid="{36A30170-B565-48E6-9763-6A9C12043DA5}"/>
    <cellStyle name="40% - Accent6 4 3_DEO ADIT Unprotected" xfId="2654" xr:uid="{459B4624-267C-4321-A3DB-DA7372F9EF80}"/>
    <cellStyle name="40% - Accent6 4 4" xfId="4226" xr:uid="{B03EDA06-42F2-4516-B136-81BB1E0AAC99}"/>
    <cellStyle name="40% - Accent6 4 4 2" xfId="7606" xr:uid="{CF1E6F54-A800-4615-8F2E-4A62F5092D44}"/>
    <cellStyle name="40% - Accent6 4 5" xfId="5905" xr:uid="{BB4965E6-D3B9-46DE-BAD4-3E9892B066D3}"/>
    <cellStyle name="40% - Accent6 4_DEO ADIT Unprotected" xfId="2651" xr:uid="{DAA73FD0-75FA-4510-AC0C-9BFF5FEA0F7C}"/>
    <cellStyle name="40% - Accent6 5" xfId="1715" xr:uid="{00000000-0005-0000-0000-0000DF000000}"/>
    <cellStyle name="40% - Accent6 5 2" xfId="4965" xr:uid="{8CF78768-EA94-49E6-8A0B-1D5CD0BB2AF3}"/>
    <cellStyle name="40% - Accent6 5 2 2" xfId="8345" xr:uid="{6CA5BF2D-5218-473D-98A2-D59642A7256A}"/>
    <cellStyle name="40% - Accent6 5 3" xfId="6645" xr:uid="{E0E2EABE-CCC7-4D92-8222-DDA10F37FCC2}"/>
    <cellStyle name="40% - Accent6 5_DEO ADIT Unprotected" xfId="2655" xr:uid="{5902B1D9-08E9-456E-A052-6800BAEDFD51}"/>
    <cellStyle name="40% - Accent6 6" xfId="4128" xr:uid="{0D590F30-48FF-4622-88E5-A46C7E069D73}"/>
    <cellStyle name="40% - Accent6 6 2" xfId="7508" xr:uid="{3DEAB424-C201-4B9E-A8D7-A811918CDD1D}"/>
    <cellStyle name="40% - Accent6 7" xfId="5807" xr:uid="{45D5086E-27BB-4A75-B18C-A9FAE63CD5F8}"/>
    <cellStyle name="40% - Accent6 8" xfId="7404" xr:uid="{72D60AC6-BE9C-47F4-A35A-0243FF6B4913}"/>
    <cellStyle name="40% - Accent6 9" xfId="9104" xr:uid="{FEE51B75-4AB5-47E1-AD75-6F980776BEC5}"/>
    <cellStyle name="60% - Accent1" xfId="531" builtinId="32" customBuiltin="1"/>
    <cellStyle name="60% - Accent1 2" xfId="701" xr:uid="{00000000-0005-0000-0000-0000E1000000}"/>
    <cellStyle name="60% - Accent1 2 2" xfId="702" xr:uid="{00000000-0005-0000-0000-0000E2000000}"/>
    <cellStyle name="60% - Accent1 2 3" xfId="703" xr:uid="{00000000-0005-0000-0000-0000E3000000}"/>
    <cellStyle name="60% - Accent1 2_DEO ADIT Unprotected" xfId="2656" xr:uid="{5E8E07DC-CB70-40A4-B013-8084647B0358}"/>
    <cellStyle name="60% - Accent1 3" xfId="704" xr:uid="{00000000-0005-0000-0000-0000E4000000}"/>
    <cellStyle name="60% - Accent1 4" xfId="705" xr:uid="{00000000-0005-0000-0000-0000E5000000}"/>
    <cellStyle name="60% - Accent2" xfId="535" builtinId="36" customBuiltin="1"/>
    <cellStyle name="60% - Accent2 2" xfId="706" xr:uid="{00000000-0005-0000-0000-0000E7000000}"/>
    <cellStyle name="60% - Accent2 2 2" xfId="707" xr:uid="{00000000-0005-0000-0000-0000E8000000}"/>
    <cellStyle name="60% - Accent2 2 3" xfId="708" xr:uid="{00000000-0005-0000-0000-0000E9000000}"/>
    <cellStyle name="60% - Accent2 2_DEO ADIT Unprotected" xfId="2657" xr:uid="{BA9A5082-9273-4F2B-A04F-EDF1B21B053A}"/>
    <cellStyle name="60% - Accent2 3" xfId="709" xr:uid="{00000000-0005-0000-0000-0000EA000000}"/>
    <cellStyle name="60% - Accent2 4" xfId="710" xr:uid="{00000000-0005-0000-0000-0000EB000000}"/>
    <cellStyle name="60% - Accent3" xfId="539" builtinId="40" customBuiltin="1"/>
    <cellStyle name="60% - Accent3 2" xfId="711" xr:uid="{00000000-0005-0000-0000-0000ED000000}"/>
    <cellStyle name="60% - Accent3 2 2" xfId="712" xr:uid="{00000000-0005-0000-0000-0000EE000000}"/>
    <cellStyle name="60% - Accent3 2 3" xfId="713" xr:uid="{00000000-0005-0000-0000-0000EF000000}"/>
    <cellStyle name="60% - Accent3 2_DEO ADIT Unprotected" xfId="2658" xr:uid="{97D93E74-D694-44A5-8B8B-141723766E9A}"/>
    <cellStyle name="60% - Accent3 3" xfId="714" xr:uid="{00000000-0005-0000-0000-0000F0000000}"/>
    <cellStyle name="60% - Accent3 4" xfId="715" xr:uid="{00000000-0005-0000-0000-0000F1000000}"/>
    <cellStyle name="60% - Accent4" xfId="543" builtinId="44" customBuiltin="1"/>
    <cellStyle name="60% - Accent4 2" xfId="716" xr:uid="{00000000-0005-0000-0000-0000F3000000}"/>
    <cellStyle name="60% - Accent4 2 2" xfId="717" xr:uid="{00000000-0005-0000-0000-0000F4000000}"/>
    <cellStyle name="60% - Accent4 2 3" xfId="718" xr:uid="{00000000-0005-0000-0000-0000F5000000}"/>
    <cellStyle name="60% - Accent4 2_DEO ADIT Unprotected" xfId="2659" xr:uid="{68018ABD-3168-4B21-A4AE-0B5D5AE1BA9E}"/>
    <cellStyle name="60% - Accent4 3" xfId="719" xr:uid="{00000000-0005-0000-0000-0000F6000000}"/>
    <cellStyle name="60% - Accent4 4" xfId="720" xr:uid="{00000000-0005-0000-0000-0000F7000000}"/>
    <cellStyle name="60% - Accent5" xfId="547" builtinId="48" customBuiltin="1"/>
    <cellStyle name="60% - Accent5 2" xfId="721" xr:uid="{00000000-0005-0000-0000-0000F9000000}"/>
    <cellStyle name="60% - Accent5 2 2" xfId="722" xr:uid="{00000000-0005-0000-0000-0000FA000000}"/>
    <cellStyle name="60% - Accent5 2 3" xfId="723" xr:uid="{00000000-0005-0000-0000-0000FB000000}"/>
    <cellStyle name="60% - Accent5 2_DEO ADIT Unprotected" xfId="2660" xr:uid="{36DC4A44-39C1-487A-BFC9-7929C9E1282C}"/>
    <cellStyle name="60% - Accent5 3" xfId="724" xr:uid="{00000000-0005-0000-0000-0000FC000000}"/>
    <cellStyle name="60% - Accent5 4" xfId="725" xr:uid="{00000000-0005-0000-0000-0000FD000000}"/>
    <cellStyle name="60% - Accent6" xfId="551" builtinId="52" customBuiltin="1"/>
    <cellStyle name="60% - Accent6 2" xfId="726" xr:uid="{00000000-0005-0000-0000-0000FF000000}"/>
    <cellStyle name="60% - Accent6 2 2" xfId="727" xr:uid="{00000000-0005-0000-0000-000000010000}"/>
    <cellStyle name="60% - Accent6 2 3" xfId="728" xr:uid="{00000000-0005-0000-0000-000001010000}"/>
    <cellStyle name="60% - Accent6 2_DEO ADIT Unprotected" xfId="2661" xr:uid="{9F5A0DF7-A830-4D1E-9855-86EFFC1BE746}"/>
    <cellStyle name="60% - Accent6 3" xfId="729" xr:uid="{00000000-0005-0000-0000-000002010000}"/>
    <cellStyle name="60% - Accent6 4" xfId="730" xr:uid="{00000000-0005-0000-0000-000003010000}"/>
    <cellStyle name="Accent1" xfId="528" builtinId="29" customBuiltin="1"/>
    <cellStyle name="Accent1 2" xfId="731" xr:uid="{00000000-0005-0000-0000-000005010000}"/>
    <cellStyle name="Accent1 2 2" xfId="732" xr:uid="{00000000-0005-0000-0000-000006010000}"/>
    <cellStyle name="Accent1 2 3" xfId="733" xr:uid="{00000000-0005-0000-0000-000007010000}"/>
    <cellStyle name="Accent1 2_DEO ADIT Unprotected" xfId="2662" xr:uid="{BCA81B25-7851-4DE8-8007-42358F166EFC}"/>
    <cellStyle name="Accent1 3" xfId="734" xr:uid="{00000000-0005-0000-0000-000008010000}"/>
    <cellStyle name="Accent1 4" xfId="735" xr:uid="{00000000-0005-0000-0000-000009010000}"/>
    <cellStyle name="Accent2" xfId="532" builtinId="33" customBuiltin="1"/>
    <cellStyle name="Accent2 2" xfId="736" xr:uid="{00000000-0005-0000-0000-00000B010000}"/>
    <cellStyle name="Accent2 2 2" xfId="737" xr:uid="{00000000-0005-0000-0000-00000C010000}"/>
    <cellStyle name="Accent2 2 3" xfId="738" xr:uid="{00000000-0005-0000-0000-00000D010000}"/>
    <cellStyle name="Accent2 2_DEO ADIT Unprotected" xfId="2663" xr:uid="{673ABD54-4E9F-466D-A39B-3567BEA14DF6}"/>
    <cellStyle name="Accent2 3" xfId="739" xr:uid="{00000000-0005-0000-0000-00000E010000}"/>
    <cellStyle name="Accent2 4" xfId="740" xr:uid="{00000000-0005-0000-0000-00000F010000}"/>
    <cellStyle name="Accent3" xfId="536" builtinId="37" customBuiltin="1"/>
    <cellStyle name="Accent3 2" xfId="741" xr:uid="{00000000-0005-0000-0000-000011010000}"/>
    <cellStyle name="Accent3 2 2" xfId="742" xr:uid="{00000000-0005-0000-0000-000012010000}"/>
    <cellStyle name="Accent3 2 3" xfId="743" xr:uid="{00000000-0005-0000-0000-000013010000}"/>
    <cellStyle name="Accent3 2_DEO ADIT Unprotected" xfId="2664" xr:uid="{EEC10D77-1562-489A-B033-9EBC7760C0CA}"/>
    <cellStyle name="Accent3 3" xfId="744" xr:uid="{00000000-0005-0000-0000-000014010000}"/>
    <cellStyle name="Accent3 4" xfId="745" xr:uid="{00000000-0005-0000-0000-000015010000}"/>
    <cellStyle name="Accent4" xfId="540" builtinId="41" customBuiltin="1"/>
    <cellStyle name="Accent4 2" xfId="746" xr:uid="{00000000-0005-0000-0000-000017010000}"/>
    <cellStyle name="Accent4 2 2" xfId="747" xr:uid="{00000000-0005-0000-0000-000018010000}"/>
    <cellStyle name="Accent4 2 3" xfId="748" xr:uid="{00000000-0005-0000-0000-000019010000}"/>
    <cellStyle name="Accent4 2_DEO ADIT Unprotected" xfId="2665" xr:uid="{A89C1C69-18E4-4886-BC6C-69F1ECA813BE}"/>
    <cellStyle name="Accent4 3" xfId="749" xr:uid="{00000000-0005-0000-0000-00001A010000}"/>
    <cellStyle name="Accent4 4" xfId="750" xr:uid="{00000000-0005-0000-0000-00001B010000}"/>
    <cellStyle name="Accent5" xfId="544" builtinId="45" customBuiltin="1"/>
    <cellStyle name="Accent5 2" xfId="751" xr:uid="{00000000-0005-0000-0000-00001D010000}"/>
    <cellStyle name="Accent5 2 2" xfId="752" xr:uid="{00000000-0005-0000-0000-00001E010000}"/>
    <cellStyle name="Accent5 2 3" xfId="753" xr:uid="{00000000-0005-0000-0000-00001F010000}"/>
    <cellStyle name="Accent5 2_DEO ADIT Unprotected" xfId="2666" xr:uid="{56185A9B-CB4D-413A-901C-837537249C45}"/>
    <cellStyle name="Accent5 3" xfId="754" xr:uid="{00000000-0005-0000-0000-000020010000}"/>
    <cellStyle name="Accent6" xfId="548" builtinId="49" customBuiltin="1"/>
    <cellStyle name="Accent6 2" xfId="755" xr:uid="{00000000-0005-0000-0000-000022010000}"/>
    <cellStyle name="Accent6 2 2" xfId="756" xr:uid="{00000000-0005-0000-0000-000023010000}"/>
    <cellStyle name="Accent6 2 3" xfId="757" xr:uid="{00000000-0005-0000-0000-000024010000}"/>
    <cellStyle name="Accent6 2_DEO ADIT Unprotected" xfId="2667" xr:uid="{7BCA4E98-25F7-428D-8726-DE8E1CE89F12}"/>
    <cellStyle name="Accent6 3" xfId="758" xr:uid="{00000000-0005-0000-0000-000025010000}"/>
    <cellStyle name="Accent6 4" xfId="759" xr:uid="{00000000-0005-0000-0000-000026010000}"/>
    <cellStyle name="Actual Date" xfId="760" xr:uid="{00000000-0005-0000-0000-000027010000}"/>
    <cellStyle name="Bad" xfId="518" builtinId="27" customBuiltin="1"/>
    <cellStyle name="Bad 2" xfId="761" xr:uid="{00000000-0005-0000-0000-000029010000}"/>
    <cellStyle name="Bad 2 2" xfId="762" xr:uid="{00000000-0005-0000-0000-00002A010000}"/>
    <cellStyle name="Bad 2 3" xfId="763" xr:uid="{00000000-0005-0000-0000-00002B010000}"/>
    <cellStyle name="Bad 2_DEO ADIT Unprotected" xfId="2668" xr:uid="{98013605-CCCB-4D32-92AD-4EFB09C795F0}"/>
    <cellStyle name="Bad 3" xfId="764" xr:uid="{00000000-0005-0000-0000-00002C010000}"/>
    <cellStyle name="Bad 4" xfId="765" xr:uid="{00000000-0005-0000-0000-00002D010000}"/>
    <cellStyle name="Basic" xfId="24" xr:uid="{00000000-0005-0000-0000-00002E010000}"/>
    <cellStyle name="black" xfId="25" xr:uid="{00000000-0005-0000-0000-00002F010000}"/>
    <cellStyle name="blu" xfId="26" xr:uid="{00000000-0005-0000-0000-000030010000}"/>
    <cellStyle name="bot" xfId="27" xr:uid="{00000000-0005-0000-0000-000031010000}"/>
    <cellStyle name="Brand Align Left Text" xfId="766" xr:uid="{00000000-0005-0000-0000-000032010000}"/>
    <cellStyle name="Brand Default" xfId="767" xr:uid="{00000000-0005-0000-0000-000033010000}"/>
    <cellStyle name="Brand Percent" xfId="768" xr:uid="{00000000-0005-0000-0000-000034010000}"/>
    <cellStyle name="Brand Source" xfId="769" xr:uid="{00000000-0005-0000-0000-000035010000}"/>
    <cellStyle name="Brand Subtitle with Underline" xfId="770" xr:uid="{00000000-0005-0000-0000-000036010000}"/>
    <cellStyle name="Brand Subtitle without Underline" xfId="771" xr:uid="{00000000-0005-0000-0000-000037010000}"/>
    <cellStyle name="Brand Title" xfId="772" xr:uid="{00000000-0005-0000-0000-000038010000}"/>
    <cellStyle name="Bullet" xfId="28" xr:uid="{00000000-0005-0000-0000-000039010000}"/>
    <cellStyle name="Bullet [0]" xfId="29" xr:uid="{00000000-0005-0000-0000-00003A010000}"/>
    <cellStyle name="Bullet [2]" xfId="30" xr:uid="{00000000-0005-0000-0000-00003B010000}"/>
    <cellStyle name="Bullet [4]" xfId="31" xr:uid="{00000000-0005-0000-0000-00003C010000}"/>
    <cellStyle name="c" xfId="32" xr:uid="{00000000-0005-0000-0000-00003D010000}"/>
    <cellStyle name="c," xfId="33" xr:uid="{00000000-0005-0000-0000-00003E010000}"/>
    <cellStyle name="c_HardInc " xfId="34" xr:uid="{00000000-0005-0000-0000-00003F010000}"/>
    <cellStyle name="c_HardInc _DEO ADIT Unprotected" xfId="2669" xr:uid="{C86D22AD-7C71-40AA-8130-12CC0FFC7EE3}"/>
    <cellStyle name="c_HardInc _ITC Great Plains Formula 1-12-09a" xfId="35" xr:uid="{00000000-0005-0000-0000-000040010000}"/>
    <cellStyle name="c_HardInc _ITC Great Plains Formula 1-12-09a_DEO ADIT Unprotected" xfId="2670" xr:uid="{D2C9F6ED-00CE-4AD3-AEFF-3235F8152388}"/>
    <cellStyle name="C00A" xfId="36" xr:uid="{00000000-0005-0000-0000-000041010000}"/>
    <cellStyle name="C00B" xfId="37" xr:uid="{00000000-0005-0000-0000-000042010000}"/>
    <cellStyle name="C00L" xfId="38" xr:uid="{00000000-0005-0000-0000-000043010000}"/>
    <cellStyle name="C01A" xfId="39" xr:uid="{00000000-0005-0000-0000-000044010000}"/>
    <cellStyle name="C01B" xfId="40" xr:uid="{00000000-0005-0000-0000-000045010000}"/>
    <cellStyle name="C01H" xfId="41" xr:uid="{00000000-0005-0000-0000-000046010000}"/>
    <cellStyle name="C01L" xfId="42" xr:uid="{00000000-0005-0000-0000-000047010000}"/>
    <cellStyle name="C02A" xfId="43" xr:uid="{00000000-0005-0000-0000-000048010000}"/>
    <cellStyle name="C02A 2" xfId="1624" xr:uid="{00000000-0005-0000-0000-000049010000}"/>
    <cellStyle name="C02A_DEO ADIT Unprotected" xfId="2671" xr:uid="{1D7E4D50-130E-4EB9-86E9-A7E7968E47A3}"/>
    <cellStyle name="C02B" xfId="44" xr:uid="{00000000-0005-0000-0000-00004A010000}"/>
    <cellStyle name="C02H" xfId="45" xr:uid="{00000000-0005-0000-0000-00004B010000}"/>
    <cellStyle name="C02L" xfId="46" xr:uid="{00000000-0005-0000-0000-00004C010000}"/>
    <cellStyle name="C03A" xfId="47" xr:uid="{00000000-0005-0000-0000-00004D010000}"/>
    <cellStyle name="C03B" xfId="48" xr:uid="{00000000-0005-0000-0000-00004E010000}"/>
    <cellStyle name="C03H" xfId="49" xr:uid="{00000000-0005-0000-0000-00004F010000}"/>
    <cellStyle name="C03L" xfId="50" xr:uid="{00000000-0005-0000-0000-000050010000}"/>
    <cellStyle name="C04A" xfId="51" xr:uid="{00000000-0005-0000-0000-000051010000}"/>
    <cellStyle name="C04B" xfId="52" xr:uid="{00000000-0005-0000-0000-000052010000}"/>
    <cellStyle name="C04H" xfId="53" xr:uid="{00000000-0005-0000-0000-000053010000}"/>
    <cellStyle name="C04L" xfId="54" xr:uid="{00000000-0005-0000-0000-000054010000}"/>
    <cellStyle name="C05A" xfId="55" xr:uid="{00000000-0005-0000-0000-000055010000}"/>
    <cellStyle name="C05B" xfId="56" xr:uid="{00000000-0005-0000-0000-000056010000}"/>
    <cellStyle name="C05H" xfId="57" xr:uid="{00000000-0005-0000-0000-000057010000}"/>
    <cellStyle name="C05L" xfId="58" xr:uid="{00000000-0005-0000-0000-000058010000}"/>
    <cellStyle name="C06A" xfId="59" xr:uid="{00000000-0005-0000-0000-000059010000}"/>
    <cellStyle name="C06B" xfId="60" xr:uid="{00000000-0005-0000-0000-00005A010000}"/>
    <cellStyle name="C06H" xfId="61" xr:uid="{00000000-0005-0000-0000-00005B010000}"/>
    <cellStyle name="C06L" xfId="62" xr:uid="{00000000-0005-0000-0000-00005C010000}"/>
    <cellStyle name="C07A" xfId="63" xr:uid="{00000000-0005-0000-0000-00005D010000}"/>
    <cellStyle name="C07B" xfId="64" xr:uid="{00000000-0005-0000-0000-00005E010000}"/>
    <cellStyle name="C07H" xfId="65" xr:uid="{00000000-0005-0000-0000-00005F010000}"/>
    <cellStyle name="C07L" xfId="66" xr:uid="{00000000-0005-0000-0000-000060010000}"/>
    <cellStyle name="c1" xfId="67" xr:uid="{00000000-0005-0000-0000-000061010000}"/>
    <cellStyle name="c1," xfId="68" xr:uid="{00000000-0005-0000-0000-000062010000}"/>
    <cellStyle name="c2" xfId="69" xr:uid="{00000000-0005-0000-0000-000063010000}"/>
    <cellStyle name="c2," xfId="70" xr:uid="{00000000-0005-0000-0000-000064010000}"/>
    <cellStyle name="c3" xfId="71" xr:uid="{00000000-0005-0000-0000-000065010000}"/>
    <cellStyle name="Calculation" xfId="522" builtinId="22" customBuiltin="1"/>
    <cellStyle name="Calculation 2" xfId="773" xr:uid="{00000000-0005-0000-0000-000067010000}"/>
    <cellStyle name="Calculation 2 2" xfId="774" xr:uid="{00000000-0005-0000-0000-000068010000}"/>
    <cellStyle name="Calculation 2 3" xfId="775" xr:uid="{00000000-0005-0000-0000-000069010000}"/>
    <cellStyle name="Calculation 2_DEO ADIT Unprotected" xfId="2672" xr:uid="{6F720188-54ED-4032-B2C2-291D8E119F1B}"/>
    <cellStyle name="Calculation 3" xfId="776" xr:uid="{00000000-0005-0000-0000-00006A010000}"/>
    <cellStyle name="Calculation 4" xfId="777" xr:uid="{00000000-0005-0000-0000-00006B010000}"/>
    <cellStyle name="cas" xfId="72" xr:uid="{00000000-0005-0000-0000-00006C010000}"/>
    <cellStyle name="Centered Heading" xfId="73" xr:uid="{00000000-0005-0000-0000-00006D010000}"/>
    <cellStyle name="ChartingText" xfId="778" xr:uid="{00000000-0005-0000-0000-00006E010000}"/>
    <cellStyle name="Check Cell" xfId="524" builtinId="23" customBuiltin="1"/>
    <cellStyle name="Check Cell 2" xfId="779" xr:uid="{00000000-0005-0000-0000-000070010000}"/>
    <cellStyle name="Check Cell 2 2" xfId="780" xr:uid="{00000000-0005-0000-0000-000071010000}"/>
    <cellStyle name="Check Cell 2 3" xfId="781" xr:uid="{00000000-0005-0000-0000-000072010000}"/>
    <cellStyle name="Check Cell 2_DEO ADIT Unprotected" xfId="2673" xr:uid="{70C1887D-0241-48AA-830E-294A7A68207B}"/>
    <cellStyle name="Check Cell 3" xfId="782" xr:uid="{00000000-0005-0000-0000-000073010000}"/>
    <cellStyle name="column1" xfId="783" xr:uid="{00000000-0005-0000-0000-000074010000}"/>
    <cellStyle name="ColumnHeaderNormal" xfId="784" xr:uid="{00000000-0005-0000-0000-000075010000}"/>
    <cellStyle name="Comma" xfId="1" builtinId="3"/>
    <cellStyle name="Comma  - Style1" xfId="74" xr:uid="{00000000-0005-0000-0000-000077010000}"/>
    <cellStyle name="Comma  - Style2" xfId="75" xr:uid="{00000000-0005-0000-0000-000078010000}"/>
    <cellStyle name="Comma  - Style3" xfId="76" xr:uid="{00000000-0005-0000-0000-000079010000}"/>
    <cellStyle name="Comma  - Style4" xfId="77" xr:uid="{00000000-0005-0000-0000-00007A010000}"/>
    <cellStyle name="Comma  - Style5" xfId="78" xr:uid="{00000000-0005-0000-0000-00007B010000}"/>
    <cellStyle name="Comma  - Style6" xfId="79" xr:uid="{00000000-0005-0000-0000-00007C010000}"/>
    <cellStyle name="Comma  - Style7" xfId="80" xr:uid="{00000000-0005-0000-0000-00007D010000}"/>
    <cellStyle name="Comma  - Style8" xfId="81" xr:uid="{00000000-0005-0000-0000-00007E010000}"/>
    <cellStyle name="Comma [1]" xfId="82" xr:uid="{00000000-0005-0000-0000-00007F010000}"/>
    <cellStyle name="Comma [2]" xfId="83" xr:uid="{00000000-0005-0000-0000-000080010000}"/>
    <cellStyle name="Comma [3]" xfId="84" xr:uid="{00000000-0005-0000-0000-000081010000}"/>
    <cellStyle name="Comma 0.0" xfId="85" xr:uid="{00000000-0005-0000-0000-000082010000}"/>
    <cellStyle name="Comma 0.00" xfId="86" xr:uid="{00000000-0005-0000-0000-000083010000}"/>
    <cellStyle name="Comma 0.000" xfId="87" xr:uid="{00000000-0005-0000-0000-000084010000}"/>
    <cellStyle name="Comma 0.0000" xfId="88" xr:uid="{00000000-0005-0000-0000-000085010000}"/>
    <cellStyle name="Comma 10" xfId="354" xr:uid="{00000000-0005-0000-0000-000086010000}"/>
    <cellStyle name="Comma 10 13" xfId="9121" xr:uid="{1A4BAFD5-2DBD-4B81-9014-C611DB08A5BA}"/>
    <cellStyle name="Comma 10 2" xfId="785" xr:uid="{00000000-0005-0000-0000-000087010000}"/>
    <cellStyle name="Comma 10 2 2" xfId="1815" xr:uid="{00000000-0005-0000-0000-000088010000}"/>
    <cellStyle name="Comma 10 2 2 2" xfId="5065" xr:uid="{3D1B037E-6702-43CA-8F76-83875C7A706E}"/>
    <cellStyle name="Comma 10 2 2 2 2" xfId="8445" xr:uid="{2BC7BABB-005B-431C-BA26-722A170F509D}"/>
    <cellStyle name="Comma 10 2 2 3" xfId="6745" xr:uid="{72045AC9-EDAC-4A96-9A18-878AD5E80577}"/>
    <cellStyle name="Comma 10 2 3" xfId="4228" xr:uid="{EE9D430C-63DC-4334-9CF5-F9E6EA5A2F6B}"/>
    <cellStyle name="Comma 10 2 3 2" xfId="7608" xr:uid="{7EA7825C-36B2-44A1-ADEB-EB0E05EC3945}"/>
    <cellStyle name="Comma 10 2 4" xfId="5907" xr:uid="{E5CB1967-A458-4A28-A2A6-1CBEC779C98F}"/>
    <cellStyle name="Comma 10 3" xfId="786" xr:uid="{00000000-0005-0000-0000-000089010000}"/>
    <cellStyle name="Comma 10 3 2" xfId="1816" xr:uid="{00000000-0005-0000-0000-00008A010000}"/>
    <cellStyle name="Comma 10 3 2 2" xfId="5066" xr:uid="{1C6FF9E9-8742-44DE-8361-C896AFAEF15C}"/>
    <cellStyle name="Comma 10 3 2 2 2" xfId="8446" xr:uid="{D82587C4-1F96-464B-A4B8-4062E802373D}"/>
    <cellStyle name="Comma 10 3 2 3" xfId="6746" xr:uid="{CE6C18C9-A68C-46D2-9660-FB25845CCC2F}"/>
    <cellStyle name="Comma 10 3 3" xfId="4229" xr:uid="{FAB096ED-4675-42E1-BB0A-B5129330671C}"/>
    <cellStyle name="Comma 10 3 3 2" xfId="7609" xr:uid="{CFDA06EE-1A54-4173-9B42-ED7F2E50D018}"/>
    <cellStyle name="Comma 10 3 4" xfId="5908" xr:uid="{F46D7034-E274-4396-9498-BB920BFB76CF}"/>
    <cellStyle name="Comma 10 4" xfId="787" xr:uid="{00000000-0005-0000-0000-00008B010000}"/>
    <cellStyle name="Comma 10 4 2" xfId="1817" xr:uid="{00000000-0005-0000-0000-00008C010000}"/>
    <cellStyle name="Comma 10 4 2 2" xfId="5067" xr:uid="{6369642A-03BF-4A24-8CE5-E73DA8B366FA}"/>
    <cellStyle name="Comma 10 4 2 2 2" xfId="8447" xr:uid="{43912B8E-A9D8-4804-A6F4-98654C67D952}"/>
    <cellStyle name="Comma 10 4 2 3" xfId="6747" xr:uid="{BD8F3549-72D6-4DC6-9949-CA16ECA59098}"/>
    <cellStyle name="Comma 10 4 3" xfId="4230" xr:uid="{97CF6687-B023-46CB-8FB1-378023FB9D49}"/>
    <cellStyle name="Comma 10 4 3 2" xfId="7610" xr:uid="{F4553BB1-C307-4CC5-A596-6AC9317C87F3}"/>
    <cellStyle name="Comma 10 4 4" xfId="5909" xr:uid="{2A4A7CBC-A5A1-4027-B83B-04D80815BE48}"/>
    <cellStyle name="Comma 10 5" xfId="788" xr:uid="{00000000-0005-0000-0000-00008D010000}"/>
    <cellStyle name="Comma 10 5 2" xfId="1818" xr:uid="{00000000-0005-0000-0000-00008E010000}"/>
    <cellStyle name="Comma 10 5 2 2" xfId="5068" xr:uid="{A076CF7C-B08F-4FAB-95B0-88208B92FFB4}"/>
    <cellStyle name="Comma 10 5 2 2 2" xfId="8448" xr:uid="{05DD232A-2B11-41EC-AAF1-CE638BE844F0}"/>
    <cellStyle name="Comma 10 5 2 3" xfId="6748" xr:uid="{C36061C8-A0D3-4B2E-99AB-1D85731A16E6}"/>
    <cellStyle name="Comma 10 5 3" xfId="4231" xr:uid="{3E981716-F0A9-4FD1-BBF0-1380C5C02138}"/>
    <cellStyle name="Comma 10 5 3 2" xfId="7611" xr:uid="{DC61274C-4C6F-42CA-A8D2-D6E0CC87F9E6}"/>
    <cellStyle name="Comma 10 5 4" xfId="5910" xr:uid="{512479B4-EFD6-40F5-9B8B-52DE281EA299}"/>
    <cellStyle name="Comma 10 6" xfId="789" xr:uid="{00000000-0005-0000-0000-00008F010000}"/>
    <cellStyle name="Comma 10 6 2" xfId="1819" xr:uid="{00000000-0005-0000-0000-000090010000}"/>
    <cellStyle name="Comma 10 6 2 2" xfId="5069" xr:uid="{3648ED3E-133D-43BB-A6BB-D2FE55B1227C}"/>
    <cellStyle name="Comma 10 6 2 2 2" xfId="8449" xr:uid="{4EA0FD51-003B-426B-A56D-537D6C2C25DF}"/>
    <cellStyle name="Comma 10 6 2 3" xfId="6749" xr:uid="{5039D9E9-F3A2-44B7-BFF5-B1DD8D57CC8F}"/>
    <cellStyle name="Comma 10 6 3" xfId="4232" xr:uid="{BE5250C5-756B-4AC0-A011-E52402C2089B}"/>
    <cellStyle name="Comma 10 6 3 2" xfId="7612" xr:uid="{A10605C3-0CAC-4964-980F-A1988D6DFF7F}"/>
    <cellStyle name="Comma 10 6 4" xfId="5911" xr:uid="{3F7D0C54-A564-4688-90A7-F399C1992E2D}"/>
    <cellStyle name="Comma 100" xfId="7395" xr:uid="{FCE2B964-7DA9-4DF2-A93D-2432E6605A29}"/>
    <cellStyle name="Comma 101" xfId="7393" xr:uid="{FAEF713D-6F33-4185-BBE9-970A8F9215D9}"/>
    <cellStyle name="Comma 102" xfId="7399" xr:uid="{651018D3-47CC-4304-8990-3018DC182E85}"/>
    <cellStyle name="Comma 103" xfId="6155" xr:uid="{AE73F939-AB6E-4F12-9520-8FF9710C674E}"/>
    <cellStyle name="Comma 11" xfId="356" xr:uid="{00000000-0005-0000-0000-000091010000}"/>
    <cellStyle name="Comma 11 2" xfId="790" xr:uid="{00000000-0005-0000-0000-000092010000}"/>
    <cellStyle name="Comma 11 2 2" xfId="1820" xr:uid="{00000000-0005-0000-0000-000093010000}"/>
    <cellStyle name="Comma 11 2 2 2" xfId="5070" xr:uid="{F03989CA-237A-4908-97C7-432A066A5688}"/>
    <cellStyle name="Comma 11 2 2 2 2" xfId="8450" xr:uid="{8DA5A86A-458D-49FD-B801-E51C3AF4A5D6}"/>
    <cellStyle name="Comma 11 2 2 3" xfId="6750" xr:uid="{9AF89DF1-9A18-4440-B437-215302BB5A5F}"/>
    <cellStyle name="Comma 11 2 3" xfId="4233" xr:uid="{9F0095ED-A88D-419F-8B9B-25B59385648F}"/>
    <cellStyle name="Comma 11 2 3 2" xfId="7613" xr:uid="{341BE1C1-EC7E-4700-A318-84297BAD56A9}"/>
    <cellStyle name="Comma 11 2 4" xfId="5912" xr:uid="{A0570C19-5747-4DDA-A0F3-754C2B0E5F45}"/>
    <cellStyle name="Comma 12" xfId="361" xr:uid="{00000000-0005-0000-0000-000094010000}"/>
    <cellStyle name="Comma 12 2" xfId="791" xr:uid="{00000000-0005-0000-0000-000095010000}"/>
    <cellStyle name="Comma 12 2 2" xfId="1821" xr:uid="{00000000-0005-0000-0000-000096010000}"/>
    <cellStyle name="Comma 12 2 2 2" xfId="5071" xr:uid="{6E997D89-241D-4901-AA39-99F643FD6770}"/>
    <cellStyle name="Comma 12 2 2 2 2" xfId="8451" xr:uid="{0E225F54-B962-440B-A708-7CEAB6689C84}"/>
    <cellStyle name="Comma 12 2 2 3" xfId="6751" xr:uid="{52E9FA14-0808-4121-9491-98088CD7B4D0}"/>
    <cellStyle name="Comma 12 2 3" xfId="4234" xr:uid="{2B97996F-BB3E-4C74-96EE-E02EA6E39732}"/>
    <cellStyle name="Comma 12 2 3 2" xfId="7614" xr:uid="{71909929-3BE4-4D1B-86DA-B3750F22D6D3}"/>
    <cellStyle name="Comma 12 2 4" xfId="5913" xr:uid="{DAF57920-9D3F-428E-B460-9D2D38E7C11F}"/>
    <cellStyle name="Comma 13" xfId="366" xr:uid="{00000000-0005-0000-0000-000097010000}"/>
    <cellStyle name="Comma 14" xfId="362" xr:uid="{00000000-0005-0000-0000-000098010000}"/>
    <cellStyle name="Comma 14 2" xfId="792" xr:uid="{00000000-0005-0000-0000-000099010000}"/>
    <cellStyle name="Comma 14 2 2" xfId="1822" xr:uid="{00000000-0005-0000-0000-00009A010000}"/>
    <cellStyle name="Comma 14 2 2 2" xfId="5072" xr:uid="{F0F126A2-3307-40F2-8D3B-022F0EF14966}"/>
    <cellStyle name="Comma 14 2 2 2 2" xfId="8452" xr:uid="{46EC1A31-FFD3-4A0F-B325-AE5534EE9F51}"/>
    <cellStyle name="Comma 14 2 2 3" xfId="6752" xr:uid="{00F5D50D-BF66-4071-B947-3595BE5C4B8F}"/>
    <cellStyle name="Comma 14 2 3" xfId="4235" xr:uid="{2BA53B79-2B9E-4BDA-BC2E-ED62394407D7}"/>
    <cellStyle name="Comma 14 2 3 2" xfId="7615" xr:uid="{430F13C3-2556-44AC-AFE2-8209706F077C}"/>
    <cellStyle name="Comma 14 2 4" xfId="5914" xr:uid="{E30D39A5-AA42-4C4A-9BE7-32D5F1611431}"/>
    <cellStyle name="Comma 15" xfId="365" xr:uid="{00000000-0005-0000-0000-00009B010000}"/>
    <cellStyle name="Comma 15 2" xfId="793" xr:uid="{00000000-0005-0000-0000-00009C010000}"/>
    <cellStyle name="Comma 15 2 2" xfId="1823" xr:uid="{00000000-0005-0000-0000-00009D010000}"/>
    <cellStyle name="Comma 15 2 2 2" xfId="5073" xr:uid="{F1438D80-EB41-414B-88E4-CC556D25F407}"/>
    <cellStyle name="Comma 15 2 2 2 2" xfId="8453" xr:uid="{9FE8A92E-C335-4649-ADB8-64A15AB7D506}"/>
    <cellStyle name="Comma 15 2 2 3" xfId="6753" xr:uid="{25E9EA60-BE0E-43D3-AC97-194FBD21C377}"/>
    <cellStyle name="Comma 15 2 3" xfId="4236" xr:uid="{264B56FB-EE09-4529-927F-4ACD7E634908}"/>
    <cellStyle name="Comma 15 2 3 2" xfId="7616" xr:uid="{ED025144-A67F-4D06-844C-B636E62355E7}"/>
    <cellStyle name="Comma 15 2 4" xfId="5915" xr:uid="{17F93C0C-F8EC-4809-BBA1-D583C642902E}"/>
    <cellStyle name="Comma 16" xfId="363" xr:uid="{00000000-0005-0000-0000-00009E010000}"/>
    <cellStyle name="Comma 17" xfId="364" xr:uid="{00000000-0005-0000-0000-00009F010000}"/>
    <cellStyle name="Comma 18" xfId="368" xr:uid="{00000000-0005-0000-0000-0000A0010000}"/>
    <cellStyle name="Comma 19" xfId="414" xr:uid="{00000000-0005-0000-0000-0000A1010000}"/>
    <cellStyle name="Comma 2" xfId="2" xr:uid="{00000000-0005-0000-0000-0000A2010000}"/>
    <cellStyle name="Comma 2 2" xfId="89" xr:uid="{00000000-0005-0000-0000-0000A3010000}"/>
    <cellStyle name="Comma 2 2 2" xfId="794" xr:uid="{00000000-0005-0000-0000-0000A4010000}"/>
    <cellStyle name="Comma 2 2 2 2" xfId="795" xr:uid="{00000000-0005-0000-0000-0000A5010000}"/>
    <cellStyle name="Comma 2 2 2 2 2" xfId="1825" xr:uid="{00000000-0005-0000-0000-0000A6010000}"/>
    <cellStyle name="Comma 2 2 2 2 2 2" xfId="5075" xr:uid="{DB230F69-E5EC-4544-B422-551DDE8AA39F}"/>
    <cellStyle name="Comma 2 2 2 2 2 2 2" xfId="8455" xr:uid="{CCAADF0D-D952-430B-896D-557F419CED9D}"/>
    <cellStyle name="Comma 2 2 2 2 2 3" xfId="6755" xr:uid="{803DF3CD-7E5E-412F-98C6-6FC3D597FC06}"/>
    <cellStyle name="Comma 2 2 2 2 3" xfId="4238" xr:uid="{A9B5A11E-60DB-4685-9257-255E78D3E43D}"/>
    <cellStyle name="Comma 2 2 2 2 3 2" xfId="7618" xr:uid="{DAFD641D-6F86-4EEF-AF32-0C9CEE3D50B8}"/>
    <cellStyle name="Comma 2 2 2 2 4" xfId="5917" xr:uid="{653DC9A4-9ED6-41B1-8F11-C308426F468D}"/>
    <cellStyle name="Comma 2 2 2 3" xfId="1824" xr:uid="{00000000-0005-0000-0000-0000A7010000}"/>
    <cellStyle name="Comma 2 2 2 3 2" xfId="5074" xr:uid="{ADE05559-A63D-4699-84A6-B800A87E1301}"/>
    <cellStyle name="Comma 2 2 2 3 2 2" xfId="8454" xr:uid="{9535CC8D-DE9A-4423-A7B7-643787B70E56}"/>
    <cellStyle name="Comma 2 2 2 3 3" xfId="6754" xr:uid="{48535C0A-6A30-44A4-A297-39D5DE0DAF05}"/>
    <cellStyle name="Comma 2 2 2 4" xfId="4237" xr:uid="{8716579F-1E26-4970-BE5F-874F66392640}"/>
    <cellStyle name="Comma 2 2 2 4 2" xfId="7617" xr:uid="{33BE8F2D-E5A8-43EE-B9D9-A961C87AF5CF}"/>
    <cellStyle name="Comma 2 2 2 5" xfId="5916" xr:uid="{F94C8068-90F3-4F0B-823E-AA2D55B5471D}"/>
    <cellStyle name="Comma 2 3" xfId="444" xr:uid="{00000000-0005-0000-0000-0000A8010000}"/>
    <cellStyle name="Comma 2 3 2" xfId="796" xr:uid="{00000000-0005-0000-0000-0000A9010000}"/>
    <cellStyle name="Comma 2 3 2 2" xfId="1826" xr:uid="{00000000-0005-0000-0000-0000AA010000}"/>
    <cellStyle name="Comma 2 3 2 2 2" xfId="5076" xr:uid="{D24B8E54-9CDA-4083-AE98-5B78D4430E48}"/>
    <cellStyle name="Comma 2 3 2 2 2 2" xfId="8456" xr:uid="{70DA855B-9D1F-4729-AEFD-6E9667FCBD35}"/>
    <cellStyle name="Comma 2 3 2 2 3" xfId="6756" xr:uid="{00F20B44-2555-4232-B108-34BF8F2AE2D8}"/>
    <cellStyle name="Comma 2 3 2 3" xfId="4239" xr:uid="{03918184-C26A-4735-A7B1-6A74B9F31449}"/>
    <cellStyle name="Comma 2 3 2 3 2" xfId="7619" xr:uid="{869F01EB-2CE1-4661-9553-07550C38B5B3}"/>
    <cellStyle name="Comma 2 3 2 4" xfId="5918" xr:uid="{48A93086-47B6-40DB-AD26-ABA7F4400BB6}"/>
    <cellStyle name="Comma 2 4" xfId="797" xr:uid="{00000000-0005-0000-0000-0000AB010000}"/>
    <cellStyle name="Comma 2 4 2" xfId="798" xr:uid="{00000000-0005-0000-0000-0000AC010000}"/>
    <cellStyle name="Comma 2 4 2 2" xfId="1828" xr:uid="{00000000-0005-0000-0000-0000AD010000}"/>
    <cellStyle name="Comma 2 4 2 2 2" xfId="5078" xr:uid="{6EED95EE-9751-4395-A9DC-0D7B9B42D14E}"/>
    <cellStyle name="Comma 2 4 2 2 2 2" xfId="8458" xr:uid="{0303D151-560F-4C2E-BCB0-8FF634CB899B}"/>
    <cellStyle name="Comma 2 4 2 2 3" xfId="6758" xr:uid="{3C091A2C-352B-40F4-9E60-4E81CBE17F32}"/>
    <cellStyle name="Comma 2 4 2 3" xfId="4241" xr:uid="{159ED598-7D61-418F-A188-C393C72A81DB}"/>
    <cellStyle name="Comma 2 4 2 3 2" xfId="7621" xr:uid="{692B6898-BAED-455B-BFDB-CF3145383CD3}"/>
    <cellStyle name="Comma 2 4 2 4" xfId="5920" xr:uid="{0F55A78A-B117-4DF8-A6B5-182E29946350}"/>
    <cellStyle name="Comma 2 4 3" xfId="1827" xr:uid="{00000000-0005-0000-0000-0000AE010000}"/>
    <cellStyle name="Comma 2 4 3 2" xfId="5077" xr:uid="{3DED0FE6-4F8D-4EA3-823E-DE2F5809FE6E}"/>
    <cellStyle name="Comma 2 4 3 2 2" xfId="8457" xr:uid="{22A7B653-C63A-4E42-86EA-2F05133FBA75}"/>
    <cellStyle name="Comma 2 4 3 3" xfId="6757" xr:uid="{08CEB8A0-72AB-484B-AEC6-D14A5541E607}"/>
    <cellStyle name="Comma 2 4 4" xfId="4240" xr:uid="{5A580542-6245-4812-9612-446FC22C6038}"/>
    <cellStyle name="Comma 2 4 4 2" xfId="7620" xr:uid="{22D5F942-4655-48E4-B9D3-6BDEED634AC8}"/>
    <cellStyle name="Comma 2 4 5" xfId="5919" xr:uid="{9D0644AC-8599-4CC9-99D2-BAE17B435ECF}"/>
    <cellStyle name="Comma 20" xfId="373" xr:uid="{00000000-0005-0000-0000-0000AF010000}"/>
    <cellStyle name="Comma 21" xfId="410" xr:uid="{00000000-0005-0000-0000-0000B0010000}"/>
    <cellStyle name="Comma 22" xfId="377" xr:uid="{00000000-0005-0000-0000-0000B1010000}"/>
    <cellStyle name="Comma 23" xfId="406" xr:uid="{00000000-0005-0000-0000-0000B2010000}"/>
    <cellStyle name="Comma 24" xfId="380" xr:uid="{00000000-0005-0000-0000-0000B3010000}"/>
    <cellStyle name="Comma 25" xfId="403" xr:uid="{00000000-0005-0000-0000-0000B4010000}"/>
    <cellStyle name="Comma 26" xfId="372" xr:uid="{00000000-0005-0000-0000-0000B5010000}"/>
    <cellStyle name="Comma 27" xfId="400" xr:uid="{00000000-0005-0000-0000-0000B6010000}"/>
    <cellStyle name="Comma 28" xfId="385" xr:uid="{00000000-0005-0000-0000-0000B7010000}"/>
    <cellStyle name="Comma 29" xfId="398" xr:uid="{00000000-0005-0000-0000-0000B8010000}"/>
    <cellStyle name="Comma 3" xfId="13" xr:uid="{00000000-0005-0000-0000-0000B9010000}"/>
    <cellStyle name="Comma 3 2" xfId="90" xr:uid="{00000000-0005-0000-0000-0000BA010000}"/>
    <cellStyle name="Comma 3 2 2" xfId="432" xr:uid="{00000000-0005-0000-0000-0000BB010000}"/>
    <cellStyle name="Comma 3 2 2 2" xfId="1639" xr:uid="{00000000-0005-0000-0000-0000BC010000}"/>
    <cellStyle name="Comma 3 2 2 2 2" xfId="4889" xr:uid="{0AA90CE0-5818-41D9-B7E4-89158E5F34C3}"/>
    <cellStyle name="Comma 3 2 2 2 2 2" xfId="8269" xr:uid="{FF4734C1-B7EE-40A0-ADE1-D3E9824DC20A}"/>
    <cellStyle name="Comma 3 2 2 2 3" xfId="6569" xr:uid="{0B54F10B-B185-42C3-AEB0-437299B7F998}"/>
    <cellStyle name="Comma 3 2 2 3" xfId="4052" xr:uid="{17A21AF5-C8B3-442E-9EDF-7EF72654E18E}"/>
    <cellStyle name="Comma 3 2 2 3 2" xfId="7432" xr:uid="{6403E09A-E0FA-46FF-937A-75039BA20EF4}"/>
    <cellStyle name="Comma 3 2 2 4" xfId="5731" xr:uid="{58EB8AAB-E739-4299-AF4B-7A01671D50FC}"/>
    <cellStyle name="Comma 30" xfId="387" xr:uid="{00000000-0005-0000-0000-0000BD010000}"/>
    <cellStyle name="Comma 31" xfId="396" xr:uid="{00000000-0005-0000-0000-0000BE010000}"/>
    <cellStyle name="Comma 32" xfId="389" xr:uid="{00000000-0005-0000-0000-0000BF010000}"/>
    <cellStyle name="Comma 33" xfId="394" xr:uid="{00000000-0005-0000-0000-0000C0010000}"/>
    <cellStyle name="Comma 34" xfId="391" xr:uid="{00000000-0005-0000-0000-0000C1010000}"/>
    <cellStyle name="Comma 35" xfId="392" xr:uid="{00000000-0005-0000-0000-0000C2010000}"/>
    <cellStyle name="Comma 36" xfId="416" xr:uid="{00000000-0005-0000-0000-0000C3010000}"/>
    <cellStyle name="Comma 37" xfId="411" xr:uid="{00000000-0005-0000-0000-0000C4010000}"/>
    <cellStyle name="Comma 38" xfId="376" xr:uid="{00000000-0005-0000-0000-0000C5010000}"/>
    <cellStyle name="Comma 39" xfId="407" xr:uid="{00000000-0005-0000-0000-0000C6010000}"/>
    <cellStyle name="Comma 4" xfId="14" xr:uid="{00000000-0005-0000-0000-0000C7010000}"/>
    <cellStyle name="Comma 4 2" xfId="91" xr:uid="{00000000-0005-0000-0000-0000C8010000}"/>
    <cellStyle name="Comma 4 3" xfId="360" xr:uid="{00000000-0005-0000-0000-0000C9010000}"/>
    <cellStyle name="Comma 4 3 2" xfId="1634" xr:uid="{00000000-0005-0000-0000-0000CA010000}"/>
    <cellStyle name="Comma 4 3 2 2" xfId="4884" xr:uid="{E8C7D975-7C16-42EA-A5EC-CBCBEEBD865B}"/>
    <cellStyle name="Comma 4 3 2 2 2" xfId="8264" xr:uid="{13411D89-C0AD-4D72-9244-161F1CB67DF4}"/>
    <cellStyle name="Comma 4 3 2 3" xfId="6564" xr:uid="{7A215AD1-152C-4818-80C5-DB5AEB6F02FC}"/>
    <cellStyle name="Comma 4 3 3" xfId="4047" xr:uid="{E39A9D14-B402-4DDA-93C2-455B873F89D8}"/>
    <cellStyle name="Comma 4 3 3 2" xfId="7427" xr:uid="{0B3DF284-6CAD-4434-A71C-9005B7DC6671}"/>
    <cellStyle name="Comma 4 3 4" xfId="5726" xr:uid="{5A931176-AED7-4C4B-9FF6-243CF5A8BD20}"/>
    <cellStyle name="Comma 40" xfId="379" xr:uid="{00000000-0005-0000-0000-0000CB010000}"/>
    <cellStyle name="Comma 41" xfId="404" xr:uid="{00000000-0005-0000-0000-0000CC010000}"/>
    <cellStyle name="Comma 42" xfId="382" xr:uid="{00000000-0005-0000-0000-0000CD010000}"/>
    <cellStyle name="Comma 43" xfId="401" xr:uid="{00000000-0005-0000-0000-0000CE010000}"/>
    <cellStyle name="Comma 44" xfId="384" xr:uid="{00000000-0005-0000-0000-0000CF010000}"/>
    <cellStyle name="Comma 45" xfId="412" xr:uid="{00000000-0005-0000-0000-0000D0010000}"/>
    <cellStyle name="Comma 46" xfId="375" xr:uid="{00000000-0005-0000-0000-0000D1010000}"/>
    <cellStyle name="Comma 47" xfId="408" xr:uid="{00000000-0005-0000-0000-0000D2010000}"/>
    <cellStyle name="Comma 48" xfId="378" xr:uid="{00000000-0005-0000-0000-0000D3010000}"/>
    <cellStyle name="Comma 49" xfId="405" xr:uid="{00000000-0005-0000-0000-0000D4010000}"/>
    <cellStyle name="Comma 5" xfId="92" xr:uid="{00000000-0005-0000-0000-0000D5010000}"/>
    <cellStyle name="Comma 5 2" xfId="799" xr:uid="{00000000-0005-0000-0000-0000D6010000}"/>
    <cellStyle name="Comma 5 2 2" xfId="800" xr:uid="{00000000-0005-0000-0000-0000D7010000}"/>
    <cellStyle name="Comma 5 2 2 2" xfId="801" xr:uid="{00000000-0005-0000-0000-0000D8010000}"/>
    <cellStyle name="Comma 5 2 2 2 2" xfId="1831" xr:uid="{00000000-0005-0000-0000-0000D9010000}"/>
    <cellStyle name="Comma 5 2 2 2 2 2" xfId="5081" xr:uid="{C8D6315B-8488-4950-8F6D-32C21242DFE9}"/>
    <cellStyle name="Comma 5 2 2 2 2 2 2" xfId="8461" xr:uid="{F5E4AC3D-CC86-419D-ACFD-366DF595A2BA}"/>
    <cellStyle name="Comma 5 2 2 2 2 3" xfId="6761" xr:uid="{1C36E9D7-581D-44ED-9EAA-CD33BC972346}"/>
    <cellStyle name="Comma 5 2 2 2 3" xfId="4244" xr:uid="{CFE394B6-4314-420A-BE5D-3E7D9AB11924}"/>
    <cellStyle name="Comma 5 2 2 2 3 2" xfId="7624" xr:uid="{07DDB477-530A-43BC-BAC2-2A413A648266}"/>
    <cellStyle name="Comma 5 2 2 2 4" xfId="5923" xr:uid="{F13617DD-9112-4387-BB71-F48C9563CD37}"/>
    <cellStyle name="Comma 5 2 2 3" xfId="1830" xr:uid="{00000000-0005-0000-0000-0000DA010000}"/>
    <cellStyle name="Comma 5 2 2 3 2" xfId="5080" xr:uid="{BEA5DB9B-71F5-48EB-ADCD-696C2A71CF41}"/>
    <cellStyle name="Comma 5 2 2 3 2 2" xfId="8460" xr:uid="{739FC057-4B2A-48D7-8104-BAC07B13F059}"/>
    <cellStyle name="Comma 5 2 2 3 3" xfId="6760" xr:uid="{0B7DB843-6DAB-4DAC-8DFD-BE341F9002F1}"/>
    <cellStyle name="Comma 5 2 2 4" xfId="4243" xr:uid="{EA29049E-BC8C-4DC1-BA26-30CD667BB8AD}"/>
    <cellStyle name="Comma 5 2 2 4 2" xfId="7623" xr:uid="{662FA839-EBBF-44B4-93A6-9F3EBE37CEA2}"/>
    <cellStyle name="Comma 5 2 2 5" xfId="5922" xr:uid="{71B2C95D-BE99-43E6-8328-62F3CB431F58}"/>
    <cellStyle name="Comma 5 2 3" xfId="1829" xr:uid="{00000000-0005-0000-0000-0000DB010000}"/>
    <cellStyle name="Comma 5 2 3 2" xfId="5079" xr:uid="{5B5EBB71-25DE-4D00-BF13-CDD34EB6D15E}"/>
    <cellStyle name="Comma 5 2 3 2 2" xfId="8459" xr:uid="{D3B246B4-3359-4101-B0F3-A4E07ECFDA49}"/>
    <cellStyle name="Comma 5 2 3 3" xfId="6759" xr:uid="{A37A46CE-565E-4F7E-B24D-8D5838C47762}"/>
    <cellStyle name="Comma 5 2 4" xfId="4242" xr:uid="{538A9A95-E09D-4FD0-A6F0-EBA619161BA7}"/>
    <cellStyle name="Comma 5 2 4 2" xfId="7622" xr:uid="{26FAAACF-99E7-4E2F-BBF4-8A7CAE2CCAD6}"/>
    <cellStyle name="Comma 5 2 5" xfId="5921" xr:uid="{B47019D0-987E-48BE-8960-D0FF727F576A}"/>
    <cellStyle name="Comma 5 3" xfId="802" xr:uid="{00000000-0005-0000-0000-0000DC010000}"/>
    <cellStyle name="Comma 5 4" xfId="803" xr:uid="{00000000-0005-0000-0000-0000DD010000}"/>
    <cellStyle name="Comma 5 4 2" xfId="1832" xr:uid="{00000000-0005-0000-0000-0000DE010000}"/>
    <cellStyle name="Comma 5 4 2 2" xfId="5082" xr:uid="{819311BB-EBE0-4F4B-8872-8993ABDA9C8E}"/>
    <cellStyle name="Comma 5 4 2 2 2" xfId="8462" xr:uid="{961DD4CE-4732-4244-BA83-E8ABD21086D5}"/>
    <cellStyle name="Comma 5 4 2 3" xfId="6762" xr:uid="{763AE47E-FB06-4024-B19B-D83C7AF96B1C}"/>
    <cellStyle name="Comma 5 4 3" xfId="4245" xr:uid="{7E6A72B6-6769-4773-9165-680C02C459E3}"/>
    <cellStyle name="Comma 5 4 3 2" xfId="7625" xr:uid="{28AD958D-077F-4382-B5D6-CDB6948FEEE4}"/>
    <cellStyle name="Comma 5 4 4" xfId="5924" xr:uid="{F21AC555-3EE5-4557-AE7F-B3AAFE69ABE7}"/>
    <cellStyle name="Comma 5 5" xfId="804" xr:uid="{00000000-0005-0000-0000-0000DF010000}"/>
    <cellStyle name="Comma 5 5 2" xfId="1833" xr:uid="{00000000-0005-0000-0000-0000E0010000}"/>
    <cellStyle name="Comma 5 5 2 2" xfId="5083" xr:uid="{12745E09-ABE5-4B99-B3CB-AAF28AC73886}"/>
    <cellStyle name="Comma 5 5 2 2 2" xfId="8463" xr:uid="{E63275A2-46DB-4F6C-BD27-7BD997A4CF2A}"/>
    <cellStyle name="Comma 5 5 2 3" xfId="6763" xr:uid="{B4E4B85A-212D-4F67-8F35-661670C0C232}"/>
    <cellStyle name="Comma 5 5 3" xfId="4246" xr:uid="{CB1B8A4A-6224-4F8D-B51F-9FA9BB229621}"/>
    <cellStyle name="Comma 5 5 3 2" xfId="7626" xr:uid="{B95219DF-B091-476D-BFCA-E7C44ADE8E27}"/>
    <cellStyle name="Comma 5 5 4" xfId="5925" xr:uid="{5BB550C9-8F36-47BB-8012-D8362E56A517}"/>
    <cellStyle name="Comma 50" xfId="381" xr:uid="{00000000-0005-0000-0000-0000E1010000}"/>
    <cellStyle name="Comma 51" xfId="402" xr:uid="{00000000-0005-0000-0000-0000E2010000}"/>
    <cellStyle name="Comma 52" xfId="383" xr:uid="{00000000-0005-0000-0000-0000E3010000}"/>
    <cellStyle name="Comma 53" xfId="399" xr:uid="{00000000-0005-0000-0000-0000E4010000}"/>
    <cellStyle name="Comma 54" xfId="386" xr:uid="{00000000-0005-0000-0000-0000E5010000}"/>
    <cellStyle name="Comma 55" xfId="397" xr:uid="{00000000-0005-0000-0000-0000E6010000}"/>
    <cellStyle name="Comma 56" xfId="388" xr:uid="{00000000-0005-0000-0000-0000E7010000}"/>
    <cellStyle name="Comma 57" xfId="395" xr:uid="{00000000-0005-0000-0000-0000E8010000}"/>
    <cellStyle name="Comma 58" xfId="390" xr:uid="{00000000-0005-0000-0000-0000E9010000}"/>
    <cellStyle name="Comma 59" xfId="393" xr:uid="{00000000-0005-0000-0000-0000EA010000}"/>
    <cellStyle name="Comma 6" xfId="327" xr:uid="{00000000-0005-0000-0000-0000EB010000}"/>
    <cellStyle name="Comma 6 2" xfId="441" xr:uid="{00000000-0005-0000-0000-0000EC010000}"/>
    <cellStyle name="Comma 6 2 2" xfId="805" xr:uid="{00000000-0005-0000-0000-0000ED010000}"/>
    <cellStyle name="Comma 6 2 2 2" xfId="1834" xr:uid="{00000000-0005-0000-0000-0000EE010000}"/>
    <cellStyle name="Comma 6 2 2 2 2" xfId="5084" xr:uid="{431C1BBB-A89D-44F7-8985-97669981F9BD}"/>
    <cellStyle name="Comma 6 2 2 2 2 2" xfId="8464" xr:uid="{3670EE45-9EC7-4F20-910B-47E362D9B044}"/>
    <cellStyle name="Comma 6 2 2 2 3" xfId="6764" xr:uid="{144FE423-0A07-4D76-B2EF-DC7EAC940F5D}"/>
    <cellStyle name="Comma 6 2 2 3" xfId="4247" xr:uid="{F85EA352-9315-4C9E-A1D5-98D1115ED6DB}"/>
    <cellStyle name="Comma 6 2 2 3 2" xfId="7627" xr:uid="{3258345C-75D0-4182-BB64-8527CF665B24}"/>
    <cellStyle name="Comma 6 2 2 4" xfId="5926" xr:uid="{24797411-4307-47DB-B9F3-34B294F25674}"/>
    <cellStyle name="Comma 60" xfId="413" xr:uid="{00000000-0005-0000-0000-0000EF010000}"/>
    <cellStyle name="Comma 61" xfId="374" xr:uid="{00000000-0005-0000-0000-0000F0010000}"/>
    <cellStyle name="Comma 62" xfId="409" xr:uid="{00000000-0005-0000-0000-0000F1010000}"/>
    <cellStyle name="Comma 63" xfId="417" xr:uid="{00000000-0005-0000-0000-0000F2010000}"/>
    <cellStyle name="Comma 64" xfId="418" xr:uid="{00000000-0005-0000-0000-0000F3010000}"/>
    <cellStyle name="Comma 65" xfId="420" xr:uid="{00000000-0005-0000-0000-0000F4010000}"/>
    <cellStyle name="Comma 66" xfId="446" xr:uid="{00000000-0005-0000-0000-0000F5010000}"/>
    <cellStyle name="Comma 67" xfId="460" xr:uid="{00000000-0005-0000-0000-0000F6010000}"/>
    <cellStyle name="Comma 68" xfId="422" xr:uid="{00000000-0005-0000-0000-0000F7010000}"/>
    <cellStyle name="Comma 69" xfId="437" xr:uid="{00000000-0005-0000-0000-0000F8010000}"/>
    <cellStyle name="Comma 7" xfId="331" xr:uid="{00000000-0005-0000-0000-0000F9010000}"/>
    <cellStyle name="Comma 7 2" xfId="806" xr:uid="{00000000-0005-0000-0000-0000FA010000}"/>
    <cellStyle name="Comma 7 2 2" xfId="1835" xr:uid="{00000000-0005-0000-0000-0000FB010000}"/>
    <cellStyle name="Comma 7 2 2 2" xfId="5085" xr:uid="{985E502E-7168-4046-870D-79071A08DFC1}"/>
    <cellStyle name="Comma 7 2 2 2 2" xfId="8465" xr:uid="{1FA285AA-C216-464A-AA4A-8CB0BBD1DF6E}"/>
    <cellStyle name="Comma 7 2 2 3" xfId="6765" xr:uid="{785EB1FA-DF84-4B5E-8CAA-9C85AA5A94F1}"/>
    <cellStyle name="Comma 7 2 3" xfId="4248" xr:uid="{877B56D1-F6BD-4F4A-AA62-78C979AC4D8A}"/>
    <cellStyle name="Comma 7 2 3 2" xfId="7628" xr:uid="{DF040223-748D-4DCB-9FFA-51F74B527647}"/>
    <cellStyle name="Comma 7 2 4" xfId="5927" xr:uid="{2F529CAE-0636-4332-9F00-6F37FEEBCB5A}"/>
    <cellStyle name="Comma 70" xfId="452" xr:uid="{00000000-0005-0000-0000-0000FC010000}"/>
    <cellStyle name="Comma 71" xfId="424" xr:uid="{00000000-0005-0000-0000-0000FD010000}"/>
    <cellStyle name="Comma 72" xfId="436" xr:uid="{00000000-0005-0000-0000-0000FE010000}"/>
    <cellStyle name="Comma 73" xfId="429" xr:uid="{00000000-0005-0000-0000-0000FF010000}"/>
    <cellStyle name="Comma 74" xfId="434" xr:uid="{00000000-0005-0000-0000-000000020000}"/>
    <cellStyle name="Comma 75" xfId="426" xr:uid="{00000000-0005-0000-0000-000001020000}"/>
    <cellStyle name="Comma 76" xfId="435" xr:uid="{00000000-0005-0000-0000-000002020000}"/>
    <cellStyle name="Comma 77" xfId="431" xr:uid="{00000000-0005-0000-0000-000003020000}"/>
    <cellStyle name="Comma 78" xfId="427" xr:uid="{00000000-0005-0000-0000-000004020000}"/>
    <cellStyle name="Comma 79" xfId="425" xr:uid="{00000000-0005-0000-0000-000005020000}"/>
    <cellStyle name="Comma 8" xfId="337" xr:uid="{00000000-0005-0000-0000-000006020000}"/>
    <cellStyle name="Comma 8 2" xfId="807" xr:uid="{00000000-0005-0000-0000-000007020000}"/>
    <cellStyle name="Comma 8 2 2" xfId="1836" xr:uid="{00000000-0005-0000-0000-000008020000}"/>
    <cellStyle name="Comma 8 2 2 2" xfId="5086" xr:uid="{152510F2-7F9D-4422-A87A-8791ECEECF09}"/>
    <cellStyle name="Comma 8 2 2 2 2" xfId="8466" xr:uid="{63EB3C58-47CE-4B03-AA82-6C0FF78479FA}"/>
    <cellStyle name="Comma 8 2 2 3" xfId="6766" xr:uid="{BBF956F7-1291-4724-BBAC-E9470E93C482}"/>
    <cellStyle name="Comma 8 2 3" xfId="4249" xr:uid="{74C6AC26-9F3C-4D4F-B923-2D147342F100}"/>
    <cellStyle name="Comma 8 2 3 2" xfId="7629" xr:uid="{011F31CF-278F-49B5-BA2F-84F36E24AA9E}"/>
    <cellStyle name="Comma 8 2 4" xfId="5928" xr:uid="{73741733-056A-407A-9A57-FE9AEFD98A47}"/>
    <cellStyle name="Comma 80" xfId="454" xr:uid="{00000000-0005-0000-0000-000009020000}"/>
    <cellStyle name="Comma 81" xfId="469" xr:uid="{00000000-0005-0000-0000-00000A020000}"/>
    <cellStyle name="Comma 82" xfId="470" xr:uid="{00000000-0005-0000-0000-00000B020000}"/>
    <cellStyle name="Comma 83" xfId="503" xr:uid="{00000000-0005-0000-0000-00000C020000}"/>
    <cellStyle name="Comma 84" xfId="564" xr:uid="{00000000-0005-0000-0000-00000D020000}"/>
    <cellStyle name="Comma 84 2" xfId="1728" xr:uid="{00000000-0005-0000-0000-00000E020000}"/>
    <cellStyle name="Comma 84 2 2" xfId="4978" xr:uid="{F3EC428B-25EB-4FE6-A2AB-22E61449EE7D}"/>
    <cellStyle name="Comma 84 2 2 2" xfId="8358" xr:uid="{287BE16D-7608-44E5-8F37-6C0B66A32551}"/>
    <cellStyle name="Comma 84 2 3" xfId="6658" xr:uid="{764CB5EF-420A-45F3-8191-589262C3872C}"/>
    <cellStyle name="Comma 84 3" xfId="4141" xr:uid="{395B823F-0C9B-40FD-AA6C-71EF096EB2AB}"/>
    <cellStyle name="Comma 84 3 2" xfId="7521" xr:uid="{D44DA8E3-A1B8-4640-B0B8-757CE18CA918}"/>
    <cellStyle name="Comma 84 4" xfId="5820" xr:uid="{82C18001-03BB-4FF4-9D8A-0B7381728D07}"/>
    <cellStyle name="Comma 85" xfId="565" xr:uid="{00000000-0005-0000-0000-00000F020000}"/>
    <cellStyle name="Comma 85 2" xfId="1729" xr:uid="{00000000-0005-0000-0000-000010020000}"/>
    <cellStyle name="Comma 85 2 2" xfId="4979" xr:uid="{1EAF9100-F2D7-4E22-B285-45D34A5F6C3B}"/>
    <cellStyle name="Comma 85 2 2 2" xfId="8359" xr:uid="{059DF0C7-94E6-483B-86E7-EA3A659AE3A4}"/>
    <cellStyle name="Comma 85 2 3" xfId="6659" xr:uid="{31023AB2-AB26-4AE4-A416-29D950D60404}"/>
    <cellStyle name="Comma 85 3" xfId="4142" xr:uid="{F7379818-BD7E-43F0-BB1B-43E275196CCE}"/>
    <cellStyle name="Comma 85 3 2" xfId="7522" xr:uid="{965DA950-525B-469D-A13F-192302388E37}"/>
    <cellStyle name="Comma 85 4" xfId="5821" xr:uid="{3A747245-0FAD-4651-A65D-5C8091DF24EE}"/>
    <cellStyle name="Comma 86" xfId="566" xr:uid="{00000000-0005-0000-0000-000011020000}"/>
    <cellStyle name="Comma 86 2" xfId="1730" xr:uid="{00000000-0005-0000-0000-000012020000}"/>
    <cellStyle name="Comma 86 2 2" xfId="4980" xr:uid="{CE95A939-9654-4564-A05C-EE9F76A0C6D5}"/>
    <cellStyle name="Comma 86 2 2 2" xfId="8360" xr:uid="{AE20F373-9F97-49FD-A0F6-0A802296B172}"/>
    <cellStyle name="Comma 86 2 3" xfId="6660" xr:uid="{82022BD7-75A7-4CBA-9EB6-46F79BA8EF6C}"/>
    <cellStyle name="Comma 86 3" xfId="4143" xr:uid="{512F807E-7C8D-49BE-8425-1D6E87C1620B}"/>
    <cellStyle name="Comma 86 3 2" xfId="7523" xr:uid="{31E3888A-F612-48A2-BFAD-1427A6921EDF}"/>
    <cellStyle name="Comma 86 4" xfId="5822" xr:uid="{8635EAF6-FA1B-48B7-B1B5-63B8854CBE4D}"/>
    <cellStyle name="Comma 87" xfId="567" xr:uid="{00000000-0005-0000-0000-000013020000}"/>
    <cellStyle name="Comma 87 2" xfId="1731" xr:uid="{00000000-0005-0000-0000-000014020000}"/>
    <cellStyle name="Comma 87 2 2" xfId="4981" xr:uid="{89DB3560-67F9-486B-B2F2-A833257AC815}"/>
    <cellStyle name="Comma 87 2 2 2" xfId="8361" xr:uid="{9CC12CB2-F295-4AB4-ADFD-874DC1DDD9B1}"/>
    <cellStyle name="Comma 87 2 3" xfId="6661" xr:uid="{144A9FCF-E6D1-42BA-AD3D-4DC16A2C2389}"/>
    <cellStyle name="Comma 87 3" xfId="4144" xr:uid="{8C858982-5161-4B0C-A666-372C6283A325}"/>
    <cellStyle name="Comma 87 3 2" xfId="7524" xr:uid="{41F0A3FC-7AED-48C4-96CB-CCA958B03330}"/>
    <cellStyle name="Comma 87 4" xfId="5823" xr:uid="{C8787E9B-198B-40BF-B8E0-3AC5B7295F83}"/>
    <cellStyle name="Comma 88" xfId="568" xr:uid="{00000000-0005-0000-0000-000015020000}"/>
    <cellStyle name="Comma 88 2" xfId="1732" xr:uid="{00000000-0005-0000-0000-000016020000}"/>
    <cellStyle name="Comma 88 2 2" xfId="4982" xr:uid="{EF6A4C9D-8772-4DCC-AB01-2EA4FFBEA86C}"/>
    <cellStyle name="Comma 88 2 2 2" xfId="8362" xr:uid="{E9674F2E-7CD7-4D5E-A07C-45DD65023BF7}"/>
    <cellStyle name="Comma 88 2 3" xfId="6662" xr:uid="{D5D10914-D4D6-4033-A1BE-0F59B5976379}"/>
    <cellStyle name="Comma 88 3" xfId="4145" xr:uid="{3FADB923-40F7-4A49-97C6-2524ECCFC88D}"/>
    <cellStyle name="Comma 88 3 2" xfId="7525" xr:uid="{C364B94A-74B8-4627-A8E5-D6AD9E9EF5E2}"/>
    <cellStyle name="Comma 88 4" xfId="5824" xr:uid="{CB2CE8EB-CFA0-44F0-A34D-681A385A327D}"/>
    <cellStyle name="Comma 89" xfId="569" xr:uid="{00000000-0005-0000-0000-000017020000}"/>
    <cellStyle name="Comma 89 2" xfId="1733" xr:uid="{00000000-0005-0000-0000-000018020000}"/>
    <cellStyle name="Comma 89 2 2" xfId="4983" xr:uid="{217128DF-A010-49B5-90FA-BC5F442076B0}"/>
    <cellStyle name="Comma 89 2 2 2" xfId="8363" xr:uid="{11918334-126F-414F-8D3A-C1D3D0F740BF}"/>
    <cellStyle name="Comma 89 2 3" xfId="6663" xr:uid="{EE49FD65-981A-434D-8695-4FDE3A483919}"/>
    <cellStyle name="Comma 89 3" xfId="4146" xr:uid="{3AFFCE97-7E73-4721-B95D-6D8BA5808E12}"/>
    <cellStyle name="Comma 89 3 2" xfId="7526" xr:uid="{974F47FA-F983-4062-896C-649DB27F60D5}"/>
    <cellStyle name="Comma 89 4" xfId="5825" xr:uid="{918168C3-FA82-459D-A39B-7A96BB2B5712}"/>
    <cellStyle name="Comma 9" xfId="334" xr:uid="{00000000-0005-0000-0000-000019020000}"/>
    <cellStyle name="Comma 90" xfId="570" xr:uid="{00000000-0005-0000-0000-00001A020000}"/>
    <cellStyle name="Comma 90 2" xfId="1734" xr:uid="{00000000-0005-0000-0000-00001B020000}"/>
    <cellStyle name="Comma 90 2 2" xfId="4984" xr:uid="{AFB2DF0C-1FBD-4D1D-B350-2EE5615C1157}"/>
    <cellStyle name="Comma 90 2 2 2" xfId="8364" xr:uid="{880A969A-D4F9-457A-842C-EB4DD2C0CC1E}"/>
    <cellStyle name="Comma 90 2 3" xfId="6664" xr:uid="{7DF73814-AB19-4DBC-A14E-F53600E939A1}"/>
    <cellStyle name="Comma 90 3" xfId="4147" xr:uid="{7F0B7C8C-5BDB-4C9F-B807-787E14DECE87}"/>
    <cellStyle name="Comma 90 3 2" xfId="7527" xr:uid="{8B1007BC-F61C-4ADD-946C-3677EC18CEA5}"/>
    <cellStyle name="Comma 90 4" xfId="5826" xr:uid="{945AA7CF-4B51-4B86-A647-E1AE4FF03075}"/>
    <cellStyle name="Comma 91" xfId="571" xr:uid="{00000000-0005-0000-0000-00001C020000}"/>
    <cellStyle name="Comma 91 2" xfId="1735" xr:uid="{00000000-0005-0000-0000-00001D020000}"/>
    <cellStyle name="Comma 91 2 2" xfId="4985" xr:uid="{8FAA2210-FF6A-44FA-8053-F9B7A01117FE}"/>
    <cellStyle name="Comma 91 2 2 2" xfId="8365" xr:uid="{131CB180-2DE8-45AB-96FB-B6D261981F82}"/>
    <cellStyle name="Comma 91 2 3" xfId="6665" xr:uid="{E575CBD0-D499-4134-9456-3BBD08233771}"/>
    <cellStyle name="Comma 91 3" xfId="4148" xr:uid="{A834A6AF-D064-4D70-B4B7-B7350D88610F}"/>
    <cellStyle name="Comma 91 3 2" xfId="7528" xr:uid="{361F69F5-C44F-40C9-B6C0-1EBE61C249AC}"/>
    <cellStyle name="Comma 91 4" xfId="5827" xr:uid="{A9C01F81-6BE3-41A0-93ED-B9D802999DBF}"/>
    <cellStyle name="Comma 92" xfId="572" xr:uid="{00000000-0005-0000-0000-00001E020000}"/>
    <cellStyle name="Comma 92 2" xfId="1736" xr:uid="{00000000-0005-0000-0000-00001F020000}"/>
    <cellStyle name="Comma 92 2 2" xfId="4986" xr:uid="{DA4A4F56-7CD5-44B2-A480-20367ABEF17D}"/>
    <cellStyle name="Comma 92 2 2 2" xfId="8366" xr:uid="{CF7155CF-F6F8-444E-9286-A4BDDB4FCA82}"/>
    <cellStyle name="Comma 92 2 3" xfId="6666" xr:uid="{683CD6F6-D0E4-45E7-9296-4CAAB205467C}"/>
    <cellStyle name="Comma 92 3" xfId="4149" xr:uid="{8F5AD870-B913-4E33-98CF-2032C0960FF8}"/>
    <cellStyle name="Comma 92 3 2" xfId="7529" xr:uid="{0770A1C4-2193-4150-9134-19BD7FF6576B}"/>
    <cellStyle name="Comma 92 4" xfId="5828" xr:uid="{148DAD1A-F16F-4F5D-8BA7-2F939F3B2511}"/>
    <cellStyle name="Comma 93" xfId="573" xr:uid="{00000000-0005-0000-0000-000020020000}"/>
    <cellStyle name="Comma 93 2" xfId="1737" xr:uid="{00000000-0005-0000-0000-000021020000}"/>
    <cellStyle name="Comma 93 2 2" xfId="4987" xr:uid="{E0599243-7675-4A5F-9360-7957B75659E6}"/>
    <cellStyle name="Comma 93 2 2 2" xfId="8367" xr:uid="{7EB0A5D2-B2B8-4AD9-BF0E-6276A07AEFEC}"/>
    <cellStyle name="Comma 93 2 3" xfId="6667" xr:uid="{9DD23899-E434-44E2-A6C0-7A5C3B042803}"/>
    <cellStyle name="Comma 93 3" xfId="4150" xr:uid="{86B48142-8522-43B0-A0BF-0DE6826BDCB5}"/>
    <cellStyle name="Comma 93 3 2" xfId="7530" xr:uid="{F9F0683B-75E1-478C-9985-FB7376376CE1}"/>
    <cellStyle name="Comma 93 4" xfId="5829" xr:uid="{AC84204E-43A5-4812-8F4B-BB61BC12451F}"/>
    <cellStyle name="Comma 94" xfId="574" xr:uid="{00000000-0005-0000-0000-000022020000}"/>
    <cellStyle name="Comma 94 2" xfId="1738" xr:uid="{00000000-0005-0000-0000-000023020000}"/>
    <cellStyle name="Comma 94 2 2" xfId="4988" xr:uid="{5B4E5CFD-19BD-4AC2-8077-DE0A6B97362D}"/>
    <cellStyle name="Comma 94 2 2 2" xfId="8368" xr:uid="{B5FDDBB7-CFC3-4215-ABBE-F8370B95F9C1}"/>
    <cellStyle name="Comma 94 2 3" xfId="6668" xr:uid="{251D6AE5-BC52-4E5E-9CCB-6B20870F9591}"/>
    <cellStyle name="Comma 94 3" xfId="4151" xr:uid="{3F9C5A09-93F7-41AB-B690-5BC37E2A192D}"/>
    <cellStyle name="Comma 94 3 2" xfId="7531" xr:uid="{593D0F44-66DE-47BC-BCDF-8683E91B39FA}"/>
    <cellStyle name="Comma 94 4" xfId="5830" xr:uid="{40EB73BA-AB80-42E0-A74A-AB0380F9D8E7}"/>
    <cellStyle name="Comma 95" xfId="1623" xr:uid="{00000000-0005-0000-0000-000024020000}"/>
    <cellStyle name="Comma 96" xfId="4038" xr:uid="{8CC3EF42-A1F2-4E0E-A317-E41D7ABB4692}"/>
    <cellStyle name="Comma 97" xfId="5713" xr:uid="{432040AA-4C71-4D54-A28F-6A608618D653}"/>
    <cellStyle name="Comma 98" xfId="5715" xr:uid="{3E915CA3-E48A-41F2-AC8F-28654EACEC95}"/>
    <cellStyle name="Comma 99" xfId="7418" xr:uid="{82A94484-ABB7-4F66-813A-8FDA6A69D034}"/>
    <cellStyle name="Comma Input" xfId="93" xr:uid="{00000000-0005-0000-0000-000025020000}"/>
    <cellStyle name="Comma(1)" xfId="808" xr:uid="{00000000-0005-0000-0000-000026020000}"/>
    <cellStyle name="Comma0" xfId="94" xr:uid="{00000000-0005-0000-0000-000027020000}"/>
    <cellStyle name="Company Name" xfId="95" xr:uid="{00000000-0005-0000-0000-000028020000}"/>
    <cellStyle name="Currency" xfId="9125" builtinId="4"/>
    <cellStyle name="Currency [1]" xfId="96" xr:uid="{00000000-0005-0000-0000-000029020000}"/>
    <cellStyle name="Currency [2]" xfId="97" xr:uid="{00000000-0005-0000-0000-00002A020000}"/>
    <cellStyle name="Currency [3]" xfId="98" xr:uid="{00000000-0005-0000-0000-00002B020000}"/>
    <cellStyle name="Currency 0.0" xfId="99" xr:uid="{00000000-0005-0000-0000-00002C020000}"/>
    <cellStyle name="Currency 0.00" xfId="100" xr:uid="{00000000-0005-0000-0000-00002D020000}"/>
    <cellStyle name="Currency 0.000" xfId="101" xr:uid="{00000000-0005-0000-0000-00002E020000}"/>
    <cellStyle name="Currency 0.0000" xfId="102" xr:uid="{00000000-0005-0000-0000-00002F020000}"/>
    <cellStyle name="Currency 10" xfId="349" xr:uid="{00000000-0005-0000-0000-000030020000}"/>
    <cellStyle name="Currency 11" xfId="351" xr:uid="{00000000-0005-0000-0000-000031020000}"/>
    <cellStyle name="Currency 12" xfId="353" xr:uid="{00000000-0005-0000-0000-000032020000}"/>
    <cellStyle name="Currency 13" xfId="578" xr:uid="{00000000-0005-0000-0000-000033020000}"/>
    <cellStyle name="Currency 13 2" xfId="1741" xr:uid="{00000000-0005-0000-0000-000034020000}"/>
    <cellStyle name="Currency 13 2 2" xfId="4991" xr:uid="{4EDE6039-2374-442D-A997-D16F3C58AECB}"/>
    <cellStyle name="Currency 13 2 2 2" xfId="8371" xr:uid="{D8E4DE30-690D-44E5-8F34-CDD385113CF1}"/>
    <cellStyle name="Currency 13 2 3" xfId="6671" xr:uid="{A0E94E51-8335-4AE4-B414-115CD9F34428}"/>
    <cellStyle name="Currency 13 3" xfId="4154" xr:uid="{AA58B5D7-0EFB-4C86-B080-B2D48C633BE4}"/>
    <cellStyle name="Currency 13 3 2" xfId="7534" xr:uid="{8358A158-9B3C-4702-8FDE-E1839AF3AE7C}"/>
    <cellStyle name="Currency 13 4" xfId="5833" xr:uid="{FC97F844-0970-4A61-9154-73D8BBECCE7F}"/>
    <cellStyle name="Currency 14" xfId="809" xr:uid="{00000000-0005-0000-0000-000035020000}"/>
    <cellStyle name="Currency 14 2" xfId="1837" xr:uid="{00000000-0005-0000-0000-000036020000}"/>
    <cellStyle name="Currency 14 2 2" xfId="5087" xr:uid="{C0B32BE2-A560-4B66-84B3-F543D50B650B}"/>
    <cellStyle name="Currency 14 2 2 2" xfId="8467" xr:uid="{3DACB231-28C7-4288-891B-8C377BB0B4FE}"/>
    <cellStyle name="Currency 14 2 3" xfId="6767" xr:uid="{45185D9C-A4E3-4DBF-8E4F-EB414F04B7E2}"/>
    <cellStyle name="Currency 14 3" xfId="4250" xr:uid="{97E4AF5F-AFFF-4AC2-B519-EDE681EC39F7}"/>
    <cellStyle name="Currency 14 3 2" xfId="7630" xr:uid="{AC4EBEC4-AAC5-42C5-B7E5-513ACFC1ECAB}"/>
    <cellStyle name="Currency 14 4" xfId="5929" xr:uid="{0CA98A41-B958-46BD-AC29-E6524DEEBF5A}"/>
    <cellStyle name="Currency 15" xfId="810" xr:uid="{00000000-0005-0000-0000-000037020000}"/>
    <cellStyle name="Currency 15 2" xfId="1838" xr:uid="{00000000-0005-0000-0000-000038020000}"/>
    <cellStyle name="Currency 15 2 2" xfId="5088" xr:uid="{C909B614-F633-4A8E-BDF1-77D25F4291B3}"/>
    <cellStyle name="Currency 15 2 2 2" xfId="8468" xr:uid="{2D93F2E7-90D0-4F86-892A-B8735226B354}"/>
    <cellStyle name="Currency 15 2 3" xfId="6768" xr:uid="{0FCDF3B0-F8E1-47A8-BEDD-37C44503AF0A}"/>
    <cellStyle name="Currency 15 3" xfId="4251" xr:uid="{3D4345A7-951D-4E9E-8F0B-2CBBFCA9A69C}"/>
    <cellStyle name="Currency 15 3 2" xfId="7631" xr:uid="{87EADD8F-0F93-4AF8-B480-F7D1AAE1B9D6}"/>
    <cellStyle name="Currency 15 4" xfId="5930" xr:uid="{0862E13E-6E13-4553-A9BC-F8E9EA3F865A}"/>
    <cellStyle name="Currency 16" xfId="811" xr:uid="{00000000-0005-0000-0000-000039020000}"/>
    <cellStyle name="Currency 16 2" xfId="1839" xr:uid="{00000000-0005-0000-0000-00003A020000}"/>
    <cellStyle name="Currency 16 2 2" xfId="5089" xr:uid="{541153C2-2C7D-411D-8B65-6A2CB78851B9}"/>
    <cellStyle name="Currency 16 2 2 2" xfId="8469" xr:uid="{D3ADFAF5-E02F-4BF1-B4C5-9ED261D141F3}"/>
    <cellStyle name="Currency 16 2 3" xfId="6769" xr:uid="{29071AA8-E10D-4D7D-8FC7-34825FBD2DD7}"/>
    <cellStyle name="Currency 16 3" xfId="4252" xr:uid="{E99A96F0-B5F7-48AA-9BAD-6C4952364A88}"/>
    <cellStyle name="Currency 16 3 2" xfId="7632" xr:uid="{AE0768B7-3542-4DB6-AD64-5B206CA3D39D}"/>
    <cellStyle name="Currency 16 4" xfId="5931" xr:uid="{9DF95F77-F027-4595-8B9B-5FF9F07D0ECF}"/>
    <cellStyle name="Currency 2" xfId="12" xr:uid="{00000000-0005-0000-0000-00003B020000}"/>
    <cellStyle name="Currency 2 2" xfId="103" xr:uid="{00000000-0005-0000-0000-00003C020000}"/>
    <cellStyle name="Currency 2 2 2" xfId="812" xr:uid="{00000000-0005-0000-0000-00003D020000}"/>
    <cellStyle name="Currency 2 2 2 10" xfId="5932" xr:uid="{FDDB39F3-A8F5-4A3F-BE59-FE873639AE2A}"/>
    <cellStyle name="Currency 2 2 2 2" xfId="813" xr:uid="{00000000-0005-0000-0000-00003E020000}"/>
    <cellStyle name="Currency 2 2 2 2 2" xfId="814" xr:uid="{00000000-0005-0000-0000-00003F020000}"/>
    <cellStyle name="Currency 2 2 2 2 3" xfId="815" xr:uid="{00000000-0005-0000-0000-000040020000}"/>
    <cellStyle name="Currency 2 2 2 2 3 2" xfId="1842" xr:uid="{00000000-0005-0000-0000-000041020000}"/>
    <cellStyle name="Currency 2 2 2 2 3 2 2" xfId="5092" xr:uid="{D25ECF26-41D7-4928-A0EE-95F8A83E50EC}"/>
    <cellStyle name="Currency 2 2 2 2 3 2 2 2" xfId="8472" xr:uid="{19CB4922-6489-41B9-B9F0-940E35EF74D2}"/>
    <cellStyle name="Currency 2 2 2 2 3 2 3" xfId="6772" xr:uid="{414A9ED8-7F2C-41D7-91F5-328D132E8101}"/>
    <cellStyle name="Currency 2 2 2 2 3 3" xfId="4255" xr:uid="{E7455CD5-DCCB-40F5-AF19-52E0F4294AE6}"/>
    <cellStyle name="Currency 2 2 2 2 3 3 2" xfId="7635" xr:uid="{05D824C5-2BB1-490F-BF56-5E6D441EFE50}"/>
    <cellStyle name="Currency 2 2 2 2 3 4" xfId="5934" xr:uid="{5AA06FD6-63AB-4294-AB70-4A10D6D79D60}"/>
    <cellStyle name="Currency 2 2 2 2 4" xfId="1841" xr:uid="{00000000-0005-0000-0000-000042020000}"/>
    <cellStyle name="Currency 2 2 2 2 4 2" xfId="5091" xr:uid="{06BDF00B-0200-4E90-99E1-699879D7F0D3}"/>
    <cellStyle name="Currency 2 2 2 2 4 2 2" xfId="8471" xr:uid="{92337DFC-9D07-4609-9005-37351E553AA5}"/>
    <cellStyle name="Currency 2 2 2 2 4 3" xfId="6771" xr:uid="{82CA3233-64B8-4E1D-A99F-340191FA29AD}"/>
    <cellStyle name="Currency 2 2 2 2 5" xfId="4254" xr:uid="{FB67DEC8-60E0-4847-9DE4-B16E3634896D}"/>
    <cellStyle name="Currency 2 2 2 2 5 2" xfId="7634" xr:uid="{611BBA01-43F2-4BD3-B3D6-42D341A58AAD}"/>
    <cellStyle name="Currency 2 2 2 2 6" xfId="5933" xr:uid="{81F838E3-A800-4420-9EC5-F0C2EDBC24D6}"/>
    <cellStyle name="Currency 2 2 2 3" xfId="816" xr:uid="{00000000-0005-0000-0000-000043020000}"/>
    <cellStyle name="Currency 2 2 2 3 2" xfId="1843" xr:uid="{00000000-0005-0000-0000-000044020000}"/>
    <cellStyle name="Currency 2 2 2 3 2 2" xfId="5093" xr:uid="{B5B77E81-DB7F-48D8-9178-EAE7F8B31463}"/>
    <cellStyle name="Currency 2 2 2 3 2 2 2" xfId="8473" xr:uid="{7A1A0ECE-D051-4EEB-96B9-F932791D4155}"/>
    <cellStyle name="Currency 2 2 2 3 2 3" xfId="6773" xr:uid="{8E931B21-D6A5-4596-84B7-56DF399A8A06}"/>
    <cellStyle name="Currency 2 2 2 3 3" xfId="4256" xr:uid="{511D7A2A-8F85-4D58-86A1-3B7B0EE508BB}"/>
    <cellStyle name="Currency 2 2 2 3 3 2" xfId="7636" xr:uid="{F5B4A3AE-9216-44E7-ADBA-2023463FE03B}"/>
    <cellStyle name="Currency 2 2 2 3 4" xfId="5935" xr:uid="{55B8F958-9B48-4B14-B185-4E2F82D4A50E}"/>
    <cellStyle name="Currency 2 2 2 4" xfId="817" xr:uid="{00000000-0005-0000-0000-000045020000}"/>
    <cellStyle name="Currency 2 2 2 4 2" xfId="1844" xr:uid="{00000000-0005-0000-0000-000046020000}"/>
    <cellStyle name="Currency 2 2 2 4 2 2" xfId="5094" xr:uid="{349F643A-0EBF-4377-BFB2-F0DCFFDD18DA}"/>
    <cellStyle name="Currency 2 2 2 4 2 2 2" xfId="8474" xr:uid="{D951AFA8-EAFC-4A81-8ACB-077B71A325F1}"/>
    <cellStyle name="Currency 2 2 2 4 2 3" xfId="6774" xr:uid="{D503DF29-F01D-4CCF-A0C0-38D2217F4868}"/>
    <cellStyle name="Currency 2 2 2 4 3" xfId="4257" xr:uid="{C4799355-5BB2-425C-9E37-08BCDD03A3E8}"/>
    <cellStyle name="Currency 2 2 2 4 3 2" xfId="7637" xr:uid="{2C522E66-70B7-495D-829F-7ED80E900956}"/>
    <cellStyle name="Currency 2 2 2 4 4" xfId="5936" xr:uid="{F5CA6787-3A82-4A4D-B9E5-8EB2B1EBF485}"/>
    <cellStyle name="Currency 2 2 2 5" xfId="818" xr:uid="{00000000-0005-0000-0000-000047020000}"/>
    <cellStyle name="Currency 2 2 2 5 2" xfId="1845" xr:uid="{00000000-0005-0000-0000-000048020000}"/>
    <cellStyle name="Currency 2 2 2 5 2 2" xfId="5095" xr:uid="{56F60FF1-8631-401B-8D19-FEA0C99245B5}"/>
    <cellStyle name="Currency 2 2 2 5 2 2 2" xfId="8475" xr:uid="{84213254-A952-46C3-960B-5860190ADB76}"/>
    <cellStyle name="Currency 2 2 2 5 2 3" xfId="6775" xr:uid="{680EDBC1-2A3D-41A0-8523-564505DA480E}"/>
    <cellStyle name="Currency 2 2 2 5 3" xfId="4258" xr:uid="{93DEC590-3EE4-44CA-8D7C-5B5ADC70183C}"/>
    <cellStyle name="Currency 2 2 2 5 3 2" xfId="7638" xr:uid="{596BBE39-5823-40BD-84DD-E7769E6D50AE}"/>
    <cellStyle name="Currency 2 2 2 5 4" xfId="5937" xr:uid="{AE627969-D338-4EDC-AFB1-7CFAA517DE15}"/>
    <cellStyle name="Currency 2 2 2 6" xfId="819" xr:uid="{00000000-0005-0000-0000-000049020000}"/>
    <cellStyle name="Currency 2 2 2 6 2" xfId="1846" xr:uid="{00000000-0005-0000-0000-00004A020000}"/>
    <cellStyle name="Currency 2 2 2 6 2 2" xfId="5096" xr:uid="{52ED0419-56A5-4FD6-8328-E36A74CC584B}"/>
    <cellStyle name="Currency 2 2 2 6 2 2 2" xfId="8476" xr:uid="{E05B2780-FE25-42D4-9519-C36107D508EC}"/>
    <cellStyle name="Currency 2 2 2 6 2 3" xfId="6776" xr:uid="{DB8AE09E-A300-4598-B912-B386B2816DE8}"/>
    <cellStyle name="Currency 2 2 2 6 3" xfId="4259" xr:uid="{FBB7490A-FD7E-47C9-9B20-60171ADACB55}"/>
    <cellStyle name="Currency 2 2 2 6 3 2" xfId="7639" xr:uid="{02A23E20-AF8F-45A3-B001-50292413DF1D}"/>
    <cellStyle name="Currency 2 2 2 6 4" xfId="5938" xr:uid="{F46D66A1-3416-4B28-AE4C-A8FF2BF09AFD}"/>
    <cellStyle name="Currency 2 2 2 7" xfId="820" xr:uid="{00000000-0005-0000-0000-00004B020000}"/>
    <cellStyle name="Currency 2 2 2 7 2" xfId="1847" xr:uid="{00000000-0005-0000-0000-00004C020000}"/>
    <cellStyle name="Currency 2 2 2 7 2 2" xfId="5097" xr:uid="{BCE23856-9FD5-47D3-9E65-54FF67C129F8}"/>
    <cellStyle name="Currency 2 2 2 7 2 2 2" xfId="8477" xr:uid="{A1998097-AC49-4127-B351-42288DC95513}"/>
    <cellStyle name="Currency 2 2 2 7 2 3" xfId="6777" xr:uid="{5A66BB7F-8EB2-4646-80FB-4C30942BB1F5}"/>
    <cellStyle name="Currency 2 2 2 7 3" xfId="4260" xr:uid="{E2327161-BE0F-4974-B3FA-518493309F14}"/>
    <cellStyle name="Currency 2 2 2 7 3 2" xfId="7640" xr:uid="{E4CCDA78-539C-4F99-91A7-0D92098C214D}"/>
    <cellStyle name="Currency 2 2 2 7 4" xfId="5939" xr:uid="{28117754-7CDC-4977-BA50-6FFD5A712E0D}"/>
    <cellStyle name="Currency 2 2 2 8" xfId="1840" xr:uid="{00000000-0005-0000-0000-00004D020000}"/>
    <cellStyle name="Currency 2 2 2 8 2" xfId="5090" xr:uid="{711108D9-E7D7-4FF2-A92E-1AD57BAFBDF4}"/>
    <cellStyle name="Currency 2 2 2 8 2 2" xfId="8470" xr:uid="{C84B7FD4-5F7D-4109-8B8D-0DCE8E785C79}"/>
    <cellStyle name="Currency 2 2 2 8 3" xfId="6770" xr:uid="{2946A84A-1261-4E7B-8265-E8D6F39E9D02}"/>
    <cellStyle name="Currency 2 2 2 9" xfId="4253" xr:uid="{49EC36F1-9CD8-49BB-91F4-4418045207E6}"/>
    <cellStyle name="Currency 2 2 2 9 2" xfId="7633" xr:uid="{53E09136-4C37-4408-9759-2571C8810A85}"/>
    <cellStyle name="Currency 2 2 3" xfId="821" xr:uid="{00000000-0005-0000-0000-00004E020000}"/>
    <cellStyle name="Currency 2 2 3 2" xfId="822" xr:uid="{00000000-0005-0000-0000-00004F020000}"/>
    <cellStyle name="Currency 2 2 3 2 2" xfId="1849" xr:uid="{00000000-0005-0000-0000-000050020000}"/>
    <cellStyle name="Currency 2 2 3 2 2 2" xfId="5099" xr:uid="{F4A41119-DE86-4D77-A655-8EC386691140}"/>
    <cellStyle name="Currency 2 2 3 2 2 2 2" xfId="8479" xr:uid="{4BC3DDB8-609E-4D05-8DA3-A0A77AAC8E0B}"/>
    <cellStyle name="Currency 2 2 3 2 2 3" xfId="6779" xr:uid="{613F331C-986D-4774-94D2-95EE26014DD0}"/>
    <cellStyle name="Currency 2 2 3 2 3" xfId="4262" xr:uid="{DB0571F3-21F5-460C-A6F7-39E7E7671A58}"/>
    <cellStyle name="Currency 2 2 3 2 3 2" xfId="7642" xr:uid="{FCBB5507-176A-4F48-B137-E57635ED9A67}"/>
    <cellStyle name="Currency 2 2 3 2 4" xfId="5941" xr:uid="{C7A50970-3A76-4F39-B896-AB05FBDA0DC3}"/>
    <cellStyle name="Currency 2 2 3 3" xfId="1848" xr:uid="{00000000-0005-0000-0000-000051020000}"/>
    <cellStyle name="Currency 2 2 3 3 2" xfId="5098" xr:uid="{D3E6DB21-0A3A-4453-A292-480D95C1E9FB}"/>
    <cellStyle name="Currency 2 2 3 3 2 2" xfId="8478" xr:uid="{E770A0C6-EAF8-4132-9816-AB2FBBFB1774}"/>
    <cellStyle name="Currency 2 2 3 3 3" xfId="6778" xr:uid="{F1CB4ABF-7017-41FF-94D9-2DC1FC34F123}"/>
    <cellStyle name="Currency 2 2 3 4" xfId="4261" xr:uid="{29E6B898-4517-41F8-A21B-A8C004119D82}"/>
    <cellStyle name="Currency 2 2 3 4 2" xfId="7641" xr:uid="{DDC6F50F-A4F2-49E0-9763-F61ECD8EEDE4}"/>
    <cellStyle name="Currency 2 2 3 5" xfId="5940" xr:uid="{928CBB13-8580-42F2-89F5-F7E0AC48423F}"/>
    <cellStyle name="Currency 2 2 4" xfId="823" xr:uid="{00000000-0005-0000-0000-000052020000}"/>
    <cellStyle name="Currency 2 2 4 2" xfId="824" xr:uid="{00000000-0005-0000-0000-000053020000}"/>
    <cellStyle name="Currency 2 2 4 2 2" xfId="1851" xr:uid="{00000000-0005-0000-0000-000054020000}"/>
    <cellStyle name="Currency 2 2 4 2 2 2" xfId="5101" xr:uid="{D3C3C3A2-5FE4-48F0-8FE6-6BEB58A7BA7D}"/>
    <cellStyle name="Currency 2 2 4 2 2 2 2" xfId="8481" xr:uid="{5B931DC0-84EE-43F0-836E-38F5C19CF85B}"/>
    <cellStyle name="Currency 2 2 4 2 2 3" xfId="6781" xr:uid="{DAC076FB-E08A-4F23-B416-E40782375C3A}"/>
    <cellStyle name="Currency 2 2 4 2 3" xfId="4264" xr:uid="{CE2DF621-3762-44BD-AF42-FF693DB89896}"/>
    <cellStyle name="Currency 2 2 4 2 3 2" xfId="7644" xr:uid="{FE71CDB6-C51C-4AE2-A271-78062B662301}"/>
    <cellStyle name="Currency 2 2 4 2 4" xfId="5943" xr:uid="{E79D1850-D39E-40CF-8172-705F4197DCFE}"/>
    <cellStyle name="Currency 2 2 4 3" xfId="1850" xr:uid="{00000000-0005-0000-0000-000055020000}"/>
    <cellStyle name="Currency 2 2 4 3 2" xfId="5100" xr:uid="{7A1C946F-AC73-4712-86C9-295C56C29D3B}"/>
    <cellStyle name="Currency 2 2 4 3 2 2" xfId="8480" xr:uid="{2BBE801E-02FC-4442-8025-44A42240CD11}"/>
    <cellStyle name="Currency 2 2 4 3 3" xfId="6780" xr:uid="{92CA4B6F-FF73-4CDC-815B-F428DD79CE6B}"/>
    <cellStyle name="Currency 2 2 4 4" xfId="4263" xr:uid="{5285772C-0BC5-4D53-A5C9-650106C1AA92}"/>
    <cellStyle name="Currency 2 2 4 4 2" xfId="7643" xr:uid="{1AAAB355-4C03-4F01-B842-FF54BE1D6F60}"/>
    <cellStyle name="Currency 2 2 4 5" xfId="5942" xr:uid="{13A1353F-A3DE-4FB7-99EB-99D1BE3041E6}"/>
    <cellStyle name="Currency 2 3" xfId="430" xr:uid="{00000000-0005-0000-0000-000056020000}"/>
    <cellStyle name="Currency 2 3 2" xfId="825" xr:uid="{00000000-0005-0000-0000-000057020000}"/>
    <cellStyle name="Currency 2 3 2 2" xfId="826" xr:uid="{00000000-0005-0000-0000-000058020000}"/>
    <cellStyle name="Currency 2 3 2 2 2" xfId="1853" xr:uid="{00000000-0005-0000-0000-000059020000}"/>
    <cellStyle name="Currency 2 3 2 2 2 2" xfId="5103" xr:uid="{62518375-77EC-49E8-B2DA-91F74E20F15F}"/>
    <cellStyle name="Currency 2 3 2 2 2 2 2" xfId="8483" xr:uid="{BCC7AF8E-D156-4252-AEB8-D4A89A4111DE}"/>
    <cellStyle name="Currency 2 3 2 2 2 3" xfId="6783" xr:uid="{D61C46AA-C488-4208-94CC-0F9734D48EBA}"/>
    <cellStyle name="Currency 2 3 2 2 3" xfId="4266" xr:uid="{E42A029A-27AB-403A-9ACE-6580A1D4AB05}"/>
    <cellStyle name="Currency 2 3 2 2 3 2" xfId="7646" xr:uid="{B083C7F0-2C74-48E4-921E-C668F496421F}"/>
    <cellStyle name="Currency 2 3 2 2 4" xfId="5945" xr:uid="{1B63315D-7332-4B33-8234-C52FBCC6CFCF}"/>
    <cellStyle name="Currency 2 3 2 3" xfId="1852" xr:uid="{00000000-0005-0000-0000-00005A020000}"/>
    <cellStyle name="Currency 2 3 2 3 2" xfId="5102" xr:uid="{64E47A70-5D03-4F0F-B653-1EA3A28CE5E1}"/>
    <cellStyle name="Currency 2 3 2 3 2 2" xfId="8482" xr:uid="{72C002E3-EAD2-4CDA-A2C2-6ED0991E6F5C}"/>
    <cellStyle name="Currency 2 3 2 3 3" xfId="6782" xr:uid="{1EA1368C-27B2-4475-BAF1-3F857BF3348D}"/>
    <cellStyle name="Currency 2 3 2 4" xfId="4265" xr:uid="{3418567A-92A8-475A-A728-15783D387DAC}"/>
    <cellStyle name="Currency 2 3 2 4 2" xfId="7645" xr:uid="{EFA99465-3A94-4DB0-8AFB-34B8C24C1F6F}"/>
    <cellStyle name="Currency 2 3 2 5" xfId="5944" xr:uid="{BBBC788A-5C95-41E5-B2E9-7D878F4C3F65}"/>
    <cellStyle name="Currency 2 3 3" xfId="827" xr:uid="{00000000-0005-0000-0000-00005B020000}"/>
    <cellStyle name="Currency 2 3 3 2" xfId="1854" xr:uid="{00000000-0005-0000-0000-00005C020000}"/>
    <cellStyle name="Currency 2 3 3 2 2" xfId="5104" xr:uid="{D80149C9-D0FA-48E5-B4AF-27E7305F3DAE}"/>
    <cellStyle name="Currency 2 3 3 2 2 2" xfId="8484" xr:uid="{A2DF35B9-3EF0-4ECE-91E1-BF9E4DFE0D66}"/>
    <cellStyle name="Currency 2 3 3 2 3" xfId="6784" xr:uid="{BF46F602-341F-43BF-B043-DB7DA0BF58B9}"/>
    <cellStyle name="Currency 2 3 3 3" xfId="4267" xr:uid="{EF8C6D9A-F97D-4C40-A1AF-70AD7804E1F7}"/>
    <cellStyle name="Currency 2 3 3 3 2" xfId="7647" xr:uid="{72F6E53C-B900-40D4-AC6E-CB387B6D6927}"/>
    <cellStyle name="Currency 2 3 3 4" xfId="5946" xr:uid="{37D11744-5701-4556-BAFB-A6B1E50E9623}"/>
    <cellStyle name="Currency 2 4" xfId="828" xr:uid="{00000000-0005-0000-0000-00005D020000}"/>
    <cellStyle name="Currency 2 4 2" xfId="829" xr:uid="{00000000-0005-0000-0000-00005E020000}"/>
    <cellStyle name="Currency 2 4 2 2" xfId="1856" xr:uid="{00000000-0005-0000-0000-00005F020000}"/>
    <cellStyle name="Currency 2 4 2 2 2" xfId="5106" xr:uid="{B31FEF7F-0C52-4F47-9CA6-9685CC284B31}"/>
    <cellStyle name="Currency 2 4 2 2 2 2" xfId="8486" xr:uid="{DEDA9048-507F-4080-B660-7A9343406EF2}"/>
    <cellStyle name="Currency 2 4 2 2 3" xfId="6786" xr:uid="{D31C0D91-470B-4665-A3B6-A07EF06427C9}"/>
    <cellStyle name="Currency 2 4 2 3" xfId="4269" xr:uid="{5D27283D-5D1D-4412-A796-F9828970D4B1}"/>
    <cellStyle name="Currency 2 4 2 3 2" xfId="7649" xr:uid="{3517CF80-1584-4CB3-8192-D8FA0C51B492}"/>
    <cellStyle name="Currency 2 4 2 4" xfId="5948" xr:uid="{F842235B-212E-42AC-8279-A197046118D3}"/>
    <cellStyle name="Currency 2 4 3" xfId="1855" xr:uid="{00000000-0005-0000-0000-000060020000}"/>
    <cellStyle name="Currency 2 4 3 2" xfId="5105" xr:uid="{CAA51420-6A40-4B29-A933-D1A0D3DA8CB4}"/>
    <cellStyle name="Currency 2 4 3 2 2" xfId="8485" xr:uid="{21CFF9A2-DA2D-4781-9A11-52C345D1AE3E}"/>
    <cellStyle name="Currency 2 4 3 3" xfId="6785" xr:uid="{6F84187F-7101-4B9D-B043-AB6382E8DAE2}"/>
    <cellStyle name="Currency 2 4 4" xfId="4268" xr:uid="{5FC75E7D-0BC4-4694-86F2-A3525A8E92D9}"/>
    <cellStyle name="Currency 2 4 4 2" xfId="7648" xr:uid="{12689925-7DBE-450A-A88C-3073A2EA73DA}"/>
    <cellStyle name="Currency 2 4 5" xfId="5947" xr:uid="{B78EAD51-6D77-4AC1-96F4-E4E8136C97C0}"/>
    <cellStyle name="Currency 2 5" xfId="830" xr:uid="{00000000-0005-0000-0000-000061020000}"/>
    <cellStyle name="Currency 2 5 2" xfId="831" xr:uid="{00000000-0005-0000-0000-000062020000}"/>
    <cellStyle name="Currency 2 5 2 2" xfId="1858" xr:uid="{00000000-0005-0000-0000-000063020000}"/>
    <cellStyle name="Currency 2 5 2 2 2" xfId="5108" xr:uid="{41C588E1-7A45-4802-8B62-D153E681B890}"/>
    <cellStyle name="Currency 2 5 2 2 2 2" xfId="8488" xr:uid="{39B07B7E-0EE0-4B38-B1E8-3E0F5FAEBDE8}"/>
    <cellStyle name="Currency 2 5 2 2 3" xfId="6788" xr:uid="{1BDCA881-7F8A-4C50-BDE3-0A48F4ECDF91}"/>
    <cellStyle name="Currency 2 5 2 3" xfId="4271" xr:uid="{A5261E97-6809-41D1-AF5B-1711D7A20F07}"/>
    <cellStyle name="Currency 2 5 2 3 2" xfId="7651" xr:uid="{478644A1-529C-40DD-BA1A-C4C3957E5A2C}"/>
    <cellStyle name="Currency 2 5 2 4" xfId="5950" xr:uid="{70909F7D-3FA3-45AC-A8BD-CDE304F82D16}"/>
    <cellStyle name="Currency 2 5 3" xfId="1857" xr:uid="{00000000-0005-0000-0000-000064020000}"/>
    <cellStyle name="Currency 2 5 3 2" xfId="5107" xr:uid="{65257B21-04F6-462B-8474-8F9AFFB93B80}"/>
    <cellStyle name="Currency 2 5 3 2 2" xfId="8487" xr:uid="{E538E3DA-98C7-4A3F-9C26-6E85AF4353DC}"/>
    <cellStyle name="Currency 2 5 3 3" xfId="6787" xr:uid="{506C8B8A-F068-4992-92D1-90E0F19DA684}"/>
    <cellStyle name="Currency 2 5 4" xfId="4270" xr:uid="{3BD99372-8437-4B70-87F9-B3B2D0674869}"/>
    <cellStyle name="Currency 2 5 4 2" xfId="7650" xr:uid="{243F9D73-DDC5-442E-B941-B93584EB71C3}"/>
    <cellStyle name="Currency 2 5 5" xfId="5949" xr:uid="{E9C11255-F0BE-4E22-A495-33B83EF0ADC8}"/>
    <cellStyle name="Currency 2 6" xfId="832" xr:uid="{00000000-0005-0000-0000-000065020000}"/>
    <cellStyle name="Currency 2 6 2" xfId="1859" xr:uid="{00000000-0005-0000-0000-000066020000}"/>
    <cellStyle name="Currency 2 6 2 2" xfId="5109" xr:uid="{D20387E0-DDF8-4FC4-9E43-FA41C98B4123}"/>
    <cellStyle name="Currency 2 6 2 2 2" xfId="8489" xr:uid="{9721B3D3-B5F5-46D8-A65B-07483E1470D6}"/>
    <cellStyle name="Currency 2 6 2 3" xfId="6789" xr:uid="{1FCDF8FB-9B6A-4EA2-9275-F820B952C11F}"/>
    <cellStyle name="Currency 2 6 3" xfId="4272" xr:uid="{7156D635-7D77-441A-87DF-681DE8AE23A5}"/>
    <cellStyle name="Currency 2 6 3 2" xfId="7652" xr:uid="{695E9538-F58C-471F-94DD-AFF9790ED092}"/>
    <cellStyle name="Currency 2 6 4" xfId="5951" xr:uid="{0E7EEBD3-BC42-4EB7-AA99-4E8419D1C5F3}"/>
    <cellStyle name="Currency 3" xfId="104" xr:uid="{00000000-0005-0000-0000-000067020000}"/>
    <cellStyle name="Currency 3 2" xfId="105" xr:uid="{00000000-0005-0000-0000-000068020000}"/>
    <cellStyle name="Currency 3 2 2" xfId="833" xr:uid="{00000000-0005-0000-0000-000069020000}"/>
    <cellStyle name="Currency 3 2 2 2" xfId="834" xr:uid="{00000000-0005-0000-0000-00006A020000}"/>
    <cellStyle name="Currency 3 2 2 2 2" xfId="1861" xr:uid="{00000000-0005-0000-0000-00006B020000}"/>
    <cellStyle name="Currency 3 2 2 2 2 2" xfId="5111" xr:uid="{69F0FD07-9B07-4B5B-BF5D-9E76071B393E}"/>
    <cellStyle name="Currency 3 2 2 2 2 2 2" xfId="8491" xr:uid="{8235DF0A-DD0F-4F42-BD36-174A9DAA7014}"/>
    <cellStyle name="Currency 3 2 2 2 2 3" xfId="6791" xr:uid="{BAB50D19-BA52-4F53-8F3F-3822E5F14462}"/>
    <cellStyle name="Currency 3 2 2 2 3" xfId="4274" xr:uid="{2565A5CB-7270-4A37-A612-9789B92ED733}"/>
    <cellStyle name="Currency 3 2 2 2 3 2" xfId="7654" xr:uid="{E404E2B7-9495-45BB-A609-B1593FEA0958}"/>
    <cellStyle name="Currency 3 2 2 2 4" xfId="5953" xr:uid="{1EC1C6DC-7C1F-4751-8BF7-8F4B83D63405}"/>
    <cellStyle name="Currency 3 2 2 3" xfId="1860" xr:uid="{00000000-0005-0000-0000-00006C020000}"/>
    <cellStyle name="Currency 3 2 2 3 2" xfId="5110" xr:uid="{97EAB721-F367-4AC2-8CC4-85A64792A88A}"/>
    <cellStyle name="Currency 3 2 2 3 2 2" xfId="8490" xr:uid="{042706E2-AD56-4642-98BD-BB6907866B8E}"/>
    <cellStyle name="Currency 3 2 2 3 3" xfId="6790" xr:uid="{F7DBAA6F-3665-40C5-9CE2-DE17DA1EE99E}"/>
    <cellStyle name="Currency 3 2 2 4" xfId="4273" xr:uid="{C39272E3-2C32-431E-8C89-6156CBC791C3}"/>
    <cellStyle name="Currency 3 2 2 4 2" xfId="7653" xr:uid="{63DEF1EC-ECFA-4F43-B136-99016C824F7A}"/>
    <cellStyle name="Currency 3 2 2 5" xfId="5952" xr:uid="{7B9313AA-D608-4EB7-BED6-D0198D46325D}"/>
    <cellStyle name="Currency 3 2 3" xfId="835" xr:uid="{00000000-0005-0000-0000-00006D020000}"/>
    <cellStyle name="Currency 3 2 3 2" xfId="1862" xr:uid="{00000000-0005-0000-0000-00006E020000}"/>
    <cellStyle name="Currency 3 2 3 2 2" xfId="5112" xr:uid="{734E62C3-6D7E-41FC-9A85-680C49F7369C}"/>
    <cellStyle name="Currency 3 2 3 2 2 2" xfId="8492" xr:uid="{6318DDE0-96C6-43CA-98C4-FCE2BDBF3D8A}"/>
    <cellStyle name="Currency 3 2 3 2 3" xfId="6792" xr:uid="{14B94015-9857-4140-B100-E0C7D88CA83E}"/>
    <cellStyle name="Currency 3 2 3 3" xfId="4275" xr:uid="{6DDC7CF4-B3EA-48CB-A03D-3DBD503C9CF0}"/>
    <cellStyle name="Currency 3 2 3 3 2" xfId="7655" xr:uid="{53D7E7D0-2535-49E7-B5AA-B8159D7F8B1B}"/>
    <cellStyle name="Currency 3 2 3 4" xfId="5954" xr:uid="{8E576486-F091-49DF-B836-0C243EA948FB}"/>
    <cellStyle name="Currency 3 2 4" xfId="836" xr:uid="{00000000-0005-0000-0000-00006F020000}"/>
    <cellStyle name="Currency 3 2 4 2" xfId="1863" xr:uid="{00000000-0005-0000-0000-000070020000}"/>
    <cellStyle name="Currency 3 2 4 2 2" xfId="5113" xr:uid="{8B6707DC-AABB-44FA-A55A-370ED27BA399}"/>
    <cellStyle name="Currency 3 2 4 2 2 2" xfId="8493" xr:uid="{6BDF5AB5-C0A6-47D7-AF11-09BC65F31B61}"/>
    <cellStyle name="Currency 3 2 4 2 3" xfId="6793" xr:uid="{8B45753D-EEE5-4E4A-8A5C-CF26B4489D43}"/>
    <cellStyle name="Currency 3 2 4 3" xfId="4276" xr:uid="{DF6C3C79-3DEA-4963-80A4-60A169DE684B}"/>
    <cellStyle name="Currency 3 2 4 3 2" xfId="7656" xr:uid="{449A1548-34A4-4D92-B6EB-9B8FB63DFC51}"/>
    <cellStyle name="Currency 3 2 4 4" xfId="5955" xr:uid="{FA2F5D32-B21A-4D89-936F-646C5DA1DF0C}"/>
    <cellStyle name="Currency 3 3" xfId="837" xr:uid="{00000000-0005-0000-0000-000071020000}"/>
    <cellStyle name="Currency 3 3 2" xfId="838" xr:uid="{00000000-0005-0000-0000-000072020000}"/>
    <cellStyle name="Currency 3 3 2 2" xfId="1865" xr:uid="{00000000-0005-0000-0000-000073020000}"/>
    <cellStyle name="Currency 3 3 2 2 2" xfId="5115" xr:uid="{2E1719C4-8F19-4D5F-A1A2-D6E80503A090}"/>
    <cellStyle name="Currency 3 3 2 2 2 2" xfId="8495" xr:uid="{D92D3D9D-318B-4530-93E0-CE151D526F84}"/>
    <cellStyle name="Currency 3 3 2 2 3" xfId="6795" xr:uid="{19062390-2908-46FD-B3CA-723BF11B4D63}"/>
    <cellStyle name="Currency 3 3 2 3" xfId="4278" xr:uid="{2DF29B15-AE8F-4EAC-B57D-DF23909B6818}"/>
    <cellStyle name="Currency 3 3 2 3 2" xfId="7658" xr:uid="{3263BC97-AED0-40F2-87B3-458B983908CC}"/>
    <cellStyle name="Currency 3 3 2 4" xfId="5957" xr:uid="{AC610ABD-58ED-4751-85D5-502BEC185E55}"/>
    <cellStyle name="Currency 3 3 3" xfId="1864" xr:uid="{00000000-0005-0000-0000-000074020000}"/>
    <cellStyle name="Currency 3 3 3 2" xfId="5114" xr:uid="{51E4D28A-4C18-48F1-8B13-D7C0B4C636EA}"/>
    <cellStyle name="Currency 3 3 3 2 2" xfId="8494" xr:uid="{8BD441D9-761D-4263-8E6F-B0CE6C9DCB81}"/>
    <cellStyle name="Currency 3 3 3 3" xfId="6794" xr:uid="{ED516EFB-6C9A-4CD4-AFD1-A9D83A95548B}"/>
    <cellStyle name="Currency 3 3 4" xfId="4277" xr:uid="{6468ED1E-D673-4D54-9A1D-E9B1A2BFCFD9}"/>
    <cellStyle name="Currency 3 3 4 2" xfId="7657" xr:uid="{CC2D3A23-A8D6-4B72-9317-576B3758A0DD}"/>
    <cellStyle name="Currency 3 3 5" xfId="5956" xr:uid="{BEBF0A39-D19F-45F5-990C-EA8BED181E5A}"/>
    <cellStyle name="Currency 3 4" xfId="839" xr:uid="{00000000-0005-0000-0000-000075020000}"/>
    <cellStyle name="Currency 3 4 2" xfId="840" xr:uid="{00000000-0005-0000-0000-000076020000}"/>
    <cellStyle name="Currency 3 4 2 2" xfId="1867" xr:uid="{00000000-0005-0000-0000-000077020000}"/>
    <cellStyle name="Currency 3 4 2 2 2" xfId="5117" xr:uid="{2CFB7979-6520-424B-9D2D-F4B8D33E7713}"/>
    <cellStyle name="Currency 3 4 2 2 2 2" xfId="8497" xr:uid="{151B6E43-0CD3-46B7-BFB2-F691DE19F91E}"/>
    <cellStyle name="Currency 3 4 2 2 3" xfId="6797" xr:uid="{96AE376A-722B-4AEC-BF13-4173FDC87078}"/>
    <cellStyle name="Currency 3 4 2 3" xfId="4280" xr:uid="{168B9A2B-E158-43BB-B71B-BD311E503F9D}"/>
    <cellStyle name="Currency 3 4 2 3 2" xfId="7660" xr:uid="{483E2ADD-AE3F-4328-A919-73BCE6696D9E}"/>
    <cellStyle name="Currency 3 4 2 4" xfId="5959" xr:uid="{34480114-DA11-47B3-9F5F-A59EDEFC8512}"/>
    <cellStyle name="Currency 3 4 3" xfId="1866" xr:uid="{00000000-0005-0000-0000-000078020000}"/>
    <cellStyle name="Currency 3 4 3 2" xfId="5116" xr:uid="{DE666D91-40FA-4B37-96D1-9F272FF09BBF}"/>
    <cellStyle name="Currency 3 4 3 2 2" xfId="8496" xr:uid="{B260998C-8645-4245-B811-C3D9A077C4D3}"/>
    <cellStyle name="Currency 3 4 3 3" xfId="6796" xr:uid="{85CE798B-05B3-449F-82E3-E896F1313993}"/>
    <cellStyle name="Currency 3 4 4" xfId="4279" xr:uid="{F2F48A9D-6D9C-42AF-90F0-B1E9B3D5D8AC}"/>
    <cellStyle name="Currency 3 4 4 2" xfId="7659" xr:uid="{FBB2CA08-A393-4DA1-B5C5-D2C39C750FCF}"/>
    <cellStyle name="Currency 3 4 5" xfId="5958" xr:uid="{B3DAC95C-93CF-47EE-8C5A-CF26C459F749}"/>
    <cellStyle name="Currency 4" xfId="16" xr:uid="{00000000-0005-0000-0000-000079020000}"/>
    <cellStyle name="Currency 5" xfId="332" xr:uid="{00000000-0005-0000-0000-00007A020000}"/>
    <cellStyle name="Currency 5 2" xfId="841" xr:uid="{00000000-0005-0000-0000-00007B020000}"/>
    <cellStyle name="Currency 5 2 2" xfId="1868" xr:uid="{00000000-0005-0000-0000-00007C020000}"/>
    <cellStyle name="Currency 5 2 2 2" xfId="5118" xr:uid="{ADE278D8-EB71-430B-85B3-8C640358D679}"/>
    <cellStyle name="Currency 5 2 2 2 2" xfId="8498" xr:uid="{02496A4D-59BC-41F6-BEE6-FD01ACE11B18}"/>
    <cellStyle name="Currency 5 2 2 3" xfId="6798" xr:uid="{F2E968C2-3AEF-4B04-86CE-ADEC57033567}"/>
    <cellStyle name="Currency 5 2 3" xfId="4281" xr:uid="{4AD4B12C-6DC3-4486-B8DB-B21770892D62}"/>
    <cellStyle name="Currency 5 2 3 2" xfId="7661" xr:uid="{A063E703-C405-4B97-BC7C-8306245DB9C6}"/>
    <cellStyle name="Currency 5 2 4" xfId="5960" xr:uid="{1541FB0B-220F-4864-9C75-516C7DC8BD91}"/>
    <cellStyle name="Currency 6" xfId="336" xr:uid="{00000000-0005-0000-0000-00007D020000}"/>
    <cellStyle name="Currency 6 2" xfId="842" xr:uid="{00000000-0005-0000-0000-00007E020000}"/>
    <cellStyle name="Currency 6 2 2" xfId="1869" xr:uid="{00000000-0005-0000-0000-00007F020000}"/>
    <cellStyle name="Currency 6 2 2 2" xfId="5119" xr:uid="{8F5A5BA2-9E1F-4E63-B379-2CE36FAF215D}"/>
    <cellStyle name="Currency 6 2 2 2 2" xfId="8499" xr:uid="{0E641968-4EEC-4FB9-854A-8DF628E712FE}"/>
    <cellStyle name="Currency 6 2 2 3" xfId="6799" xr:uid="{9341C218-B005-480D-A0B3-40A5E8D792EB}"/>
    <cellStyle name="Currency 6 2 3" xfId="4282" xr:uid="{D7069F67-6FE6-46DB-AEEB-EC630285ABA1}"/>
    <cellStyle name="Currency 6 2 3 2" xfId="7662" xr:uid="{401CAA9D-8FBE-41C2-A0D1-A2AD70E2C62D}"/>
    <cellStyle name="Currency 6 2 4" xfId="5961" xr:uid="{DB1BD366-DBC8-4E00-8E62-18FB45AF4133}"/>
    <cellStyle name="Currency 7" xfId="343" xr:uid="{00000000-0005-0000-0000-000080020000}"/>
    <cellStyle name="Currency 8" xfId="345" xr:uid="{00000000-0005-0000-0000-000081020000}"/>
    <cellStyle name="Currency 9" xfId="347" xr:uid="{00000000-0005-0000-0000-000082020000}"/>
    <cellStyle name="Currency 9 2" xfId="843" xr:uid="{00000000-0005-0000-0000-000083020000}"/>
    <cellStyle name="Currency Input" xfId="106" xr:uid="{00000000-0005-0000-0000-000084020000}"/>
    <cellStyle name="Currency0" xfId="107" xr:uid="{00000000-0005-0000-0000-000085020000}"/>
    <cellStyle name="d" xfId="108" xr:uid="{00000000-0005-0000-0000-000086020000}"/>
    <cellStyle name="d," xfId="109" xr:uid="{00000000-0005-0000-0000-000087020000}"/>
    <cellStyle name="d1" xfId="110" xr:uid="{00000000-0005-0000-0000-000088020000}"/>
    <cellStyle name="d1," xfId="111" xr:uid="{00000000-0005-0000-0000-000089020000}"/>
    <cellStyle name="d2" xfId="112" xr:uid="{00000000-0005-0000-0000-00008A020000}"/>
    <cellStyle name="d2," xfId="113" xr:uid="{00000000-0005-0000-0000-00008B020000}"/>
    <cellStyle name="d3" xfId="114" xr:uid="{00000000-0005-0000-0000-00008C020000}"/>
    <cellStyle name="Dash" xfId="115" xr:uid="{00000000-0005-0000-0000-00008D020000}"/>
    <cellStyle name="Date" xfId="116" xr:uid="{00000000-0005-0000-0000-00008E020000}"/>
    <cellStyle name="Date [Abbreviated]" xfId="117" xr:uid="{00000000-0005-0000-0000-00008F020000}"/>
    <cellStyle name="Date [Long Europe]" xfId="118" xr:uid="{00000000-0005-0000-0000-000090020000}"/>
    <cellStyle name="Date [Long U.S.]" xfId="119" xr:uid="{00000000-0005-0000-0000-000091020000}"/>
    <cellStyle name="Date [Short Europe]" xfId="120" xr:uid="{00000000-0005-0000-0000-000092020000}"/>
    <cellStyle name="Date [Short U.S.]" xfId="121" xr:uid="{00000000-0005-0000-0000-000093020000}"/>
    <cellStyle name="Date_ITCM 2010 Template" xfId="122" xr:uid="{00000000-0005-0000-0000-000094020000}"/>
    <cellStyle name="Define$0" xfId="123" xr:uid="{00000000-0005-0000-0000-000095020000}"/>
    <cellStyle name="Define$1" xfId="124" xr:uid="{00000000-0005-0000-0000-000096020000}"/>
    <cellStyle name="Define$2" xfId="125" xr:uid="{00000000-0005-0000-0000-000097020000}"/>
    <cellStyle name="Define0" xfId="126" xr:uid="{00000000-0005-0000-0000-000098020000}"/>
    <cellStyle name="Define1" xfId="127" xr:uid="{00000000-0005-0000-0000-000099020000}"/>
    <cellStyle name="Define1x" xfId="128" xr:uid="{00000000-0005-0000-0000-00009A020000}"/>
    <cellStyle name="Define2" xfId="129" xr:uid="{00000000-0005-0000-0000-00009B020000}"/>
    <cellStyle name="Define2x" xfId="130" xr:uid="{00000000-0005-0000-0000-00009C020000}"/>
    <cellStyle name="Detail" xfId="844" xr:uid="{00000000-0005-0000-0000-00009D020000}"/>
    <cellStyle name="Dollar" xfId="131" xr:uid="{00000000-0005-0000-0000-00009E020000}"/>
    <cellStyle name="e" xfId="132" xr:uid="{00000000-0005-0000-0000-00009F020000}"/>
    <cellStyle name="e_DEO ADIT Unprotected" xfId="2674" xr:uid="{65A32FB6-A42C-44E5-8116-7661ACD5B240}"/>
    <cellStyle name="e1" xfId="133" xr:uid="{00000000-0005-0000-0000-0000A0020000}"/>
    <cellStyle name="e2" xfId="134" xr:uid="{00000000-0005-0000-0000-0000A1020000}"/>
    <cellStyle name="Euro" xfId="135" xr:uid="{00000000-0005-0000-0000-0000A2020000}"/>
    <cellStyle name="Explanatory Text" xfId="526" builtinId="53" customBuiltin="1"/>
    <cellStyle name="Explanatory Text 2" xfId="845" xr:uid="{00000000-0005-0000-0000-0000A4020000}"/>
    <cellStyle name="Explanatory Text 2 2" xfId="846" xr:uid="{00000000-0005-0000-0000-0000A5020000}"/>
    <cellStyle name="Explanatory Text 2 3" xfId="847" xr:uid="{00000000-0005-0000-0000-0000A6020000}"/>
    <cellStyle name="Explanatory Text 2_DEO ADIT Unprotected" xfId="2675" xr:uid="{47F8A8DF-0CEA-459A-9EF2-461A88C84ACE}"/>
    <cellStyle name="Explanatory Text 3" xfId="848" xr:uid="{00000000-0005-0000-0000-0000A7020000}"/>
    <cellStyle name="f" xfId="849" xr:uid="{00000000-0005-0000-0000-0000A8020000}"/>
    <cellStyle name="Fixed" xfId="136" xr:uid="{00000000-0005-0000-0000-0000A9020000}"/>
    <cellStyle name="FOOTER - Style1" xfId="137" xr:uid="{00000000-0005-0000-0000-0000AA020000}"/>
    <cellStyle name="g" xfId="138" xr:uid="{00000000-0005-0000-0000-0000AB020000}"/>
    <cellStyle name="general" xfId="139" xr:uid="{00000000-0005-0000-0000-0000AC020000}"/>
    <cellStyle name="General [C]" xfId="140" xr:uid="{00000000-0005-0000-0000-0000AD020000}"/>
    <cellStyle name="General [R]" xfId="141" xr:uid="{00000000-0005-0000-0000-0000AE020000}"/>
    <cellStyle name="general_DEO ADIT Unprotected" xfId="2676" xr:uid="{20BE35F7-1073-472E-A128-29DA5F509D03}"/>
    <cellStyle name="Good" xfId="517" builtinId="26" customBuiltin="1"/>
    <cellStyle name="Good 2" xfId="850" xr:uid="{00000000-0005-0000-0000-0000B0020000}"/>
    <cellStyle name="Good 2 2" xfId="851" xr:uid="{00000000-0005-0000-0000-0000B1020000}"/>
    <cellStyle name="Good 2 3" xfId="852" xr:uid="{00000000-0005-0000-0000-0000B2020000}"/>
    <cellStyle name="Good 2_DEO ADIT Unprotected" xfId="2677" xr:uid="{A3821B0B-5517-4737-98F5-135769A4911D}"/>
    <cellStyle name="Good 3" xfId="853" xr:uid="{00000000-0005-0000-0000-0000B3020000}"/>
    <cellStyle name="Good 4" xfId="854" xr:uid="{00000000-0005-0000-0000-0000B4020000}"/>
    <cellStyle name="Green" xfId="142" xr:uid="{00000000-0005-0000-0000-0000B5020000}"/>
    <cellStyle name="grey" xfId="143" xr:uid="{00000000-0005-0000-0000-0000B6020000}"/>
    <cellStyle name="HEADER" xfId="855" xr:uid="{00000000-0005-0000-0000-0000B7020000}"/>
    <cellStyle name="Header1" xfId="144" xr:uid="{00000000-0005-0000-0000-0000B8020000}"/>
    <cellStyle name="Header2" xfId="145" xr:uid="{00000000-0005-0000-0000-0000B9020000}"/>
    <cellStyle name="Heading" xfId="146" xr:uid="{00000000-0005-0000-0000-0000BA020000}"/>
    <cellStyle name="Heading 1" xfId="513" builtinId="16" customBuiltin="1"/>
    <cellStyle name="Heading 1 2" xfId="856" xr:uid="{00000000-0005-0000-0000-0000BC020000}"/>
    <cellStyle name="Heading 1 2 2" xfId="857" xr:uid="{00000000-0005-0000-0000-0000BD020000}"/>
    <cellStyle name="Heading 1 2 3" xfId="858" xr:uid="{00000000-0005-0000-0000-0000BE020000}"/>
    <cellStyle name="Heading 1 2_DEO ADIT Unprotected" xfId="2678" xr:uid="{5326C98D-CF7D-470A-AB32-CE2F3D25FAB8}"/>
    <cellStyle name="Heading 1 3" xfId="859" xr:uid="{00000000-0005-0000-0000-0000BF020000}"/>
    <cellStyle name="Heading 1 4" xfId="860" xr:uid="{00000000-0005-0000-0000-0000C0020000}"/>
    <cellStyle name="Heading 2" xfId="514" builtinId="17" customBuiltin="1"/>
    <cellStyle name="Heading 2 2" xfId="861" xr:uid="{00000000-0005-0000-0000-0000C2020000}"/>
    <cellStyle name="Heading 2 2 2" xfId="862" xr:uid="{00000000-0005-0000-0000-0000C3020000}"/>
    <cellStyle name="Heading 2 2 3" xfId="863" xr:uid="{00000000-0005-0000-0000-0000C4020000}"/>
    <cellStyle name="Heading 2 2_DEO ADIT Unprotected" xfId="2679" xr:uid="{29846FBF-4A3C-4A92-B908-04AB1C490FEC}"/>
    <cellStyle name="Heading 2 3" xfId="864" xr:uid="{00000000-0005-0000-0000-0000C5020000}"/>
    <cellStyle name="Heading 2 4" xfId="865" xr:uid="{00000000-0005-0000-0000-0000C6020000}"/>
    <cellStyle name="Heading 3" xfId="515" builtinId="18" customBuiltin="1"/>
    <cellStyle name="Heading 3 2" xfId="866" xr:uid="{00000000-0005-0000-0000-0000C8020000}"/>
    <cellStyle name="Heading 3 2 2" xfId="867" xr:uid="{00000000-0005-0000-0000-0000C9020000}"/>
    <cellStyle name="Heading 3 2 3" xfId="868" xr:uid="{00000000-0005-0000-0000-0000CA020000}"/>
    <cellStyle name="Heading 3 2_DEO ADIT Unprotected" xfId="2680" xr:uid="{AFA99649-D538-4AD2-B7C0-51129C029725}"/>
    <cellStyle name="Heading 3 3" xfId="869" xr:uid="{00000000-0005-0000-0000-0000CB020000}"/>
    <cellStyle name="Heading 3 4" xfId="870" xr:uid="{00000000-0005-0000-0000-0000CC020000}"/>
    <cellStyle name="Heading 4" xfId="516" builtinId="19" customBuiltin="1"/>
    <cellStyle name="Heading 4 2" xfId="871" xr:uid="{00000000-0005-0000-0000-0000CE020000}"/>
    <cellStyle name="Heading 4 2 2" xfId="872" xr:uid="{00000000-0005-0000-0000-0000CF020000}"/>
    <cellStyle name="Heading 4 2 3" xfId="873" xr:uid="{00000000-0005-0000-0000-0000D0020000}"/>
    <cellStyle name="Heading 4 2_DEO ADIT Unprotected" xfId="2681" xr:uid="{84E67BDF-3E83-491C-8148-1EE2D66FA0F8}"/>
    <cellStyle name="Heading 4 3" xfId="874" xr:uid="{00000000-0005-0000-0000-0000D1020000}"/>
    <cellStyle name="Heading 4 4" xfId="875" xr:uid="{00000000-0005-0000-0000-0000D2020000}"/>
    <cellStyle name="Heading No Underline" xfId="147" xr:uid="{00000000-0005-0000-0000-0000D3020000}"/>
    <cellStyle name="Heading With Underline" xfId="148" xr:uid="{00000000-0005-0000-0000-0000D4020000}"/>
    <cellStyle name="Heading1" xfId="149" xr:uid="{00000000-0005-0000-0000-0000D5020000}"/>
    <cellStyle name="Heading2" xfId="150" xr:uid="{00000000-0005-0000-0000-0000D6020000}"/>
    <cellStyle name="Headline" xfId="151" xr:uid="{00000000-0005-0000-0000-0000D7020000}"/>
    <cellStyle name="Highlight" xfId="152" xr:uid="{00000000-0005-0000-0000-0000D8020000}"/>
    <cellStyle name="Hyperlink 2" xfId="876" xr:uid="{00000000-0005-0000-0000-0000D9020000}"/>
    <cellStyle name="in" xfId="153" xr:uid="{00000000-0005-0000-0000-0000DA020000}"/>
    <cellStyle name="inc/dec" xfId="877" xr:uid="{00000000-0005-0000-0000-0000DB020000}"/>
    <cellStyle name="Indented [0]" xfId="154" xr:uid="{00000000-0005-0000-0000-0000DC020000}"/>
    <cellStyle name="Indented [2]" xfId="155" xr:uid="{00000000-0005-0000-0000-0000DD020000}"/>
    <cellStyle name="Indented [4]" xfId="156" xr:uid="{00000000-0005-0000-0000-0000DE020000}"/>
    <cellStyle name="Indented [6]" xfId="157" xr:uid="{00000000-0005-0000-0000-0000DF020000}"/>
    <cellStyle name="Input" xfId="520" builtinId="20" customBuiltin="1"/>
    <cellStyle name="Input [yellow]" xfId="158" xr:uid="{00000000-0005-0000-0000-0000E1020000}"/>
    <cellStyle name="Input 2" xfId="878" xr:uid="{00000000-0005-0000-0000-0000E2020000}"/>
    <cellStyle name="Input 2 2" xfId="879" xr:uid="{00000000-0005-0000-0000-0000E3020000}"/>
    <cellStyle name="Input 2 3" xfId="880" xr:uid="{00000000-0005-0000-0000-0000E4020000}"/>
    <cellStyle name="Input 3" xfId="881" xr:uid="{00000000-0005-0000-0000-0000E5020000}"/>
    <cellStyle name="Input 4" xfId="882" xr:uid="{00000000-0005-0000-0000-0000E6020000}"/>
    <cellStyle name="Input$0" xfId="159" xr:uid="{00000000-0005-0000-0000-0000E7020000}"/>
    <cellStyle name="Input$1" xfId="160" xr:uid="{00000000-0005-0000-0000-0000E8020000}"/>
    <cellStyle name="Input$2" xfId="161" xr:uid="{00000000-0005-0000-0000-0000E9020000}"/>
    <cellStyle name="Input0" xfId="162" xr:uid="{00000000-0005-0000-0000-0000EA020000}"/>
    <cellStyle name="Input1" xfId="163" xr:uid="{00000000-0005-0000-0000-0000EB020000}"/>
    <cellStyle name="Input1x" xfId="164" xr:uid="{00000000-0005-0000-0000-0000EC020000}"/>
    <cellStyle name="Input2" xfId="165" xr:uid="{00000000-0005-0000-0000-0000ED020000}"/>
    <cellStyle name="Input2x" xfId="166" xr:uid="{00000000-0005-0000-0000-0000EE020000}"/>
    <cellStyle name="Invisible" xfId="883" xr:uid="{00000000-0005-0000-0000-0000EF020000}"/>
    <cellStyle name="lborder" xfId="167" xr:uid="{00000000-0005-0000-0000-0000F0020000}"/>
    <cellStyle name="LeftSubtitle" xfId="168" xr:uid="{00000000-0005-0000-0000-0000F1020000}"/>
    <cellStyle name="Lines" xfId="884" xr:uid="{00000000-0005-0000-0000-0000F2020000}"/>
    <cellStyle name="Linked Cell" xfId="523" builtinId="24" customBuiltin="1"/>
    <cellStyle name="Linked Cell 2" xfId="885" xr:uid="{00000000-0005-0000-0000-0000F4020000}"/>
    <cellStyle name="Linked Cell 2 2" xfId="886" xr:uid="{00000000-0005-0000-0000-0000F5020000}"/>
    <cellStyle name="Linked Cell 2 3" xfId="887" xr:uid="{00000000-0005-0000-0000-0000F6020000}"/>
    <cellStyle name="Linked Cell 2_DEO ADIT Unprotected" xfId="2682" xr:uid="{341CE1AB-98AC-432D-8833-F29535A9B166}"/>
    <cellStyle name="Linked Cell 3" xfId="888" xr:uid="{00000000-0005-0000-0000-0000F7020000}"/>
    <cellStyle name="Linked Cell 4" xfId="889" xr:uid="{00000000-0005-0000-0000-0000F8020000}"/>
    <cellStyle name="Long Date" xfId="890" xr:uid="{00000000-0005-0000-0000-0000F9020000}"/>
    <cellStyle name="Long Date 2" xfId="891" xr:uid="{00000000-0005-0000-0000-0000FA020000}"/>
    <cellStyle name="m" xfId="169" xr:uid="{00000000-0005-0000-0000-0000FB020000}"/>
    <cellStyle name="m1" xfId="170" xr:uid="{00000000-0005-0000-0000-0000FC020000}"/>
    <cellStyle name="m2" xfId="171" xr:uid="{00000000-0005-0000-0000-0000FD020000}"/>
    <cellStyle name="m3" xfId="172" xr:uid="{00000000-0005-0000-0000-0000FE020000}"/>
    <cellStyle name="Multiple" xfId="173" xr:uid="{00000000-0005-0000-0000-0000FF020000}"/>
    <cellStyle name="Negative" xfId="174" xr:uid="{00000000-0005-0000-0000-000000030000}"/>
    <cellStyle name="Neutral" xfId="519" builtinId="28" customBuiltin="1"/>
    <cellStyle name="Neutral 2" xfId="892" xr:uid="{00000000-0005-0000-0000-000002030000}"/>
    <cellStyle name="Neutral 2 2" xfId="893" xr:uid="{00000000-0005-0000-0000-000003030000}"/>
    <cellStyle name="Neutral 2 3" xfId="894" xr:uid="{00000000-0005-0000-0000-000004030000}"/>
    <cellStyle name="Neutral 2_DEO ADIT Unprotected" xfId="2683" xr:uid="{C6F984A7-BE34-43BA-A90C-65624B90BAAA}"/>
    <cellStyle name="Neutral 3" xfId="895" xr:uid="{00000000-0005-0000-0000-000005030000}"/>
    <cellStyle name="Neutral 4" xfId="896" xr:uid="{00000000-0005-0000-0000-000006030000}"/>
    <cellStyle name="NewColumnHeaderNormal" xfId="897" xr:uid="{00000000-0005-0000-0000-000007030000}"/>
    <cellStyle name="NewSectionHeaderNormal" xfId="898" xr:uid="{00000000-0005-0000-0000-000008030000}"/>
    <cellStyle name="NewTitleNormal" xfId="899" xr:uid="{00000000-0005-0000-0000-000009030000}"/>
    <cellStyle name="no dec" xfId="175" xr:uid="{00000000-0005-0000-0000-00000A030000}"/>
    <cellStyle name="Normal" xfId="0" builtinId="0"/>
    <cellStyle name="Normal - Style1" xfId="176" xr:uid="{00000000-0005-0000-0000-00000C030000}"/>
    <cellStyle name="Normal 10" xfId="340" xr:uid="{00000000-0005-0000-0000-00000D030000}"/>
    <cellStyle name="Normal 10 10" xfId="9100" xr:uid="{4E99D3AE-8FCF-4020-A96F-E76ECEF043D5}"/>
    <cellStyle name="Normal 10 2" xfId="900" xr:uid="{00000000-0005-0000-0000-00000E030000}"/>
    <cellStyle name="Normal 10 2 2" xfId="901" xr:uid="{00000000-0005-0000-0000-00000F030000}"/>
    <cellStyle name="Normal 10 3" xfId="902" xr:uid="{00000000-0005-0000-0000-000010030000}"/>
    <cellStyle name="Normal 10 3 2" xfId="903" xr:uid="{00000000-0005-0000-0000-000011030000}"/>
    <cellStyle name="Normal 10 3 2 2" xfId="1871" xr:uid="{00000000-0005-0000-0000-000012030000}"/>
    <cellStyle name="Normal 10 3 2 2 2" xfId="5121" xr:uid="{680D6A21-EC9D-48CF-A642-6E1677E8F15D}"/>
    <cellStyle name="Normal 10 3 2 2 2 2" xfId="8501" xr:uid="{4D697F38-1D67-4C3F-8FE6-10881B3E8382}"/>
    <cellStyle name="Normal 10 3 2 2 3" xfId="6801" xr:uid="{B8937A36-58F9-4630-A737-9062D228CD53}"/>
    <cellStyle name="Normal 10 3 2 2_DEO ADIT Unprotected" xfId="2687" xr:uid="{A8DAC856-8BCC-4817-9D1A-B46F0D6813EC}"/>
    <cellStyle name="Normal 10 3 2 3" xfId="4284" xr:uid="{02CBE5E3-B2F6-4AE6-921A-87AB4432A894}"/>
    <cellStyle name="Normal 10 3 2 3 2" xfId="7664" xr:uid="{D10F0D15-1FB8-4F4B-AC72-4AA667D553FA}"/>
    <cellStyle name="Normal 10 3 2 4" xfId="5963" xr:uid="{ABD7CF23-1C94-450C-8552-C4CBCD81FECB}"/>
    <cellStyle name="Normal 10 3 2_DEO ADIT Unprotected" xfId="2686" xr:uid="{989659D7-6189-400F-ADCC-2A767C409651}"/>
    <cellStyle name="Normal 10 3 3" xfId="1870" xr:uid="{00000000-0005-0000-0000-000013030000}"/>
    <cellStyle name="Normal 10 3 3 2" xfId="5120" xr:uid="{58C3823B-4DB9-4DEE-9A3A-1A63C72F1FA9}"/>
    <cellStyle name="Normal 10 3 3 2 2" xfId="8500" xr:uid="{77FE2071-4E6E-4D74-83E4-8B0B75B85A7C}"/>
    <cellStyle name="Normal 10 3 3 3" xfId="6800" xr:uid="{C8AAA0C6-B311-40E4-937E-CABBD01F899D}"/>
    <cellStyle name="Normal 10 3 3_DEO ADIT Unprotected" xfId="2688" xr:uid="{B9DC12ED-7375-4737-87D9-A0D3718B285C}"/>
    <cellStyle name="Normal 10 3 4" xfId="4283" xr:uid="{9C5B9AF3-4C68-4EC8-8D80-56BD6ECAAB41}"/>
    <cellStyle name="Normal 10 3 4 2" xfId="7663" xr:uid="{038C0E26-BCB7-4375-A5FE-72263BC6161E}"/>
    <cellStyle name="Normal 10 3 5" xfId="5962" xr:uid="{66386E83-276A-4B38-95A9-F349395E8FC4}"/>
    <cellStyle name="Normal 10 3_DEO ADIT Unprotected" xfId="2685" xr:uid="{F6BB0140-28C3-4E92-9043-236F888235DA}"/>
    <cellStyle name="Normal 10 4" xfId="1629" xr:uid="{00000000-0005-0000-0000-000014030000}"/>
    <cellStyle name="Normal 10 4 2" xfId="4879" xr:uid="{25682BD7-2795-4262-9F53-2CF6779F713B}"/>
    <cellStyle name="Normal 10 4 2 2" xfId="8259" xr:uid="{7922CDF9-E4A6-405E-9063-7EB5F852D58F}"/>
    <cellStyle name="Normal 10 4 3" xfId="6559" xr:uid="{1CC2F7A5-0F74-4DDB-9E96-5BCE892D9D45}"/>
    <cellStyle name="Normal 10 4_DEO ADIT Unprotected" xfId="2689" xr:uid="{5FB2BBC2-C52E-4EDA-B43D-1A55B29F93B1}"/>
    <cellStyle name="Normal 10 5" xfId="4042" xr:uid="{5BBCBF32-80E6-4CD6-8A6D-CE00E23C7222}"/>
    <cellStyle name="Normal 10 5 2" xfId="7422" xr:uid="{34EFD696-EC51-47DE-93EE-49D7F1286DD5}"/>
    <cellStyle name="Normal 10 6" xfId="5719" xr:uid="{0CEEDDF3-395B-4E60-911B-E4B7D4774F04}"/>
    <cellStyle name="Normal 10 7" xfId="7416" xr:uid="{CBAD3A32-2499-40FA-9E4D-CC81451D8609}"/>
    <cellStyle name="Normal 10 8" xfId="7397" xr:uid="{EB83CB3C-0366-445B-80A6-EAE0E7E52DE4}"/>
    <cellStyle name="Normal 10 9" xfId="9102" xr:uid="{C1C596A9-E173-4F4C-9118-10DF13E63ACB}"/>
    <cellStyle name="Normal 10_DEO ADIT Unprotected" xfId="2684" xr:uid="{1657E97D-718A-436D-ACA0-B98F6669BAC2}"/>
    <cellStyle name="Normal 100" xfId="904" xr:uid="{00000000-0005-0000-0000-000015030000}"/>
    <cellStyle name="Normal 100 2" xfId="905" xr:uid="{00000000-0005-0000-0000-000016030000}"/>
    <cellStyle name="Normal 100 2 2" xfId="1873" xr:uid="{00000000-0005-0000-0000-000017030000}"/>
    <cellStyle name="Normal 100 2 2 2" xfId="5123" xr:uid="{4C149679-186D-4C3A-8D9F-BBB8C8084393}"/>
    <cellStyle name="Normal 100 2 2 2 2" xfId="8503" xr:uid="{1F474371-6024-49DB-8015-4D35D7F68DB7}"/>
    <cellStyle name="Normal 100 2 2 3" xfId="6803" xr:uid="{B66D67C1-864E-4943-999A-F171887C1E50}"/>
    <cellStyle name="Normal 100 2 2_DEO ADIT Unprotected" xfId="2692" xr:uid="{C2FB29A9-22ED-4F76-BD27-6B6AB98BDD97}"/>
    <cellStyle name="Normal 100 2 3" xfId="4286" xr:uid="{FBA74E30-9095-4FAD-BE60-09A3EE9CD800}"/>
    <cellStyle name="Normal 100 2 3 2" xfId="7666" xr:uid="{590BF91D-0A1F-416C-A226-51301663BD17}"/>
    <cellStyle name="Normal 100 2 4" xfId="5965" xr:uid="{FAD50B6A-26C3-472B-BF77-D8611DD678EE}"/>
    <cellStyle name="Normal 100 2_DEO ADIT Unprotected" xfId="2691" xr:uid="{43B32043-DD7C-4101-9531-8B6DC930BC8B}"/>
    <cellStyle name="Normal 100 3" xfId="1872" xr:uid="{00000000-0005-0000-0000-000018030000}"/>
    <cellStyle name="Normal 100 3 2" xfId="5122" xr:uid="{2E136DEF-34E2-45BD-AA14-C3BF34831F0C}"/>
    <cellStyle name="Normal 100 3 2 2" xfId="8502" xr:uid="{8FDEFF42-EFA4-4622-9489-46BA0B67E5BE}"/>
    <cellStyle name="Normal 100 3 3" xfId="6802" xr:uid="{568553E6-5180-4ED6-AA17-F59758633BDE}"/>
    <cellStyle name="Normal 100 3_DEO ADIT Unprotected" xfId="2693" xr:uid="{AB589705-D62F-4CFF-8539-3CE6D9FADD63}"/>
    <cellStyle name="Normal 100 4" xfId="4285" xr:uid="{C661D184-1F8B-4DFD-9F8C-2A92FFB3AC58}"/>
    <cellStyle name="Normal 100 4 2" xfId="7665" xr:uid="{A5E17E7E-9156-425E-A0CB-3633C6849B6E}"/>
    <cellStyle name="Normal 100 5" xfId="5964" xr:uid="{F2D1A335-3FF2-4046-B199-BB4AED03E711}"/>
    <cellStyle name="Normal 100_DEO ADIT Unprotected" xfId="2690" xr:uid="{D1D7DB50-07D4-444E-B3F9-4754D9045C8D}"/>
    <cellStyle name="Normal 101" xfId="906" xr:uid="{00000000-0005-0000-0000-000019030000}"/>
    <cellStyle name="Normal 101 2" xfId="907" xr:uid="{00000000-0005-0000-0000-00001A030000}"/>
    <cellStyle name="Normal 101 2 2" xfId="1875" xr:uid="{00000000-0005-0000-0000-00001B030000}"/>
    <cellStyle name="Normal 101 2 2 2" xfId="5125" xr:uid="{DFDAA0C6-34C7-4708-BAE8-99F08A9693D4}"/>
    <cellStyle name="Normal 101 2 2 2 2" xfId="8505" xr:uid="{1FC3019C-496D-4381-A92D-C70F4DCD2280}"/>
    <cellStyle name="Normal 101 2 2 3" xfId="6805" xr:uid="{3FABA14C-322E-421D-AB29-EA140DAF175E}"/>
    <cellStyle name="Normal 101 2 2_DEO ADIT Unprotected" xfId="2696" xr:uid="{EF86BE7B-2149-43F5-9FC5-FC53532B8A14}"/>
    <cellStyle name="Normal 101 2 3" xfId="4288" xr:uid="{80645C30-DB65-4C65-87E6-D1ED29C12CB3}"/>
    <cellStyle name="Normal 101 2 3 2" xfId="7668" xr:uid="{521850F9-286F-4561-9C89-50CA2B976643}"/>
    <cellStyle name="Normal 101 2 4" xfId="5967" xr:uid="{43089532-E332-49F6-96C0-F37B51443E75}"/>
    <cellStyle name="Normal 101 2_DEO ADIT Unprotected" xfId="2695" xr:uid="{C513135B-7E24-489A-A025-467DE6D8FEDA}"/>
    <cellStyle name="Normal 101 3" xfId="1874" xr:uid="{00000000-0005-0000-0000-00001C030000}"/>
    <cellStyle name="Normal 101 3 2" xfId="5124" xr:uid="{89A12EDC-7E5C-4CC2-BD68-C578160A70C1}"/>
    <cellStyle name="Normal 101 3 2 2" xfId="8504" xr:uid="{C4E3DA1B-C8AF-43B9-A8D3-AC111503EF4E}"/>
    <cellStyle name="Normal 101 3 3" xfId="6804" xr:uid="{71705D99-2F96-4207-8D47-FE50D857679F}"/>
    <cellStyle name="Normal 101 3_DEO ADIT Unprotected" xfId="2697" xr:uid="{2894E4C6-F144-4933-8E5C-45CFE78A121B}"/>
    <cellStyle name="Normal 101 4" xfId="4287" xr:uid="{37188F07-9212-444E-BC35-DB6F9D3DEAFB}"/>
    <cellStyle name="Normal 101 4 2" xfId="7667" xr:uid="{CBCD0BD7-0031-4304-86BF-492A3F57550F}"/>
    <cellStyle name="Normal 101 5" xfId="5966" xr:uid="{69E82276-42CF-45AB-9F90-C43C8FA5696E}"/>
    <cellStyle name="Normal 101_DEO ADIT Unprotected" xfId="2694" xr:uid="{D97F2C30-C93F-46BB-A469-13451B57FB8C}"/>
    <cellStyle name="Normal 102" xfId="908" xr:uid="{00000000-0005-0000-0000-00001D030000}"/>
    <cellStyle name="Normal 102 2" xfId="909" xr:uid="{00000000-0005-0000-0000-00001E030000}"/>
    <cellStyle name="Normal 102 2 2" xfId="1877" xr:uid="{00000000-0005-0000-0000-00001F030000}"/>
    <cellStyle name="Normal 102 2 2 2" xfId="5127" xr:uid="{05718887-0D5A-4B08-9F1A-56A9A44A3359}"/>
    <cellStyle name="Normal 102 2 2 2 2" xfId="8507" xr:uid="{8515E80D-7FA1-4338-B2D2-BF5E7A34553F}"/>
    <cellStyle name="Normal 102 2 2 3" xfId="6807" xr:uid="{F0F066AF-28D8-45BD-9282-C6D67F3F7ADB}"/>
    <cellStyle name="Normal 102 2 2_DEO ADIT Unprotected" xfId="2700" xr:uid="{9A49784D-C3FA-43E5-BE2F-8D4DA1AFC441}"/>
    <cellStyle name="Normal 102 2 3" xfId="4290" xr:uid="{F691AC54-1BEE-41FC-A3BC-475CB092BBDB}"/>
    <cellStyle name="Normal 102 2 3 2" xfId="7670" xr:uid="{3B24300D-F4F0-4E1D-8C83-9E86615CF0C6}"/>
    <cellStyle name="Normal 102 2 4" xfId="5969" xr:uid="{E363D869-BD2B-45D8-982E-1FA3966ADD61}"/>
    <cellStyle name="Normal 102 2_DEO ADIT Unprotected" xfId="2699" xr:uid="{8F2E8E2C-C56D-4231-870F-99392FC81242}"/>
    <cellStyle name="Normal 102 3" xfId="1876" xr:uid="{00000000-0005-0000-0000-000020030000}"/>
    <cellStyle name="Normal 102 3 2" xfId="5126" xr:uid="{56B166D8-8374-418A-AB5F-9257262A5A38}"/>
    <cellStyle name="Normal 102 3 2 2" xfId="8506" xr:uid="{84ED5B77-A007-4A05-B190-2BA45E306672}"/>
    <cellStyle name="Normal 102 3 3" xfId="6806" xr:uid="{C8B827DD-542D-4858-A639-A91419E71860}"/>
    <cellStyle name="Normal 102 3_DEO ADIT Unprotected" xfId="2701" xr:uid="{7159661F-7266-49BD-B5AC-293E3F096A80}"/>
    <cellStyle name="Normal 102 4" xfId="4289" xr:uid="{261F5F30-B464-44E4-A179-0BE6F506DC41}"/>
    <cellStyle name="Normal 102 4 2" xfId="7669" xr:uid="{B2B543A7-3DAB-4EEA-8CD3-B0A456D36CE7}"/>
    <cellStyle name="Normal 102 5" xfId="5968" xr:uid="{426211DE-3F19-4969-873E-33F0D643B94D}"/>
    <cellStyle name="Normal 102_DEO ADIT Unprotected" xfId="2698" xr:uid="{06F8D988-F3D9-4A9E-8F88-96A103831C93}"/>
    <cellStyle name="Normal 103" xfId="910" xr:uid="{00000000-0005-0000-0000-000021030000}"/>
    <cellStyle name="Normal 103 2" xfId="911" xr:uid="{00000000-0005-0000-0000-000022030000}"/>
    <cellStyle name="Normal 103 2 2" xfId="1879" xr:uid="{00000000-0005-0000-0000-000023030000}"/>
    <cellStyle name="Normal 103 2 2 2" xfId="5129" xr:uid="{BD25D788-BCD7-4B17-AA44-63DEF0B18E6A}"/>
    <cellStyle name="Normal 103 2 2 2 2" xfId="8509" xr:uid="{F1DFEE55-7644-4FE9-A914-C96BF628A460}"/>
    <cellStyle name="Normal 103 2 2 3" xfId="6809" xr:uid="{B358661F-5032-403D-80FE-CB566F2C3FCD}"/>
    <cellStyle name="Normal 103 2 2_DEO ADIT Unprotected" xfId="2704" xr:uid="{B671C983-FDBD-451C-A5D4-ACA86BA2B28E}"/>
    <cellStyle name="Normal 103 2 3" xfId="4292" xr:uid="{F7772018-7163-4114-8EB1-39D3F42CEBFD}"/>
    <cellStyle name="Normal 103 2 3 2" xfId="7672" xr:uid="{49BAC392-D26E-4859-93B6-E0A8DB0585C1}"/>
    <cellStyle name="Normal 103 2 4" xfId="5971" xr:uid="{5735B6FD-49A4-4584-8105-2E03C0B36BD0}"/>
    <cellStyle name="Normal 103 2_DEO ADIT Unprotected" xfId="2703" xr:uid="{904D7A2E-DA6C-429F-AF87-2DF918464CD4}"/>
    <cellStyle name="Normal 103 3" xfId="1878" xr:uid="{00000000-0005-0000-0000-000024030000}"/>
    <cellStyle name="Normal 103 3 2" xfId="5128" xr:uid="{26625215-3D64-412D-9366-22BF448F1D65}"/>
    <cellStyle name="Normal 103 3 2 2" xfId="8508" xr:uid="{EB22BB3B-B8C8-4417-9A18-629E856CF3F4}"/>
    <cellStyle name="Normal 103 3 3" xfId="6808" xr:uid="{D650E61B-EAEA-4F22-8FE3-4425BF5A9E41}"/>
    <cellStyle name="Normal 103 3_DEO ADIT Unprotected" xfId="2705" xr:uid="{B5A4C0B2-1D52-44F5-80D1-1B2DFB38766A}"/>
    <cellStyle name="Normal 103 4" xfId="4291" xr:uid="{D54BCF1A-A9EA-46C1-AAE3-2E904548CC09}"/>
    <cellStyle name="Normal 103 4 2" xfId="7671" xr:uid="{A4982EF8-AF25-4244-BD12-F2416CB30DBD}"/>
    <cellStyle name="Normal 103 5" xfId="5970" xr:uid="{2309A205-2589-4903-ADC3-1A07B872C35A}"/>
    <cellStyle name="Normal 103_DEO ADIT Unprotected" xfId="2702" xr:uid="{D4FC8667-5157-4C62-8CDF-021F3F039211}"/>
    <cellStyle name="Normal 104" xfId="912" xr:uid="{00000000-0005-0000-0000-000025030000}"/>
    <cellStyle name="Normal 104 2" xfId="913" xr:uid="{00000000-0005-0000-0000-000026030000}"/>
    <cellStyle name="Normal 104 2 2" xfId="1881" xr:uid="{00000000-0005-0000-0000-000027030000}"/>
    <cellStyle name="Normal 104 2 2 2" xfId="5131" xr:uid="{16A2ACEE-A392-4CE0-A39F-9A991F63E215}"/>
    <cellStyle name="Normal 104 2 2 2 2" xfId="8511" xr:uid="{BE367819-106D-4201-9361-10F236137FB6}"/>
    <cellStyle name="Normal 104 2 2 3" xfId="6811" xr:uid="{B9D32201-4997-448C-9002-9B823662CB0A}"/>
    <cellStyle name="Normal 104 2 2_DEO ADIT Unprotected" xfId="2708" xr:uid="{5F13DA89-140B-4298-A0E1-7215D6389799}"/>
    <cellStyle name="Normal 104 2 3" xfId="4294" xr:uid="{40A6E7E8-0AA5-409C-A714-72BEF8CB2F40}"/>
    <cellStyle name="Normal 104 2 3 2" xfId="7674" xr:uid="{98FD7B0F-F341-46BC-ADAB-E57AF66D8C7E}"/>
    <cellStyle name="Normal 104 2 4" xfId="5973" xr:uid="{68E279F0-8DF1-4F27-BAFE-3120A61505CB}"/>
    <cellStyle name="Normal 104 2_DEO ADIT Unprotected" xfId="2707" xr:uid="{5E5E422D-AA64-4D8B-A72E-2885FF6A2B51}"/>
    <cellStyle name="Normal 104 3" xfId="1880" xr:uid="{00000000-0005-0000-0000-000028030000}"/>
    <cellStyle name="Normal 104 3 2" xfId="5130" xr:uid="{2097810F-3FFB-49C8-A8E7-5CC8097AA920}"/>
    <cellStyle name="Normal 104 3 2 2" xfId="8510" xr:uid="{27CDE65C-A482-402E-B331-77F469817C48}"/>
    <cellStyle name="Normal 104 3 3" xfId="6810" xr:uid="{DB118F0F-E3DE-4550-BD40-C8FA96AE0041}"/>
    <cellStyle name="Normal 104 3_DEO ADIT Unprotected" xfId="2709" xr:uid="{6D2B37F8-7115-46A2-9FE2-B0BB017B8C9A}"/>
    <cellStyle name="Normal 104 4" xfId="4293" xr:uid="{576E6E25-D672-48D0-B542-63DEA73711FD}"/>
    <cellStyle name="Normal 104 4 2" xfId="7673" xr:uid="{49A129CF-6EC9-49B0-8346-42A1B3B61A76}"/>
    <cellStyle name="Normal 104 5" xfId="5972" xr:uid="{C3574FDB-A0B5-4532-95A0-FB38196B43DE}"/>
    <cellStyle name="Normal 104_DEO ADIT Unprotected" xfId="2706" xr:uid="{6FE3568E-2F93-40D1-91B6-852F238FB220}"/>
    <cellStyle name="Normal 105" xfId="914" xr:uid="{00000000-0005-0000-0000-000029030000}"/>
    <cellStyle name="Normal 105 2" xfId="915" xr:uid="{00000000-0005-0000-0000-00002A030000}"/>
    <cellStyle name="Normal 105 2 2" xfId="1883" xr:uid="{00000000-0005-0000-0000-00002B030000}"/>
    <cellStyle name="Normal 105 2 2 2" xfId="5133" xr:uid="{008820FC-BC74-4EF0-BDB7-4D4D56BF810D}"/>
    <cellStyle name="Normal 105 2 2 2 2" xfId="8513" xr:uid="{6AA5FE8C-0008-47ED-B1B8-D1B79D77D81F}"/>
    <cellStyle name="Normal 105 2 2 3" xfId="6813" xr:uid="{1FBA8627-6BB6-4141-BCF4-75375F925166}"/>
    <cellStyle name="Normal 105 2 2_DEO ADIT Unprotected" xfId="2712" xr:uid="{009ED20B-3F7C-49E7-8CDC-F1EA8C306533}"/>
    <cellStyle name="Normal 105 2 3" xfId="4296" xr:uid="{5D10F3D1-20E9-415F-B997-AB4EE17CFB97}"/>
    <cellStyle name="Normal 105 2 3 2" xfId="7676" xr:uid="{4AB84F17-05DE-41B0-AB95-7700605ADB7E}"/>
    <cellStyle name="Normal 105 2 4" xfId="5975" xr:uid="{C70F06A1-B0D4-4D48-94CD-961B89183B23}"/>
    <cellStyle name="Normal 105 2_DEO ADIT Unprotected" xfId="2711" xr:uid="{BAFE22D5-EFA7-4574-B0E2-F1C0622A1C5E}"/>
    <cellStyle name="Normal 105 3" xfId="1882" xr:uid="{00000000-0005-0000-0000-00002C030000}"/>
    <cellStyle name="Normal 105 3 2" xfId="5132" xr:uid="{73C428D6-8A12-4E1E-8C07-3D193A2C9882}"/>
    <cellStyle name="Normal 105 3 2 2" xfId="8512" xr:uid="{3D0E4BA4-43A6-4852-902B-E2EA81E35CDE}"/>
    <cellStyle name="Normal 105 3 3" xfId="6812" xr:uid="{6B14C23C-85F4-4D87-9263-8CC1FDBA4702}"/>
    <cellStyle name="Normal 105 3_DEO ADIT Unprotected" xfId="2713" xr:uid="{63183985-52D9-4635-B6C3-7869E42F5974}"/>
    <cellStyle name="Normal 105 4" xfId="4295" xr:uid="{F933167B-61AB-4DB3-AF1E-C80F284ACA39}"/>
    <cellStyle name="Normal 105 4 2" xfId="7675" xr:uid="{178050BA-8C6A-42AE-8E8A-689D0115A295}"/>
    <cellStyle name="Normal 105 5" xfId="5974" xr:uid="{85E30C3F-8323-4688-9469-397C6D2FC82E}"/>
    <cellStyle name="Normal 105_DEO ADIT Unprotected" xfId="2710" xr:uid="{66F38DD5-4CFA-47C3-9CFB-DB1E0CCAC265}"/>
    <cellStyle name="Normal 106" xfId="916" xr:uid="{00000000-0005-0000-0000-00002D030000}"/>
    <cellStyle name="Normal 106 2" xfId="917" xr:uid="{00000000-0005-0000-0000-00002E030000}"/>
    <cellStyle name="Normal 106 2 2" xfId="1885" xr:uid="{00000000-0005-0000-0000-00002F030000}"/>
    <cellStyle name="Normal 106 2 2 2" xfId="5135" xr:uid="{78D7A64D-C017-4C3F-A439-12D0F391AF2D}"/>
    <cellStyle name="Normal 106 2 2 2 2" xfId="8515" xr:uid="{8B1F488A-6C3F-4BC2-A80F-1DBAE06054B8}"/>
    <cellStyle name="Normal 106 2 2 3" xfId="6815" xr:uid="{A79B9D88-FED3-4C04-95C7-2F15391DCD20}"/>
    <cellStyle name="Normal 106 2 2_DEO ADIT Unprotected" xfId="2716" xr:uid="{FDF036E8-141C-4C19-9A9D-522D20382D8E}"/>
    <cellStyle name="Normal 106 2 3" xfId="4298" xr:uid="{B4907149-3EA1-402F-8905-2A8C57554A82}"/>
    <cellStyle name="Normal 106 2 3 2" xfId="7678" xr:uid="{F4996EB6-6C9C-4C66-A78F-E0AFA3DC68F2}"/>
    <cellStyle name="Normal 106 2 4" xfId="5977" xr:uid="{DC0ED591-5751-4BCC-BC4A-693F56D959E1}"/>
    <cellStyle name="Normal 106 2_DEO ADIT Unprotected" xfId="2715" xr:uid="{4A5A8DD0-79C4-4555-AC42-10C54996A01E}"/>
    <cellStyle name="Normal 106 3" xfId="1884" xr:uid="{00000000-0005-0000-0000-000030030000}"/>
    <cellStyle name="Normal 106 3 2" xfId="5134" xr:uid="{253C959B-F96B-42D2-B97B-B117F829B93C}"/>
    <cellStyle name="Normal 106 3 2 2" xfId="8514" xr:uid="{2A2CFFC9-582A-4631-B30E-D8006425C868}"/>
    <cellStyle name="Normal 106 3 3" xfId="6814" xr:uid="{7C5EBD4B-C5D3-4CC4-B390-21E4E898EE03}"/>
    <cellStyle name="Normal 106 3_DEO ADIT Unprotected" xfId="2717" xr:uid="{F7D7C8D9-10DA-4C0A-A241-43F82B0A145A}"/>
    <cellStyle name="Normal 106 4" xfId="4297" xr:uid="{EA50BFEC-098F-4447-BEB4-4D77C2FF6955}"/>
    <cellStyle name="Normal 106 4 2" xfId="7677" xr:uid="{9014137A-1A5F-4FEC-9283-6584BB605382}"/>
    <cellStyle name="Normal 106 5" xfId="5976" xr:uid="{82DAF01C-1710-45C1-8F5A-D25BDFC32958}"/>
    <cellStyle name="Normal 106_DEO ADIT Unprotected" xfId="2714" xr:uid="{6E22F6EE-64AE-4517-8337-6C34F3FCFA27}"/>
    <cellStyle name="Normal 107" xfId="918" xr:uid="{00000000-0005-0000-0000-000031030000}"/>
    <cellStyle name="Normal 107 2" xfId="919" xr:uid="{00000000-0005-0000-0000-000032030000}"/>
    <cellStyle name="Normal 107 2 2" xfId="1887" xr:uid="{00000000-0005-0000-0000-000033030000}"/>
    <cellStyle name="Normal 107 2 2 2" xfId="5137" xr:uid="{A069A695-2B5C-44C1-8AE6-CA46D7A25D59}"/>
    <cellStyle name="Normal 107 2 2 2 2" xfId="8517" xr:uid="{97639D1A-A105-4FEC-812D-0DBFC87870EA}"/>
    <cellStyle name="Normal 107 2 2 3" xfId="6817" xr:uid="{ABB8BCEF-918F-48B9-8E18-66D95BB9E76F}"/>
    <cellStyle name="Normal 107 2 2_DEO ADIT Unprotected" xfId="2720" xr:uid="{AE475A3E-2F76-4B17-BAA9-A22CA3640CD1}"/>
    <cellStyle name="Normal 107 2 3" xfId="4300" xr:uid="{6022A29C-EE43-4616-A681-67B5A7921FFE}"/>
    <cellStyle name="Normal 107 2 3 2" xfId="7680" xr:uid="{157D7449-37B9-4669-9A66-4835B22125EB}"/>
    <cellStyle name="Normal 107 2 4" xfId="5979" xr:uid="{7B9746BB-C60A-4158-9579-50EF674CEBF3}"/>
    <cellStyle name="Normal 107 2_DEO ADIT Unprotected" xfId="2719" xr:uid="{AC939C53-907C-4AA6-BF31-726A44752E58}"/>
    <cellStyle name="Normal 107 3" xfId="1886" xr:uid="{00000000-0005-0000-0000-000034030000}"/>
    <cellStyle name="Normal 107 3 2" xfId="5136" xr:uid="{F3B4B1D5-3554-4AB3-9570-6D4EB275306C}"/>
    <cellStyle name="Normal 107 3 2 2" xfId="8516" xr:uid="{4AD3CBB1-7553-478B-A798-1631AC09C715}"/>
    <cellStyle name="Normal 107 3 3" xfId="6816" xr:uid="{F07F25D5-152A-4FF3-BF7C-A761D1A05C57}"/>
    <cellStyle name="Normal 107 3_DEO ADIT Unprotected" xfId="2721" xr:uid="{CE2F0597-708D-486D-BFA2-DFF76960D99A}"/>
    <cellStyle name="Normal 107 4" xfId="4299" xr:uid="{1E2FD253-09E3-4E60-A20F-CAB81191331C}"/>
    <cellStyle name="Normal 107 4 2" xfId="7679" xr:uid="{F5402ACE-140D-4118-A567-DB27B92DD5A7}"/>
    <cellStyle name="Normal 107 5" xfId="5978" xr:uid="{CFC43939-C3A2-41C0-975C-735737B101E3}"/>
    <cellStyle name="Normal 107_DEO ADIT Unprotected" xfId="2718" xr:uid="{BDE8247B-6415-4729-BF36-CC9FFEEE963A}"/>
    <cellStyle name="Normal 108" xfId="920" xr:uid="{00000000-0005-0000-0000-000035030000}"/>
    <cellStyle name="Normal 108 2" xfId="921" xr:uid="{00000000-0005-0000-0000-000036030000}"/>
    <cellStyle name="Normal 108 2 2" xfId="1889" xr:uid="{00000000-0005-0000-0000-000037030000}"/>
    <cellStyle name="Normal 108 2 2 2" xfId="5139" xr:uid="{9D015AD4-2777-4C6B-AEB4-00816A87D7ED}"/>
    <cellStyle name="Normal 108 2 2 2 2" xfId="8519" xr:uid="{B2E6CCD0-D906-478D-93F2-2EF458B4625D}"/>
    <cellStyle name="Normal 108 2 2 3" xfId="6819" xr:uid="{AF6F045D-F1CB-4950-879F-04ADC19E230D}"/>
    <cellStyle name="Normal 108 2 2_DEO ADIT Unprotected" xfId="2724" xr:uid="{7959907B-801D-402D-9BD4-59102D8B904C}"/>
    <cellStyle name="Normal 108 2 3" xfId="4302" xr:uid="{D6A28EF4-8AC1-4BA0-84CD-C41E47EA9797}"/>
    <cellStyle name="Normal 108 2 3 2" xfId="7682" xr:uid="{E3655EB8-65B5-4C5D-BC59-6C02CF77A703}"/>
    <cellStyle name="Normal 108 2 4" xfId="5981" xr:uid="{59E5D9D3-1F30-4289-B687-E4097FEEF60A}"/>
    <cellStyle name="Normal 108 2_DEO ADIT Unprotected" xfId="2723" xr:uid="{4D891127-ADA3-4161-B28C-0C25789861DC}"/>
    <cellStyle name="Normal 108 3" xfId="1888" xr:uid="{00000000-0005-0000-0000-000038030000}"/>
    <cellStyle name="Normal 108 3 2" xfId="5138" xr:uid="{F08A9CB5-EE3A-4EA4-A68B-88D1FF00E8F9}"/>
    <cellStyle name="Normal 108 3 2 2" xfId="8518" xr:uid="{012E4933-BE92-4BAD-A775-4D98968A7C07}"/>
    <cellStyle name="Normal 108 3 3" xfId="6818" xr:uid="{F35132FA-E679-43B2-9BB7-4B7914789B54}"/>
    <cellStyle name="Normal 108 3_DEO ADIT Unprotected" xfId="2725" xr:uid="{526CA470-869D-4885-9D99-38B366E1C312}"/>
    <cellStyle name="Normal 108 4" xfId="4301" xr:uid="{576B1C91-967C-45DA-AEF1-FC10FCC5CD3D}"/>
    <cellStyle name="Normal 108 4 2" xfId="7681" xr:uid="{BC976F81-5DE4-4452-961E-2DE5AACAFC81}"/>
    <cellStyle name="Normal 108 5" xfId="5980" xr:uid="{C39AA32F-C84B-4B41-A2E1-0ED6318B9A3C}"/>
    <cellStyle name="Normal 108_DEO ADIT Unprotected" xfId="2722" xr:uid="{BD857B79-0700-4790-A4B3-1D88352DC8A0}"/>
    <cellStyle name="Normal 109" xfId="922" xr:uid="{00000000-0005-0000-0000-000039030000}"/>
    <cellStyle name="Normal 109 2" xfId="923" xr:uid="{00000000-0005-0000-0000-00003A030000}"/>
    <cellStyle name="Normal 109 2 2" xfId="1891" xr:uid="{00000000-0005-0000-0000-00003B030000}"/>
    <cellStyle name="Normal 109 2 2 2" xfId="5141" xr:uid="{A7E8EA8A-26D4-4C95-9C02-E4F15FF1C5FB}"/>
    <cellStyle name="Normal 109 2 2 2 2" xfId="8521" xr:uid="{EACE0891-ED50-43A9-A466-3B75E6D596C9}"/>
    <cellStyle name="Normal 109 2 2 3" xfId="6821" xr:uid="{C075D9B3-A662-4D5A-855F-268E1FC28DB2}"/>
    <cellStyle name="Normal 109 2 2_DEO ADIT Unprotected" xfId="2728" xr:uid="{F3334009-0CB8-4504-B28E-1D2FD412A496}"/>
    <cellStyle name="Normal 109 2 3" xfId="4304" xr:uid="{E466A6DE-3252-46E5-8399-890A457933DF}"/>
    <cellStyle name="Normal 109 2 3 2" xfId="7684" xr:uid="{D346875B-6B9A-45F6-99F1-E4AB0ABC6415}"/>
    <cellStyle name="Normal 109 2 4" xfId="5983" xr:uid="{B57DB4B8-FF95-424E-9F2B-AFADFCCDBE63}"/>
    <cellStyle name="Normal 109 2_DEO ADIT Unprotected" xfId="2727" xr:uid="{AED2C25C-E747-4453-AAE8-FA2117484E96}"/>
    <cellStyle name="Normal 109 3" xfId="1890" xr:uid="{00000000-0005-0000-0000-00003C030000}"/>
    <cellStyle name="Normal 109 3 2" xfId="5140" xr:uid="{583B8C07-984B-4950-952F-F69C81369DBC}"/>
    <cellStyle name="Normal 109 3 2 2" xfId="8520" xr:uid="{17322511-A257-41C2-8871-A87E04848EA3}"/>
    <cellStyle name="Normal 109 3 3" xfId="6820" xr:uid="{FCA00B44-7B97-4560-B9D5-1306373C9BA2}"/>
    <cellStyle name="Normal 109 3_DEO ADIT Unprotected" xfId="2729" xr:uid="{96244C2D-CFC1-4B8E-AAF8-3C3ABCB1E5A7}"/>
    <cellStyle name="Normal 109 4" xfId="4303" xr:uid="{4FE84272-6DB7-442F-8860-A3F9AC23112C}"/>
    <cellStyle name="Normal 109 4 2" xfId="7683" xr:uid="{45614189-6D1A-45FA-8194-0BECC7CBDC59}"/>
    <cellStyle name="Normal 109 5" xfId="5982" xr:uid="{1A346383-AF98-4C94-853A-3E2B8C454416}"/>
    <cellStyle name="Normal 109_DEO ADIT Unprotected" xfId="2726" xr:uid="{0E8660EA-B6C2-4D1C-B9CF-C2285BC74E14}"/>
    <cellStyle name="Normal 11" xfId="341" xr:uid="{00000000-0005-0000-0000-00003D030000}"/>
    <cellStyle name="Normal 11 10" xfId="7396" xr:uid="{915A4DAA-4C07-471A-B191-F9E94806F17B}"/>
    <cellStyle name="Normal 11 2" xfId="924" xr:uid="{00000000-0005-0000-0000-00003E030000}"/>
    <cellStyle name="Normal 11 2 2" xfId="925" xr:uid="{00000000-0005-0000-0000-00003F030000}"/>
    <cellStyle name="Normal 11 2 2 2" xfId="926" xr:uid="{00000000-0005-0000-0000-000040030000}"/>
    <cellStyle name="Normal 11 2 2 2 2" xfId="1893" xr:uid="{00000000-0005-0000-0000-000041030000}"/>
    <cellStyle name="Normal 11 2 2 2 2 2" xfId="5143" xr:uid="{1267D558-AB9C-4173-8D3E-4AD4B7E6528E}"/>
    <cellStyle name="Normal 11 2 2 2 2 2 2" xfId="8523" xr:uid="{93A8FE50-4CA7-46AE-97E6-7BDA5B4D61F9}"/>
    <cellStyle name="Normal 11 2 2 2 2 3" xfId="6823" xr:uid="{D72B361E-110A-4368-B802-0898BAF74621}"/>
    <cellStyle name="Normal 11 2 2 2 2_DEO ADIT Unprotected" xfId="2733" xr:uid="{665D2301-4AC1-4108-A345-E6A364B578B0}"/>
    <cellStyle name="Normal 11 2 2 2 3" xfId="4306" xr:uid="{40D7EC91-2C8D-4C5A-8645-67DD0E2E8FE5}"/>
    <cellStyle name="Normal 11 2 2 2 3 2" xfId="7686" xr:uid="{BF5ECA05-5F43-49D3-9C60-362D89CE2989}"/>
    <cellStyle name="Normal 11 2 2 2 4" xfId="5985" xr:uid="{05C12A29-409D-479F-9A43-D283EE2720C1}"/>
    <cellStyle name="Normal 11 2 2 2_DEO ADIT Unprotected" xfId="2732" xr:uid="{471CEC2C-ACDF-4C4D-8A86-765647E2A5F8}"/>
    <cellStyle name="Normal 11 2 2 3" xfId="1892" xr:uid="{00000000-0005-0000-0000-000042030000}"/>
    <cellStyle name="Normal 11 2 2 3 2" xfId="5142" xr:uid="{A3FB8428-DDB3-4FDB-A9BE-ECFBA9005A0F}"/>
    <cellStyle name="Normal 11 2 2 3 2 2" xfId="8522" xr:uid="{3515CA18-DABE-48E9-B988-A48AACD4C925}"/>
    <cellStyle name="Normal 11 2 2 3 3" xfId="6822" xr:uid="{731B6F2D-73BC-4BF9-A557-AB195718810C}"/>
    <cellStyle name="Normal 11 2 2 3_DEO ADIT Unprotected" xfId="2734" xr:uid="{1B1CCBCA-3B0D-4142-BE97-F51DACF9EA70}"/>
    <cellStyle name="Normal 11 2 2 4" xfId="4305" xr:uid="{15D35828-AA86-46E9-8CF8-26AC28E4F841}"/>
    <cellStyle name="Normal 11 2 2 4 2" xfId="7685" xr:uid="{1C457CFA-48C3-4349-B3DE-CB07C47CAD17}"/>
    <cellStyle name="Normal 11 2 2 5" xfId="5984" xr:uid="{CC69AEE9-523D-4888-8B53-99197F9DBFBB}"/>
    <cellStyle name="Normal 11 2 2_DEO ADIT Unprotected" xfId="2731" xr:uid="{EAAB7548-6D5A-4A4C-A139-F2EAFFF67D97}"/>
    <cellStyle name="Normal 11 3" xfId="927" xr:uid="{00000000-0005-0000-0000-000043030000}"/>
    <cellStyle name="Normal 11 4" xfId="928" xr:uid="{00000000-0005-0000-0000-000044030000}"/>
    <cellStyle name="Normal 11 4 2" xfId="1894" xr:uid="{00000000-0005-0000-0000-000045030000}"/>
    <cellStyle name="Normal 11 4 2 2" xfId="5144" xr:uid="{88D30E1C-C8CF-4DC7-88EA-1B16C59C7011}"/>
    <cellStyle name="Normal 11 4 2 2 2" xfId="8524" xr:uid="{AD519734-1D1E-4DC0-84B0-026124969366}"/>
    <cellStyle name="Normal 11 4 2 3" xfId="6824" xr:uid="{0B1549F5-47BB-4241-9E42-13C3FF62094C}"/>
    <cellStyle name="Normal 11 4 2_DEO ADIT Unprotected" xfId="2736" xr:uid="{F4E8B09B-2ABC-427F-8323-B0AE68F69C54}"/>
    <cellStyle name="Normal 11 4 3" xfId="4307" xr:uid="{D5BF127D-CEE7-46DC-BECC-214134CA3965}"/>
    <cellStyle name="Normal 11 4 3 2" xfId="7687" xr:uid="{22ECCEEA-3291-4AD8-97A6-58B79F363D0E}"/>
    <cellStyle name="Normal 11 4 4" xfId="5986" xr:uid="{F471CB87-AA85-44E8-8F11-17BB4B3B1D04}"/>
    <cellStyle name="Normal 11 4_DEO ADIT Unprotected" xfId="2735" xr:uid="{858D901D-D517-443A-BA1F-62B74D26B409}"/>
    <cellStyle name="Normal 11 5" xfId="929" xr:uid="{00000000-0005-0000-0000-000046030000}"/>
    <cellStyle name="Normal 11 5 2" xfId="930" xr:uid="{00000000-0005-0000-0000-000047030000}"/>
    <cellStyle name="Normal 11 5 2 2" xfId="1896" xr:uid="{00000000-0005-0000-0000-000048030000}"/>
    <cellStyle name="Normal 11 5 2 2 2" xfId="5146" xr:uid="{6EF603A2-0C96-447A-8EEB-9C058597DB1B}"/>
    <cellStyle name="Normal 11 5 2 2 2 2" xfId="8526" xr:uid="{26FE1371-12DF-4F36-AFA0-661F9746FD42}"/>
    <cellStyle name="Normal 11 5 2 2 3" xfId="6826" xr:uid="{EC53C5B0-7EAF-42BE-9DB2-486A8B8B0D53}"/>
    <cellStyle name="Normal 11 5 2 2_DEO ADIT Unprotected" xfId="2739" xr:uid="{5DE620A9-A8A1-492E-A322-BEAD0DCEB0E3}"/>
    <cellStyle name="Normal 11 5 2 3" xfId="4309" xr:uid="{7004DA03-B259-4491-904C-2A1AF3FB2083}"/>
    <cellStyle name="Normal 11 5 2 3 2" xfId="7689" xr:uid="{882377AB-5735-4F8F-96F8-CAD5ED63CDED}"/>
    <cellStyle name="Normal 11 5 2 4" xfId="5988" xr:uid="{965F6111-47A5-46BA-8720-567C89136DF1}"/>
    <cellStyle name="Normal 11 5 2_DEO ADIT Unprotected" xfId="2738" xr:uid="{C9400F31-652E-4EE8-A6D6-D0A19C98E707}"/>
    <cellStyle name="Normal 11 5 3" xfId="1895" xr:uid="{00000000-0005-0000-0000-000049030000}"/>
    <cellStyle name="Normal 11 5 3 2" xfId="5145" xr:uid="{9993347B-282D-4A53-B18A-62354F7ADBDB}"/>
    <cellStyle name="Normal 11 5 3 2 2" xfId="8525" xr:uid="{94A49084-D145-4614-B4B1-15C1661971B7}"/>
    <cellStyle name="Normal 11 5 3 3" xfId="6825" xr:uid="{9AA0CD44-1B2C-4CC7-BA80-1541FE1B5CD0}"/>
    <cellStyle name="Normal 11 5 3_DEO ADIT Unprotected" xfId="2740" xr:uid="{5DBED4EB-AA8C-4E37-8C0D-2DB028C3FBD7}"/>
    <cellStyle name="Normal 11 5 4" xfId="4308" xr:uid="{345D62FD-0ECC-44CC-8D98-45BBECB07730}"/>
    <cellStyle name="Normal 11 5 4 2" xfId="7688" xr:uid="{53725DEB-6662-4507-9187-19EA6AAA1861}"/>
    <cellStyle name="Normal 11 5 5" xfId="5987" xr:uid="{04BB6CBF-B38E-430D-B40C-E4E61BD6EA5B}"/>
    <cellStyle name="Normal 11 5_DEO ADIT Unprotected" xfId="2737" xr:uid="{F2C81209-606B-4E65-9628-860A0A8B8E22}"/>
    <cellStyle name="Normal 11 6" xfId="1630" xr:uid="{00000000-0005-0000-0000-00004A030000}"/>
    <cellStyle name="Normal 11 6 2" xfId="4880" xr:uid="{B91B19FC-1F51-4821-B948-2AE5CE011EBD}"/>
    <cellStyle name="Normal 11 6 2 2" xfId="8260" xr:uid="{D849EADA-63B4-4473-89F0-AB037B914E30}"/>
    <cellStyle name="Normal 11 6 3" xfId="6560" xr:uid="{1039ADE0-40CF-43DA-A15F-87D1512336DD}"/>
    <cellStyle name="Normal 11 6_DEO ADIT Unprotected" xfId="2741" xr:uid="{36096999-0EA9-4FFB-897A-69109AC4CC93}"/>
    <cellStyle name="Normal 11 7" xfId="4043" xr:uid="{CA15B3E4-3A0C-4734-8CAD-16DFE97D7AF3}"/>
    <cellStyle name="Normal 11 7 2" xfId="7423" xr:uid="{F2408919-A59F-417C-8530-9D0326872890}"/>
    <cellStyle name="Normal 11 8" xfId="5720" xr:uid="{3DFEA3F1-AC5D-48FC-82BA-C5439E314387}"/>
    <cellStyle name="Normal 11 9" xfId="7415" xr:uid="{72A7FFE5-3810-46DE-8EC5-5B46BCD811FD}"/>
    <cellStyle name="Normal 11_DEO ADIT Unprotected" xfId="2730" xr:uid="{0E431CCF-3547-464F-AD47-36AE7C3F014D}"/>
    <cellStyle name="Normal 110" xfId="931" xr:uid="{00000000-0005-0000-0000-00004B030000}"/>
    <cellStyle name="Normal 110 2" xfId="932" xr:uid="{00000000-0005-0000-0000-00004C030000}"/>
    <cellStyle name="Normal 110 2 2" xfId="1898" xr:uid="{00000000-0005-0000-0000-00004D030000}"/>
    <cellStyle name="Normal 110 2 2 2" xfId="5148" xr:uid="{6B087675-34BE-4832-B641-21133CC5F3FC}"/>
    <cellStyle name="Normal 110 2 2 2 2" xfId="8528" xr:uid="{CBD879B6-BACC-4F7C-A187-22F5D405C9D3}"/>
    <cellStyle name="Normal 110 2 2 3" xfId="6828" xr:uid="{125CBB6F-B5CD-495A-80C8-A29CCA88762C}"/>
    <cellStyle name="Normal 110 2 2_DEO ADIT Unprotected" xfId="2744" xr:uid="{535FE707-0FBC-464F-AE07-2827E8A5228A}"/>
    <cellStyle name="Normal 110 2 3" xfId="4311" xr:uid="{6CF13792-88A4-4CB4-8852-14D62746F3A7}"/>
    <cellStyle name="Normal 110 2 3 2" xfId="7691" xr:uid="{C31F213F-99C5-48D8-A2E2-3175DAABB3F6}"/>
    <cellStyle name="Normal 110 2 4" xfId="5990" xr:uid="{281D7B4A-9F98-4EBC-9E1B-4BF0F4B69529}"/>
    <cellStyle name="Normal 110 2_DEO ADIT Unprotected" xfId="2743" xr:uid="{2C187D7D-7DEB-4E67-89AB-8C9811AD5303}"/>
    <cellStyle name="Normal 110 3" xfId="1897" xr:uid="{00000000-0005-0000-0000-00004E030000}"/>
    <cellStyle name="Normal 110 3 2" xfId="5147" xr:uid="{7C056A57-D8B3-46AE-A1D8-95DB2929B864}"/>
    <cellStyle name="Normal 110 3 2 2" xfId="8527" xr:uid="{5BDFB362-984B-4ADF-811D-EEE8EC9A7C07}"/>
    <cellStyle name="Normal 110 3 3" xfId="6827" xr:uid="{F4D99ACB-CB0C-475C-A69D-9A81637C9C2B}"/>
    <cellStyle name="Normal 110 3_DEO ADIT Unprotected" xfId="2745" xr:uid="{E588ACEC-CCD7-4419-B7BF-53F1BC50C6F0}"/>
    <cellStyle name="Normal 110 4" xfId="4310" xr:uid="{EF0F8642-B2D7-4CF1-8C86-8D45BA8EE67A}"/>
    <cellStyle name="Normal 110 4 2" xfId="7690" xr:uid="{C1C48E84-3129-4D15-A2AD-F0BE5A3C300C}"/>
    <cellStyle name="Normal 110 5" xfId="5989" xr:uid="{FD492695-520B-43C2-A55F-7851D2DC372F}"/>
    <cellStyle name="Normal 110_DEO ADIT Unprotected" xfId="2742" xr:uid="{F1F9DFC1-3B5A-4017-A3F1-785A09FBEE5E}"/>
    <cellStyle name="Normal 111" xfId="933" xr:uid="{00000000-0005-0000-0000-00004F030000}"/>
    <cellStyle name="Normal 111 2" xfId="934" xr:uid="{00000000-0005-0000-0000-000050030000}"/>
    <cellStyle name="Normal 111 2 2" xfId="1900" xr:uid="{00000000-0005-0000-0000-000051030000}"/>
    <cellStyle name="Normal 111 2 2 2" xfId="5150" xr:uid="{A4EDE09C-0386-4F54-8AE6-238B2CC946C4}"/>
    <cellStyle name="Normal 111 2 2 2 2" xfId="8530" xr:uid="{4BF3050D-968F-42AE-8607-D048147293F7}"/>
    <cellStyle name="Normal 111 2 2 3" xfId="6830" xr:uid="{366548B4-9DBF-4053-8CFC-8274565D4D71}"/>
    <cellStyle name="Normal 111 2 2_DEO ADIT Unprotected" xfId="2748" xr:uid="{A5A89069-4F23-4F06-97A8-EF742DF3949D}"/>
    <cellStyle name="Normal 111 2 3" xfId="4313" xr:uid="{CDEB8C02-5031-4F62-B654-DD60FBAD0130}"/>
    <cellStyle name="Normal 111 2 3 2" xfId="7693" xr:uid="{9C5F2D6D-E7F1-476E-89DD-EFA9B2EC7A21}"/>
    <cellStyle name="Normal 111 2 4" xfId="5992" xr:uid="{4207478D-2D38-4D0A-85B6-9101241ADDAE}"/>
    <cellStyle name="Normal 111 2_DEO ADIT Unprotected" xfId="2747" xr:uid="{378870D7-4A59-4749-8B94-851D33DA2CB4}"/>
    <cellStyle name="Normal 111 3" xfId="1899" xr:uid="{00000000-0005-0000-0000-000052030000}"/>
    <cellStyle name="Normal 111 3 2" xfId="5149" xr:uid="{E7794FC2-065D-4A71-9AD4-4C6A7FA03EC3}"/>
    <cellStyle name="Normal 111 3 2 2" xfId="8529" xr:uid="{70E7A9A8-CE23-43A5-A8F5-4641DFE7A907}"/>
    <cellStyle name="Normal 111 3 3" xfId="6829" xr:uid="{0232C1B3-B086-40FA-BE9E-C2449FAFE72D}"/>
    <cellStyle name="Normal 111 3_DEO ADIT Unprotected" xfId="2749" xr:uid="{4194446D-4A6F-4D02-B8FB-7E6757B50D23}"/>
    <cellStyle name="Normal 111 4" xfId="4312" xr:uid="{B7903116-9D61-4240-A850-6754E535D343}"/>
    <cellStyle name="Normal 111 4 2" xfId="7692" xr:uid="{0B40E754-AB29-4AE9-A1E3-061EECE038B8}"/>
    <cellStyle name="Normal 111 5" xfId="5991" xr:uid="{E512E8F4-3C2A-4E50-9C95-74BD3C3BE1B7}"/>
    <cellStyle name="Normal 111_DEO ADIT Unprotected" xfId="2746" xr:uid="{8BA19778-D455-492E-B95E-A353090859F6}"/>
    <cellStyle name="Normal 112" xfId="935" xr:uid="{00000000-0005-0000-0000-000053030000}"/>
    <cellStyle name="Normal 112 2" xfId="936" xr:uid="{00000000-0005-0000-0000-000054030000}"/>
    <cellStyle name="Normal 112 2 2" xfId="1902" xr:uid="{00000000-0005-0000-0000-000055030000}"/>
    <cellStyle name="Normal 112 2 2 2" xfId="5152" xr:uid="{2C5CB67D-CA49-4077-BF14-243398F841EA}"/>
    <cellStyle name="Normal 112 2 2 2 2" xfId="8532" xr:uid="{7BC02E08-FB0A-42C4-88FC-03FEA20C8EA9}"/>
    <cellStyle name="Normal 112 2 2 3" xfId="6832" xr:uid="{21B5EBFC-D904-436C-A8BF-218E9E3ECB0B}"/>
    <cellStyle name="Normal 112 2 2_DEO ADIT Unprotected" xfId="2752" xr:uid="{937309D5-A9EC-494C-B267-99B1CF00911E}"/>
    <cellStyle name="Normal 112 2 3" xfId="4315" xr:uid="{055DACB6-8255-4D20-A227-37FB702B1EFB}"/>
    <cellStyle name="Normal 112 2 3 2" xfId="7695" xr:uid="{65A360CC-DE75-45CB-987B-9E9DEFB2A75E}"/>
    <cellStyle name="Normal 112 2 4" xfId="5994" xr:uid="{575BC7E1-E459-44F4-9FCA-8614312B9305}"/>
    <cellStyle name="Normal 112 2_DEO ADIT Unprotected" xfId="2751" xr:uid="{60522F5C-DC09-49DE-BA85-9A53B1D41A3F}"/>
    <cellStyle name="Normal 112 3" xfId="1901" xr:uid="{00000000-0005-0000-0000-000056030000}"/>
    <cellStyle name="Normal 112 3 2" xfId="5151" xr:uid="{DA09EBE5-8CD5-483C-9938-53F63C65B980}"/>
    <cellStyle name="Normal 112 3 2 2" xfId="8531" xr:uid="{D1652EF6-1D53-41C8-9AEA-AA310AA181E3}"/>
    <cellStyle name="Normal 112 3 3" xfId="6831" xr:uid="{1A58E3B5-B7C1-49EC-A3D9-31E11E46C940}"/>
    <cellStyle name="Normal 112 3_DEO ADIT Unprotected" xfId="2753" xr:uid="{EE836DB6-B734-4D30-A26F-5A3D69C15B50}"/>
    <cellStyle name="Normal 112 4" xfId="4314" xr:uid="{9406588C-C7CC-49B3-B559-554796241979}"/>
    <cellStyle name="Normal 112 4 2" xfId="7694" xr:uid="{468E7DD5-5ED4-4A7C-A6D2-47607EFA395A}"/>
    <cellStyle name="Normal 112 5" xfId="5993" xr:uid="{62FFA5A0-C9EF-421F-847A-F2E438382320}"/>
    <cellStyle name="Normal 112_DEO ADIT Unprotected" xfId="2750" xr:uid="{D99CFC13-D6A4-4B92-9F43-BC9BED76BEC6}"/>
    <cellStyle name="Normal 113" xfId="937" xr:uid="{00000000-0005-0000-0000-000057030000}"/>
    <cellStyle name="Normal 113 2" xfId="938" xr:uid="{00000000-0005-0000-0000-000058030000}"/>
    <cellStyle name="Normal 113 2 2" xfId="1904" xr:uid="{00000000-0005-0000-0000-000059030000}"/>
    <cellStyle name="Normal 113 2 2 2" xfId="5154" xr:uid="{8126B552-7D7F-457B-92D0-29C7CE9734BE}"/>
    <cellStyle name="Normal 113 2 2 2 2" xfId="8534" xr:uid="{4585FF11-8CF7-4DF0-9512-DD9C6B92AAED}"/>
    <cellStyle name="Normal 113 2 2 3" xfId="6834" xr:uid="{B7D633C6-E757-4089-9CE7-26FD71FA8659}"/>
    <cellStyle name="Normal 113 2 2_DEO ADIT Unprotected" xfId="2756" xr:uid="{7867EFC7-2ECA-4A1A-862F-26C9D6F1C2E7}"/>
    <cellStyle name="Normal 113 2 3" xfId="4317" xr:uid="{38B42A8D-8917-4463-AE7B-0C62430F39F6}"/>
    <cellStyle name="Normal 113 2 3 2" xfId="7697" xr:uid="{9825814E-EFE1-4FC3-837D-74D614E7FC15}"/>
    <cellStyle name="Normal 113 2 4" xfId="5996" xr:uid="{B3A8D144-EE15-4E87-9FCC-03073CDE8843}"/>
    <cellStyle name="Normal 113 2_DEO ADIT Unprotected" xfId="2755" xr:uid="{7E4F78D2-5A36-4CFA-A0B5-142F7D50F9DB}"/>
    <cellStyle name="Normal 113 3" xfId="1903" xr:uid="{00000000-0005-0000-0000-00005A030000}"/>
    <cellStyle name="Normal 113 3 2" xfId="5153" xr:uid="{2064BBFA-ED52-474B-8819-4F168C6C105F}"/>
    <cellStyle name="Normal 113 3 2 2" xfId="8533" xr:uid="{017A3A77-B38B-446A-A28F-4E5E2CDB7111}"/>
    <cellStyle name="Normal 113 3 3" xfId="6833" xr:uid="{10306376-5AC9-4098-9709-8443CFF7D321}"/>
    <cellStyle name="Normal 113 3_DEO ADIT Unprotected" xfId="2757" xr:uid="{57CFA2B0-7E05-44B5-B783-8965BF65A30A}"/>
    <cellStyle name="Normal 113 4" xfId="4316" xr:uid="{ED04733B-C2B9-4232-8E94-2F6832918F1D}"/>
    <cellStyle name="Normal 113 4 2" xfId="7696" xr:uid="{120CA6FE-985B-478D-9A53-15F0E77CB068}"/>
    <cellStyle name="Normal 113 5" xfId="5995" xr:uid="{6EE34E9C-369F-4C57-90C9-7576567BD20D}"/>
    <cellStyle name="Normal 113_DEO ADIT Unprotected" xfId="2754" xr:uid="{269D9B8F-9DF3-4939-A139-6DCE5CF4EA6D}"/>
    <cellStyle name="Normal 114" xfId="939" xr:uid="{00000000-0005-0000-0000-00005B030000}"/>
    <cellStyle name="Normal 114 2" xfId="940" xr:uid="{00000000-0005-0000-0000-00005C030000}"/>
    <cellStyle name="Normal 114 2 2" xfId="1906" xr:uid="{00000000-0005-0000-0000-00005D030000}"/>
    <cellStyle name="Normal 114 2 2 2" xfId="5156" xr:uid="{EB4A7326-5B85-4FE5-AC9F-AB875B9981A7}"/>
    <cellStyle name="Normal 114 2 2 2 2" xfId="8536" xr:uid="{50A4E46F-4319-46A5-89E8-D422A9D34984}"/>
    <cellStyle name="Normal 114 2 2 3" xfId="6836" xr:uid="{354FB2EF-3CA3-435F-BFEE-B775642A163C}"/>
    <cellStyle name="Normal 114 2 2_DEO ADIT Unprotected" xfId="2760" xr:uid="{0B5E98DC-26CB-4057-AEE5-1165BD877C5C}"/>
    <cellStyle name="Normal 114 2 3" xfId="4319" xr:uid="{B07A59B1-80E6-48C5-BB9D-B4CEAAC6975E}"/>
    <cellStyle name="Normal 114 2 3 2" xfId="7699" xr:uid="{4CFD03BF-82CD-4C2F-90EC-0620D499D5A8}"/>
    <cellStyle name="Normal 114 2 4" xfId="5998" xr:uid="{1CD44C57-C820-490A-93BF-FD8B9B6554A8}"/>
    <cellStyle name="Normal 114 2_DEO ADIT Unprotected" xfId="2759" xr:uid="{FE1ACB5D-F4E0-403E-B421-D36464C9FC2B}"/>
    <cellStyle name="Normal 114 3" xfId="1905" xr:uid="{00000000-0005-0000-0000-00005E030000}"/>
    <cellStyle name="Normal 114 3 2" xfId="5155" xr:uid="{6034C353-AAA6-4D6E-9CD1-6E266AB9CA72}"/>
    <cellStyle name="Normal 114 3 2 2" xfId="8535" xr:uid="{11A06080-DABD-435E-91ED-24E52E67E6A2}"/>
    <cellStyle name="Normal 114 3 3" xfId="6835" xr:uid="{9061F561-24C2-44C9-9575-0420D8807796}"/>
    <cellStyle name="Normal 114 3_DEO ADIT Unprotected" xfId="2761" xr:uid="{EA1973F1-FB59-4694-878A-0609BDFF61BA}"/>
    <cellStyle name="Normal 114 4" xfId="4318" xr:uid="{7F43EE4F-CBA7-4848-8D34-2F30179AEEBF}"/>
    <cellStyle name="Normal 114 4 2" xfId="7698" xr:uid="{0BC6110A-1447-486E-B817-3C3DE33A9F96}"/>
    <cellStyle name="Normal 114 5" xfId="5997" xr:uid="{D539852F-BD9E-4ABA-BC30-5523B71F766A}"/>
    <cellStyle name="Normal 114_DEO ADIT Unprotected" xfId="2758" xr:uid="{3163940E-4AD2-4777-A612-A971974B5BB2}"/>
    <cellStyle name="Normal 115" xfId="941" xr:uid="{00000000-0005-0000-0000-00005F030000}"/>
    <cellStyle name="Normal 115 2" xfId="942" xr:uid="{00000000-0005-0000-0000-000060030000}"/>
    <cellStyle name="Normal 115 2 2" xfId="1908" xr:uid="{00000000-0005-0000-0000-000061030000}"/>
    <cellStyle name="Normal 115 2 2 2" xfId="5158" xr:uid="{F962FFFF-F346-4ECD-AD7B-DEF8C151B11A}"/>
    <cellStyle name="Normal 115 2 2 2 2" xfId="8538" xr:uid="{88ABBED3-3E4D-4815-8428-2F22BF66E126}"/>
    <cellStyle name="Normal 115 2 2 3" xfId="6838" xr:uid="{11B5B648-A644-4071-A0B4-C9328996F857}"/>
    <cellStyle name="Normal 115 2 2_DEO ADIT Unprotected" xfId="2764" xr:uid="{7B7D8188-9BB2-4745-97F4-9D469B9D1378}"/>
    <cellStyle name="Normal 115 2 3" xfId="4321" xr:uid="{CC540E70-601B-45E3-90FD-32EC7A507D61}"/>
    <cellStyle name="Normal 115 2 3 2" xfId="7701" xr:uid="{E501B575-F53B-4195-A636-246F3A74C02E}"/>
    <cellStyle name="Normal 115 2 4" xfId="6000" xr:uid="{1A6CFF8A-2243-40D4-94E3-67DA116AF4E4}"/>
    <cellStyle name="Normal 115 2_DEO ADIT Unprotected" xfId="2763" xr:uid="{D3A90A33-65FF-4B50-9E99-B4D99473A4EE}"/>
    <cellStyle name="Normal 115 3" xfId="1907" xr:uid="{00000000-0005-0000-0000-000062030000}"/>
    <cellStyle name="Normal 115 3 2" xfId="5157" xr:uid="{49C7BAA4-2F3F-4A31-A473-FE82875FC947}"/>
    <cellStyle name="Normal 115 3 2 2" xfId="8537" xr:uid="{B6B0A1EB-1139-4193-BA0F-821CFCA7EB6D}"/>
    <cellStyle name="Normal 115 3 3" xfId="6837" xr:uid="{DE429CD7-3A79-4EED-9D5B-F7511069EEC0}"/>
    <cellStyle name="Normal 115 3_DEO ADIT Unprotected" xfId="2765" xr:uid="{796FEC5D-690F-4F9C-99F3-11443C842D29}"/>
    <cellStyle name="Normal 115 4" xfId="4320" xr:uid="{EA931F6B-CABC-46D0-9083-F85C34C61006}"/>
    <cellStyle name="Normal 115 4 2" xfId="7700" xr:uid="{3E60FEFC-99C5-490D-8D6D-6F28C54F0B92}"/>
    <cellStyle name="Normal 115 5" xfId="5999" xr:uid="{74B8E884-26DB-45CC-AB2E-710A84DBCE76}"/>
    <cellStyle name="Normal 115_DEO ADIT Unprotected" xfId="2762" xr:uid="{6D98A2E5-9A0D-47FD-A294-29B7BAA0A9F3}"/>
    <cellStyle name="Normal 116" xfId="943" xr:uid="{00000000-0005-0000-0000-000063030000}"/>
    <cellStyle name="Normal 116 2" xfId="944" xr:uid="{00000000-0005-0000-0000-000064030000}"/>
    <cellStyle name="Normal 116 2 2" xfId="1910" xr:uid="{00000000-0005-0000-0000-000065030000}"/>
    <cellStyle name="Normal 116 2 2 2" xfId="5160" xr:uid="{C987CEF9-BA34-4C94-9B65-61AECCF15443}"/>
    <cellStyle name="Normal 116 2 2 2 2" xfId="8540" xr:uid="{7CDF3F47-76FA-4731-A1A8-B3942DAF73AD}"/>
    <cellStyle name="Normal 116 2 2 3" xfId="6840" xr:uid="{626AC3D7-4870-480F-8B32-2F6D281EA361}"/>
    <cellStyle name="Normal 116 2 2_DEO ADIT Unprotected" xfId="2768" xr:uid="{57401641-4D1A-4502-91AD-D584152C9849}"/>
    <cellStyle name="Normal 116 2 3" xfId="4323" xr:uid="{E2BFDA48-09DF-4081-A64B-EDDADD2A0BF7}"/>
    <cellStyle name="Normal 116 2 3 2" xfId="7703" xr:uid="{8C290FB3-2346-4B6D-9659-9A61B197119A}"/>
    <cellStyle name="Normal 116 2 4" xfId="6002" xr:uid="{20971565-7824-4B63-BE84-DDB45FD24860}"/>
    <cellStyle name="Normal 116 2_DEO ADIT Unprotected" xfId="2767" xr:uid="{5DCB8AEC-73DC-4337-8797-5C2296D539EF}"/>
    <cellStyle name="Normal 116 3" xfId="1909" xr:uid="{00000000-0005-0000-0000-000066030000}"/>
    <cellStyle name="Normal 116 3 2" xfId="5159" xr:uid="{DB36E407-A825-458C-B39F-4C9E09BBFE84}"/>
    <cellStyle name="Normal 116 3 2 2" xfId="8539" xr:uid="{29479F8B-9EC3-4A11-B321-C031E62A5E90}"/>
    <cellStyle name="Normal 116 3 3" xfId="6839" xr:uid="{4CC2F9DE-BC00-4CE9-98AF-504E2DD9E33F}"/>
    <cellStyle name="Normal 116 3_DEO ADIT Unprotected" xfId="2769" xr:uid="{EECCFB19-52CE-423A-96D6-B88E0FE3BECF}"/>
    <cellStyle name="Normal 116 4" xfId="4322" xr:uid="{E6B9140D-E0C7-47DC-87E6-FEE515A83E70}"/>
    <cellStyle name="Normal 116 4 2" xfId="7702" xr:uid="{50101159-4362-4A50-A36D-98C8725D5D76}"/>
    <cellStyle name="Normal 116 5" xfId="6001" xr:uid="{A85FAA51-2A33-4FA4-8EB0-D9CCA6829E7E}"/>
    <cellStyle name="Normal 116_DEO ADIT Unprotected" xfId="2766" xr:uid="{AC38E062-EBCA-48EB-8F3B-80BFB7E4DED2}"/>
    <cellStyle name="Normal 117" xfId="945" xr:uid="{00000000-0005-0000-0000-000067030000}"/>
    <cellStyle name="Normal 117 2" xfId="946" xr:uid="{00000000-0005-0000-0000-000068030000}"/>
    <cellStyle name="Normal 117 2 2" xfId="1912" xr:uid="{00000000-0005-0000-0000-000069030000}"/>
    <cellStyle name="Normal 117 2 2 2" xfId="5162" xr:uid="{14A5BBB0-B54B-48B6-84FD-5473E2380702}"/>
    <cellStyle name="Normal 117 2 2 2 2" xfId="8542" xr:uid="{D748024E-FA98-44E1-A543-95B8232EC654}"/>
    <cellStyle name="Normal 117 2 2 3" xfId="6842" xr:uid="{2A9A7272-8538-47DD-94E3-2107447E4C04}"/>
    <cellStyle name="Normal 117 2 2_DEO ADIT Unprotected" xfId="2772" xr:uid="{2033F6C6-A329-463D-AC77-222127724DD2}"/>
    <cellStyle name="Normal 117 2 3" xfId="4325" xr:uid="{7881AE44-F829-4002-BD15-D794BEB16F73}"/>
    <cellStyle name="Normal 117 2 3 2" xfId="7705" xr:uid="{2ECB6286-E004-4ED6-BE12-C3D76FFA21FD}"/>
    <cellStyle name="Normal 117 2 4" xfId="6004" xr:uid="{58C6F641-53E8-4D4F-B162-3FCA65F2595A}"/>
    <cellStyle name="Normal 117 2_DEO ADIT Unprotected" xfId="2771" xr:uid="{7FC1900F-8F83-45E2-9D72-F0AC6D845B6C}"/>
    <cellStyle name="Normal 117 3" xfId="1911" xr:uid="{00000000-0005-0000-0000-00006A030000}"/>
    <cellStyle name="Normal 117 3 2" xfId="5161" xr:uid="{2B0185A6-B836-4B62-93D8-930B1572718B}"/>
    <cellStyle name="Normal 117 3 2 2" xfId="8541" xr:uid="{4E08280F-21DD-41E7-A10E-72F8855E32F1}"/>
    <cellStyle name="Normal 117 3 3" xfId="6841" xr:uid="{046933B3-59F1-4B89-9744-F231D6A7EE65}"/>
    <cellStyle name="Normal 117 3_DEO ADIT Unprotected" xfId="2773" xr:uid="{D7977CD8-048E-4B52-B175-9EC129D86FC7}"/>
    <cellStyle name="Normal 117 4" xfId="4324" xr:uid="{0F4D0A11-11EC-4269-B415-008D72E0B905}"/>
    <cellStyle name="Normal 117 4 2" xfId="7704" xr:uid="{E185228A-C7B7-4484-A03D-A7A0DFAC6833}"/>
    <cellStyle name="Normal 117 5" xfId="6003" xr:uid="{4AE02435-9448-48E1-B737-4155F3B30193}"/>
    <cellStyle name="Normal 117_DEO ADIT Unprotected" xfId="2770" xr:uid="{EE85664D-DA87-4B82-819C-F6CDE46452D0}"/>
    <cellStyle name="Normal 118" xfId="947" xr:uid="{00000000-0005-0000-0000-00006B030000}"/>
    <cellStyle name="Normal 118 2" xfId="948" xr:uid="{00000000-0005-0000-0000-00006C030000}"/>
    <cellStyle name="Normal 118 2 2" xfId="1914" xr:uid="{00000000-0005-0000-0000-00006D030000}"/>
    <cellStyle name="Normal 118 2 2 2" xfId="5164" xr:uid="{FB0D8955-473B-4B9F-9BA0-0193F6FC6345}"/>
    <cellStyle name="Normal 118 2 2 2 2" xfId="8544" xr:uid="{4A120EA5-821A-4BA4-ACA3-3E9785038313}"/>
    <cellStyle name="Normal 118 2 2 3" xfId="6844" xr:uid="{68D4211C-76B2-4B7B-A510-7D5267BECBD1}"/>
    <cellStyle name="Normal 118 2 2_DEO ADIT Unprotected" xfId="2776" xr:uid="{17CFE652-0D49-4268-9628-9F85052C360A}"/>
    <cellStyle name="Normal 118 2 3" xfId="4327" xr:uid="{44A8A3C3-B3D7-4B97-9BE5-547AADFC9996}"/>
    <cellStyle name="Normal 118 2 3 2" xfId="7707" xr:uid="{4BB50943-4E91-4077-B05F-2E6A29865F89}"/>
    <cellStyle name="Normal 118 2 4" xfId="6006" xr:uid="{A22A89C0-F0F5-4D9E-94F7-37AF9B9DEDBE}"/>
    <cellStyle name="Normal 118 2_DEO ADIT Unprotected" xfId="2775" xr:uid="{366C0CE7-37A4-465A-B184-9CFC99841FAC}"/>
    <cellStyle name="Normal 118 3" xfId="1913" xr:uid="{00000000-0005-0000-0000-00006E030000}"/>
    <cellStyle name="Normal 118 3 2" xfId="5163" xr:uid="{6675CB10-0026-4372-A48D-DE51327CAF68}"/>
    <cellStyle name="Normal 118 3 2 2" xfId="8543" xr:uid="{524F59C0-1E38-46A5-B33E-6E5733B28372}"/>
    <cellStyle name="Normal 118 3 3" xfId="6843" xr:uid="{9F0979C6-D533-4ED1-830E-91581EE1B5B1}"/>
    <cellStyle name="Normal 118 3_DEO ADIT Unprotected" xfId="2777" xr:uid="{713E553F-059B-42C7-A64B-79AF03DC3C35}"/>
    <cellStyle name="Normal 118 4" xfId="4326" xr:uid="{DA0F23F3-0B85-4976-B218-93E69F395FEE}"/>
    <cellStyle name="Normal 118 4 2" xfId="7706" xr:uid="{2F094220-C424-4745-B849-CFCD38FE7C01}"/>
    <cellStyle name="Normal 118 5" xfId="6005" xr:uid="{8C649E61-E96D-4631-BCA8-CE1E53A06379}"/>
    <cellStyle name="Normal 118_DEO ADIT Unprotected" xfId="2774" xr:uid="{931BE81D-A4E5-4772-A8F3-EA92DA369A39}"/>
    <cellStyle name="Normal 119" xfId="949" xr:uid="{00000000-0005-0000-0000-00006F030000}"/>
    <cellStyle name="Normal 119 2" xfId="950" xr:uid="{00000000-0005-0000-0000-000070030000}"/>
    <cellStyle name="Normal 119 2 2" xfId="1916" xr:uid="{00000000-0005-0000-0000-000071030000}"/>
    <cellStyle name="Normal 119 2 2 2" xfId="5166" xr:uid="{CCEBEA95-AFAC-4493-B1BF-899FD5363FEA}"/>
    <cellStyle name="Normal 119 2 2 2 2" xfId="8546" xr:uid="{A1838D2B-1D1B-40B3-BC7D-1AB4EE256181}"/>
    <cellStyle name="Normal 119 2 2 3" xfId="6846" xr:uid="{5E7048BF-5C5D-471E-A43F-F4B468C0E8F3}"/>
    <cellStyle name="Normal 119 2 2_DEO ADIT Unprotected" xfId="2780" xr:uid="{B9569A2D-2200-4652-BA7C-64979C1A1FFD}"/>
    <cellStyle name="Normal 119 2 3" xfId="4329" xr:uid="{44488501-C62D-4884-AC9B-3BC4309E0ACE}"/>
    <cellStyle name="Normal 119 2 3 2" xfId="7709" xr:uid="{81FF9875-F134-440B-8188-5973558D3FFC}"/>
    <cellStyle name="Normal 119 2 4" xfId="6008" xr:uid="{BBD88977-112A-41A6-9933-5D0A13A95900}"/>
    <cellStyle name="Normal 119 2_DEO ADIT Unprotected" xfId="2779" xr:uid="{A49B68F0-346E-483E-9B11-C3887926C937}"/>
    <cellStyle name="Normal 119 3" xfId="1915" xr:uid="{00000000-0005-0000-0000-000072030000}"/>
    <cellStyle name="Normal 119 3 2" xfId="5165" xr:uid="{FE3F7EF3-263E-4C04-BC5F-9555BB94B98A}"/>
    <cellStyle name="Normal 119 3 2 2" xfId="8545" xr:uid="{5AEB74A7-7DE0-4F20-BE44-7E4D35D26FBF}"/>
    <cellStyle name="Normal 119 3 3" xfId="6845" xr:uid="{3BA0DF3E-CB48-4667-911F-050FC3FA6943}"/>
    <cellStyle name="Normal 119 3_DEO ADIT Unprotected" xfId="2781" xr:uid="{1EC4EEF6-28FE-4F63-BD38-2BF5B573FAB2}"/>
    <cellStyle name="Normal 119 4" xfId="4328" xr:uid="{7EF5EE2F-84EE-4358-A620-3C14F4E462B9}"/>
    <cellStyle name="Normal 119 4 2" xfId="7708" xr:uid="{F8B55C8C-5C97-4BA3-B89C-1D5C275EB9F2}"/>
    <cellStyle name="Normal 119 5" xfId="6007" xr:uid="{302A0EC5-8802-4A6D-9527-51B30F2D9ACA}"/>
    <cellStyle name="Normal 119_DEO ADIT Unprotected" xfId="2778" xr:uid="{4CD6B9F1-E27F-4B8B-BD54-40DFFBC90D82}"/>
    <cellStyle name="Normal 12" xfId="342" xr:uid="{00000000-0005-0000-0000-000073030000}"/>
    <cellStyle name="Normal 12 2" xfId="951" xr:uid="{00000000-0005-0000-0000-000074030000}"/>
    <cellStyle name="Normal 12 2 2" xfId="952" xr:uid="{00000000-0005-0000-0000-000075030000}"/>
    <cellStyle name="Normal 12 2 2 2" xfId="1918" xr:uid="{00000000-0005-0000-0000-000076030000}"/>
    <cellStyle name="Normal 12 2 2 2 2" xfId="5168" xr:uid="{21C07507-090B-4C24-9E5C-C4341E97D135}"/>
    <cellStyle name="Normal 12 2 2 2 2 2" xfId="8548" xr:uid="{B8D500B5-2168-4DDC-B40D-744B44070DEB}"/>
    <cellStyle name="Normal 12 2 2 2 3" xfId="6848" xr:uid="{5C91770E-EDF1-4C06-BC25-4D8B19B59B03}"/>
    <cellStyle name="Normal 12 2 2 2_DEO ADIT Unprotected" xfId="2785" xr:uid="{FEBC36C7-20A9-4344-9E8A-615D47098709}"/>
    <cellStyle name="Normal 12 2 2 3" xfId="4331" xr:uid="{6CB6B0E5-89CA-4243-ABAF-9334E3C1F3D2}"/>
    <cellStyle name="Normal 12 2 2 3 2" xfId="7711" xr:uid="{E4D88A7D-9247-4DF7-B906-AEC4130530AB}"/>
    <cellStyle name="Normal 12 2 2 4" xfId="6010" xr:uid="{9936BEE2-D680-4786-B613-AE8882D4B4B2}"/>
    <cellStyle name="Normal 12 2 2_DEO ADIT Unprotected" xfId="2784" xr:uid="{B5310386-4E14-48AC-9DDA-5FB685BDAC96}"/>
    <cellStyle name="Normal 12 2 3" xfId="1917" xr:uid="{00000000-0005-0000-0000-000077030000}"/>
    <cellStyle name="Normal 12 2 3 2" xfId="5167" xr:uid="{34B2C749-7DAB-4A8D-B685-7DDA7AF00375}"/>
    <cellStyle name="Normal 12 2 3 2 2" xfId="8547" xr:uid="{3DCC1D13-2FDB-45DB-BB17-E0EBB62DC307}"/>
    <cellStyle name="Normal 12 2 3 3" xfId="6847" xr:uid="{F126DDAA-6D71-4AD2-91A1-DFD56801E654}"/>
    <cellStyle name="Normal 12 2 3_DEO ADIT Unprotected" xfId="2786" xr:uid="{9B68B3C9-3F34-43AA-8C53-8B30E4154C06}"/>
    <cellStyle name="Normal 12 2 4" xfId="4330" xr:uid="{82023B5E-156F-4A5C-AE28-A21585274815}"/>
    <cellStyle name="Normal 12 2 4 2" xfId="7710" xr:uid="{2CA2FDE9-A8CF-4276-9D64-C2F93EE759C2}"/>
    <cellStyle name="Normal 12 2 5" xfId="6009" xr:uid="{22533355-8362-4B28-9A11-ECD4D456B50C}"/>
    <cellStyle name="Normal 12 2_DEO ADIT Unprotected" xfId="2783" xr:uid="{D769D2F7-D4B8-4E9C-A95A-68B4B3017FD0}"/>
    <cellStyle name="Normal 12 3" xfId="953" xr:uid="{00000000-0005-0000-0000-000078030000}"/>
    <cellStyle name="Normal 12 4" xfId="954" xr:uid="{00000000-0005-0000-0000-000079030000}"/>
    <cellStyle name="Normal 12 4 2" xfId="1919" xr:uid="{00000000-0005-0000-0000-00007A030000}"/>
    <cellStyle name="Normal 12 4 2 2" xfId="5169" xr:uid="{D99D76B7-4D54-4C83-BE94-67C8DB12BFC6}"/>
    <cellStyle name="Normal 12 4 2 2 2" xfId="8549" xr:uid="{9FCDDAC0-C36B-4C2C-8234-2C789D17017B}"/>
    <cellStyle name="Normal 12 4 2 3" xfId="6849" xr:uid="{25C03932-251F-4CFB-BBAE-1B2D5D6FDE88}"/>
    <cellStyle name="Normal 12 4 2_DEO ADIT Unprotected" xfId="2788" xr:uid="{70C4F694-1BC1-42B3-AD2D-34ED5B9697A9}"/>
    <cellStyle name="Normal 12 4 3" xfId="4332" xr:uid="{5DCAE784-4C37-4B35-A362-8FABBA7387EA}"/>
    <cellStyle name="Normal 12 4 3 2" xfId="7712" xr:uid="{8767F976-2D52-4133-8CBB-BE52781CDC98}"/>
    <cellStyle name="Normal 12 4 4" xfId="6011" xr:uid="{3516D767-3C25-45FD-9050-89F60ECDEA65}"/>
    <cellStyle name="Normal 12 4_DEO ADIT Unprotected" xfId="2787" xr:uid="{01D124D2-3075-4BAB-90BE-1063135B9DBE}"/>
    <cellStyle name="Normal 12_DEO ADIT Unprotected" xfId="2782" xr:uid="{C940EC2E-8F61-48B6-A4F0-4DE0054D4883}"/>
    <cellStyle name="Normal 120" xfId="955" xr:uid="{00000000-0005-0000-0000-00007B030000}"/>
    <cellStyle name="Normal 120 2" xfId="956" xr:uid="{00000000-0005-0000-0000-00007C030000}"/>
    <cellStyle name="Normal 120 2 2" xfId="1921" xr:uid="{00000000-0005-0000-0000-00007D030000}"/>
    <cellStyle name="Normal 120 2 2 2" xfId="5171" xr:uid="{A372F87E-F54F-430F-8475-C6D3EA0F1DC7}"/>
    <cellStyle name="Normal 120 2 2 2 2" xfId="8551" xr:uid="{82DD5F3E-FFA1-4637-8F47-99C9B9352B48}"/>
    <cellStyle name="Normal 120 2 2 3" xfId="6851" xr:uid="{B4E49FC5-CF69-4878-9812-88DCD1B2B387}"/>
    <cellStyle name="Normal 120 2 2_DEO ADIT Unprotected" xfId="2791" xr:uid="{F9E2EED8-53A2-4609-A28C-E40611C928EA}"/>
    <cellStyle name="Normal 120 2 3" xfId="4334" xr:uid="{1394E51C-6BFA-4F72-9C5A-DCB846F0C73A}"/>
    <cellStyle name="Normal 120 2 3 2" xfId="7714" xr:uid="{18679BF0-D85D-458E-913D-C54342A28F11}"/>
    <cellStyle name="Normal 120 2 4" xfId="6013" xr:uid="{C5E29453-C3D0-4C7E-B26A-8A6E0C00F59D}"/>
    <cellStyle name="Normal 120 2_DEO ADIT Unprotected" xfId="2790" xr:uid="{410C087A-88ED-469C-9255-F2886BA62A22}"/>
    <cellStyle name="Normal 120 3" xfId="1920" xr:uid="{00000000-0005-0000-0000-00007E030000}"/>
    <cellStyle name="Normal 120 3 2" xfId="5170" xr:uid="{28F84F89-E318-43DD-B81C-4494EF0AF767}"/>
    <cellStyle name="Normal 120 3 2 2" xfId="8550" xr:uid="{255D271E-A6AF-4215-A53A-089E5F46E38A}"/>
    <cellStyle name="Normal 120 3 3" xfId="6850" xr:uid="{5B185AE0-442D-4FA8-9BFF-5ADF9504E4F4}"/>
    <cellStyle name="Normal 120 3_DEO ADIT Unprotected" xfId="2792" xr:uid="{BDD0F280-4E47-4201-8B95-3FC6D79E2770}"/>
    <cellStyle name="Normal 120 4" xfId="4333" xr:uid="{99DFD2F9-3918-4918-829F-3C02B79C770C}"/>
    <cellStyle name="Normal 120 4 2" xfId="7713" xr:uid="{7B9D6425-03E4-4CA1-802A-09A26A8A7B8F}"/>
    <cellStyle name="Normal 120 5" xfId="6012" xr:uid="{1AA1336C-B891-4307-848D-F1094C4E4D9E}"/>
    <cellStyle name="Normal 120_DEO ADIT Unprotected" xfId="2789" xr:uid="{26E31C7C-DE0D-45E6-8D46-A2AF707F46ED}"/>
    <cellStyle name="Normal 121" xfId="957" xr:uid="{00000000-0005-0000-0000-00007F030000}"/>
    <cellStyle name="Normal 121 2" xfId="958" xr:uid="{00000000-0005-0000-0000-000080030000}"/>
    <cellStyle name="Normal 121 2 2" xfId="1923" xr:uid="{00000000-0005-0000-0000-000081030000}"/>
    <cellStyle name="Normal 121 2 2 2" xfId="5173" xr:uid="{751B9546-A705-4F2A-8375-934DD39C548D}"/>
    <cellStyle name="Normal 121 2 2 2 2" xfId="8553" xr:uid="{C9CBC687-CB21-4F65-B655-1B06ADACAF14}"/>
    <cellStyle name="Normal 121 2 2 3" xfId="6853" xr:uid="{33DBD380-C5D1-4B8D-8BAD-3A3E3FDDAC7C}"/>
    <cellStyle name="Normal 121 2 2_DEO ADIT Unprotected" xfId="2795" xr:uid="{69B6F03B-A240-4DA6-8AC0-B1F820860186}"/>
    <cellStyle name="Normal 121 2 3" xfId="4336" xr:uid="{EDD37BF3-9DEE-4C77-A6FA-BF0F12BF1B03}"/>
    <cellStyle name="Normal 121 2 3 2" xfId="7716" xr:uid="{3FC66CE2-AF68-4D47-95C9-B10E97859D02}"/>
    <cellStyle name="Normal 121 2 4" xfId="6015" xr:uid="{85A53C41-657F-49D2-8CF0-3D3DA30EF2C6}"/>
    <cellStyle name="Normal 121 2_DEO ADIT Unprotected" xfId="2794" xr:uid="{9375B26C-140E-4830-88CC-6399D7D4323C}"/>
    <cellStyle name="Normal 121 3" xfId="1922" xr:uid="{00000000-0005-0000-0000-000082030000}"/>
    <cellStyle name="Normal 121 3 2" xfId="5172" xr:uid="{66FE4237-D0BC-48F8-BA8C-173375D577C8}"/>
    <cellStyle name="Normal 121 3 2 2" xfId="8552" xr:uid="{1AF4E54F-1C7B-4EB2-A371-0E883FDB0E13}"/>
    <cellStyle name="Normal 121 3 3" xfId="6852" xr:uid="{FC78FE4F-BE56-41F6-B3CF-52A48219A9ED}"/>
    <cellStyle name="Normal 121 3_DEO ADIT Unprotected" xfId="2796" xr:uid="{981DFA0A-8F13-4324-9C56-9F80E8CEC938}"/>
    <cellStyle name="Normal 121 4" xfId="4335" xr:uid="{12DD7380-9DAB-4A19-BBE0-51CEDF12742F}"/>
    <cellStyle name="Normal 121 4 2" xfId="7715" xr:uid="{8A699BEB-6E25-4057-B82F-29888B77B205}"/>
    <cellStyle name="Normal 121 5" xfId="6014" xr:uid="{FA9DA99A-3508-41B7-842E-11A735110988}"/>
    <cellStyle name="Normal 121_DEO ADIT Unprotected" xfId="2793" xr:uid="{E10F97FE-C64A-4306-8A76-AA87B2F42584}"/>
    <cellStyle name="Normal 122" xfId="959" xr:uid="{00000000-0005-0000-0000-000083030000}"/>
    <cellStyle name="Normal 122 2" xfId="960" xr:uid="{00000000-0005-0000-0000-000084030000}"/>
    <cellStyle name="Normal 122 2 2" xfId="1925" xr:uid="{00000000-0005-0000-0000-000085030000}"/>
    <cellStyle name="Normal 122 2 2 2" xfId="5175" xr:uid="{5A829EE1-743C-4160-B942-8050746BDA1E}"/>
    <cellStyle name="Normal 122 2 2 2 2" xfId="8555" xr:uid="{344290E1-DB93-4F85-B80B-083E90F457D9}"/>
    <cellStyle name="Normal 122 2 2 3" xfId="6855" xr:uid="{CBEA3819-FBB8-4887-9F02-5D2CC203D70C}"/>
    <cellStyle name="Normal 122 2 2_DEO ADIT Unprotected" xfId="2799" xr:uid="{E8BE1CB6-3657-4588-AC4C-99BB338C1CF1}"/>
    <cellStyle name="Normal 122 2 3" xfId="4338" xr:uid="{D88F7569-9251-43B3-B296-E0F11777677A}"/>
    <cellStyle name="Normal 122 2 3 2" xfId="7718" xr:uid="{3C8DC721-EC76-46B0-8B59-583A537F76ED}"/>
    <cellStyle name="Normal 122 2 4" xfId="6017" xr:uid="{BF5BFB6B-2485-47AB-A0FF-62D7C5378E74}"/>
    <cellStyle name="Normal 122 2_DEO ADIT Unprotected" xfId="2798" xr:uid="{902D9D5D-0FE5-4C35-9134-03DE0ADA8A68}"/>
    <cellStyle name="Normal 122 3" xfId="1924" xr:uid="{00000000-0005-0000-0000-000086030000}"/>
    <cellStyle name="Normal 122 3 2" xfId="5174" xr:uid="{CEC164BE-774E-46FB-A188-2F4788B31640}"/>
    <cellStyle name="Normal 122 3 2 2" xfId="8554" xr:uid="{DD30D361-2BAA-4D19-857D-C0CD482BF786}"/>
    <cellStyle name="Normal 122 3 3" xfId="6854" xr:uid="{A733FE97-9D84-43DF-A3AF-D0EAA7707B6F}"/>
    <cellStyle name="Normal 122 3_DEO ADIT Unprotected" xfId="2800" xr:uid="{DF7D6295-1F5C-48CF-9217-853EABEF45D8}"/>
    <cellStyle name="Normal 122 4" xfId="4337" xr:uid="{D3AA3D0D-F0C4-4495-A8D8-5D7DD317EFFD}"/>
    <cellStyle name="Normal 122 4 2" xfId="7717" xr:uid="{E0545019-2DA2-4A56-BD1D-10FC113ED691}"/>
    <cellStyle name="Normal 122 5" xfId="6016" xr:uid="{85199384-8731-48B0-83AC-7BDBC6A7E7A0}"/>
    <cellStyle name="Normal 122_DEO ADIT Unprotected" xfId="2797" xr:uid="{366ABC85-7DBE-4254-9B6F-C915DC1D4C31}"/>
    <cellStyle name="Normal 123" xfId="961" xr:uid="{00000000-0005-0000-0000-000087030000}"/>
    <cellStyle name="Normal 123 2" xfId="962" xr:uid="{00000000-0005-0000-0000-000088030000}"/>
    <cellStyle name="Normal 123 2 2" xfId="1927" xr:uid="{00000000-0005-0000-0000-000089030000}"/>
    <cellStyle name="Normal 123 2 2 2" xfId="5177" xr:uid="{2AB2EA9A-C9A2-437A-B541-4B707C6CA72A}"/>
    <cellStyle name="Normal 123 2 2 2 2" xfId="8557" xr:uid="{9783D212-C57C-4D36-8ED3-0485A794F113}"/>
    <cellStyle name="Normal 123 2 2 3" xfId="6857" xr:uid="{A97F07FD-74C9-4DF5-92BE-2EA891563CA6}"/>
    <cellStyle name="Normal 123 2 2_DEO ADIT Unprotected" xfId="2803" xr:uid="{25F789AA-4385-4322-97E7-C2A10BC19852}"/>
    <cellStyle name="Normal 123 2 3" xfId="4340" xr:uid="{BE75A8F9-75F1-4324-B1B0-B4B8274EB552}"/>
    <cellStyle name="Normal 123 2 3 2" xfId="7720" xr:uid="{1F7A671C-E32A-49C2-ADD4-B6D0A08B19EE}"/>
    <cellStyle name="Normal 123 2 4" xfId="6019" xr:uid="{8F3D78AD-8089-4EC3-8EA3-BA855B536AD7}"/>
    <cellStyle name="Normal 123 2_DEO ADIT Unprotected" xfId="2802" xr:uid="{5CCB8FE8-1353-4932-A77D-A30065E945D3}"/>
    <cellStyle name="Normal 123 3" xfId="1926" xr:uid="{00000000-0005-0000-0000-00008A030000}"/>
    <cellStyle name="Normal 123 3 2" xfId="5176" xr:uid="{375509DF-391D-4998-9AC7-32CA7D68A008}"/>
    <cellStyle name="Normal 123 3 2 2" xfId="8556" xr:uid="{85638B68-A439-43F2-9134-BDD1F7B81ADC}"/>
    <cellStyle name="Normal 123 3 3" xfId="6856" xr:uid="{30024A7F-B607-4E4C-A9B5-5B2CEAC8813F}"/>
    <cellStyle name="Normal 123 3_DEO ADIT Unprotected" xfId="2804" xr:uid="{3FBFE53C-AC30-4777-A774-BBBA43E4FCC6}"/>
    <cellStyle name="Normal 123 4" xfId="4339" xr:uid="{39262A0C-944F-4C42-962C-311C052844CE}"/>
    <cellStyle name="Normal 123 4 2" xfId="7719" xr:uid="{022069F5-B284-4860-A35C-4824E55DDF13}"/>
    <cellStyle name="Normal 123 5" xfId="6018" xr:uid="{37AEA7AE-FEB6-42F7-BE94-A71641264043}"/>
    <cellStyle name="Normal 123_DEO ADIT Unprotected" xfId="2801" xr:uid="{BC53DF15-A820-4519-B949-6BEDCA6CA829}"/>
    <cellStyle name="Normal 124" xfId="963" xr:uid="{00000000-0005-0000-0000-00008B030000}"/>
    <cellStyle name="Normal 124 2" xfId="964" xr:uid="{00000000-0005-0000-0000-00008C030000}"/>
    <cellStyle name="Normal 124 2 2" xfId="1929" xr:uid="{00000000-0005-0000-0000-00008D030000}"/>
    <cellStyle name="Normal 124 2 2 2" xfId="5179" xr:uid="{94638989-E47B-49B5-BA28-A860BC5D0E2F}"/>
    <cellStyle name="Normal 124 2 2 2 2" xfId="8559" xr:uid="{0792FA18-C11B-41F2-B985-BFAF962A55DC}"/>
    <cellStyle name="Normal 124 2 2 3" xfId="6859" xr:uid="{112731F2-E626-4492-BEE6-4BE96697FFAB}"/>
    <cellStyle name="Normal 124 2 2_DEO ADIT Unprotected" xfId="2807" xr:uid="{8EEAAC8A-8C47-4146-B1ED-41563552280B}"/>
    <cellStyle name="Normal 124 2 3" xfId="4342" xr:uid="{8A63EE2C-4DAA-461E-9140-05C684028EF5}"/>
    <cellStyle name="Normal 124 2 3 2" xfId="7722" xr:uid="{391A0E5D-B71D-497A-9A23-97565109346E}"/>
    <cellStyle name="Normal 124 2 4" xfId="6021" xr:uid="{29C9F042-FE9F-4142-A833-1597C634C64F}"/>
    <cellStyle name="Normal 124 2_DEO ADIT Unprotected" xfId="2806" xr:uid="{0E31EDB3-7632-4B4C-A571-06FD66F1CFA9}"/>
    <cellStyle name="Normal 124 3" xfId="1928" xr:uid="{00000000-0005-0000-0000-00008E030000}"/>
    <cellStyle name="Normal 124 3 2" xfId="5178" xr:uid="{687B82D3-BB3C-434C-8B73-30F42CAE9B03}"/>
    <cellStyle name="Normal 124 3 2 2" xfId="8558" xr:uid="{00D812D4-EDF9-42B5-A4F3-7AEEEDB95FD8}"/>
    <cellStyle name="Normal 124 3 3" xfId="6858" xr:uid="{FBF3B21B-F8C5-49AA-B040-A684AF4F54B4}"/>
    <cellStyle name="Normal 124 3_DEO ADIT Unprotected" xfId="2808" xr:uid="{F13FD3A5-3842-4320-A9D6-1A94D66F9835}"/>
    <cellStyle name="Normal 124 4" xfId="4341" xr:uid="{DA1D9A1E-3CB2-4311-A3D7-F3BD3766545C}"/>
    <cellStyle name="Normal 124 4 2" xfId="7721" xr:uid="{EE0B0C05-A186-4FA4-A1C5-75C086EEB5CD}"/>
    <cellStyle name="Normal 124 5" xfId="6020" xr:uid="{B490519A-2136-4FF1-8F92-8A1FBAEBDFE7}"/>
    <cellStyle name="Normal 124_DEO ADIT Unprotected" xfId="2805" xr:uid="{E27280A2-2992-4564-9F46-54FC8743D274}"/>
    <cellStyle name="Normal 125" xfId="965" xr:uid="{00000000-0005-0000-0000-00008F030000}"/>
    <cellStyle name="Normal 125 2" xfId="966" xr:uid="{00000000-0005-0000-0000-000090030000}"/>
    <cellStyle name="Normal 125 2 2" xfId="1931" xr:uid="{00000000-0005-0000-0000-000091030000}"/>
    <cellStyle name="Normal 125 2 2 2" xfId="5181" xr:uid="{B78B2638-2D32-475B-9052-3302655F16F4}"/>
    <cellStyle name="Normal 125 2 2 2 2" xfId="8561" xr:uid="{CAF51341-0934-420C-91C4-DEA26A9ED502}"/>
    <cellStyle name="Normal 125 2 2 3" xfId="6861" xr:uid="{A4772B15-98FA-4A9F-A089-6BB5F57AC78A}"/>
    <cellStyle name="Normal 125 2 2_DEO ADIT Unprotected" xfId="2811" xr:uid="{1C6695DB-B5B3-4A73-8BF6-0D04FD8D9726}"/>
    <cellStyle name="Normal 125 2 3" xfId="4344" xr:uid="{58E37576-ED23-4BD9-BE17-9FA27FE6D311}"/>
    <cellStyle name="Normal 125 2 3 2" xfId="7724" xr:uid="{AE4FDBBD-949E-423F-8C3F-173B2599C059}"/>
    <cellStyle name="Normal 125 2 4" xfId="6023" xr:uid="{22CA5295-83DD-4B5F-B987-6C1374A0BC45}"/>
    <cellStyle name="Normal 125 2_DEO ADIT Unprotected" xfId="2810" xr:uid="{E7D23B10-06A7-4817-9DE7-4BC16B1985B0}"/>
    <cellStyle name="Normal 125 3" xfId="1930" xr:uid="{00000000-0005-0000-0000-000092030000}"/>
    <cellStyle name="Normal 125 3 2" xfId="5180" xr:uid="{8EDABF44-1DD1-4E66-B831-41A799B9B2CF}"/>
    <cellStyle name="Normal 125 3 2 2" xfId="8560" xr:uid="{F0D041FC-B449-4865-8CBD-64963525157D}"/>
    <cellStyle name="Normal 125 3 3" xfId="6860" xr:uid="{82620C7F-867F-4633-94ED-3970FE4983AA}"/>
    <cellStyle name="Normal 125 3_DEO ADIT Unprotected" xfId="2812" xr:uid="{87F50CD6-24A0-41CE-846B-D42B2129314D}"/>
    <cellStyle name="Normal 125 4" xfId="4343" xr:uid="{EDE37EEE-3BE3-463F-8730-0CC5DA66E043}"/>
    <cellStyle name="Normal 125 4 2" xfId="7723" xr:uid="{B262AFF5-024C-4532-9F4F-1FF369765864}"/>
    <cellStyle name="Normal 125 5" xfId="6022" xr:uid="{05F1641F-A64E-4218-8644-7F407C58596B}"/>
    <cellStyle name="Normal 125_DEO ADIT Unprotected" xfId="2809" xr:uid="{3B5B4AF6-A3CB-47BC-A306-C4A70D890FCA}"/>
    <cellStyle name="Normal 126" xfId="967" xr:uid="{00000000-0005-0000-0000-000093030000}"/>
    <cellStyle name="Normal 126 2" xfId="968" xr:uid="{00000000-0005-0000-0000-000094030000}"/>
    <cellStyle name="Normal 126 2 2" xfId="1933" xr:uid="{00000000-0005-0000-0000-000095030000}"/>
    <cellStyle name="Normal 126 2 2 2" xfId="5183" xr:uid="{D3AA3339-9AF8-4029-ABAD-1952EAFBBC88}"/>
    <cellStyle name="Normal 126 2 2 2 2" xfId="8563" xr:uid="{91AFBFD9-4937-49C6-BA5D-2936D039C54B}"/>
    <cellStyle name="Normal 126 2 2 3" xfId="6863" xr:uid="{9463B161-7394-4C2D-B785-4E8721F48130}"/>
    <cellStyle name="Normal 126 2 2_DEO ADIT Unprotected" xfId="2815" xr:uid="{79FD0A74-E39A-43C1-AE0D-6CF654C9F366}"/>
    <cellStyle name="Normal 126 2 3" xfId="4346" xr:uid="{5A9AFB46-B470-4F7C-94D1-A8409B7564DF}"/>
    <cellStyle name="Normal 126 2 3 2" xfId="7726" xr:uid="{F68F0895-0D72-4D6C-B3C4-BF5CFD5FF7B8}"/>
    <cellStyle name="Normal 126 2 4" xfId="6025" xr:uid="{F8AA5FF5-CE39-4ADB-BE6D-AFCCAFD28C43}"/>
    <cellStyle name="Normal 126 2_DEO ADIT Unprotected" xfId="2814" xr:uid="{988D22C4-452C-4DC3-9A59-6CE4490FA233}"/>
    <cellStyle name="Normal 126 3" xfId="1932" xr:uid="{00000000-0005-0000-0000-000096030000}"/>
    <cellStyle name="Normal 126 3 2" xfId="5182" xr:uid="{8E27E619-550A-4C67-9F97-1D1E4C592953}"/>
    <cellStyle name="Normal 126 3 2 2" xfId="8562" xr:uid="{F7EBCBC8-06B6-4CEF-8C0C-B697180ED253}"/>
    <cellStyle name="Normal 126 3 3" xfId="6862" xr:uid="{FC52B46C-79DF-4AA8-8E07-C2739FC7F05D}"/>
    <cellStyle name="Normal 126 3_DEO ADIT Unprotected" xfId="2816" xr:uid="{C500B779-FD37-45FA-941E-47FFC56F8458}"/>
    <cellStyle name="Normal 126 4" xfId="4345" xr:uid="{8BCFAE71-33E7-4EFB-A697-5EC59817DCE9}"/>
    <cellStyle name="Normal 126 4 2" xfId="7725" xr:uid="{41A2B828-21E7-4FD4-A4D4-591D48851A7F}"/>
    <cellStyle name="Normal 126 5" xfId="6024" xr:uid="{6D3255EF-A8EB-4246-8DDA-7CBD8B92BEF0}"/>
    <cellStyle name="Normal 126_DEO ADIT Unprotected" xfId="2813" xr:uid="{AF95A116-0223-4CDE-BC08-81C377C2D831}"/>
    <cellStyle name="Normal 127" xfId="969" xr:uid="{00000000-0005-0000-0000-000097030000}"/>
    <cellStyle name="Normal 127 2" xfId="970" xr:uid="{00000000-0005-0000-0000-000098030000}"/>
    <cellStyle name="Normal 127 2 2" xfId="1935" xr:uid="{00000000-0005-0000-0000-000099030000}"/>
    <cellStyle name="Normal 127 2 2 2" xfId="5185" xr:uid="{34AF1FB3-28F2-4AA4-BFC6-4D65C856A9DF}"/>
    <cellStyle name="Normal 127 2 2 2 2" xfId="8565" xr:uid="{BFA6B7D2-357C-40C1-8A52-094196704121}"/>
    <cellStyle name="Normal 127 2 2 3" xfId="6865" xr:uid="{BB10A81F-B756-4239-BA2D-24CA55D83E6E}"/>
    <cellStyle name="Normal 127 2 2_DEO ADIT Unprotected" xfId="2819" xr:uid="{4AEE6953-2B7F-4ABE-AAEB-A8B906E62B16}"/>
    <cellStyle name="Normal 127 2 3" xfId="4348" xr:uid="{9F3628C7-A25F-4121-9268-56C223556F92}"/>
    <cellStyle name="Normal 127 2 3 2" xfId="7728" xr:uid="{72507CE0-1D38-4BF1-AD88-A52A104C03F1}"/>
    <cellStyle name="Normal 127 2 4" xfId="6027" xr:uid="{2B271AB7-A65D-4CA2-A48A-69DDA29167A1}"/>
    <cellStyle name="Normal 127 2_DEO ADIT Unprotected" xfId="2818" xr:uid="{5E47DCC7-54B3-42A8-A494-8D6395543551}"/>
    <cellStyle name="Normal 127 3" xfId="1934" xr:uid="{00000000-0005-0000-0000-00009A030000}"/>
    <cellStyle name="Normal 127 3 2" xfId="5184" xr:uid="{42ABC3A9-7540-4CB4-AFCA-BD5E339D67A7}"/>
    <cellStyle name="Normal 127 3 2 2" xfId="8564" xr:uid="{0F6884E7-189D-4AC1-8F92-9D3F7B8501CE}"/>
    <cellStyle name="Normal 127 3 3" xfId="6864" xr:uid="{97C390AF-925F-472B-A05C-96A7E53603E2}"/>
    <cellStyle name="Normal 127 3_DEO ADIT Unprotected" xfId="2820" xr:uid="{07832A0C-F6CB-4B09-9722-123A4E50D356}"/>
    <cellStyle name="Normal 127 4" xfId="4347" xr:uid="{5216B382-6CCA-4ECC-9C3D-AF109F4BB479}"/>
    <cellStyle name="Normal 127 4 2" xfId="7727" xr:uid="{34B03DEA-2024-455D-9068-F9065B571D61}"/>
    <cellStyle name="Normal 127 5" xfId="6026" xr:uid="{B76BCDC4-897B-48F8-83C5-FB46903880D4}"/>
    <cellStyle name="Normal 127_DEO ADIT Unprotected" xfId="2817" xr:uid="{1DD65A5A-7F2D-4B3C-AEB6-21302F70CC5E}"/>
    <cellStyle name="Normal 128" xfId="971" xr:uid="{00000000-0005-0000-0000-00009B030000}"/>
    <cellStyle name="Normal 128 2" xfId="972" xr:uid="{00000000-0005-0000-0000-00009C030000}"/>
    <cellStyle name="Normal 128 2 2" xfId="1937" xr:uid="{00000000-0005-0000-0000-00009D030000}"/>
    <cellStyle name="Normal 128 2 2 2" xfId="5187" xr:uid="{0FACFC40-7C64-49CB-A4C2-B33799E676E1}"/>
    <cellStyle name="Normal 128 2 2 2 2" xfId="8567" xr:uid="{5A508F2C-1D7C-426B-9398-843F2D9B0464}"/>
    <cellStyle name="Normal 128 2 2 3" xfId="6867" xr:uid="{A13386E0-7CFF-4D89-AA0B-A68AF355CB52}"/>
    <cellStyle name="Normal 128 2 2_DEO ADIT Unprotected" xfId="2823" xr:uid="{62FE38E3-7B3F-4320-9D97-1FF99F5E644A}"/>
    <cellStyle name="Normal 128 2 3" xfId="4350" xr:uid="{52CB3C31-7F29-4A40-ACE7-30B3A36409FF}"/>
    <cellStyle name="Normal 128 2 3 2" xfId="7730" xr:uid="{0CE9A4E5-65AC-4731-BB57-D26B3810BB7F}"/>
    <cellStyle name="Normal 128 2 4" xfId="6029" xr:uid="{2F80A230-7A8E-4EC9-A033-8105D29F9874}"/>
    <cellStyle name="Normal 128 2_DEO ADIT Unprotected" xfId="2822" xr:uid="{9A881C22-C85F-4682-A95B-6659CF4E9CCE}"/>
    <cellStyle name="Normal 128 3" xfId="1936" xr:uid="{00000000-0005-0000-0000-00009E030000}"/>
    <cellStyle name="Normal 128 3 2" xfId="5186" xr:uid="{3FF0636A-B373-47B5-94A4-C4875647BD12}"/>
    <cellStyle name="Normal 128 3 2 2" xfId="8566" xr:uid="{6433F47E-36AA-46C5-8FBF-B4AD4B4128F7}"/>
    <cellStyle name="Normal 128 3 3" xfId="6866" xr:uid="{E7CA385A-0481-48E8-9790-FF7C180796B6}"/>
    <cellStyle name="Normal 128 3_DEO ADIT Unprotected" xfId="2824" xr:uid="{0988362B-B143-4F44-9F32-80ED09A8CE1E}"/>
    <cellStyle name="Normal 128 4" xfId="4349" xr:uid="{6FEAA616-4B72-464F-9BCA-1601B54750CC}"/>
    <cellStyle name="Normal 128 4 2" xfId="7729" xr:uid="{77322E24-2F48-4109-A506-AD7B2A75A5F4}"/>
    <cellStyle name="Normal 128 5" xfId="6028" xr:uid="{DB8959C9-E3A3-4D54-9C32-41DA2A2E8D2D}"/>
    <cellStyle name="Normal 128_DEO ADIT Unprotected" xfId="2821" xr:uid="{3F9CD424-DC7E-41DA-BDAC-FD5A0FBC7A0A}"/>
    <cellStyle name="Normal 129" xfId="973" xr:uid="{00000000-0005-0000-0000-00009F030000}"/>
    <cellStyle name="Normal 129 2" xfId="974" xr:uid="{00000000-0005-0000-0000-0000A0030000}"/>
    <cellStyle name="Normal 129 2 2" xfId="1939" xr:uid="{00000000-0005-0000-0000-0000A1030000}"/>
    <cellStyle name="Normal 129 2 2 2" xfId="5189" xr:uid="{442D69F1-A6F3-4BA2-B0B3-EA46B8D8AF87}"/>
    <cellStyle name="Normal 129 2 2 2 2" xfId="8569" xr:uid="{C1FD37AF-F80B-4DC1-9E46-84139C81DE7C}"/>
    <cellStyle name="Normal 129 2 2 3" xfId="6869" xr:uid="{1C5D963A-5EED-4696-8EBA-D6897EAF6B1B}"/>
    <cellStyle name="Normal 129 2 2_DEO ADIT Unprotected" xfId="2827" xr:uid="{C66C3D53-6BF3-4235-800D-9ADCF836C0FB}"/>
    <cellStyle name="Normal 129 2 3" xfId="4352" xr:uid="{6CA71035-6EA9-468F-B3B4-CFFF02C55A3D}"/>
    <cellStyle name="Normal 129 2 3 2" xfId="7732" xr:uid="{A78E7601-827C-4AF8-8ADC-C2399D7AF5A1}"/>
    <cellStyle name="Normal 129 2 4" xfId="6031" xr:uid="{48C0C0F6-ADA3-4446-AF86-1ED2D27F91C3}"/>
    <cellStyle name="Normal 129 2_DEO ADIT Unprotected" xfId="2826" xr:uid="{0745A79B-E57C-4F41-AA84-9B7AC11BEE96}"/>
    <cellStyle name="Normal 129 3" xfId="1938" xr:uid="{00000000-0005-0000-0000-0000A2030000}"/>
    <cellStyle name="Normal 129 3 2" xfId="5188" xr:uid="{A2AFC788-603A-4818-A6F1-90C064BE741F}"/>
    <cellStyle name="Normal 129 3 2 2" xfId="8568" xr:uid="{7B65797A-ADFA-4BD7-B1DC-F3C67E338A49}"/>
    <cellStyle name="Normal 129 3 3" xfId="6868" xr:uid="{2C2BBF40-7625-4166-9BC1-DA6A197AC4C4}"/>
    <cellStyle name="Normal 129 3_DEO ADIT Unprotected" xfId="2828" xr:uid="{788D2B7C-E39A-4431-8DF5-EF7D56D5D879}"/>
    <cellStyle name="Normal 129 4" xfId="4351" xr:uid="{DF0DC0F8-4959-42BA-9EDB-FAF12A02E566}"/>
    <cellStyle name="Normal 129 4 2" xfId="7731" xr:uid="{FA19ED8A-A2E0-4023-8F15-559061168E5F}"/>
    <cellStyle name="Normal 129 5" xfId="6030" xr:uid="{3BCE8F80-5852-4D8E-99D3-DC8AA34EF603}"/>
    <cellStyle name="Normal 129_DEO ADIT Unprotected" xfId="2825" xr:uid="{68432640-1C69-46E2-BE7B-2ADE277B4FDA}"/>
    <cellStyle name="Normal 13" xfId="344" xr:uid="{00000000-0005-0000-0000-0000A3030000}"/>
    <cellStyle name="Normal 13 2" xfId="975" xr:uid="{00000000-0005-0000-0000-0000A4030000}"/>
    <cellStyle name="Normal 13 2 2" xfId="1940" xr:uid="{00000000-0005-0000-0000-0000A5030000}"/>
    <cellStyle name="Normal 13 2 2 2" xfId="5190" xr:uid="{53219FB1-2B06-4481-B51A-DC8900982757}"/>
    <cellStyle name="Normal 13 2 2 2 2" xfId="8570" xr:uid="{C57DF8CC-49BE-472A-A648-4850D83B9233}"/>
    <cellStyle name="Normal 13 2 2 3" xfId="6870" xr:uid="{459345D0-B72C-4728-A7FF-09D4A25C253D}"/>
    <cellStyle name="Normal 13 2 2_DEO ADIT Unprotected" xfId="2831" xr:uid="{695B45DB-77A1-4580-AA44-A4579C43D619}"/>
    <cellStyle name="Normal 13 2 3" xfId="4353" xr:uid="{7352CFA5-BC51-484E-A89D-C7D052369A16}"/>
    <cellStyle name="Normal 13 2 3 2" xfId="7733" xr:uid="{418E6A4F-0081-4727-8327-9E7630FE170D}"/>
    <cellStyle name="Normal 13 2 4" xfId="6032" xr:uid="{FA11AD3A-F53C-4C1F-B928-6EDACA3BCA38}"/>
    <cellStyle name="Normal 13 2_DEO ADIT Unprotected" xfId="2830" xr:uid="{1DD8AF93-656D-4BBD-A253-28052784E939}"/>
    <cellStyle name="Normal 13_DEO ADIT Unprotected" xfId="2829" xr:uid="{3D80FD95-7446-49EA-8E5B-F5134F76ABB4}"/>
    <cellStyle name="Normal 130" xfId="976" xr:uid="{00000000-0005-0000-0000-0000A6030000}"/>
    <cellStyle name="Normal 130 2" xfId="977" xr:uid="{00000000-0005-0000-0000-0000A7030000}"/>
    <cellStyle name="Normal 130 2 2" xfId="1942" xr:uid="{00000000-0005-0000-0000-0000A8030000}"/>
    <cellStyle name="Normal 130 2 2 2" xfId="5192" xr:uid="{905FEF37-D486-4724-BBAF-D20313A65297}"/>
    <cellStyle name="Normal 130 2 2 2 2" xfId="8572" xr:uid="{B9A5B231-E4BC-41A0-A13B-B951BE96C86D}"/>
    <cellStyle name="Normal 130 2 2 3" xfId="6872" xr:uid="{0F0F9715-2EF0-4B82-898B-D03A0514DE4F}"/>
    <cellStyle name="Normal 130 2 2_DEO ADIT Unprotected" xfId="2834" xr:uid="{28D75151-F695-4717-8435-51F3FA01A7C8}"/>
    <cellStyle name="Normal 130 2 3" xfId="4355" xr:uid="{19BB423F-A4CB-490B-AAC1-69DC7D3E114B}"/>
    <cellStyle name="Normal 130 2 3 2" xfId="7735" xr:uid="{3C26716F-026F-4A5B-9D51-FCFBE808DCBC}"/>
    <cellStyle name="Normal 130 2 4" xfId="6034" xr:uid="{F5843A0E-B173-414A-BDA2-4F18D035F6DC}"/>
    <cellStyle name="Normal 130 2_DEO ADIT Unprotected" xfId="2833" xr:uid="{DDED6243-A714-4825-9903-AD536285A23C}"/>
    <cellStyle name="Normal 130 3" xfId="1941" xr:uid="{00000000-0005-0000-0000-0000A9030000}"/>
    <cellStyle name="Normal 130 3 2" xfId="5191" xr:uid="{85A12E49-3D61-47A7-95D8-283063246325}"/>
    <cellStyle name="Normal 130 3 2 2" xfId="8571" xr:uid="{541BACBB-96C9-41F6-9AF4-134FC07B9EE8}"/>
    <cellStyle name="Normal 130 3 3" xfId="6871" xr:uid="{9D8B2F46-2AD1-4AD4-BD1E-9221BA5E14FE}"/>
    <cellStyle name="Normal 130 3_DEO ADIT Unprotected" xfId="2835" xr:uid="{C2F07046-8E76-4388-B0F3-663AE87540DD}"/>
    <cellStyle name="Normal 130 4" xfId="4354" xr:uid="{F435B203-6A9F-4DDA-A9F4-34F047DBEC28}"/>
    <cellStyle name="Normal 130 4 2" xfId="7734" xr:uid="{81F99406-C68C-4B3C-BDFE-B661E1F97804}"/>
    <cellStyle name="Normal 130 5" xfId="6033" xr:uid="{DA8F1809-774D-4039-BEB3-83E79842D127}"/>
    <cellStyle name="Normal 130_DEO ADIT Unprotected" xfId="2832" xr:uid="{5F3A8FF2-DB58-4FD5-8685-CA45471ECC5D}"/>
    <cellStyle name="Normal 131" xfId="978" xr:uid="{00000000-0005-0000-0000-0000AA030000}"/>
    <cellStyle name="Normal 131 2" xfId="979" xr:uid="{00000000-0005-0000-0000-0000AB030000}"/>
    <cellStyle name="Normal 131 2 2" xfId="1944" xr:uid="{00000000-0005-0000-0000-0000AC030000}"/>
    <cellStyle name="Normal 131 2 2 2" xfId="5194" xr:uid="{73C26FFE-6619-4153-8BD1-5E85F60974C6}"/>
    <cellStyle name="Normal 131 2 2 2 2" xfId="8574" xr:uid="{470A7E91-E69A-4E97-A45B-C41275EC7967}"/>
    <cellStyle name="Normal 131 2 2 3" xfId="6874" xr:uid="{0FACD257-83E8-46D5-8EE7-2F50CDF339D8}"/>
    <cellStyle name="Normal 131 2 2_DEO ADIT Unprotected" xfId="2838" xr:uid="{3EDC0656-837A-43DC-A2AC-2BF0C11555BE}"/>
    <cellStyle name="Normal 131 2 3" xfId="4357" xr:uid="{5D2D1F3A-E2C0-46CB-BBB3-1DC4A80DB263}"/>
    <cellStyle name="Normal 131 2 3 2" xfId="7737" xr:uid="{3071F642-C949-45C9-99B7-A26EA8916512}"/>
    <cellStyle name="Normal 131 2 4" xfId="6036" xr:uid="{EEEFCF08-51C6-4EFE-9576-009AA255C5A4}"/>
    <cellStyle name="Normal 131 2_DEO ADIT Unprotected" xfId="2837" xr:uid="{5EC87899-1B3B-46B2-8EF1-F75F4203485C}"/>
    <cellStyle name="Normal 131 3" xfId="1943" xr:uid="{00000000-0005-0000-0000-0000AD030000}"/>
    <cellStyle name="Normal 131 3 2" xfId="5193" xr:uid="{FFF91CD3-51FA-4955-90D0-879E5D8826E2}"/>
    <cellStyle name="Normal 131 3 2 2" xfId="8573" xr:uid="{5C35049B-6DFD-496A-AC97-D182AD6B585B}"/>
    <cellStyle name="Normal 131 3 3" xfId="6873" xr:uid="{CAA1FE1A-EC39-4B23-A1D3-94BF75F1879F}"/>
    <cellStyle name="Normal 131 3_DEO ADIT Unprotected" xfId="2839" xr:uid="{DDED0C7A-D5E0-4F8E-B21D-578269C69574}"/>
    <cellStyle name="Normal 131 4" xfId="4356" xr:uid="{FBB16D6B-6337-4057-A7BB-0A775DA184A9}"/>
    <cellStyle name="Normal 131 4 2" xfId="7736" xr:uid="{C4C0A9CC-F91E-407C-9EE5-AF4B341BF588}"/>
    <cellStyle name="Normal 131 5" xfId="6035" xr:uid="{517F7B07-5FF9-4E55-978A-E259A0051F06}"/>
    <cellStyle name="Normal 131_DEO ADIT Unprotected" xfId="2836" xr:uid="{FBE62C0C-45E9-408F-A792-C0985F648823}"/>
    <cellStyle name="Normal 132" xfId="980" xr:uid="{00000000-0005-0000-0000-0000AE030000}"/>
    <cellStyle name="Normal 132 2" xfId="981" xr:uid="{00000000-0005-0000-0000-0000AF030000}"/>
    <cellStyle name="Normal 132 2 2" xfId="1946" xr:uid="{00000000-0005-0000-0000-0000B0030000}"/>
    <cellStyle name="Normal 132 2 2 2" xfId="5196" xr:uid="{29738F0C-119B-41AF-BF84-87CCE4A7129E}"/>
    <cellStyle name="Normal 132 2 2 2 2" xfId="8576" xr:uid="{D3191971-1294-412D-A31D-23692D9CAF15}"/>
    <cellStyle name="Normal 132 2 2 3" xfId="6876" xr:uid="{5337204E-0A1B-4EBA-A0B8-7298E9B96BC5}"/>
    <cellStyle name="Normal 132 2 2_DEO ADIT Unprotected" xfId="2842" xr:uid="{7AFBBD25-00E7-4F36-A203-3B2DAB8B5359}"/>
    <cellStyle name="Normal 132 2 3" xfId="4359" xr:uid="{2A8F31C3-8FA5-47A8-9C62-25010D12D091}"/>
    <cellStyle name="Normal 132 2 3 2" xfId="7739" xr:uid="{4BF72489-B6A3-4CA1-B4E9-20A008CC5F03}"/>
    <cellStyle name="Normal 132 2 4" xfId="6038" xr:uid="{1F8C1508-A1C3-403E-AD88-44C411C1B92F}"/>
    <cellStyle name="Normal 132 2_DEO ADIT Unprotected" xfId="2841" xr:uid="{5E38E7F9-925F-49F9-B42E-DC06DC849AE8}"/>
    <cellStyle name="Normal 132 3" xfId="1945" xr:uid="{00000000-0005-0000-0000-0000B1030000}"/>
    <cellStyle name="Normal 132 3 2" xfId="5195" xr:uid="{7B45B9A2-E6B3-4284-908A-F6416D8B3916}"/>
    <cellStyle name="Normal 132 3 2 2" xfId="8575" xr:uid="{552EB44E-9D6F-4F24-8428-80FDFA6A1FFC}"/>
    <cellStyle name="Normal 132 3 3" xfId="6875" xr:uid="{A560D9AC-5627-4B95-8A6F-B80CAB156E6B}"/>
    <cellStyle name="Normal 132 3_DEO ADIT Unprotected" xfId="2843" xr:uid="{6A997C6C-75DB-482A-B0DC-70A2B20F79DD}"/>
    <cellStyle name="Normal 132 4" xfId="4358" xr:uid="{B056603E-7897-45CC-A7B0-EA76F12BAABF}"/>
    <cellStyle name="Normal 132 4 2" xfId="7738" xr:uid="{42EAF627-E3DF-4457-8456-68D899AD4864}"/>
    <cellStyle name="Normal 132 5" xfId="6037" xr:uid="{3D02D8E9-F0B0-422E-953E-FDC86EDE703A}"/>
    <cellStyle name="Normal 132_DEO ADIT Unprotected" xfId="2840" xr:uid="{DFA0AC0E-727E-407D-9680-EE87ED708EF6}"/>
    <cellStyle name="Normal 133" xfId="982" xr:uid="{00000000-0005-0000-0000-0000B2030000}"/>
    <cellStyle name="Normal 133 2" xfId="983" xr:uid="{00000000-0005-0000-0000-0000B3030000}"/>
    <cellStyle name="Normal 133 2 2" xfId="1948" xr:uid="{00000000-0005-0000-0000-0000B4030000}"/>
    <cellStyle name="Normal 133 2 2 2" xfId="5198" xr:uid="{46D9D123-4375-4295-92B2-1A8CD8FDC39F}"/>
    <cellStyle name="Normal 133 2 2 2 2" xfId="8578" xr:uid="{FA45CE57-4E80-4749-92F2-639AA9E5B93E}"/>
    <cellStyle name="Normal 133 2 2 3" xfId="6878" xr:uid="{CE8C9A6E-F1E4-48AA-A307-6F1D0BDC1FE9}"/>
    <cellStyle name="Normal 133 2 2_DEO ADIT Unprotected" xfId="2846" xr:uid="{AEB72191-728F-4046-B615-CA3910C42314}"/>
    <cellStyle name="Normal 133 2 3" xfId="4361" xr:uid="{CCCB78DD-1C41-4AE8-983B-B390E786AF44}"/>
    <cellStyle name="Normal 133 2 3 2" xfId="7741" xr:uid="{C3AAEF7C-FE2B-4391-BF6C-59467E27E3A5}"/>
    <cellStyle name="Normal 133 2 4" xfId="6040" xr:uid="{62CC66DF-CC50-4D82-B647-964FBE656CCF}"/>
    <cellStyle name="Normal 133 2_DEO ADIT Unprotected" xfId="2845" xr:uid="{0E273916-DAA3-4AF6-9205-DADD8F32B951}"/>
    <cellStyle name="Normal 133 3" xfId="1947" xr:uid="{00000000-0005-0000-0000-0000B5030000}"/>
    <cellStyle name="Normal 133 3 2" xfId="5197" xr:uid="{D70D3194-A383-4D78-A6FC-A4D422306F7E}"/>
    <cellStyle name="Normal 133 3 2 2" xfId="8577" xr:uid="{56D34645-C95E-481E-8627-72B9F959B58D}"/>
    <cellStyle name="Normal 133 3 3" xfId="6877" xr:uid="{9A93AE40-0274-43D4-A91B-868983027E51}"/>
    <cellStyle name="Normal 133 3_DEO ADIT Unprotected" xfId="2847" xr:uid="{8117FE74-7ACE-4022-8DD5-219DF816BC41}"/>
    <cellStyle name="Normal 133 4" xfId="4360" xr:uid="{9C24DA8F-2184-4EF4-B93A-DA3AC4406023}"/>
    <cellStyle name="Normal 133 4 2" xfId="7740" xr:uid="{A0BB2D25-21C8-4849-A89A-519AC739686E}"/>
    <cellStyle name="Normal 133 5" xfId="6039" xr:uid="{4E55EF3B-8C42-463E-B9DD-45707C19DA5C}"/>
    <cellStyle name="Normal 133_DEO ADIT Unprotected" xfId="2844" xr:uid="{A357455B-E62E-4A3E-A905-EF8E02A2DEFC}"/>
    <cellStyle name="Normal 134" xfId="984" xr:uid="{00000000-0005-0000-0000-0000B6030000}"/>
    <cellStyle name="Normal 134 2" xfId="985" xr:uid="{00000000-0005-0000-0000-0000B7030000}"/>
    <cellStyle name="Normal 134 2 2" xfId="1950" xr:uid="{00000000-0005-0000-0000-0000B8030000}"/>
    <cellStyle name="Normal 134 2 2 2" xfId="5200" xr:uid="{A9C3C043-C76C-4562-8C19-FC81C02AE6CA}"/>
    <cellStyle name="Normal 134 2 2 2 2" xfId="8580" xr:uid="{1309BE47-5C5F-44E2-BE1D-EFB07A1D6A7C}"/>
    <cellStyle name="Normal 134 2 2 3" xfId="6880" xr:uid="{252A933A-13FD-4797-BF9F-4A1F0B82128F}"/>
    <cellStyle name="Normal 134 2 2_DEO ADIT Unprotected" xfId="2850" xr:uid="{5EFE61E0-297B-401E-A647-E1EA7177A8AF}"/>
    <cellStyle name="Normal 134 2 3" xfId="4363" xr:uid="{609E3A76-4363-4FBE-93E1-1D1CAC6E0DD3}"/>
    <cellStyle name="Normal 134 2 3 2" xfId="7743" xr:uid="{DBEC7D9C-500A-4779-BECB-F2D94F3CE8C2}"/>
    <cellStyle name="Normal 134 2 4" xfId="6042" xr:uid="{E537DA15-47C7-4644-9927-21EE4FBE6206}"/>
    <cellStyle name="Normal 134 2_DEO ADIT Unprotected" xfId="2849" xr:uid="{333ACB3E-1C17-43A4-BFC3-8259B6B0F994}"/>
    <cellStyle name="Normal 134 3" xfId="1949" xr:uid="{00000000-0005-0000-0000-0000B9030000}"/>
    <cellStyle name="Normal 134 3 2" xfId="5199" xr:uid="{39CFA3E4-2EC6-4240-8DBF-3CB0A3414608}"/>
    <cellStyle name="Normal 134 3 2 2" xfId="8579" xr:uid="{7C54F1EA-E168-48EA-9796-ECEC70188C6E}"/>
    <cellStyle name="Normal 134 3 3" xfId="6879" xr:uid="{6121A316-F943-4995-923B-29945CD70DA6}"/>
    <cellStyle name="Normal 134 3_DEO ADIT Unprotected" xfId="2851" xr:uid="{82100040-C597-4C69-833B-94E616FB2406}"/>
    <cellStyle name="Normal 134 4" xfId="4362" xr:uid="{C70ADAEF-1684-4D22-BB1D-23801422DA0C}"/>
    <cellStyle name="Normal 134 4 2" xfId="7742" xr:uid="{B2433BCC-FDFD-4CA6-8D8D-AD1B9365D289}"/>
    <cellStyle name="Normal 134 5" xfId="6041" xr:uid="{E612D980-020A-4D48-A4CA-52880E8F89D7}"/>
    <cellStyle name="Normal 134_DEO ADIT Unprotected" xfId="2848" xr:uid="{D7A601BC-54FC-4D7F-9C46-66627A821537}"/>
    <cellStyle name="Normal 135" xfId="986" xr:uid="{00000000-0005-0000-0000-0000BA030000}"/>
    <cellStyle name="Normal 135 2" xfId="987" xr:uid="{00000000-0005-0000-0000-0000BB030000}"/>
    <cellStyle name="Normal 135 2 2" xfId="1952" xr:uid="{00000000-0005-0000-0000-0000BC030000}"/>
    <cellStyle name="Normal 135 2 2 2" xfId="5202" xr:uid="{8D3F06A7-821E-4299-BC51-E81988B04437}"/>
    <cellStyle name="Normal 135 2 2 2 2" xfId="8582" xr:uid="{B3BBEF98-A77B-4B40-AFAE-D1D36672B12E}"/>
    <cellStyle name="Normal 135 2 2 3" xfId="6882" xr:uid="{8C2318DB-699A-44A9-9FC0-05C4793CF1A1}"/>
    <cellStyle name="Normal 135 2 2_DEO ADIT Unprotected" xfId="2854" xr:uid="{5F264046-9673-4168-8F25-1FE3E50544EC}"/>
    <cellStyle name="Normal 135 2 3" xfId="4365" xr:uid="{819D0F74-859E-4970-BA8F-F64B8F5FB38D}"/>
    <cellStyle name="Normal 135 2 3 2" xfId="7745" xr:uid="{53B09265-D978-4EA8-B718-395A5F8F1CF3}"/>
    <cellStyle name="Normal 135 2 4" xfId="6044" xr:uid="{45A0AF70-1683-4947-9D1B-20F6DB2D15D9}"/>
    <cellStyle name="Normal 135 2_DEO ADIT Unprotected" xfId="2853" xr:uid="{BDFEA63C-F12D-430A-962A-635B00AAFF4F}"/>
    <cellStyle name="Normal 135 3" xfId="1951" xr:uid="{00000000-0005-0000-0000-0000BD030000}"/>
    <cellStyle name="Normal 135 3 2" xfId="5201" xr:uid="{BA80B5CA-9337-4D10-BC3D-05083267D630}"/>
    <cellStyle name="Normal 135 3 2 2" xfId="8581" xr:uid="{28F692D7-2C97-4BDF-BC44-8657FE72916E}"/>
    <cellStyle name="Normal 135 3 3" xfId="6881" xr:uid="{A8B1E014-4AB2-4550-A8C9-F7E48808E2A0}"/>
    <cellStyle name="Normal 135 3_DEO ADIT Unprotected" xfId="2855" xr:uid="{DA8333ED-B128-4E3D-BAF2-ECEA15A56E02}"/>
    <cellStyle name="Normal 135 4" xfId="4364" xr:uid="{457AAFFE-DED6-4770-AD28-43CC0FE3AF56}"/>
    <cellStyle name="Normal 135 4 2" xfId="7744" xr:uid="{F41C6E9E-EFE4-4A6E-A0D1-65F5DE073991}"/>
    <cellStyle name="Normal 135 5" xfId="6043" xr:uid="{BC5E011C-FF94-4D20-858E-F67E92B66671}"/>
    <cellStyle name="Normal 135_DEO ADIT Unprotected" xfId="2852" xr:uid="{926AEA0C-DD08-4126-A102-E5B2F57C7142}"/>
    <cellStyle name="Normal 136" xfId="988" xr:uid="{00000000-0005-0000-0000-0000BE030000}"/>
    <cellStyle name="Normal 136 2" xfId="989" xr:uid="{00000000-0005-0000-0000-0000BF030000}"/>
    <cellStyle name="Normal 136 2 2" xfId="1954" xr:uid="{00000000-0005-0000-0000-0000C0030000}"/>
    <cellStyle name="Normal 136 2 2 2" xfId="5204" xr:uid="{56AA901F-995F-4960-A488-5ABFB52D39FE}"/>
    <cellStyle name="Normal 136 2 2 2 2" xfId="8584" xr:uid="{14B4D330-4997-409C-9096-2F517C8961DD}"/>
    <cellStyle name="Normal 136 2 2 3" xfId="6884" xr:uid="{398C3FA4-2B0C-4326-9629-78F81FFCB48E}"/>
    <cellStyle name="Normal 136 2 2_DEO ADIT Unprotected" xfId="2858" xr:uid="{0051DDF5-A84B-43B7-BD2F-892B611A45C9}"/>
    <cellStyle name="Normal 136 2 3" xfId="4367" xr:uid="{479DFAE5-BF04-4BC3-ACA3-2008AAEF5900}"/>
    <cellStyle name="Normal 136 2 3 2" xfId="7747" xr:uid="{7685060A-7295-4DE5-92A8-AD1D938647F3}"/>
    <cellStyle name="Normal 136 2 4" xfId="6046" xr:uid="{094440C4-B676-4F4B-9767-0AC2A4FC0D1A}"/>
    <cellStyle name="Normal 136 2_DEO ADIT Unprotected" xfId="2857" xr:uid="{05173B73-166A-4F67-9758-E166B921B783}"/>
    <cellStyle name="Normal 136 3" xfId="1953" xr:uid="{00000000-0005-0000-0000-0000C1030000}"/>
    <cellStyle name="Normal 136 3 2" xfId="5203" xr:uid="{8D3289FC-CBE1-479E-954D-6CD9C0C295A5}"/>
    <cellStyle name="Normal 136 3 2 2" xfId="8583" xr:uid="{D2D0958E-DBB4-4F86-BDC8-F06754F7D840}"/>
    <cellStyle name="Normal 136 3 3" xfId="6883" xr:uid="{07F2B056-608D-4993-8920-BEDC195DDBFA}"/>
    <cellStyle name="Normal 136 3_DEO ADIT Unprotected" xfId="2859" xr:uid="{5D8698EC-C992-4294-8F8E-203B0049AB0D}"/>
    <cellStyle name="Normal 136 4" xfId="4366" xr:uid="{3E910CC0-C4A7-477F-8EEC-FCCCC3EE1C43}"/>
    <cellStyle name="Normal 136 4 2" xfId="7746" xr:uid="{FE0C853E-CEFC-4794-B00E-41950AB4A6C8}"/>
    <cellStyle name="Normal 136 5" xfId="6045" xr:uid="{C1474667-7BDC-4468-B313-01577E8EF3D7}"/>
    <cellStyle name="Normal 136_DEO ADIT Unprotected" xfId="2856" xr:uid="{7817D08C-0032-46A3-92C5-C29994AFCF61}"/>
    <cellStyle name="Normal 137" xfId="990" xr:uid="{00000000-0005-0000-0000-0000C2030000}"/>
    <cellStyle name="Normal 137 2" xfId="991" xr:uid="{00000000-0005-0000-0000-0000C3030000}"/>
    <cellStyle name="Normal 137 2 2" xfId="1956" xr:uid="{00000000-0005-0000-0000-0000C4030000}"/>
    <cellStyle name="Normal 137 2 2 2" xfId="5206" xr:uid="{A0D85D41-62E8-4EED-A0D6-0C39636CAD83}"/>
    <cellStyle name="Normal 137 2 2 2 2" xfId="8586" xr:uid="{B83300DA-EC9C-417D-8B05-A9037873ED92}"/>
    <cellStyle name="Normal 137 2 2 3" xfId="6886" xr:uid="{C42D7347-AF93-4552-BBBA-A2E9B74E0E20}"/>
    <cellStyle name="Normal 137 2 2_DEO ADIT Unprotected" xfId="2862" xr:uid="{BDDEAD6D-6C69-4B9F-80E9-0130FA527CC4}"/>
    <cellStyle name="Normal 137 2 3" xfId="4369" xr:uid="{FD0F0F31-0BE1-4C9F-AC22-CF80A6BD4F96}"/>
    <cellStyle name="Normal 137 2 3 2" xfId="7749" xr:uid="{F8B3466A-305F-4259-A37A-1E9686D306E6}"/>
    <cellStyle name="Normal 137 2 4" xfId="6048" xr:uid="{529A956B-9299-438C-8009-CF8B6813447A}"/>
    <cellStyle name="Normal 137 2_DEO ADIT Unprotected" xfId="2861" xr:uid="{DAB18B63-B160-4CDD-9FEE-02D83C14BA08}"/>
    <cellStyle name="Normal 137 3" xfId="1955" xr:uid="{00000000-0005-0000-0000-0000C5030000}"/>
    <cellStyle name="Normal 137 3 2" xfId="5205" xr:uid="{2BCDC98B-E323-4D9C-9477-98A45680DFE6}"/>
    <cellStyle name="Normal 137 3 2 2" xfId="8585" xr:uid="{CC9E88F2-489C-4547-A6FE-54AEB309D15F}"/>
    <cellStyle name="Normal 137 3 3" xfId="6885" xr:uid="{C089197F-C0EB-47A4-87C3-2693B768C0BD}"/>
    <cellStyle name="Normal 137 3_DEO ADIT Unprotected" xfId="2863" xr:uid="{07831B9C-84B6-49C6-B9F1-E76399CE3FE6}"/>
    <cellStyle name="Normal 137 4" xfId="4368" xr:uid="{8A03BB75-0780-4989-83D6-F297AD359513}"/>
    <cellStyle name="Normal 137 4 2" xfId="7748" xr:uid="{0132DEFE-5F19-4BF3-9815-B26BB2EF5A1E}"/>
    <cellStyle name="Normal 137 5" xfId="6047" xr:uid="{C29B21A7-250B-47B6-9156-C41A8D3AED52}"/>
    <cellStyle name="Normal 137_DEO ADIT Unprotected" xfId="2860" xr:uid="{CC3C51CA-E219-4BC9-B3E3-7D6E98975B18}"/>
    <cellStyle name="Normal 138" xfId="992" xr:uid="{00000000-0005-0000-0000-0000C6030000}"/>
    <cellStyle name="Normal 138 2" xfId="993" xr:uid="{00000000-0005-0000-0000-0000C7030000}"/>
    <cellStyle name="Normal 138 2 2" xfId="1958" xr:uid="{00000000-0005-0000-0000-0000C8030000}"/>
    <cellStyle name="Normal 138 2 2 2" xfId="5208" xr:uid="{FBA16966-2FED-4D19-893D-8BDBC8FCA5D0}"/>
    <cellStyle name="Normal 138 2 2 2 2" xfId="8588" xr:uid="{2B3B4256-519E-4B95-A483-C95FF01B9EA4}"/>
    <cellStyle name="Normal 138 2 2 3" xfId="6888" xr:uid="{49D68415-14C6-4EC6-944B-245301951C0A}"/>
    <cellStyle name="Normal 138 2 2_DEO ADIT Unprotected" xfId="2866" xr:uid="{FDB1DF48-A804-45DC-B0B3-B0D3F5F424E8}"/>
    <cellStyle name="Normal 138 2 3" xfId="4371" xr:uid="{58758D9C-2B10-40E6-B7BB-A00067FADF54}"/>
    <cellStyle name="Normal 138 2 3 2" xfId="7751" xr:uid="{4DBB8679-3098-4F08-A95D-668FA71B0499}"/>
    <cellStyle name="Normal 138 2 4" xfId="6050" xr:uid="{38E2C481-D09F-4318-A3CA-A364B78C8131}"/>
    <cellStyle name="Normal 138 2_DEO ADIT Unprotected" xfId="2865" xr:uid="{EBDB6377-F2C9-4DD1-8676-E25F4DC44114}"/>
    <cellStyle name="Normal 138 3" xfId="1957" xr:uid="{00000000-0005-0000-0000-0000C9030000}"/>
    <cellStyle name="Normal 138 3 2" xfId="5207" xr:uid="{407AEF1C-0B95-43B8-A21B-C186547AB744}"/>
    <cellStyle name="Normal 138 3 2 2" xfId="8587" xr:uid="{AE785501-B837-459E-8C4D-941D244AB819}"/>
    <cellStyle name="Normal 138 3 3" xfId="6887" xr:uid="{62CB946B-0215-4E90-86F2-6506C7539015}"/>
    <cellStyle name="Normal 138 3_DEO ADIT Unprotected" xfId="2867" xr:uid="{A9DDAE9A-BB35-4199-B6F8-88B0DCFB6CEC}"/>
    <cellStyle name="Normal 138 4" xfId="4370" xr:uid="{FF43C4E6-5769-4C57-ABE3-2F2CE1C30FD6}"/>
    <cellStyle name="Normal 138 4 2" xfId="7750" xr:uid="{6C4A2D15-8EBC-48F2-BA1C-A150EFAD4F52}"/>
    <cellStyle name="Normal 138 5" xfId="6049" xr:uid="{46B5383F-4F55-4D4A-A575-5DC8D47BB825}"/>
    <cellStyle name="Normal 138_DEO ADIT Unprotected" xfId="2864" xr:uid="{DDD54814-A96F-42EF-B77F-862A51B2EAA1}"/>
    <cellStyle name="Normal 139" xfId="994" xr:uid="{00000000-0005-0000-0000-0000CA030000}"/>
    <cellStyle name="Normal 139 2" xfId="995" xr:uid="{00000000-0005-0000-0000-0000CB030000}"/>
    <cellStyle name="Normal 139 2 2" xfId="1960" xr:uid="{00000000-0005-0000-0000-0000CC030000}"/>
    <cellStyle name="Normal 139 2 2 2" xfId="5210" xr:uid="{0BECCD91-4352-443E-AE7B-8C1F6CE860B4}"/>
    <cellStyle name="Normal 139 2 2 2 2" xfId="8590" xr:uid="{02C162A5-6158-4B34-86AF-E485793FAB65}"/>
    <cellStyle name="Normal 139 2 2 3" xfId="6890" xr:uid="{4B90228F-8A06-45FE-A649-E84327F285BB}"/>
    <cellStyle name="Normal 139 2 2_DEO ADIT Unprotected" xfId="2870" xr:uid="{FD978C00-88FE-43E1-B978-969DAA46D4AD}"/>
    <cellStyle name="Normal 139 2 3" xfId="4373" xr:uid="{A226EC41-6526-4C15-A8B2-05FF66EE8407}"/>
    <cellStyle name="Normal 139 2 3 2" xfId="7753" xr:uid="{4A937DD6-DB0D-4228-8A92-D8CF67619AF3}"/>
    <cellStyle name="Normal 139 2 4" xfId="6052" xr:uid="{7F54CF13-5114-4E0C-A7BF-516D8692FB30}"/>
    <cellStyle name="Normal 139 2_DEO ADIT Unprotected" xfId="2869" xr:uid="{FB948D10-5CDA-4275-A6D8-D2B3B002BD1F}"/>
    <cellStyle name="Normal 139 3" xfId="1959" xr:uid="{00000000-0005-0000-0000-0000CD030000}"/>
    <cellStyle name="Normal 139 3 2" xfId="5209" xr:uid="{034AD183-3081-4C5B-888E-ED8BD5202091}"/>
    <cellStyle name="Normal 139 3 2 2" xfId="8589" xr:uid="{D055A9EF-4F0F-40B4-A642-E0B0000EB96C}"/>
    <cellStyle name="Normal 139 3 3" xfId="6889" xr:uid="{C36D8B9C-E609-43E7-8E82-B86A6D0ED85F}"/>
    <cellStyle name="Normal 139 3_DEO ADIT Unprotected" xfId="2871" xr:uid="{B71984B4-A685-43D2-9543-D33059E53918}"/>
    <cellStyle name="Normal 139 4" xfId="4372" xr:uid="{BD3E3FCD-BA89-4C89-9786-421BEA57B869}"/>
    <cellStyle name="Normal 139 4 2" xfId="7752" xr:uid="{8C219EE7-2815-4E93-AF51-9B7110D22974}"/>
    <cellStyle name="Normal 139 5" xfId="6051" xr:uid="{1372E3DA-94AF-4243-859D-C6994B50BEE3}"/>
    <cellStyle name="Normal 139_DEO ADIT Unprotected" xfId="2868" xr:uid="{19FAB9BA-0AA2-4A26-8D22-1AD780E72703}"/>
    <cellStyle name="Normal 14" xfId="346" xr:uid="{00000000-0005-0000-0000-0000CE030000}"/>
    <cellStyle name="Normal 14 2" xfId="996" xr:uid="{00000000-0005-0000-0000-0000CF030000}"/>
    <cellStyle name="Normal 14 3" xfId="997" xr:uid="{00000000-0005-0000-0000-0000D0030000}"/>
    <cellStyle name="Normal 14 3 2" xfId="1961" xr:uid="{00000000-0005-0000-0000-0000D1030000}"/>
    <cellStyle name="Normal 14 3 2 2" xfId="5211" xr:uid="{90AE7C4E-AAE7-4ECD-95AE-D7975F4F11F8}"/>
    <cellStyle name="Normal 14 3 2 2 2" xfId="8591" xr:uid="{F51ED8C3-1984-42CE-A82C-0223562DB7C4}"/>
    <cellStyle name="Normal 14 3 2 3" xfId="6891" xr:uid="{F0463442-42D5-4798-A74C-92972E1EDC01}"/>
    <cellStyle name="Normal 14 3 2_DEO ADIT Unprotected" xfId="2874" xr:uid="{5626E4E6-C317-4F79-8E4F-E25496B8176F}"/>
    <cellStyle name="Normal 14 3 3" xfId="4374" xr:uid="{87867C81-BCAE-41D1-B3FC-1418884BDA7F}"/>
    <cellStyle name="Normal 14 3 3 2" xfId="7754" xr:uid="{7D3E27D3-0050-44E3-808C-DC8687627731}"/>
    <cellStyle name="Normal 14 3 4" xfId="6053" xr:uid="{30FF739B-BD0A-47EB-B1C3-361DF66054A0}"/>
    <cellStyle name="Normal 14 3_DEO ADIT Unprotected" xfId="2873" xr:uid="{A26DDD62-6BDB-4481-BCA6-E917E8402F11}"/>
    <cellStyle name="Normal 14_DEO ADIT Unprotected" xfId="2872" xr:uid="{4726A924-CA82-4E65-B477-292CC18B97AB}"/>
    <cellStyle name="Normal 140" xfId="998" xr:uid="{00000000-0005-0000-0000-0000D2030000}"/>
    <cellStyle name="Normal 140 2" xfId="999" xr:uid="{00000000-0005-0000-0000-0000D3030000}"/>
    <cellStyle name="Normal 140 2 2" xfId="1963" xr:uid="{00000000-0005-0000-0000-0000D4030000}"/>
    <cellStyle name="Normal 140 2 2 2" xfId="5213" xr:uid="{38832EFA-AEA5-47E0-872D-B2D80DDE4203}"/>
    <cellStyle name="Normal 140 2 2 2 2" xfId="8593" xr:uid="{2E0ACB1F-6AC1-4499-AC80-51AB049DFE8C}"/>
    <cellStyle name="Normal 140 2 2 3" xfId="6893" xr:uid="{8E9B055D-3419-4704-9063-1877FDD69E6D}"/>
    <cellStyle name="Normal 140 2 2_DEO ADIT Unprotected" xfId="2877" xr:uid="{98521BDC-51E7-4211-BFBF-1476B537AA60}"/>
    <cellStyle name="Normal 140 2 3" xfId="4376" xr:uid="{C2C2C31B-8418-4300-96BA-8F3A69854242}"/>
    <cellStyle name="Normal 140 2 3 2" xfId="7756" xr:uid="{D91634A7-2EE0-46E6-874A-9DCB6B1ED0CD}"/>
    <cellStyle name="Normal 140 2 4" xfId="6055" xr:uid="{D5842A0B-4E00-46EE-BE4D-DE8A1BE7AAF3}"/>
    <cellStyle name="Normal 140 2_DEO ADIT Unprotected" xfId="2876" xr:uid="{197DA48B-C2D9-43FE-97DC-03EC3887CF4C}"/>
    <cellStyle name="Normal 140 3" xfId="1962" xr:uid="{00000000-0005-0000-0000-0000D5030000}"/>
    <cellStyle name="Normal 140 3 2" xfId="5212" xr:uid="{95011963-52B7-4F75-B50C-923AAC31CF39}"/>
    <cellStyle name="Normal 140 3 2 2" xfId="8592" xr:uid="{52216105-A8EE-4E3A-B6EE-F5BDAF581EE6}"/>
    <cellStyle name="Normal 140 3 3" xfId="6892" xr:uid="{C60E3066-CAC5-4CC5-B4EA-2C0A1587B192}"/>
    <cellStyle name="Normal 140 3_DEO ADIT Unprotected" xfId="2878" xr:uid="{351B9AD9-E8CC-4077-AA64-1B82AA27D314}"/>
    <cellStyle name="Normal 140 4" xfId="4375" xr:uid="{0284E25E-CAD2-49BF-B8B9-F1EDC5DD4374}"/>
    <cellStyle name="Normal 140 4 2" xfId="7755" xr:uid="{358FD176-5A05-4612-B0DF-E7F015636E12}"/>
    <cellStyle name="Normal 140 5" xfId="6054" xr:uid="{FDB223B6-939D-4038-96F3-656CB3213000}"/>
    <cellStyle name="Normal 140_DEO ADIT Unprotected" xfId="2875" xr:uid="{24A1E863-DC28-4C5B-8FC6-6A4A197CC1A6}"/>
    <cellStyle name="Normal 141" xfId="1000" xr:uid="{00000000-0005-0000-0000-0000D6030000}"/>
    <cellStyle name="Normal 141 2" xfId="1001" xr:uid="{00000000-0005-0000-0000-0000D7030000}"/>
    <cellStyle name="Normal 141 2 2" xfId="1965" xr:uid="{00000000-0005-0000-0000-0000D8030000}"/>
    <cellStyle name="Normal 141 2 2 2" xfId="5215" xr:uid="{6167709F-E829-4FD5-8BA3-7FBC38952211}"/>
    <cellStyle name="Normal 141 2 2 2 2" xfId="8595" xr:uid="{AFC4EABE-BD25-4693-9371-FF7069076383}"/>
    <cellStyle name="Normal 141 2 2 3" xfId="6895" xr:uid="{84B5CF5C-51F4-4AA4-A407-F720F488D41A}"/>
    <cellStyle name="Normal 141 2 2_DEO ADIT Unprotected" xfId="2881" xr:uid="{F241A219-F227-4295-B804-3347C5F1B6BA}"/>
    <cellStyle name="Normal 141 2 3" xfId="4378" xr:uid="{E270326E-0135-4643-A141-530FB1ED5189}"/>
    <cellStyle name="Normal 141 2 3 2" xfId="7758" xr:uid="{3B3ABE14-1BFE-4A8D-933D-0844FF1C75F2}"/>
    <cellStyle name="Normal 141 2 4" xfId="6057" xr:uid="{160251D9-E140-42F5-9587-CBE23F10F99B}"/>
    <cellStyle name="Normal 141 2_DEO ADIT Unprotected" xfId="2880" xr:uid="{2D820A6D-FCEE-4642-84D7-2485410FE89D}"/>
    <cellStyle name="Normal 141 3" xfId="1964" xr:uid="{00000000-0005-0000-0000-0000D9030000}"/>
    <cellStyle name="Normal 141 3 2" xfId="5214" xr:uid="{0C06B1C1-2829-4A18-97F9-543823983D34}"/>
    <cellStyle name="Normal 141 3 2 2" xfId="8594" xr:uid="{D50102A8-793E-409A-8BA2-74B625C843E5}"/>
    <cellStyle name="Normal 141 3 3" xfId="6894" xr:uid="{C237CD25-C48D-4854-9FE7-46A0725C7AB1}"/>
    <cellStyle name="Normal 141 3_DEO ADIT Unprotected" xfId="2882" xr:uid="{A36DB752-84E4-4F14-B47B-4D979AB72C48}"/>
    <cellStyle name="Normal 141 4" xfId="4377" xr:uid="{5BB7FEE1-A94D-4501-8ADE-466C3ABEDFCE}"/>
    <cellStyle name="Normal 141 4 2" xfId="7757" xr:uid="{F62250FE-A060-4F51-A430-B5FE2EAF6AD0}"/>
    <cellStyle name="Normal 141 5" xfId="6056" xr:uid="{140838AA-185F-4662-B86B-CB724618027A}"/>
    <cellStyle name="Normal 141_DEO ADIT Unprotected" xfId="2879" xr:uid="{34CB1D4A-BE38-45EC-ADFC-1FE5169EBA4E}"/>
    <cellStyle name="Normal 142" xfId="1002" xr:uid="{00000000-0005-0000-0000-0000DA030000}"/>
    <cellStyle name="Normal 142 2" xfId="1003" xr:uid="{00000000-0005-0000-0000-0000DB030000}"/>
    <cellStyle name="Normal 142 2 2" xfId="1967" xr:uid="{00000000-0005-0000-0000-0000DC030000}"/>
    <cellStyle name="Normal 142 2 2 2" xfId="5217" xr:uid="{ABE8FF4E-ABB2-42E3-92AE-1991E1C17670}"/>
    <cellStyle name="Normal 142 2 2 2 2" xfId="8597" xr:uid="{627E7B8A-75B2-401F-9602-CE7DC4BD5B4E}"/>
    <cellStyle name="Normal 142 2 2 3" xfId="6897" xr:uid="{257FABE6-701B-49A9-9DBD-752CE21ED15D}"/>
    <cellStyle name="Normal 142 2 2_DEO ADIT Unprotected" xfId="2885" xr:uid="{9259B477-F5EE-46B9-A1DC-462C6C8339DD}"/>
    <cellStyle name="Normal 142 2 3" xfId="4380" xr:uid="{2081D031-E191-4871-B63D-8567CE4368DC}"/>
    <cellStyle name="Normal 142 2 3 2" xfId="7760" xr:uid="{30AC4E79-3E8E-44CD-BAC5-C303C6804C58}"/>
    <cellStyle name="Normal 142 2 4" xfId="6059" xr:uid="{64DD295D-B89D-4A99-A031-766489E015B2}"/>
    <cellStyle name="Normal 142 2_DEO ADIT Unprotected" xfId="2884" xr:uid="{902A5DED-AB50-4DE9-A092-FECFFBAADA8C}"/>
    <cellStyle name="Normal 142 3" xfId="1966" xr:uid="{00000000-0005-0000-0000-0000DD030000}"/>
    <cellStyle name="Normal 142 3 2" xfId="5216" xr:uid="{F4A451BF-AFC7-4B6C-B34D-13890F72BFA3}"/>
    <cellStyle name="Normal 142 3 2 2" xfId="8596" xr:uid="{F8303809-EF2C-49D3-B94D-826952421B47}"/>
    <cellStyle name="Normal 142 3 3" xfId="6896" xr:uid="{7BBD1FBB-1EC7-48AB-B897-347C008DBA8A}"/>
    <cellStyle name="Normal 142 3_DEO ADIT Unprotected" xfId="2886" xr:uid="{6BE2D0D0-BD01-4B2A-AD66-0D6A10535B8B}"/>
    <cellStyle name="Normal 142 4" xfId="4379" xr:uid="{ACE15706-DD4E-4530-A0AA-E14CAABA1371}"/>
    <cellStyle name="Normal 142 4 2" xfId="7759" xr:uid="{AAAF34F6-0057-44BB-BCC1-98670CFDEDBF}"/>
    <cellStyle name="Normal 142 5" xfId="6058" xr:uid="{D5D981DE-8671-43E9-8FDB-EDFCBA0D4631}"/>
    <cellStyle name="Normal 142_DEO ADIT Unprotected" xfId="2883" xr:uid="{4062243C-D48D-48DB-86C3-6CCF52B2C3E2}"/>
    <cellStyle name="Normal 143" xfId="1004" xr:uid="{00000000-0005-0000-0000-0000DE030000}"/>
    <cellStyle name="Normal 143 2" xfId="1005" xr:uid="{00000000-0005-0000-0000-0000DF030000}"/>
    <cellStyle name="Normal 143 2 2" xfId="1969" xr:uid="{00000000-0005-0000-0000-0000E0030000}"/>
    <cellStyle name="Normal 143 2 2 2" xfId="5219" xr:uid="{33BD9FB9-4B4D-44B1-B03E-0D61AB486FC7}"/>
    <cellStyle name="Normal 143 2 2 2 2" xfId="8599" xr:uid="{17C7E0C5-B309-471C-BAF8-E8EA1985A4E4}"/>
    <cellStyle name="Normal 143 2 2 3" xfId="6899" xr:uid="{D92BC687-53D0-40B6-81C3-FDACA5B80C40}"/>
    <cellStyle name="Normal 143 2 2_DEO ADIT Unprotected" xfId="2889" xr:uid="{7418647D-AF7A-43F3-A67E-C104210249C2}"/>
    <cellStyle name="Normal 143 2 3" xfId="4382" xr:uid="{D56B46AA-505E-4800-9710-181BFFE2BB4C}"/>
    <cellStyle name="Normal 143 2 3 2" xfId="7762" xr:uid="{2DC4486F-D0F9-4459-88BB-E91EE06B8D86}"/>
    <cellStyle name="Normal 143 2 4" xfId="6061" xr:uid="{3721B014-466A-452F-9804-5E69465AB291}"/>
    <cellStyle name="Normal 143 2_DEO ADIT Unprotected" xfId="2888" xr:uid="{26DB9541-D42B-4F74-AC44-562C043296AD}"/>
    <cellStyle name="Normal 143 3" xfId="1968" xr:uid="{00000000-0005-0000-0000-0000E1030000}"/>
    <cellStyle name="Normal 143 3 2" xfId="5218" xr:uid="{BCB835C7-204B-444A-91FA-E96903E73146}"/>
    <cellStyle name="Normal 143 3 2 2" xfId="8598" xr:uid="{FC2593B8-E398-429B-A28A-EC90FE272452}"/>
    <cellStyle name="Normal 143 3 3" xfId="6898" xr:uid="{BCFF3399-1F12-4442-9B75-B40130291475}"/>
    <cellStyle name="Normal 143 3_DEO ADIT Unprotected" xfId="2890" xr:uid="{7C048955-E99E-4AD1-9DA3-3297AAF69532}"/>
    <cellStyle name="Normal 143 4" xfId="4381" xr:uid="{7702ECB5-6ACD-4B0D-8982-11457D98E0AF}"/>
    <cellStyle name="Normal 143 4 2" xfId="7761" xr:uid="{076DA4A4-89CA-4029-A2BC-6A1CE43BBD09}"/>
    <cellStyle name="Normal 143 5" xfId="6060" xr:uid="{F25E4B12-9435-4AED-A1BA-FC91A6E06AD0}"/>
    <cellStyle name="Normal 143_DEO ADIT Unprotected" xfId="2887" xr:uid="{4367F335-A988-4609-8B15-C6C78CBB4DE6}"/>
    <cellStyle name="Normal 144" xfId="1006" xr:uid="{00000000-0005-0000-0000-0000E2030000}"/>
    <cellStyle name="Normal 144 2" xfId="1970" xr:uid="{00000000-0005-0000-0000-0000E3030000}"/>
    <cellStyle name="Normal 144 2 2" xfId="5220" xr:uid="{C3610CED-4CF0-421B-AC3B-C73714B27F8D}"/>
    <cellStyle name="Normal 144 2 2 2" xfId="8600" xr:uid="{C16B3110-D3F7-4605-A3A4-24481EA50082}"/>
    <cellStyle name="Normal 144 2 3" xfId="6900" xr:uid="{B225A77A-ABC5-4C2E-AA59-C7FD25714A3D}"/>
    <cellStyle name="Normal 144 2_DEO ADIT Unprotected" xfId="2892" xr:uid="{31D04312-FA8A-48D0-BB84-DFE992D65902}"/>
    <cellStyle name="Normal 144 3" xfId="4383" xr:uid="{3697D323-88F2-461B-A2A9-2159B930608C}"/>
    <cellStyle name="Normal 144 3 2" xfId="7763" xr:uid="{EA5DF2F4-1F34-4569-B081-948E26C1F960}"/>
    <cellStyle name="Normal 144 4" xfId="6062" xr:uid="{6F9FD35F-4AF2-4644-9E41-FD23A494C7E6}"/>
    <cellStyle name="Normal 144_DEO ADIT Unprotected" xfId="2891" xr:uid="{6630C857-0D43-490D-A9E0-2BAC7C99B405}"/>
    <cellStyle name="Normal 145" xfId="1007" xr:uid="{00000000-0005-0000-0000-0000E4030000}"/>
    <cellStyle name="Normal 145 2" xfId="1971" xr:uid="{00000000-0005-0000-0000-0000E5030000}"/>
    <cellStyle name="Normal 145 2 2" xfId="5221" xr:uid="{D4695207-7BA7-4D9B-88C7-F577BFE0A589}"/>
    <cellStyle name="Normal 145 2 2 2" xfId="8601" xr:uid="{26BB79A0-261E-4324-AECF-C3079F7AFF03}"/>
    <cellStyle name="Normal 145 2 3" xfId="6901" xr:uid="{162BAA21-3D57-4CF1-A4E9-0358F7735B52}"/>
    <cellStyle name="Normal 145 2_DEO ADIT Unprotected" xfId="2894" xr:uid="{559B3991-15C6-45B6-89C4-309CB22069F6}"/>
    <cellStyle name="Normal 145 3" xfId="4384" xr:uid="{C768433A-D998-4304-8BB4-07D8FBB35C6E}"/>
    <cellStyle name="Normal 145 3 2" xfId="7764" xr:uid="{C42B6E61-9C85-4CB3-ABBB-265CCE48ED99}"/>
    <cellStyle name="Normal 145 4" xfId="6063" xr:uid="{384D184D-7A3A-4F4F-A4D4-C6323A628541}"/>
    <cellStyle name="Normal 145_DEO ADIT Unprotected" xfId="2893" xr:uid="{7D8F1C83-3E92-496B-9348-49AD3D5448BE}"/>
    <cellStyle name="Normal 146" xfId="1008" xr:uid="{00000000-0005-0000-0000-0000E6030000}"/>
    <cellStyle name="Normal 146 2" xfId="1972" xr:uid="{00000000-0005-0000-0000-0000E7030000}"/>
    <cellStyle name="Normal 146 2 2" xfId="5222" xr:uid="{7EA1E2A7-7BF5-4D9F-83D8-45173BD4EF4C}"/>
    <cellStyle name="Normal 146 2 2 2" xfId="8602" xr:uid="{F027443A-9065-4489-8080-9AC53854821E}"/>
    <cellStyle name="Normal 146 2 3" xfId="6902" xr:uid="{1F50B14B-2D5D-46D0-B34A-B81A80246F47}"/>
    <cellStyle name="Normal 146 2_DEO ADIT Unprotected" xfId="2896" xr:uid="{D55E2F59-EDDF-4483-9D53-6C7287A8DDA1}"/>
    <cellStyle name="Normal 146 3" xfId="4385" xr:uid="{D87CF7ED-6BA0-4BA8-9B8E-6DD47A550107}"/>
    <cellStyle name="Normal 146 3 2" xfId="7765" xr:uid="{E3998E6E-CBA5-4D03-8220-23C09E8B6397}"/>
    <cellStyle name="Normal 146 4" xfId="6064" xr:uid="{92C35943-EB09-494A-84C4-A68FEC4932C7}"/>
    <cellStyle name="Normal 146_DEO ADIT Unprotected" xfId="2895" xr:uid="{7979F726-52D6-4294-B592-D39ACD4614EB}"/>
    <cellStyle name="Normal 147" xfId="1009" xr:uid="{00000000-0005-0000-0000-0000E8030000}"/>
    <cellStyle name="Normal 147 2" xfId="1973" xr:uid="{00000000-0005-0000-0000-0000E9030000}"/>
    <cellStyle name="Normal 147 2 2" xfId="5223" xr:uid="{F1609765-E755-4610-B67A-87DB1905C435}"/>
    <cellStyle name="Normal 147 2 2 2" xfId="8603" xr:uid="{B42ED0D4-FEF1-44FC-9651-81C3CCD642F9}"/>
    <cellStyle name="Normal 147 2 3" xfId="6903" xr:uid="{DA87A4C4-8E19-4A85-A46C-541E64866273}"/>
    <cellStyle name="Normal 147 2_DEO ADIT Unprotected" xfId="2898" xr:uid="{E4D3ACB1-E7E6-4F52-81FC-808F3382E4E1}"/>
    <cellStyle name="Normal 147 3" xfId="4386" xr:uid="{1B85F14F-80B5-4F70-88BB-9399F3DA57F8}"/>
    <cellStyle name="Normal 147 3 2" xfId="7766" xr:uid="{99EE3078-EC46-47AC-8AF9-F01464B3C28B}"/>
    <cellStyle name="Normal 147 4" xfId="6065" xr:uid="{231218CF-A59D-4B7F-B16B-44A61946BF83}"/>
    <cellStyle name="Normal 147_DEO ADIT Unprotected" xfId="2897" xr:uid="{C554AD46-EA0C-41A3-8148-0DD0BBD1B5A3}"/>
    <cellStyle name="Normal 148" xfId="1010" xr:uid="{00000000-0005-0000-0000-0000EA030000}"/>
    <cellStyle name="Normal 148 2" xfId="1974" xr:uid="{00000000-0005-0000-0000-0000EB030000}"/>
    <cellStyle name="Normal 148 2 2" xfId="5224" xr:uid="{756D071A-9752-4932-BAB0-4B4E36EC2FE3}"/>
    <cellStyle name="Normal 148 2 2 2" xfId="8604" xr:uid="{CC494CE5-A1CD-4782-8507-6DEA02C6E13C}"/>
    <cellStyle name="Normal 148 2 3" xfId="6904" xr:uid="{FC675012-E32D-4CC1-81C0-B48E1392C0B5}"/>
    <cellStyle name="Normal 148 2_DEO ADIT Unprotected" xfId="2900" xr:uid="{70B2C64A-1404-483C-B74D-317157F4EE98}"/>
    <cellStyle name="Normal 148 3" xfId="4387" xr:uid="{8C21E66A-56D7-41C4-8012-3D3B1FF24117}"/>
    <cellStyle name="Normal 148 3 2" xfId="7767" xr:uid="{6A8FD869-3165-4FC2-8329-7C9430479942}"/>
    <cellStyle name="Normal 148 4" xfId="6066" xr:uid="{7AB12317-5074-4EB5-AA45-912D1BFAB5F2}"/>
    <cellStyle name="Normal 148_DEO ADIT Unprotected" xfId="2899" xr:uid="{F5C860F2-1E60-49FB-8CD7-62160307D731}"/>
    <cellStyle name="Normal 149" xfId="1011" xr:uid="{00000000-0005-0000-0000-0000EC030000}"/>
    <cellStyle name="Normal 149 2" xfId="1975" xr:uid="{00000000-0005-0000-0000-0000ED030000}"/>
    <cellStyle name="Normal 149 2 2" xfId="5225" xr:uid="{9C4F5857-75B1-4E55-8C27-B5B0BF1EFF92}"/>
    <cellStyle name="Normal 149 2 2 2" xfId="8605" xr:uid="{BEF8ED9E-3247-4E0E-BB90-FA34BD301FEE}"/>
    <cellStyle name="Normal 149 2 3" xfId="6905" xr:uid="{65AC64BD-70E5-4B51-A7D6-4DAC86956A34}"/>
    <cellStyle name="Normal 149 2_DEO ADIT Unprotected" xfId="2902" xr:uid="{F4EF97CF-8AA5-49D9-B775-EF6531E8047F}"/>
    <cellStyle name="Normal 149 3" xfId="4388" xr:uid="{5EE68B1A-9C18-47F2-8BCE-B9F295D126F3}"/>
    <cellStyle name="Normal 149 3 2" xfId="7768" xr:uid="{3A320AAB-2DBC-4CD0-B3C7-A8EC0F45452F}"/>
    <cellStyle name="Normal 149 4" xfId="6067" xr:uid="{AF1F1B4B-4102-4E21-8F56-DEF98DA6E515}"/>
    <cellStyle name="Normal 149_DEO ADIT Unprotected" xfId="2901" xr:uid="{27CC752D-46AF-4684-A81F-E47F9BFB22E9}"/>
    <cellStyle name="Normal 15" xfId="348" xr:uid="{00000000-0005-0000-0000-0000EE030000}"/>
    <cellStyle name="Normal 15 2" xfId="1012" xr:uid="{00000000-0005-0000-0000-0000EF030000}"/>
    <cellStyle name="Normal 15_DEO ADIT Unprotected" xfId="2903" xr:uid="{8C379465-A1D9-437A-84FE-FC9DC51F9BDD}"/>
    <cellStyle name="Normal 150" xfId="1013" xr:uid="{00000000-0005-0000-0000-0000F0030000}"/>
    <cellStyle name="Normal 150 2" xfId="1976" xr:uid="{00000000-0005-0000-0000-0000F1030000}"/>
    <cellStyle name="Normal 150 2 2" xfId="5226" xr:uid="{C80B1ECA-0F3D-4E3A-87FC-E49AD712DB83}"/>
    <cellStyle name="Normal 150 2 2 2" xfId="8606" xr:uid="{691F9872-4F97-4CA5-9F1C-1B2E6670F1CB}"/>
    <cellStyle name="Normal 150 2 3" xfId="6906" xr:uid="{0381B6C6-5543-4269-BD33-30E76C17F506}"/>
    <cellStyle name="Normal 150 2_DEO ADIT Unprotected" xfId="2905" xr:uid="{4F4F963F-3595-4273-A932-1400AAD5DF5C}"/>
    <cellStyle name="Normal 150 3" xfId="4389" xr:uid="{49EA04FA-6508-41AC-BADA-DC4E67DC5F93}"/>
    <cellStyle name="Normal 150 3 2" xfId="7769" xr:uid="{20E43813-1B4D-4F3A-B4EB-9016F8B7CE7F}"/>
    <cellStyle name="Normal 150 4" xfId="6068" xr:uid="{771DBCB6-8C6B-43C4-AEEF-4DD0DCF429B1}"/>
    <cellStyle name="Normal 150_DEO ADIT Unprotected" xfId="2904" xr:uid="{AF0C2E6C-A065-474E-88DC-C0DB6593A56A}"/>
    <cellStyle name="Normal 151" xfId="1014" xr:uid="{00000000-0005-0000-0000-0000F2030000}"/>
    <cellStyle name="Normal 151 2" xfId="1977" xr:uid="{00000000-0005-0000-0000-0000F3030000}"/>
    <cellStyle name="Normal 151 2 2" xfId="5227" xr:uid="{219DF981-59A5-464C-A327-B450663C651D}"/>
    <cellStyle name="Normal 151 2 2 2" xfId="8607" xr:uid="{20B03446-A004-4526-8A56-17DD6C112FE0}"/>
    <cellStyle name="Normal 151 2 3" xfId="6907" xr:uid="{09F4AD07-FCF5-45ED-B61C-C2A252A20747}"/>
    <cellStyle name="Normal 151 2_DEO ADIT Unprotected" xfId="2907" xr:uid="{12F87137-2DA8-45A0-A282-4A0DA4F8E7CC}"/>
    <cellStyle name="Normal 151 3" xfId="4390" xr:uid="{B4B2DBD3-158A-4152-8934-12C6785D8A12}"/>
    <cellStyle name="Normal 151 3 2" xfId="7770" xr:uid="{84A3F0DE-2EED-4696-BA2E-E6DE99DA6044}"/>
    <cellStyle name="Normal 151 4" xfId="6069" xr:uid="{D5CE7417-603A-4E77-8350-9A2EAF0E4A8C}"/>
    <cellStyle name="Normal 151_DEO ADIT Unprotected" xfId="2906" xr:uid="{A4138AAF-0AC1-4ECB-92B5-5C602338EFD5}"/>
    <cellStyle name="Normal 152" xfId="1015" xr:uid="{00000000-0005-0000-0000-0000F4030000}"/>
    <cellStyle name="Normal 152 2" xfId="1978" xr:uid="{00000000-0005-0000-0000-0000F5030000}"/>
    <cellStyle name="Normal 152 2 2" xfId="5228" xr:uid="{C27368BD-3124-4220-8ED8-3C80293EBE02}"/>
    <cellStyle name="Normal 152 2 2 2" xfId="8608" xr:uid="{B0713288-2703-4932-A743-861A05BE6711}"/>
    <cellStyle name="Normal 152 2 3" xfId="6908" xr:uid="{57CA3884-5723-41CE-89A3-04F2A349CF9F}"/>
    <cellStyle name="Normal 152 2_DEO ADIT Unprotected" xfId="2909" xr:uid="{70C3665E-4CCD-4642-9729-303544A7CC5C}"/>
    <cellStyle name="Normal 152 3" xfId="4391" xr:uid="{2D9F94E0-07AA-43F2-8602-1578B88432FE}"/>
    <cellStyle name="Normal 152 3 2" xfId="7771" xr:uid="{0F04A4F9-1215-4DB2-B3C1-4E57CF6E8E88}"/>
    <cellStyle name="Normal 152 4" xfId="6070" xr:uid="{04EEB029-1C09-44C0-ABC2-7C025DBC9A97}"/>
    <cellStyle name="Normal 152_DEO ADIT Unprotected" xfId="2908" xr:uid="{A7A0BB21-CE0F-41F6-9DB7-0EE51B553AD9}"/>
    <cellStyle name="Normal 153" xfId="1016" xr:uid="{00000000-0005-0000-0000-0000F6030000}"/>
    <cellStyle name="Normal 153 2" xfId="1979" xr:uid="{00000000-0005-0000-0000-0000F7030000}"/>
    <cellStyle name="Normal 153 2 2" xfId="5229" xr:uid="{104E7B65-22DB-4E5E-8A1F-5F8FACA0A6E8}"/>
    <cellStyle name="Normal 153 2 2 2" xfId="8609" xr:uid="{A1E9CE05-E43B-41BB-AE02-D21BD98AC11A}"/>
    <cellStyle name="Normal 153 2 3" xfId="6909" xr:uid="{B8C6629A-A39A-4D99-BAF1-E9CB564E538E}"/>
    <cellStyle name="Normal 153 2_DEO ADIT Unprotected" xfId="2911" xr:uid="{9E8EEE2B-F1AE-4655-A979-614BAA6D3CD5}"/>
    <cellStyle name="Normal 153 3" xfId="4392" xr:uid="{27B9281D-FE61-407B-8FAF-57FE54427BF5}"/>
    <cellStyle name="Normal 153 3 2" xfId="7772" xr:uid="{C45DA250-5999-452C-996C-3D810AFA7B30}"/>
    <cellStyle name="Normal 153 4" xfId="6071" xr:uid="{82103B16-1E47-4E56-B31A-A2BAA7280CB4}"/>
    <cellStyle name="Normal 153_DEO ADIT Unprotected" xfId="2910" xr:uid="{095DBB81-BE0E-4906-B759-B1D50C14EEF9}"/>
    <cellStyle name="Normal 154" xfId="1017" xr:uid="{00000000-0005-0000-0000-0000F8030000}"/>
    <cellStyle name="Normal 154 2" xfId="1980" xr:uid="{00000000-0005-0000-0000-0000F9030000}"/>
    <cellStyle name="Normal 154 2 2" xfId="5230" xr:uid="{9E850C46-2EF4-404D-A984-3B2467014EB9}"/>
    <cellStyle name="Normal 154 2 2 2" xfId="8610" xr:uid="{7C183F51-DADB-4996-B99D-587655C42529}"/>
    <cellStyle name="Normal 154 2 3" xfId="6910" xr:uid="{BC66022B-DCBF-41E0-A1A5-FD7310DF67E8}"/>
    <cellStyle name="Normal 154 2_DEO ADIT Unprotected" xfId="2913" xr:uid="{C1802E6E-3D29-4E63-8CC7-26780F4CF82F}"/>
    <cellStyle name="Normal 154 3" xfId="4393" xr:uid="{B9928FDA-2238-4B9C-A7EF-B356280F83DF}"/>
    <cellStyle name="Normal 154 3 2" xfId="7773" xr:uid="{1DAE113B-8E89-4A20-910A-EE6758AF8AB0}"/>
    <cellStyle name="Normal 154 4" xfId="6072" xr:uid="{887A67B0-8CFA-43B0-B03E-16BDDDCB0C6C}"/>
    <cellStyle name="Normal 154_DEO ADIT Unprotected" xfId="2912" xr:uid="{CAE9B0A2-841F-4B4F-B904-419A99341EBB}"/>
    <cellStyle name="Normal 155" xfId="1018" xr:uid="{00000000-0005-0000-0000-0000FA030000}"/>
    <cellStyle name="Normal 155 2" xfId="1981" xr:uid="{00000000-0005-0000-0000-0000FB030000}"/>
    <cellStyle name="Normal 155 2 2" xfId="5231" xr:uid="{2C5FA8A3-BCDB-4ED6-97BC-E338C9E51AF5}"/>
    <cellStyle name="Normal 155 2 2 2" xfId="8611" xr:uid="{74FD8AEB-040A-4187-ADD5-D83D7FD9A2EE}"/>
    <cellStyle name="Normal 155 2 3" xfId="6911" xr:uid="{EF5F0A48-0A70-4B86-86BC-DA4D687B747D}"/>
    <cellStyle name="Normal 155 2_DEO ADIT Unprotected" xfId="2915" xr:uid="{F74DBE2E-F0F1-4151-8948-EFEDD5242193}"/>
    <cellStyle name="Normal 155 3" xfId="4394" xr:uid="{2880CA43-5E85-4C7A-AF82-9F50B4140675}"/>
    <cellStyle name="Normal 155 3 2" xfId="7774" xr:uid="{D7F24EF5-D307-41FC-809F-55DE4FAE278C}"/>
    <cellStyle name="Normal 155 4" xfId="6073" xr:uid="{260D8D1A-B159-4CF0-9CC9-1B747D877DDA}"/>
    <cellStyle name="Normal 155_DEO ADIT Unprotected" xfId="2914" xr:uid="{2B0503CD-28ED-4348-A6CB-8CF4EF8B8AED}"/>
    <cellStyle name="Normal 156" xfId="1019" xr:uid="{00000000-0005-0000-0000-0000FC030000}"/>
    <cellStyle name="Normal 156 2" xfId="1982" xr:uid="{00000000-0005-0000-0000-0000FD030000}"/>
    <cellStyle name="Normal 156 2 2" xfId="5232" xr:uid="{C446DA56-0316-4DAF-B073-ADD7CF6E9769}"/>
    <cellStyle name="Normal 156 2 2 2" xfId="8612" xr:uid="{BE01E76B-ADE0-4BBF-9D3A-99A329E58341}"/>
    <cellStyle name="Normal 156 2 3" xfId="6912" xr:uid="{03FF8C0A-5810-4851-9E9F-E12CCDD596D8}"/>
    <cellStyle name="Normal 156 2_DEO ADIT Unprotected" xfId="2917" xr:uid="{019531B3-3163-438A-92C4-CF7DE71D570F}"/>
    <cellStyle name="Normal 156 3" xfId="4395" xr:uid="{D031A21D-368B-4CD9-B882-4CEED86FC360}"/>
    <cellStyle name="Normal 156 3 2" xfId="7775" xr:uid="{5F31491E-6644-4ECF-8F95-7516FF980910}"/>
    <cellStyle name="Normal 156 4" xfId="6074" xr:uid="{47B39A99-AB83-4E9F-8605-4821CC5A5441}"/>
    <cellStyle name="Normal 156_DEO ADIT Unprotected" xfId="2916" xr:uid="{F972E90E-B676-4E0A-B6BB-513F99507247}"/>
    <cellStyle name="Normal 157" xfId="1020" xr:uid="{00000000-0005-0000-0000-0000FE030000}"/>
    <cellStyle name="Normal 157 2" xfId="1983" xr:uid="{00000000-0005-0000-0000-0000FF030000}"/>
    <cellStyle name="Normal 157 2 2" xfId="5233" xr:uid="{25BACE7B-AF63-4390-84D9-B0AE4C8E36FB}"/>
    <cellStyle name="Normal 157 2 2 2" xfId="8613" xr:uid="{95AD3998-3849-4A6A-A325-25261393A1C7}"/>
    <cellStyle name="Normal 157 2 3" xfId="6913" xr:uid="{78AF23EF-6C86-4A5A-8909-155DC42BB738}"/>
    <cellStyle name="Normal 157 2_DEO ADIT Unprotected" xfId="2919" xr:uid="{6B75D155-64AE-4E69-BEEE-41155F2E2A23}"/>
    <cellStyle name="Normal 157 3" xfId="4396" xr:uid="{A2094255-9A4D-47F8-B55E-C82DF75D1CEC}"/>
    <cellStyle name="Normal 157 3 2" xfId="7776" xr:uid="{C3A1EA00-90E8-4DCF-A274-FF46F5BA42AB}"/>
    <cellStyle name="Normal 157 4" xfId="6075" xr:uid="{F76C1A47-002E-41B7-B999-49E4FAA5D7F9}"/>
    <cellStyle name="Normal 157_DEO ADIT Unprotected" xfId="2918" xr:uid="{2FEBFF8B-BF5B-46CF-8A78-9399696CB16F}"/>
    <cellStyle name="Normal 158" xfId="1021" xr:uid="{00000000-0005-0000-0000-000000040000}"/>
    <cellStyle name="Normal 158 2" xfId="1984" xr:uid="{00000000-0005-0000-0000-000001040000}"/>
    <cellStyle name="Normal 158 2 2" xfId="5234" xr:uid="{093A8922-A51E-4D7E-B483-50B2E13BA21C}"/>
    <cellStyle name="Normal 158 2 2 2" xfId="8614" xr:uid="{1850AA32-F351-453B-946C-EFB65D531107}"/>
    <cellStyle name="Normal 158 2 3" xfId="6914" xr:uid="{8096E773-665A-44D9-8D2E-76B58EBDB799}"/>
    <cellStyle name="Normal 158 2_DEO ADIT Unprotected" xfId="2921" xr:uid="{B87EDC4F-43B1-4741-83D8-52998751A7FA}"/>
    <cellStyle name="Normal 158 3" xfId="4397" xr:uid="{B506A3EF-8E8B-4FF2-AD2F-1446E1DCB59C}"/>
    <cellStyle name="Normal 158 3 2" xfId="7777" xr:uid="{8FE39323-69A6-4DFA-9BB5-EC4E42D804CB}"/>
    <cellStyle name="Normal 158 4" xfId="6076" xr:uid="{D0C07859-83EA-46F6-A1FA-8EE5E428FB0E}"/>
    <cellStyle name="Normal 158_DEO ADIT Unprotected" xfId="2920" xr:uid="{FF87916B-DC0B-4FC8-A24E-BB7F864CF0FA}"/>
    <cellStyle name="Normal 159" xfId="1022" xr:uid="{00000000-0005-0000-0000-000002040000}"/>
    <cellStyle name="Normal 159 2" xfId="1985" xr:uid="{00000000-0005-0000-0000-000003040000}"/>
    <cellStyle name="Normal 159 2 2" xfId="5235" xr:uid="{9E9880D7-96CD-4FB2-9C91-EAED5DA25E72}"/>
    <cellStyle name="Normal 159 2 2 2" xfId="8615" xr:uid="{B1DC99E3-C758-4066-9583-D45FDEF5D90C}"/>
    <cellStyle name="Normal 159 2 3" xfId="6915" xr:uid="{8966977E-73C1-4F8D-8056-EA98BFCDC002}"/>
    <cellStyle name="Normal 159 2_DEO ADIT Unprotected" xfId="2923" xr:uid="{29DD0285-18FD-438F-8CE3-BB173BEC2A56}"/>
    <cellStyle name="Normal 159 3" xfId="4398" xr:uid="{3FCA22A6-FE05-43F0-8326-E96A6556547C}"/>
    <cellStyle name="Normal 159 3 2" xfId="7778" xr:uid="{B5151FFA-49E6-402D-B02F-9D2EF63386F9}"/>
    <cellStyle name="Normal 159 4" xfId="6077" xr:uid="{4DFD7D9D-E222-40EF-ACFE-A5927B59188A}"/>
    <cellStyle name="Normal 159_DEO ADIT Unprotected" xfId="2922" xr:uid="{C9BCDB7E-1753-4D44-82CA-F9EFE7A9E5C1}"/>
    <cellStyle name="Normal 16" xfId="350" xr:uid="{00000000-0005-0000-0000-000004040000}"/>
    <cellStyle name="Normal 16 2" xfId="1023" xr:uid="{00000000-0005-0000-0000-000005040000}"/>
    <cellStyle name="Normal 16 3" xfId="1024" xr:uid="{00000000-0005-0000-0000-000006040000}"/>
    <cellStyle name="Normal 16 3 2" xfId="1986" xr:uid="{00000000-0005-0000-0000-000007040000}"/>
    <cellStyle name="Normal 16 3 2 2" xfId="5236" xr:uid="{57AAAD47-2C41-4C6A-8DA1-C75792F6AF28}"/>
    <cellStyle name="Normal 16 3 2 2 2" xfId="8616" xr:uid="{84E0301D-C683-4B46-8D20-C9D4389AFF49}"/>
    <cellStyle name="Normal 16 3 2 3" xfId="6916" xr:uid="{EEB32A73-D555-435B-8AB2-D061EC30C169}"/>
    <cellStyle name="Normal 16 3 2_DEO ADIT Unprotected" xfId="2926" xr:uid="{24FB1E71-3B34-4555-BC65-910AAF2753B1}"/>
    <cellStyle name="Normal 16 3 3" xfId="4399" xr:uid="{B98160E1-7B73-4A86-8735-04C0FFE27311}"/>
    <cellStyle name="Normal 16 3 3 2" xfId="7779" xr:uid="{D5A2A081-B1C5-494C-B079-F229F21301A3}"/>
    <cellStyle name="Normal 16 3 4" xfId="6078" xr:uid="{32F93914-D166-4A9C-ACDA-D9C6689A336C}"/>
    <cellStyle name="Normal 16 3_DEO ADIT Unprotected" xfId="2925" xr:uid="{F7577BAB-F79D-4BA8-B33D-7C28112B6732}"/>
    <cellStyle name="Normal 16_DEO ADIT Unprotected" xfId="2924" xr:uid="{60F9951F-580D-4345-821B-A30BDEEF93C4}"/>
    <cellStyle name="Normal 160" xfId="1025" xr:uid="{00000000-0005-0000-0000-000008040000}"/>
    <cellStyle name="Normal 160 2" xfId="1987" xr:uid="{00000000-0005-0000-0000-000009040000}"/>
    <cellStyle name="Normal 160 2 2" xfId="5237" xr:uid="{574548C3-9C7D-4424-A226-7D1255D7ABAC}"/>
    <cellStyle name="Normal 160 2 2 2" xfId="8617" xr:uid="{09441F55-F17C-4CBD-BBB6-9C8DB935308B}"/>
    <cellStyle name="Normal 160 2 3" xfId="6917" xr:uid="{DB2C94FA-A233-4E23-A311-8D1D3B12FD8B}"/>
    <cellStyle name="Normal 160 2_DEO ADIT Unprotected" xfId="2928" xr:uid="{49FECC73-7D07-4702-B3E7-A9BB38B4E626}"/>
    <cellStyle name="Normal 160 3" xfId="4400" xr:uid="{F2CB70D1-4B9A-4450-94F1-9E8E4E13C6F4}"/>
    <cellStyle name="Normal 160 3 2" xfId="7780" xr:uid="{724F2FDF-5981-49C6-AD56-2D12A639DECD}"/>
    <cellStyle name="Normal 160 4" xfId="6079" xr:uid="{68A2BAC1-73BC-4FA0-AE0D-CBF709A85B7B}"/>
    <cellStyle name="Normal 160_DEO ADIT Unprotected" xfId="2927" xr:uid="{E9C30C55-1A07-4721-89D0-1DDC9FCE52DA}"/>
    <cellStyle name="Normal 161" xfId="1026" xr:uid="{00000000-0005-0000-0000-00000A040000}"/>
    <cellStyle name="Normal 161 2" xfId="1988" xr:uid="{00000000-0005-0000-0000-00000B040000}"/>
    <cellStyle name="Normal 161 2 2" xfId="5238" xr:uid="{D065AB52-003B-495F-B793-02457605C602}"/>
    <cellStyle name="Normal 161 2 2 2" xfId="8618" xr:uid="{2AF1DBE3-C2FD-4B9D-A674-53067254F335}"/>
    <cellStyle name="Normal 161 2 3" xfId="6918" xr:uid="{375E4113-4886-43AF-8A99-B766C9FB2FE7}"/>
    <cellStyle name="Normal 161 2_DEO ADIT Unprotected" xfId="2930" xr:uid="{2969DD84-4AFD-4766-BBC0-1D0A5A2A566B}"/>
    <cellStyle name="Normal 161 3" xfId="4401" xr:uid="{FC089B58-BD8E-4E90-8ED7-6E61BFC19EBB}"/>
    <cellStyle name="Normal 161 3 2" xfId="7781" xr:uid="{EEA9A091-6FBC-46BB-84CE-17448DE5E336}"/>
    <cellStyle name="Normal 161 4" xfId="6080" xr:uid="{ED1EB009-644D-4358-AC01-85A51BF99F4D}"/>
    <cellStyle name="Normal 161_DEO ADIT Unprotected" xfId="2929" xr:uid="{87709291-D6AE-4E0A-98E4-687DB681CEFF}"/>
    <cellStyle name="Normal 162" xfId="1027" xr:uid="{00000000-0005-0000-0000-00000C040000}"/>
    <cellStyle name="Normal 162 2" xfId="1989" xr:uid="{00000000-0005-0000-0000-00000D040000}"/>
    <cellStyle name="Normal 162 2 2" xfId="5239" xr:uid="{ABCA630A-470E-4990-A9A5-D76232D34667}"/>
    <cellStyle name="Normal 162 2 2 2" xfId="8619" xr:uid="{716596C6-D5FF-4B23-92A1-CD8501E3CC60}"/>
    <cellStyle name="Normal 162 2 3" xfId="6919" xr:uid="{648B462B-0933-4806-81A9-7F003B3E7D26}"/>
    <cellStyle name="Normal 162 2_DEO ADIT Unprotected" xfId="2932" xr:uid="{3F49CEE4-852B-4ADD-A650-2E3BB8B1B3A8}"/>
    <cellStyle name="Normal 162 3" xfId="4402" xr:uid="{B94FEA4E-632D-4F68-947E-02C2D780E18A}"/>
    <cellStyle name="Normal 162 3 2" xfId="7782" xr:uid="{FF8A91AF-0A68-418B-A13F-62FFF9CE1F64}"/>
    <cellStyle name="Normal 162 4" xfId="6081" xr:uid="{471B4B2F-E6D2-4087-8A3F-28B549AA4FD4}"/>
    <cellStyle name="Normal 162_DEO ADIT Unprotected" xfId="2931" xr:uid="{15AC1D7E-8140-4ECE-B0DF-7DF7A16A337B}"/>
    <cellStyle name="Normal 163" xfId="1028" xr:uid="{00000000-0005-0000-0000-00000E040000}"/>
    <cellStyle name="Normal 163 2" xfId="1990" xr:uid="{00000000-0005-0000-0000-00000F040000}"/>
    <cellStyle name="Normal 163 2 2" xfId="5240" xr:uid="{45885E7B-FE66-4DD0-B54C-0CC0D6C0B9BE}"/>
    <cellStyle name="Normal 163 2 2 2" xfId="8620" xr:uid="{E4F24751-1F1C-4EDE-826D-E39F96275001}"/>
    <cellStyle name="Normal 163 2 3" xfId="6920" xr:uid="{A9CCD183-C0AA-4AF0-AC57-6FDCB32FE73D}"/>
    <cellStyle name="Normal 163 2_DEO ADIT Unprotected" xfId="2934" xr:uid="{05F7B3B6-5F6B-42F6-A052-8FC0E548D083}"/>
    <cellStyle name="Normal 163 3" xfId="4403" xr:uid="{2FF78717-2F9F-4FF6-8493-FD14BA25968E}"/>
    <cellStyle name="Normal 163 3 2" xfId="7783" xr:uid="{68636DA7-B6BE-46DE-9E80-33D3D4C773C8}"/>
    <cellStyle name="Normal 163 4" xfId="6082" xr:uid="{6A8908F8-C230-44C7-B93D-67F0BA2EC60E}"/>
    <cellStyle name="Normal 163_DEO ADIT Unprotected" xfId="2933" xr:uid="{E4510C4A-B9ED-4154-917C-F801B1AC119E}"/>
    <cellStyle name="Normal 164" xfId="1029" xr:uid="{00000000-0005-0000-0000-000010040000}"/>
    <cellStyle name="Normal 164 2" xfId="1991" xr:uid="{00000000-0005-0000-0000-000011040000}"/>
    <cellStyle name="Normal 164 2 2" xfId="5241" xr:uid="{4401D67C-E01A-4ED8-9EDE-256E26F21312}"/>
    <cellStyle name="Normal 164 2 2 2" xfId="8621" xr:uid="{21DE46C4-B22D-4724-8D95-298467309C8C}"/>
    <cellStyle name="Normal 164 2 3" xfId="6921" xr:uid="{040B90AF-0A06-4912-8FFD-59204D852FF1}"/>
    <cellStyle name="Normal 164 2_DEO ADIT Unprotected" xfId="2936" xr:uid="{800793D4-2D2E-4294-8A98-2D56D295B92E}"/>
    <cellStyle name="Normal 164 3" xfId="4404" xr:uid="{D86AC9C2-9B4A-4972-B715-1E11471CB457}"/>
    <cellStyle name="Normal 164 3 2" xfId="7784" xr:uid="{B3C52E50-3D02-42EB-A3D0-2C0ECD8A4F3D}"/>
    <cellStyle name="Normal 164 4" xfId="6083" xr:uid="{C41DCF6B-A734-4430-8926-1A4A30E7DC18}"/>
    <cellStyle name="Normal 164_DEO ADIT Unprotected" xfId="2935" xr:uid="{FCE2FA1E-B326-4165-9F35-982DD105A234}"/>
    <cellStyle name="Normal 165" xfId="1030" xr:uid="{00000000-0005-0000-0000-000012040000}"/>
    <cellStyle name="Normal 165 2" xfId="1992" xr:uid="{00000000-0005-0000-0000-000013040000}"/>
    <cellStyle name="Normal 165 2 2" xfId="5242" xr:uid="{2E1B8D87-A163-4BB5-A5EF-E99912A27592}"/>
    <cellStyle name="Normal 165 2 2 2" xfId="8622" xr:uid="{9CD29706-E4D8-40DF-B443-F24FDE99AEC8}"/>
    <cellStyle name="Normal 165 2 3" xfId="6922" xr:uid="{DCE4418F-0C83-428E-8D00-49130EF18364}"/>
    <cellStyle name="Normal 165 2_DEO ADIT Unprotected" xfId="2938" xr:uid="{D1A66C74-E46D-44FF-A3B0-E0A9D93CF20F}"/>
    <cellStyle name="Normal 165 3" xfId="4405" xr:uid="{71A7023B-342E-4615-9671-C4B199FFCADE}"/>
    <cellStyle name="Normal 165 3 2" xfId="7785" xr:uid="{1A6663F8-1B75-4AA5-90A1-B8E7C11B0D2E}"/>
    <cellStyle name="Normal 165 4" xfId="6084" xr:uid="{7F97E343-AFED-4E51-8094-9A35B9E72821}"/>
    <cellStyle name="Normal 165_DEO ADIT Unprotected" xfId="2937" xr:uid="{6969F261-BE12-42DA-8E74-C14B925A6564}"/>
    <cellStyle name="Normal 166" xfId="1031" xr:uid="{00000000-0005-0000-0000-000014040000}"/>
    <cellStyle name="Normal 166 2" xfId="1993" xr:uid="{00000000-0005-0000-0000-000015040000}"/>
    <cellStyle name="Normal 166 2 2" xfId="5243" xr:uid="{DE1DD0F6-8BD3-4A2A-88AA-6EF092D475EA}"/>
    <cellStyle name="Normal 166 2 2 2" xfId="8623" xr:uid="{D27AF4CA-A127-42F7-9D4F-23CCABABFB5F}"/>
    <cellStyle name="Normal 166 2 3" xfId="6923" xr:uid="{C6F97C99-0DB0-4F8F-B5C8-C6ED932D4FF0}"/>
    <cellStyle name="Normal 166 2_DEO ADIT Unprotected" xfId="2940" xr:uid="{07DD4EE7-D0ED-42AB-ACCE-1070CBFA32FC}"/>
    <cellStyle name="Normal 166 3" xfId="4406" xr:uid="{7B8073C1-AF37-4A52-9F98-9D81BF939D2D}"/>
    <cellStyle name="Normal 166 3 2" xfId="7786" xr:uid="{FB45A330-E978-4FA2-9F4E-0E83D22DE9B8}"/>
    <cellStyle name="Normal 166 4" xfId="6085" xr:uid="{9FCA60B0-364B-43D3-A213-7C5B4489D5D1}"/>
    <cellStyle name="Normal 166_DEO ADIT Unprotected" xfId="2939" xr:uid="{10047E2D-594B-41C9-87FC-19DA8C2E1A3B}"/>
    <cellStyle name="Normal 167" xfId="1032" xr:uid="{00000000-0005-0000-0000-000016040000}"/>
    <cellStyle name="Normal 167 2" xfId="1994" xr:uid="{00000000-0005-0000-0000-000017040000}"/>
    <cellStyle name="Normal 167 2 2" xfId="5244" xr:uid="{B27E478C-E9A6-42F4-A6AC-FF6E391FA60B}"/>
    <cellStyle name="Normal 167 2 2 2" xfId="8624" xr:uid="{7771840A-9C8C-4C36-8262-1B52E9AEE1A1}"/>
    <cellStyle name="Normal 167 2 3" xfId="6924" xr:uid="{161D0DD7-8BF5-4FD2-9AA3-444CC3322689}"/>
    <cellStyle name="Normal 167 2_DEO ADIT Unprotected" xfId="2942" xr:uid="{E8550818-8A0C-4BEE-B672-D0A87132081B}"/>
    <cellStyle name="Normal 167 3" xfId="4407" xr:uid="{6D574A9C-179A-4283-8BD4-2EC51443D67D}"/>
    <cellStyle name="Normal 167 3 2" xfId="7787" xr:uid="{DF971425-6B7B-41F9-B49E-4CD6ADDB93A1}"/>
    <cellStyle name="Normal 167 4" xfId="6086" xr:uid="{012C40E9-210B-4953-86F7-FFA7AF9AA437}"/>
    <cellStyle name="Normal 167_DEO ADIT Unprotected" xfId="2941" xr:uid="{C84E887F-64E8-41BB-BEDD-FEAE9D78F6DF}"/>
    <cellStyle name="Normal 168" xfId="1033" xr:uid="{00000000-0005-0000-0000-000018040000}"/>
    <cellStyle name="Normal 168 2" xfId="1995" xr:uid="{00000000-0005-0000-0000-000019040000}"/>
    <cellStyle name="Normal 168 2 2" xfId="5245" xr:uid="{902BF00D-F417-4397-8EC4-5DD1F6FC5C28}"/>
    <cellStyle name="Normal 168 2 2 2" xfId="8625" xr:uid="{687995ED-3618-4A49-854F-C50B6438AA62}"/>
    <cellStyle name="Normal 168 2 3" xfId="6925" xr:uid="{79C8B620-CF41-4976-AFFA-E16B8BE4ACC9}"/>
    <cellStyle name="Normal 168 2_DEO ADIT Unprotected" xfId="2944" xr:uid="{47345ACE-7DB8-4098-BE12-530D21F82653}"/>
    <cellStyle name="Normal 168 3" xfId="4408" xr:uid="{D646BD04-236B-42AA-A53C-10B097C10975}"/>
    <cellStyle name="Normal 168 3 2" xfId="7788" xr:uid="{14D7629F-3FFF-4838-96FB-76970A17BDBB}"/>
    <cellStyle name="Normal 168 4" xfId="6087" xr:uid="{FE65B2C0-DDAC-4476-A260-8BC62096B72D}"/>
    <cellStyle name="Normal 168_DEO ADIT Unprotected" xfId="2943" xr:uid="{605D08AC-CA5F-4FC3-8FA9-4DA131F5116C}"/>
    <cellStyle name="Normal 169" xfId="1034" xr:uid="{00000000-0005-0000-0000-00001A040000}"/>
    <cellStyle name="Normal 169 2" xfId="1996" xr:uid="{00000000-0005-0000-0000-00001B040000}"/>
    <cellStyle name="Normal 169 2 2" xfId="5246" xr:uid="{85307DB3-FE07-4310-BD08-368AEDCA187C}"/>
    <cellStyle name="Normal 169 2 2 2" xfId="8626" xr:uid="{004E03A7-A673-4916-A34F-846F110D6EDB}"/>
    <cellStyle name="Normal 169 2 3" xfId="6926" xr:uid="{EF6F3480-2AE0-4B59-986F-BF1F6F6435A1}"/>
    <cellStyle name="Normal 169 2_DEO ADIT Unprotected" xfId="2946" xr:uid="{CA4DBE82-F8E9-4B95-9AE9-AF8EDF660A9E}"/>
    <cellStyle name="Normal 169 3" xfId="4409" xr:uid="{91ADE34F-EF7F-4F3E-A435-D7865C63A2C4}"/>
    <cellStyle name="Normal 169 3 2" xfId="7789" xr:uid="{7144FD90-A448-4410-B7F0-7B3C91B0D188}"/>
    <cellStyle name="Normal 169 4" xfId="6088" xr:uid="{20F07E6E-F1CD-4ED9-A4D4-23E11CB4187B}"/>
    <cellStyle name="Normal 169_DEO ADIT Unprotected" xfId="2945" xr:uid="{9E808E06-4F86-4D98-9E63-F2461FE36374}"/>
    <cellStyle name="Normal 17" xfId="352" xr:uid="{00000000-0005-0000-0000-00001C040000}"/>
    <cellStyle name="Normal 17 2" xfId="1035" xr:uid="{00000000-0005-0000-0000-00001D040000}"/>
    <cellStyle name="Normal 17 3" xfId="1036" xr:uid="{00000000-0005-0000-0000-00001E040000}"/>
    <cellStyle name="Normal 17 3 2" xfId="1997" xr:uid="{00000000-0005-0000-0000-00001F040000}"/>
    <cellStyle name="Normal 17 3 2 2" xfId="5247" xr:uid="{4A7C502F-FF8E-4A2F-B0E7-6F0307A33A51}"/>
    <cellStyle name="Normal 17 3 2 2 2" xfId="8627" xr:uid="{53CED7C6-DA58-4B01-B12D-9D2ACA71849D}"/>
    <cellStyle name="Normal 17 3 2 3" xfId="6927" xr:uid="{60DF7F6C-85BE-4EC7-8F0B-8CA24B42BAE7}"/>
    <cellStyle name="Normal 17 3 2_DEO ADIT Unprotected" xfId="2949" xr:uid="{6C6E1667-DA30-4726-86B7-EB8E780B39B9}"/>
    <cellStyle name="Normal 17 3 3" xfId="4410" xr:uid="{8F17BAD9-4188-4253-AE87-42A2830AAE71}"/>
    <cellStyle name="Normal 17 3 3 2" xfId="7790" xr:uid="{EF3E50C3-4B67-401E-98FC-D4AC9C665C00}"/>
    <cellStyle name="Normal 17 3 4" xfId="6089" xr:uid="{D41276D4-4827-440C-B773-F4C4218B8D99}"/>
    <cellStyle name="Normal 17 3_DEO ADIT Unprotected" xfId="2948" xr:uid="{3C989117-5281-456F-B70D-671F1D13AD3A}"/>
    <cellStyle name="Normal 17_DEO ADIT Unprotected" xfId="2947" xr:uid="{787C4191-586F-443D-B17B-3FAEC9C2A488}"/>
    <cellStyle name="Normal 170" xfId="1037" xr:uid="{00000000-0005-0000-0000-000020040000}"/>
    <cellStyle name="Normal 170 2" xfId="1998" xr:uid="{00000000-0005-0000-0000-000021040000}"/>
    <cellStyle name="Normal 170 2 2" xfId="5248" xr:uid="{C4153FDF-C8EF-4D54-99EF-395C23A48905}"/>
    <cellStyle name="Normal 170 2 2 2" xfId="8628" xr:uid="{F60C1A2D-4A08-4C36-86A9-D4B8E187EF44}"/>
    <cellStyle name="Normal 170 2 3" xfId="6928" xr:uid="{3969FE7C-402F-4F69-98FE-4683D0BC0A1F}"/>
    <cellStyle name="Normal 170 2_DEO ADIT Unprotected" xfId="2951" xr:uid="{FD577A38-FD42-4DA8-B33F-8BCE971D4184}"/>
    <cellStyle name="Normal 170 3" xfId="4411" xr:uid="{30486092-DE04-4291-BC28-F1CC32EB7B6B}"/>
    <cellStyle name="Normal 170 3 2" xfId="7791" xr:uid="{3E44DD16-201D-4787-BB69-CFC0D4AAD4C9}"/>
    <cellStyle name="Normal 170 4" xfId="6090" xr:uid="{B93E4FC5-7442-4E5D-9956-2A4E0CC90385}"/>
    <cellStyle name="Normal 170_DEO ADIT Unprotected" xfId="2950" xr:uid="{92DAAD97-2D92-4B9B-B3F4-E3ED8C6127D1}"/>
    <cellStyle name="Normal 171" xfId="1038" xr:uid="{00000000-0005-0000-0000-000022040000}"/>
    <cellStyle name="Normal 171 2" xfId="1999" xr:uid="{00000000-0005-0000-0000-000023040000}"/>
    <cellStyle name="Normal 171 2 2" xfId="5249" xr:uid="{50CA499D-36D7-4924-8A85-0DF30A18948B}"/>
    <cellStyle name="Normal 171 2 2 2" xfId="8629" xr:uid="{F9866B3A-DE68-448B-A317-317879FDF75B}"/>
    <cellStyle name="Normal 171 2 3" xfId="6929" xr:uid="{0B2FE123-1E6E-49E3-ACE3-CCF04FA878C9}"/>
    <cellStyle name="Normal 171 2_DEO ADIT Unprotected" xfId="2953" xr:uid="{5B30729F-32FA-4FAC-81AC-5CC5D51FD1F4}"/>
    <cellStyle name="Normal 171 3" xfId="4412" xr:uid="{16350028-C00D-43AF-A31E-F6F1EA6227F5}"/>
    <cellStyle name="Normal 171 3 2" xfId="7792" xr:uid="{673AFA46-25F8-4784-A616-7F15615AD8AD}"/>
    <cellStyle name="Normal 171 4" xfId="6091" xr:uid="{3C4EAFB8-20F1-4A26-A4F7-736A8C0B5BB2}"/>
    <cellStyle name="Normal 171_DEO ADIT Unprotected" xfId="2952" xr:uid="{41D89889-AD63-41E4-988D-B80F87549424}"/>
    <cellStyle name="Normal 172" xfId="1039" xr:uid="{00000000-0005-0000-0000-000024040000}"/>
    <cellStyle name="Normal 172 2" xfId="2000" xr:uid="{00000000-0005-0000-0000-000025040000}"/>
    <cellStyle name="Normal 172 2 2" xfId="5250" xr:uid="{1EFDC977-AF62-486D-B022-D7031A50E3D2}"/>
    <cellStyle name="Normal 172 2 2 2" xfId="8630" xr:uid="{E8EF0C64-4A15-447C-8BA1-5E0E478772BD}"/>
    <cellStyle name="Normal 172 2 3" xfId="6930" xr:uid="{5B226025-DE10-4DF2-B83C-1B62BD6FFC93}"/>
    <cellStyle name="Normal 172 2_DEO ADIT Unprotected" xfId="2955" xr:uid="{84B2EE45-F7EE-432D-AEA4-58A18843A377}"/>
    <cellStyle name="Normal 172 3" xfId="4413" xr:uid="{DE90861A-FE8D-4CDF-A6BA-4D70B121AADE}"/>
    <cellStyle name="Normal 172 3 2" xfId="7793" xr:uid="{1B70F4B6-B534-4E12-BADE-FF72019DB1F8}"/>
    <cellStyle name="Normal 172 4" xfId="6092" xr:uid="{4484CD1F-7DCA-47F8-B104-D62B51E539A8}"/>
    <cellStyle name="Normal 172_DEO ADIT Unprotected" xfId="2954" xr:uid="{C67AF780-9955-4B1E-BF2D-8B2B44588C01}"/>
    <cellStyle name="Normal 173" xfId="1040" xr:uid="{00000000-0005-0000-0000-000026040000}"/>
    <cellStyle name="Normal 173 2" xfId="2001" xr:uid="{00000000-0005-0000-0000-000027040000}"/>
    <cellStyle name="Normal 173 2 2" xfId="5251" xr:uid="{37D61792-F4D2-4337-91F4-0F59FF3418DF}"/>
    <cellStyle name="Normal 173 2 2 2" xfId="8631" xr:uid="{4118CB16-CFB8-4B05-9529-16EA149DFBD1}"/>
    <cellStyle name="Normal 173 2 3" xfId="6931" xr:uid="{0AB6571A-8255-4E5A-9BDD-BBB961F5C231}"/>
    <cellStyle name="Normal 173 2_DEO ADIT Unprotected" xfId="2957" xr:uid="{6643F81D-1818-4ED4-9D1B-AAD0CFA5D3ED}"/>
    <cellStyle name="Normal 173 3" xfId="4414" xr:uid="{FECA8CAC-6643-4F83-916C-2232F9EA9BB7}"/>
    <cellStyle name="Normal 173 3 2" xfId="7794" xr:uid="{A8F77B2A-9142-4CA5-AC02-71F627C3F401}"/>
    <cellStyle name="Normal 173 4" xfId="6093" xr:uid="{D9D7B18B-38BB-4495-95F1-43DB82240CDE}"/>
    <cellStyle name="Normal 173_DEO ADIT Unprotected" xfId="2956" xr:uid="{7B5094F7-8F16-421F-B915-91F5A745FCD6}"/>
    <cellStyle name="Normal 174" xfId="1041" xr:uid="{00000000-0005-0000-0000-000028040000}"/>
    <cellStyle name="Normal 174 2" xfId="2002" xr:uid="{00000000-0005-0000-0000-000029040000}"/>
    <cellStyle name="Normal 174 2 2" xfId="5252" xr:uid="{41CF603A-3E98-495F-BA22-D91252BE055C}"/>
    <cellStyle name="Normal 174 2 2 2" xfId="8632" xr:uid="{0FF50F0C-1CF8-4722-93D5-29F2D4A20C33}"/>
    <cellStyle name="Normal 174 2 3" xfId="6932" xr:uid="{3CBEE811-4CF4-43A3-8EE7-40FEB9C21F25}"/>
    <cellStyle name="Normal 174 2_DEO ADIT Unprotected" xfId="2959" xr:uid="{233287E9-ACB6-4CE8-A2ED-13A8939D2000}"/>
    <cellStyle name="Normal 174 3" xfId="4415" xr:uid="{731BE238-2A83-4548-B771-8700A6F74598}"/>
    <cellStyle name="Normal 174 3 2" xfId="7795" xr:uid="{42D34B86-58E4-4116-92C7-FB82EB418986}"/>
    <cellStyle name="Normal 174 4" xfId="6094" xr:uid="{8A81F0EB-CE09-4DA5-B75C-1E498162360B}"/>
    <cellStyle name="Normal 174_DEO ADIT Unprotected" xfId="2958" xr:uid="{1AA6B4C0-632F-409B-BFF8-9BC8D82CB7D7}"/>
    <cellStyle name="Normal 175" xfId="1042" xr:uid="{00000000-0005-0000-0000-00002A040000}"/>
    <cellStyle name="Normal 175 2" xfId="2003" xr:uid="{00000000-0005-0000-0000-00002B040000}"/>
    <cellStyle name="Normal 175 2 2" xfId="5253" xr:uid="{73260AC0-599C-4CDF-91E0-6F895F78B8FF}"/>
    <cellStyle name="Normal 175 2 2 2" xfId="8633" xr:uid="{7F4BA2D6-AC5B-482A-8776-159022FD4F36}"/>
    <cellStyle name="Normal 175 2 3" xfId="6933" xr:uid="{BA8D23BD-8B06-4BEB-B8A8-84DF139F351F}"/>
    <cellStyle name="Normal 175 2_DEO ADIT Unprotected" xfId="2961" xr:uid="{314FD18B-BBE5-4959-895D-05B127458EF4}"/>
    <cellStyle name="Normal 175 3" xfId="4416" xr:uid="{81C04972-077C-4D59-963A-0D22199FE0A4}"/>
    <cellStyle name="Normal 175 3 2" xfId="7796" xr:uid="{797A434E-DBDA-4D59-98BE-80C09356DAA5}"/>
    <cellStyle name="Normal 175 4" xfId="6095" xr:uid="{5C7648A5-F13B-42C3-BC6D-A08976F42441}"/>
    <cellStyle name="Normal 175_DEO ADIT Unprotected" xfId="2960" xr:uid="{F4A7C90E-532E-4019-88A1-6A7E48463125}"/>
    <cellStyle name="Normal 176" xfId="1043" xr:uid="{00000000-0005-0000-0000-00002C040000}"/>
    <cellStyle name="Normal 176 2" xfId="2004" xr:uid="{00000000-0005-0000-0000-00002D040000}"/>
    <cellStyle name="Normal 176 2 2" xfId="5254" xr:uid="{0DAE5FCE-4C0D-4BEB-94FF-203FAAE7D7A9}"/>
    <cellStyle name="Normal 176 2 2 2" xfId="8634" xr:uid="{52941190-56F7-4D9A-B2F2-4443DEDC79CC}"/>
    <cellStyle name="Normal 176 2 3" xfId="6934" xr:uid="{14104C2E-62A3-47C2-85EE-71E9114C6432}"/>
    <cellStyle name="Normal 176 2_DEO ADIT Unprotected" xfId="2963" xr:uid="{55B09539-CFAF-4350-B347-5328D86A3533}"/>
    <cellStyle name="Normal 176 3" xfId="4417" xr:uid="{DFD5E5C6-068C-494A-AE2A-7224F5B43F51}"/>
    <cellStyle name="Normal 176 3 2" xfId="7797" xr:uid="{3A95563B-8E20-4C30-A463-F9D32D761442}"/>
    <cellStyle name="Normal 176 4" xfId="6096" xr:uid="{3EC2CB16-7DCB-48AB-8DF0-E9045C2F9ABA}"/>
    <cellStyle name="Normal 176_DEO ADIT Unprotected" xfId="2962" xr:uid="{805A06C4-214C-48AA-808C-7E30BDFD90DC}"/>
    <cellStyle name="Normal 177" xfId="1044" xr:uid="{00000000-0005-0000-0000-00002E040000}"/>
    <cellStyle name="Normal 177 2" xfId="2005" xr:uid="{00000000-0005-0000-0000-00002F040000}"/>
    <cellStyle name="Normal 177 2 2" xfId="5255" xr:uid="{26C51F78-7B39-4294-8EDE-E4AFFFCE98ED}"/>
    <cellStyle name="Normal 177 2 2 2" xfId="8635" xr:uid="{1A2DF335-F394-4FB3-9EA7-525CA5B3136B}"/>
    <cellStyle name="Normal 177 2 3" xfId="6935" xr:uid="{89B9C2C5-9F9A-482F-87E6-5AD087547E93}"/>
    <cellStyle name="Normal 177 2_DEO ADIT Unprotected" xfId="2965" xr:uid="{81A5FD90-2EAE-4B6D-B029-8C9C280EF9C9}"/>
    <cellStyle name="Normal 177 3" xfId="4418" xr:uid="{E7116095-44D1-4869-AF37-B7C53DC6B59F}"/>
    <cellStyle name="Normal 177 3 2" xfId="7798" xr:uid="{85EF8837-F4AF-4A84-A66E-9BC4196E1A36}"/>
    <cellStyle name="Normal 177 4" xfId="6097" xr:uid="{42D0A87F-5049-4E93-A4B2-5EEB037D7599}"/>
    <cellStyle name="Normal 177_DEO ADIT Unprotected" xfId="2964" xr:uid="{A84D0335-7C0B-4DB1-8B7A-196F539FE90B}"/>
    <cellStyle name="Normal 178" xfId="1045" xr:uid="{00000000-0005-0000-0000-000030040000}"/>
    <cellStyle name="Normal 178 2" xfId="2006" xr:uid="{00000000-0005-0000-0000-000031040000}"/>
    <cellStyle name="Normal 178 2 2" xfId="5256" xr:uid="{435216DA-32C7-4655-B06E-BF49F4104A21}"/>
    <cellStyle name="Normal 178 2 2 2" xfId="8636" xr:uid="{7EBD9A5B-FA79-4FE6-B278-275926ACBAA3}"/>
    <cellStyle name="Normal 178 2 3" xfId="6936" xr:uid="{9A90B9A6-C239-43ED-914E-93422561125C}"/>
    <cellStyle name="Normal 178 2_DEO ADIT Unprotected" xfId="2967" xr:uid="{444E4757-DA91-4E4B-92E6-2CF81DDFDE90}"/>
    <cellStyle name="Normal 178 3" xfId="4419" xr:uid="{80FF9B76-4CB8-4CBE-8CDD-B293B0551025}"/>
    <cellStyle name="Normal 178 3 2" xfId="7799" xr:uid="{299ED9A4-7E33-4035-B441-781064179CA8}"/>
    <cellStyle name="Normal 178 4" xfId="6098" xr:uid="{B29EBA2E-4A94-400D-B3CE-A3F9C001EE61}"/>
    <cellStyle name="Normal 178_DEO ADIT Unprotected" xfId="2966" xr:uid="{27BF7F7A-CD74-4CD8-9787-9389405F81E9}"/>
    <cellStyle name="Normal 179" xfId="1046" xr:uid="{00000000-0005-0000-0000-000032040000}"/>
    <cellStyle name="Normal 179 2" xfId="2007" xr:uid="{00000000-0005-0000-0000-000033040000}"/>
    <cellStyle name="Normal 179 2 2" xfId="5257" xr:uid="{BD51C75B-7FF4-40A7-938A-401AA71C0976}"/>
    <cellStyle name="Normal 179 2 2 2" xfId="8637" xr:uid="{13BDDF2C-5C17-4E0A-ADBE-5E089D9D3342}"/>
    <cellStyle name="Normal 179 2 3" xfId="6937" xr:uid="{03AB01B2-EEC7-4BDE-B141-414AC6444DE8}"/>
    <cellStyle name="Normal 179 2_DEO ADIT Unprotected" xfId="2969" xr:uid="{4593A3AD-B9A1-4920-872E-353647278255}"/>
    <cellStyle name="Normal 179 3" xfId="4420" xr:uid="{F5A952F4-DE68-4B0E-BDB2-8C6C0F267795}"/>
    <cellStyle name="Normal 179 3 2" xfId="7800" xr:uid="{404DE4FB-BF11-4B74-9AF1-E438081683F2}"/>
    <cellStyle name="Normal 179 4" xfId="6099" xr:uid="{C9020417-6129-47F3-AB9F-F4E125C2177F}"/>
    <cellStyle name="Normal 179_DEO ADIT Unprotected" xfId="2968" xr:uid="{9EED8009-E3BF-401F-B841-1B97B192301F}"/>
    <cellStyle name="Normal 18" xfId="358" xr:uid="{00000000-0005-0000-0000-000034040000}"/>
    <cellStyle name="Normal 18 2" xfId="450" xr:uid="{00000000-0005-0000-0000-000035040000}"/>
    <cellStyle name="Normal 18 2 2" xfId="487" xr:uid="{00000000-0005-0000-0000-000036040000}"/>
    <cellStyle name="Normal 18 2 2 2" xfId="1680" xr:uid="{00000000-0005-0000-0000-000037040000}"/>
    <cellStyle name="Normal 18 2 2 2 2" xfId="4930" xr:uid="{6A99DB6B-2570-4635-A428-DDDF4B2823E9}"/>
    <cellStyle name="Normal 18 2 2 2 2 2" xfId="8310" xr:uid="{4250427F-41DE-4AD9-ACFC-11D7CF7C31D1}"/>
    <cellStyle name="Normal 18 2 2 2 3" xfId="6610" xr:uid="{E32E06B5-71F8-4A9A-9142-A8096D232061}"/>
    <cellStyle name="Normal 18 2 2 2_DEO ADIT Unprotected" xfId="2973" xr:uid="{9897ECA2-6E6F-4497-BE09-E36559E6805F}"/>
    <cellStyle name="Normal 18 2 2 3" xfId="4093" xr:uid="{19794448-2B11-4469-B9A3-9E7DA0222738}"/>
    <cellStyle name="Normal 18 2 2 3 2" xfId="7473" xr:uid="{09EF2CF9-FB92-4C6E-9914-2529A12C81AC}"/>
    <cellStyle name="Normal 18 2 2 4" xfId="5772" xr:uid="{84ED2F9D-AB07-4CF7-9C2B-DA1622C81947}"/>
    <cellStyle name="Normal 18 2 2_DEO ADIT Unprotected" xfId="2972" xr:uid="{2A538108-7AE5-4AF3-911D-D7D1AAA1294F}"/>
    <cellStyle name="Normal 18 2 3" xfId="1648" xr:uid="{00000000-0005-0000-0000-000038040000}"/>
    <cellStyle name="Normal 18 2 3 2" xfId="4898" xr:uid="{C77ACC75-A17E-42C2-A893-460E0ED4283A}"/>
    <cellStyle name="Normal 18 2 3 2 2" xfId="8278" xr:uid="{1DD32B1C-A9EC-449A-A4AC-51550AD2FF81}"/>
    <cellStyle name="Normal 18 2 3 3" xfId="6578" xr:uid="{A72C3FA9-2BA8-4928-8CD8-19857D0ECDEF}"/>
    <cellStyle name="Normal 18 2 3_DEO ADIT Unprotected" xfId="2974" xr:uid="{C5B4B127-60E2-4CCC-B895-9985942FD916}"/>
    <cellStyle name="Normal 18 2 4" xfId="4061" xr:uid="{9E01C9D2-4CD6-4B46-8718-D82EBF60BED4}"/>
    <cellStyle name="Normal 18 2 4 2" xfId="7441" xr:uid="{9D9AB0A1-9AD5-4348-B252-14675AE9823F}"/>
    <cellStyle name="Normal 18 2 5" xfId="5740" xr:uid="{32684678-A204-4210-86DE-7BCFB233F2F3}"/>
    <cellStyle name="Normal 18 2_DEO ADIT Unprotected" xfId="2971" xr:uid="{9E3A7EC7-AFEB-45B9-A707-EF120F31F10B}"/>
    <cellStyle name="Normal 18 3" xfId="464" xr:uid="{00000000-0005-0000-0000-000039040000}"/>
    <cellStyle name="Normal 18 3 2" xfId="498" xr:uid="{00000000-0005-0000-0000-00003A040000}"/>
    <cellStyle name="Normal 18 3 2 2" xfId="1691" xr:uid="{00000000-0005-0000-0000-00003B040000}"/>
    <cellStyle name="Normal 18 3 2 2 2" xfId="4941" xr:uid="{BB0B789D-5B16-44ED-ADA9-B7DB2AB14BDC}"/>
    <cellStyle name="Normal 18 3 2 2 2 2" xfId="8321" xr:uid="{A6467F86-5F35-4B1B-B4E8-B31448320983}"/>
    <cellStyle name="Normal 18 3 2 2 3" xfId="6621" xr:uid="{209EEB0D-EA8D-43BB-BFC3-9F9017E58128}"/>
    <cellStyle name="Normal 18 3 2 2_DEO ADIT Unprotected" xfId="2977" xr:uid="{DBF71B77-AF5B-4D1A-BA65-84A19EE67240}"/>
    <cellStyle name="Normal 18 3 2 3" xfId="4104" xr:uid="{780A9B98-6509-41A0-B6B2-4E89EF5E33BA}"/>
    <cellStyle name="Normal 18 3 2 3 2" xfId="7484" xr:uid="{21BD60E1-BB32-45CA-BB6F-E32E95C0A0B3}"/>
    <cellStyle name="Normal 18 3 2 4" xfId="5783" xr:uid="{3515CABA-48C4-4697-B1AD-1E0D5A5C8C8D}"/>
    <cellStyle name="Normal 18 3 2_DEO ADIT Unprotected" xfId="2976" xr:uid="{34F54C98-D561-4196-BBA3-F11F468EF7F6}"/>
    <cellStyle name="Normal 18 3 3" xfId="1659" xr:uid="{00000000-0005-0000-0000-00003C040000}"/>
    <cellStyle name="Normal 18 3 3 2" xfId="4909" xr:uid="{543CC9E6-D766-456F-BD14-5F27C2C6BBB2}"/>
    <cellStyle name="Normal 18 3 3 2 2" xfId="8289" xr:uid="{6E355372-6C91-4005-AE5D-DEA653AA33E0}"/>
    <cellStyle name="Normal 18 3 3 3" xfId="6589" xr:uid="{44063862-303D-497A-B730-DB695F4766E6}"/>
    <cellStyle name="Normal 18 3 3_DEO ADIT Unprotected" xfId="2978" xr:uid="{87F14D07-26BE-43B8-8085-0582B3D66356}"/>
    <cellStyle name="Normal 18 3 4" xfId="4072" xr:uid="{345AD09B-DF2C-45AD-AB96-B87774C4D5C6}"/>
    <cellStyle name="Normal 18 3 4 2" xfId="7452" xr:uid="{E4F6DE01-B5FA-4468-BCE4-77F96F71AF2F}"/>
    <cellStyle name="Normal 18 3 5" xfId="5751" xr:uid="{F7981D74-93D4-47A1-A584-6A617B4DC789}"/>
    <cellStyle name="Normal 18 3_DEO ADIT Unprotected" xfId="2975" xr:uid="{C4100DB3-4AEB-4566-AB9E-F9DE6CCDF64A}"/>
    <cellStyle name="Normal 18 4" xfId="443" xr:uid="{00000000-0005-0000-0000-00003D040000}"/>
    <cellStyle name="Normal 18 4 2" xfId="482" xr:uid="{00000000-0005-0000-0000-00003E040000}"/>
    <cellStyle name="Normal 18 4 2 2" xfId="1675" xr:uid="{00000000-0005-0000-0000-00003F040000}"/>
    <cellStyle name="Normal 18 4 2 2 2" xfId="4925" xr:uid="{CD7DDBB4-B31B-48F0-89DF-B50D65623D28}"/>
    <cellStyle name="Normal 18 4 2 2 2 2" xfId="8305" xr:uid="{ED24FC2E-2119-4F3B-BDB6-03543AFAE493}"/>
    <cellStyle name="Normal 18 4 2 2 3" xfId="6605" xr:uid="{304A7035-2FCD-448C-BF1B-F8F321E3464B}"/>
    <cellStyle name="Normal 18 4 2 2_DEO ADIT Unprotected" xfId="2981" xr:uid="{ABBCF1AA-98DD-4BCE-8AA4-2E60A07DF953}"/>
    <cellStyle name="Normal 18 4 2 3" xfId="4088" xr:uid="{2A197086-93ED-4D10-9BFE-84A5659F397C}"/>
    <cellStyle name="Normal 18 4 2 3 2" xfId="7468" xr:uid="{2C462A17-4183-4BCF-B8C6-345B15DF6CD2}"/>
    <cellStyle name="Normal 18 4 2 4" xfId="5767" xr:uid="{4FB63D18-971C-42F8-A592-D385F471CFC9}"/>
    <cellStyle name="Normal 18 4 2_DEO ADIT Unprotected" xfId="2980" xr:uid="{ACB70ACD-3150-4C98-8BAF-4BE4B3E5E234}"/>
    <cellStyle name="Normal 18 4 3" xfId="1643" xr:uid="{00000000-0005-0000-0000-000040040000}"/>
    <cellStyle name="Normal 18 4 3 2" xfId="4893" xr:uid="{7AC6CD42-1177-4925-937E-653D793EF5BF}"/>
    <cellStyle name="Normal 18 4 3 2 2" xfId="8273" xr:uid="{90F7A1E1-A13E-4AE6-8973-EEE3AEE504C8}"/>
    <cellStyle name="Normal 18 4 3 3" xfId="6573" xr:uid="{C64A55E1-5712-4EEF-AB79-28A9CB7C45ED}"/>
    <cellStyle name="Normal 18 4 3_DEO ADIT Unprotected" xfId="2982" xr:uid="{84D44F18-C4C3-4FE7-9A71-C3737FFC5EC4}"/>
    <cellStyle name="Normal 18 4 4" xfId="4056" xr:uid="{51C713D7-1612-4434-BE39-8956E5D9FEF6}"/>
    <cellStyle name="Normal 18 4 4 2" xfId="7436" xr:uid="{5F3F8CB6-C345-47E8-B6B4-AF59DC816511}"/>
    <cellStyle name="Normal 18 4 5" xfId="5735" xr:uid="{242A9B66-DE63-469C-9975-C7C0C9BD6194}"/>
    <cellStyle name="Normal 18 4_DEO ADIT Unprotected" xfId="2979" xr:uid="{8504F8FF-F9A1-4592-9E39-3E421209CB13}"/>
    <cellStyle name="Normal 18 5" xfId="474" xr:uid="{00000000-0005-0000-0000-000041040000}"/>
    <cellStyle name="Normal 18 5 2" xfId="1667" xr:uid="{00000000-0005-0000-0000-000042040000}"/>
    <cellStyle name="Normal 18 5 2 2" xfId="4917" xr:uid="{10E73F3A-176B-45FB-BB44-F6FBAC777704}"/>
    <cellStyle name="Normal 18 5 2 2 2" xfId="8297" xr:uid="{54CD91C4-CBDE-47BB-9963-275C3F9B3881}"/>
    <cellStyle name="Normal 18 5 2 3" xfId="6597" xr:uid="{F1913F30-45EB-4055-AAD1-FE0E6926E65E}"/>
    <cellStyle name="Normal 18 5 2_DEO ADIT Unprotected" xfId="2984" xr:uid="{78D0048E-19B2-491B-9864-96C8C05B6FCB}"/>
    <cellStyle name="Normal 18 5 3" xfId="4080" xr:uid="{26EB7449-43AA-47EB-8B2C-D22EA45348C4}"/>
    <cellStyle name="Normal 18 5 3 2" xfId="7460" xr:uid="{9824AAB8-8C81-4D25-BB04-8FF3D3A810A2}"/>
    <cellStyle name="Normal 18 5 4" xfId="5759" xr:uid="{6C1C63D9-AF1F-460E-A4E8-CAD592CE5DBA}"/>
    <cellStyle name="Normal 18 5_DEO ADIT Unprotected" xfId="2983" xr:uid="{679D2ABF-8BFC-4DFA-939F-3E4098C11FA0}"/>
    <cellStyle name="Normal 18 6" xfId="507" xr:uid="{00000000-0005-0000-0000-000043040000}"/>
    <cellStyle name="Normal 18 6 2" xfId="1699" xr:uid="{00000000-0005-0000-0000-000044040000}"/>
    <cellStyle name="Normal 18 6 2 2" xfId="4949" xr:uid="{C106288B-F0E5-4AA7-97B9-B06C8144D192}"/>
    <cellStyle name="Normal 18 6 2 2 2" xfId="8329" xr:uid="{01F9200F-E387-4209-B4B8-C6DAD832BE93}"/>
    <cellStyle name="Normal 18 6 2 3" xfId="6629" xr:uid="{66E6CCAD-7767-4B1E-B5CB-8139E7991D09}"/>
    <cellStyle name="Normal 18 6 2_DEO ADIT Unprotected" xfId="2986" xr:uid="{6660587C-1E91-41F2-9A05-CC319006A545}"/>
    <cellStyle name="Normal 18 6 3" xfId="4112" xr:uid="{FFAAF70B-BEA0-4B89-9A5B-1914B57398E9}"/>
    <cellStyle name="Normal 18 6 3 2" xfId="7492" xr:uid="{C4302E62-FFCE-4DE4-96BF-89E1A8B8A0A9}"/>
    <cellStyle name="Normal 18 6 4" xfId="5791" xr:uid="{E6B79706-2EA5-4C79-B0C7-3D861B1D13ED}"/>
    <cellStyle name="Normal 18 6_DEO ADIT Unprotected" xfId="2985" xr:uid="{A2C427C3-5092-4883-B5D7-73B43364484B}"/>
    <cellStyle name="Normal 18 7" xfId="1632" xr:uid="{00000000-0005-0000-0000-000045040000}"/>
    <cellStyle name="Normal 18 7 2" xfId="4882" xr:uid="{0EC44F5F-A12C-4435-B320-862D1E59FE0A}"/>
    <cellStyle name="Normal 18 7 2 2" xfId="8262" xr:uid="{B178E2DE-9385-4866-899F-B6914AC60DC0}"/>
    <cellStyle name="Normal 18 7 3" xfId="6562" xr:uid="{9B07D43D-6167-4C98-8F6E-9144A9A51F7B}"/>
    <cellStyle name="Normal 18 7_DEO ADIT Unprotected" xfId="2987" xr:uid="{148C86A9-A38F-435D-BA7B-3C51CABFBFD9}"/>
    <cellStyle name="Normal 18 8" xfId="4045" xr:uid="{3A188CC6-17F9-482D-9AFD-D5E3EBF77C9E}"/>
    <cellStyle name="Normal 18 8 2" xfId="7425" xr:uid="{8F21D07D-C86C-410A-8C42-85CC26CC566E}"/>
    <cellStyle name="Normal 18 9" xfId="5724" xr:uid="{2E09CA87-239C-4834-8D93-6A12664DD37A}"/>
    <cellStyle name="Normal 18_DEO ADIT Unprotected" xfId="2970" xr:uid="{2908A175-2734-4761-B5FB-054D2E4C4099}"/>
    <cellStyle name="Normal 180" xfId="1047" xr:uid="{00000000-0005-0000-0000-000046040000}"/>
    <cellStyle name="Normal 180 2" xfId="2008" xr:uid="{00000000-0005-0000-0000-000047040000}"/>
    <cellStyle name="Normal 180 2 2" xfId="5258" xr:uid="{4571F8AD-2054-464B-8B26-841DDADB74B6}"/>
    <cellStyle name="Normal 180 2 2 2" xfId="8638" xr:uid="{3E2A9239-3F04-4E90-9E0A-87F15226AC6A}"/>
    <cellStyle name="Normal 180 2 3" xfId="6938" xr:uid="{53F6567F-FFD3-4217-A90E-2B8284B37FEA}"/>
    <cellStyle name="Normal 180 2_DEO ADIT Unprotected" xfId="2989" xr:uid="{5F49C42A-FCB1-4A83-BCED-40D12E5D8B7B}"/>
    <cellStyle name="Normal 180 3" xfId="4421" xr:uid="{A84648E7-9FB5-474C-8B11-DEFF6DAA77F0}"/>
    <cellStyle name="Normal 180 3 2" xfId="7801" xr:uid="{BB864D7B-017D-407E-B377-4E1FF8EE9476}"/>
    <cellStyle name="Normal 180 4" xfId="6100" xr:uid="{9966569C-10F1-4580-B68F-23324466C262}"/>
    <cellStyle name="Normal 180_DEO ADIT Unprotected" xfId="2988" xr:uid="{F8FE74CC-3427-4692-A310-0E84624A6E8C}"/>
    <cellStyle name="Normal 181" xfId="1048" xr:uid="{00000000-0005-0000-0000-000048040000}"/>
    <cellStyle name="Normal 181 2" xfId="2009" xr:uid="{00000000-0005-0000-0000-000049040000}"/>
    <cellStyle name="Normal 181 2 2" xfId="5259" xr:uid="{D1269500-B7DA-45FC-8626-AEC5A15EA3C6}"/>
    <cellStyle name="Normal 181 2 2 2" xfId="8639" xr:uid="{A5CFA44C-E1F8-4A9F-8EF7-03AD02CFB1AD}"/>
    <cellStyle name="Normal 181 2 3" xfId="6939" xr:uid="{E18EED77-7062-478B-BBFA-87B27FA979E8}"/>
    <cellStyle name="Normal 181 2_DEO ADIT Unprotected" xfId="2991" xr:uid="{1B5AF355-C6ED-429C-B13F-42500AA7E530}"/>
    <cellStyle name="Normal 181 3" xfId="4422" xr:uid="{45A691D9-C94C-4699-B75A-652CCA6606CA}"/>
    <cellStyle name="Normal 181 3 2" xfId="7802" xr:uid="{9A043053-71CA-4C52-960C-4BA38C362D34}"/>
    <cellStyle name="Normal 181 4" xfId="6101" xr:uid="{0AEFDD9F-BD72-441E-B00B-48F8CC8DF50F}"/>
    <cellStyle name="Normal 181_DEO ADIT Unprotected" xfId="2990" xr:uid="{2E719189-813D-49DC-AAC8-2118D408D74A}"/>
    <cellStyle name="Normal 182" xfId="1049" xr:uid="{00000000-0005-0000-0000-00004A040000}"/>
    <cellStyle name="Normal 182 2" xfId="2010" xr:uid="{00000000-0005-0000-0000-00004B040000}"/>
    <cellStyle name="Normal 182 2 2" xfId="5260" xr:uid="{8BBCF346-7581-4836-8D51-6C8DBA3E353C}"/>
    <cellStyle name="Normal 182 2 2 2" xfId="8640" xr:uid="{B56466E4-A337-46A8-8CD9-0D7A5D6735C7}"/>
    <cellStyle name="Normal 182 2 3" xfId="6940" xr:uid="{415773E0-97D0-49C2-B648-0446FEFFFFCA}"/>
    <cellStyle name="Normal 182 2_DEO ADIT Unprotected" xfId="2993" xr:uid="{35D582CE-DE41-4575-A55E-16FBD7D8BDF7}"/>
    <cellStyle name="Normal 182 3" xfId="4423" xr:uid="{20BC97C1-0BA2-4E02-8B0A-F7D0095CAAC0}"/>
    <cellStyle name="Normal 182 3 2" xfId="7803" xr:uid="{D40EDD24-FD82-4B5D-8FC5-1F8FEFBB3139}"/>
    <cellStyle name="Normal 182 4" xfId="6102" xr:uid="{A1B1DC41-F3B7-4F36-AE4F-72F5995930DA}"/>
    <cellStyle name="Normal 182_DEO ADIT Unprotected" xfId="2992" xr:uid="{E15CD6D1-2EC0-4123-8DC8-27E945493F31}"/>
    <cellStyle name="Normal 183" xfId="1050" xr:uid="{00000000-0005-0000-0000-00004C040000}"/>
    <cellStyle name="Normal 183 2" xfId="2011" xr:uid="{00000000-0005-0000-0000-00004D040000}"/>
    <cellStyle name="Normal 183 2 2" xfId="5261" xr:uid="{B04B2FE6-628E-4619-BA3D-6A6F9D9ED14A}"/>
    <cellStyle name="Normal 183 2 2 2" xfId="8641" xr:uid="{4BB00901-8F3C-440E-9C2F-E234FA180819}"/>
    <cellStyle name="Normal 183 2 3" xfId="6941" xr:uid="{26A49F88-70EC-43BB-8898-8CBB7AE1DDA7}"/>
    <cellStyle name="Normal 183 2_DEO ADIT Unprotected" xfId="2995" xr:uid="{206D29C6-C65A-49D2-A391-5FEE14599AFA}"/>
    <cellStyle name="Normal 183 3" xfId="4424" xr:uid="{AE6D444F-7050-44A0-8CAC-DA56DD326189}"/>
    <cellStyle name="Normal 183 3 2" xfId="7804" xr:uid="{0D98AFC1-4C98-4535-8FD4-D40C0DE0F5B5}"/>
    <cellStyle name="Normal 183 4" xfId="6103" xr:uid="{BDFD831F-C2D3-4679-BBE7-D3C491338964}"/>
    <cellStyle name="Normal 183_DEO ADIT Unprotected" xfId="2994" xr:uid="{5D845690-8F30-4A0C-BE7E-0023B1DB9161}"/>
    <cellStyle name="Normal 184" xfId="1051" xr:uid="{00000000-0005-0000-0000-00004E040000}"/>
    <cellStyle name="Normal 184 2" xfId="2012" xr:uid="{00000000-0005-0000-0000-00004F040000}"/>
    <cellStyle name="Normal 184 2 2" xfId="5262" xr:uid="{DF1598DE-729F-4B12-8952-035C7776A0BD}"/>
    <cellStyle name="Normal 184 2 2 2" xfId="8642" xr:uid="{9EB91641-F829-4419-9B84-3E5D52F7380C}"/>
    <cellStyle name="Normal 184 2 3" xfId="6942" xr:uid="{98408DA3-8603-4356-A8EA-EDF94FBD837D}"/>
    <cellStyle name="Normal 184 2_DEO ADIT Unprotected" xfId="2997" xr:uid="{3854AEB1-EF96-4226-8B9F-80DB94E31DED}"/>
    <cellStyle name="Normal 184 3" xfId="4425" xr:uid="{1B327B1F-FD50-40A2-A49D-15FD0891A681}"/>
    <cellStyle name="Normal 184 3 2" xfId="7805" xr:uid="{4410D67D-34EB-4080-AE7E-82885A50116F}"/>
    <cellStyle name="Normal 184 4" xfId="6104" xr:uid="{F816B0BF-CEC9-487A-8F93-457642B28FFF}"/>
    <cellStyle name="Normal 184_DEO ADIT Unprotected" xfId="2996" xr:uid="{5424DBEB-E0AD-4ACF-A986-4157DC9D58C3}"/>
    <cellStyle name="Normal 185" xfId="1052" xr:uid="{00000000-0005-0000-0000-000050040000}"/>
    <cellStyle name="Normal 185 2" xfId="2013" xr:uid="{00000000-0005-0000-0000-000051040000}"/>
    <cellStyle name="Normal 185 2 2" xfId="5263" xr:uid="{78165EB4-C219-44CD-B06E-5AFD1646E204}"/>
    <cellStyle name="Normal 185 2 2 2" xfId="8643" xr:uid="{B2FCD40D-B6CA-4F45-A567-93F3687614E1}"/>
    <cellStyle name="Normal 185 2 3" xfId="6943" xr:uid="{7244E87F-F7ED-47D3-AC87-CB516ADC2345}"/>
    <cellStyle name="Normal 185 2_DEO ADIT Unprotected" xfId="2999" xr:uid="{04CF6D0D-AD92-4BD2-830B-03EC640DDE0C}"/>
    <cellStyle name="Normal 185 3" xfId="4426" xr:uid="{56CFA5DE-5C18-499A-9D88-3CCBE5675C90}"/>
    <cellStyle name="Normal 185 3 2" xfId="7806" xr:uid="{56615D28-4091-4EDF-8DA9-7CC8FCF364DD}"/>
    <cellStyle name="Normal 185 4" xfId="6105" xr:uid="{F0BC3E78-1AAD-42D8-B52E-B70F84FFFD24}"/>
    <cellStyle name="Normal 185_DEO ADIT Unprotected" xfId="2998" xr:uid="{67E461CA-AC28-4E01-8154-24861CC85CB1}"/>
    <cellStyle name="Normal 186" xfId="1053" xr:uid="{00000000-0005-0000-0000-000052040000}"/>
    <cellStyle name="Normal 186 2" xfId="2014" xr:uid="{00000000-0005-0000-0000-000053040000}"/>
    <cellStyle name="Normal 186 2 2" xfId="5264" xr:uid="{C8748979-DEC1-4714-91E6-3BB1FED0548B}"/>
    <cellStyle name="Normal 186 2 2 2" xfId="8644" xr:uid="{D096B8A0-0A8B-4F37-8D88-02D7F7B7A452}"/>
    <cellStyle name="Normal 186 2 3" xfId="6944" xr:uid="{CA0F2F6A-6701-488E-B22D-DCEB6EB0DFD5}"/>
    <cellStyle name="Normal 186 2_DEO ADIT Unprotected" xfId="3001" xr:uid="{D7319E2D-A5CF-46C4-877A-DDA01A92CE1E}"/>
    <cellStyle name="Normal 186 3" xfId="4427" xr:uid="{BFE20887-474B-4956-971D-221705AE9E61}"/>
    <cellStyle name="Normal 186 3 2" xfId="7807" xr:uid="{5B95F006-C5C3-4465-B6D6-4BD68020C51F}"/>
    <cellStyle name="Normal 186 4" xfId="6106" xr:uid="{966AFC50-2A55-4A31-9FA9-20008611FFF1}"/>
    <cellStyle name="Normal 186_DEO ADIT Unprotected" xfId="3000" xr:uid="{958CF0A1-4B96-4792-82E1-AA56DDED9909}"/>
    <cellStyle name="Normal 187" xfId="1054" xr:uid="{00000000-0005-0000-0000-000054040000}"/>
    <cellStyle name="Normal 187 2" xfId="2015" xr:uid="{00000000-0005-0000-0000-000055040000}"/>
    <cellStyle name="Normal 187 2 2" xfId="5265" xr:uid="{AA0C96D4-5154-4AAA-91EF-DC18FDC2D14B}"/>
    <cellStyle name="Normal 187 2 2 2" xfId="8645" xr:uid="{F532ADF6-E9B9-40ED-AF0F-2EFCBD531279}"/>
    <cellStyle name="Normal 187 2 3" xfId="6945" xr:uid="{17A037C4-AAE2-43E5-9460-6FCD9729CA25}"/>
    <cellStyle name="Normal 187 2_DEO ADIT Unprotected" xfId="3003" xr:uid="{12A08737-A332-46CB-9959-D7F6DB901D2A}"/>
    <cellStyle name="Normal 187 3" xfId="4428" xr:uid="{D8776565-17C3-48F5-877B-3C58CBCA5ADC}"/>
    <cellStyle name="Normal 187 3 2" xfId="7808" xr:uid="{BE93CE93-F03C-400B-826C-F4A18C8FA750}"/>
    <cellStyle name="Normal 187 4" xfId="6107" xr:uid="{221F1211-8BEA-4924-92FD-D71471C867EE}"/>
    <cellStyle name="Normal 187_DEO ADIT Unprotected" xfId="3002" xr:uid="{51CDF2FE-AF3B-4AAF-8C09-21B000B16FD6}"/>
    <cellStyle name="Normal 188" xfId="1055" xr:uid="{00000000-0005-0000-0000-000056040000}"/>
    <cellStyle name="Normal 188 2" xfId="2016" xr:uid="{00000000-0005-0000-0000-000057040000}"/>
    <cellStyle name="Normal 188 2 2" xfId="5266" xr:uid="{9D9FC27A-F6BB-471E-A5CC-FCD82A0F46F7}"/>
    <cellStyle name="Normal 188 2 2 2" xfId="8646" xr:uid="{50CD5300-BAC9-4A55-B018-87F59B4FD66C}"/>
    <cellStyle name="Normal 188 2 3" xfId="6946" xr:uid="{150AA8D8-81BC-4BF6-B22F-B52605F5B1DE}"/>
    <cellStyle name="Normal 188 2_DEO ADIT Unprotected" xfId="3005" xr:uid="{0EEFC245-7910-4BD7-B404-09C811CA07BA}"/>
    <cellStyle name="Normal 188 3" xfId="4429" xr:uid="{947671E8-8702-4486-A959-1DE115064AA6}"/>
    <cellStyle name="Normal 188 3 2" xfId="7809" xr:uid="{AF2402DB-A557-4761-B28D-27B96584D0B1}"/>
    <cellStyle name="Normal 188 4" xfId="6108" xr:uid="{121932EA-9428-4B8B-B069-45D608DC54EB}"/>
    <cellStyle name="Normal 188_DEO ADIT Unprotected" xfId="3004" xr:uid="{EDAADB38-6AA7-46C0-BFF0-D4938C6FC69D}"/>
    <cellStyle name="Normal 189" xfId="1056" xr:uid="{00000000-0005-0000-0000-000058040000}"/>
    <cellStyle name="Normal 189 2" xfId="2017" xr:uid="{00000000-0005-0000-0000-000059040000}"/>
    <cellStyle name="Normal 189 2 2" xfId="5267" xr:uid="{F62B6072-3DE5-4B2D-9222-8E8712B7ED22}"/>
    <cellStyle name="Normal 189 2 2 2" xfId="8647" xr:uid="{2672D8ED-1C26-4C8A-992F-C7828E4089CB}"/>
    <cellStyle name="Normal 189 2 3" xfId="6947" xr:uid="{0427B448-8169-43B3-B74F-9B823934DF4A}"/>
    <cellStyle name="Normal 189 2_DEO ADIT Unprotected" xfId="3007" xr:uid="{00E3D218-8029-4DD2-9F3B-82A20502DBDE}"/>
    <cellStyle name="Normal 189 3" xfId="4430" xr:uid="{BD6267D3-4640-45A2-86AF-9D0F6577E737}"/>
    <cellStyle name="Normal 189 3 2" xfId="7810" xr:uid="{975552CF-2DEF-46DC-BE12-295F76056C73}"/>
    <cellStyle name="Normal 189 4" xfId="6109" xr:uid="{754E6F64-4048-4348-9BF5-244E7E99313F}"/>
    <cellStyle name="Normal 189_DEO ADIT Unprotected" xfId="3006" xr:uid="{D4DFCE03-FB76-4F6F-8F66-17F08DC75293}"/>
    <cellStyle name="Normal 19" xfId="455" xr:uid="{00000000-0005-0000-0000-00005A040000}"/>
    <cellStyle name="Normal 19 2" xfId="490" xr:uid="{00000000-0005-0000-0000-00005B040000}"/>
    <cellStyle name="Normal 19 2 2" xfId="1683" xr:uid="{00000000-0005-0000-0000-00005C040000}"/>
    <cellStyle name="Normal 19 2 2 2" xfId="4933" xr:uid="{2CA5F266-4761-43D6-A125-199BC842D55D}"/>
    <cellStyle name="Normal 19 2 2 2 2" xfId="8313" xr:uid="{E302554A-E21C-4761-84DA-24C068DE8B5F}"/>
    <cellStyle name="Normal 19 2 2 3" xfId="6613" xr:uid="{5ED1C52E-B5BC-47A1-B98C-A81344297F8E}"/>
    <cellStyle name="Normal 19 2 2_DEO ADIT Unprotected" xfId="3010" xr:uid="{B3B7D3F9-C951-4ED4-86E6-12536A42FEAF}"/>
    <cellStyle name="Normal 19 2 3" xfId="4096" xr:uid="{080A7B6E-BAB9-4448-8896-22527AF5A762}"/>
    <cellStyle name="Normal 19 2 3 2" xfId="7476" xr:uid="{882DDF10-3FE8-4FA0-8AC6-AD6C78FC3632}"/>
    <cellStyle name="Normal 19 2 4" xfId="5775" xr:uid="{F2612E1E-1DA7-4C6A-925D-88E23144B781}"/>
    <cellStyle name="Normal 19 2_DEO ADIT Unprotected" xfId="3009" xr:uid="{B081C2DD-E46A-4C4D-B9C5-FB65EFBB1B3D}"/>
    <cellStyle name="Normal 19 3" xfId="1057" xr:uid="{00000000-0005-0000-0000-00005D040000}"/>
    <cellStyle name="Normal 19 3 2" xfId="1058" xr:uid="{00000000-0005-0000-0000-00005E040000}"/>
    <cellStyle name="Normal 19 3 2 2" xfId="2019" xr:uid="{00000000-0005-0000-0000-00005F040000}"/>
    <cellStyle name="Normal 19 3 2 2 2" xfId="5269" xr:uid="{0E468FFD-F4AC-47BF-AFCB-0F60582CE0AA}"/>
    <cellStyle name="Normal 19 3 2 2 2 2" xfId="8649" xr:uid="{EE46F58E-8C76-4623-8E13-4D2232A75F86}"/>
    <cellStyle name="Normal 19 3 2 2 3" xfId="6949" xr:uid="{86721AF6-A60D-46B8-9436-AB8C555648BD}"/>
    <cellStyle name="Normal 19 3 2 2_DEO ADIT Unprotected" xfId="3013" xr:uid="{562AB365-D226-4240-BB41-398B2A29BC27}"/>
    <cellStyle name="Normal 19 3 2 3" xfId="4432" xr:uid="{009D5FC0-C019-4FE4-BB37-CC18D2FA0CDD}"/>
    <cellStyle name="Normal 19 3 2 3 2" xfId="7812" xr:uid="{496E7A52-CEBF-4D63-B66C-09DFBEF82474}"/>
    <cellStyle name="Normal 19 3 2 4" xfId="6111" xr:uid="{838F3C89-C25F-46B3-AD44-B03D368844D8}"/>
    <cellStyle name="Normal 19 3 2_DEO ADIT Unprotected" xfId="3012" xr:uid="{E2237DE7-9ECB-49A0-89EA-0C98AEFDD11D}"/>
    <cellStyle name="Normal 19 3 3" xfId="2018" xr:uid="{00000000-0005-0000-0000-000060040000}"/>
    <cellStyle name="Normal 19 3 3 2" xfId="5268" xr:uid="{31013E1D-0121-4484-A574-AAAA56AE6005}"/>
    <cellStyle name="Normal 19 3 3 2 2" xfId="8648" xr:uid="{EE00891F-4667-419E-975C-5FB868440DBC}"/>
    <cellStyle name="Normal 19 3 3 3" xfId="6948" xr:uid="{8FD0EF3F-19C0-4C22-89EB-EE0FD63E27BC}"/>
    <cellStyle name="Normal 19 3 3_DEO ADIT Unprotected" xfId="3014" xr:uid="{B9CC3CF6-BB3B-4459-832A-F7442AA0E52B}"/>
    <cellStyle name="Normal 19 3 4" xfId="4431" xr:uid="{55F04E61-9BB8-43A3-ACE3-B35B8A015193}"/>
    <cellStyle name="Normal 19 3 4 2" xfId="7811" xr:uid="{8D43EDBA-05A8-49D2-B531-7133A4451EF0}"/>
    <cellStyle name="Normal 19 3 5" xfId="6110" xr:uid="{954574FB-E36E-4215-BC07-EB5C9B117716}"/>
    <cellStyle name="Normal 19 3_DEO ADIT Unprotected" xfId="3011" xr:uid="{9681ED25-E719-41DE-9E7E-985BE0FC9662}"/>
    <cellStyle name="Normal 19 4" xfId="1059" xr:uid="{00000000-0005-0000-0000-000061040000}"/>
    <cellStyle name="Normal 19 4 2" xfId="1060" xr:uid="{00000000-0005-0000-0000-000062040000}"/>
    <cellStyle name="Normal 19 4 2 2" xfId="2021" xr:uid="{00000000-0005-0000-0000-000063040000}"/>
    <cellStyle name="Normal 19 4 2 2 2" xfId="5271" xr:uid="{7FD86D19-46E8-4BD7-A35E-D29D4BE50C01}"/>
    <cellStyle name="Normal 19 4 2 2 2 2" xfId="8651" xr:uid="{DE01CBDB-B2F8-4929-BA76-B3E4578CF54D}"/>
    <cellStyle name="Normal 19 4 2 2 3" xfId="6951" xr:uid="{279FC8B2-64B4-4933-A9B9-B941AEBC5AB8}"/>
    <cellStyle name="Normal 19 4 2 2_DEO ADIT Unprotected" xfId="3017" xr:uid="{01E28042-8F9D-43C7-868A-E7545DBDF712}"/>
    <cellStyle name="Normal 19 4 2 3" xfId="4434" xr:uid="{DF0895C6-75FB-4384-BE0E-3573348F7015}"/>
    <cellStyle name="Normal 19 4 2 3 2" xfId="7814" xr:uid="{B92B9D4C-0426-47D6-B020-719B0AA8E04F}"/>
    <cellStyle name="Normal 19 4 2 4" xfId="6113" xr:uid="{14FF810E-49D6-44B9-B91F-235C2B831798}"/>
    <cellStyle name="Normal 19 4 2_DEO ADIT Unprotected" xfId="3016" xr:uid="{9D3C640D-3089-4F74-9C26-C67214B6AAD7}"/>
    <cellStyle name="Normal 19 4 3" xfId="2020" xr:uid="{00000000-0005-0000-0000-000064040000}"/>
    <cellStyle name="Normal 19 4 3 2" xfId="5270" xr:uid="{E74920B6-1882-496B-9F3A-8EDBA03424DB}"/>
    <cellStyle name="Normal 19 4 3 2 2" xfId="8650" xr:uid="{9E0E415F-0F11-4333-A9E3-53A6ECB116A7}"/>
    <cellStyle name="Normal 19 4 3 3" xfId="6950" xr:uid="{12738B59-2467-4DE4-8F5D-E73AFD36405D}"/>
    <cellStyle name="Normal 19 4 3_DEO ADIT Unprotected" xfId="3018" xr:uid="{B5713906-8AF8-46C3-A7B4-7CA724B14223}"/>
    <cellStyle name="Normal 19 4 4" xfId="4433" xr:uid="{B77E30B2-0D29-4FA7-AD8C-30A5D2CD629A}"/>
    <cellStyle name="Normal 19 4 4 2" xfId="7813" xr:uid="{22D0D95F-AFDA-4CF2-B5B6-D5CB986D978A}"/>
    <cellStyle name="Normal 19 4 5" xfId="6112" xr:uid="{FF4F18D8-AA9C-4C7D-B4EE-98E09ABCCEA4}"/>
    <cellStyle name="Normal 19 4_DEO ADIT Unprotected" xfId="3015" xr:uid="{73EBD2AF-2558-4C39-B5CD-995F98C3BECB}"/>
    <cellStyle name="Normal 19 5" xfId="1061" xr:uid="{00000000-0005-0000-0000-000065040000}"/>
    <cellStyle name="Normal 19 5 2" xfId="2022" xr:uid="{00000000-0005-0000-0000-000066040000}"/>
    <cellStyle name="Normal 19 5 2 2" xfId="5272" xr:uid="{FE0F0C80-4E08-4A66-9CA9-1098CC734561}"/>
    <cellStyle name="Normal 19 5 2 2 2" xfId="8652" xr:uid="{698644A5-1AE6-4818-98F5-759C5AF47B6C}"/>
    <cellStyle name="Normal 19 5 2 3" xfId="6952" xr:uid="{6E7C2D45-521F-4AC4-87AB-7C905A7F16D6}"/>
    <cellStyle name="Normal 19 5 2_DEO ADIT Unprotected" xfId="3020" xr:uid="{AF3D5E58-163F-4819-ABFA-0A9FB51C5310}"/>
    <cellStyle name="Normal 19 5 3" xfId="4435" xr:uid="{770447DA-D568-4A6F-9FA1-F4E246F92510}"/>
    <cellStyle name="Normal 19 5 3 2" xfId="7815" xr:uid="{D85EBD92-CA7B-4D57-8996-1363D6AEFF23}"/>
    <cellStyle name="Normal 19 5 4" xfId="6114" xr:uid="{F6710420-262B-49A1-8D43-C87A56A6B880}"/>
    <cellStyle name="Normal 19 5_DEO ADIT Unprotected" xfId="3019" xr:uid="{54FB3492-4A95-4C0A-AEA1-8EA383E5419E}"/>
    <cellStyle name="Normal 19 6" xfId="1651" xr:uid="{00000000-0005-0000-0000-000067040000}"/>
    <cellStyle name="Normal 19 6 2" xfId="4901" xr:uid="{81C01C71-AF98-4D0C-93CE-F1A78D9BEF71}"/>
    <cellStyle name="Normal 19 6 2 2" xfId="8281" xr:uid="{ADFFBDC9-DF33-4C2C-9617-83BFB0E827DD}"/>
    <cellStyle name="Normal 19 6 3" xfId="6581" xr:uid="{ED841A13-50D2-4D32-9D4D-E15E8FF6AB08}"/>
    <cellStyle name="Normal 19 6_DEO ADIT Unprotected" xfId="3021" xr:uid="{098C6291-1478-4367-A44A-76E5DE74C476}"/>
    <cellStyle name="Normal 19 7" xfId="4064" xr:uid="{37F6FACA-C90E-4501-B6F9-615A70D450E7}"/>
    <cellStyle name="Normal 19 7 2" xfId="7444" xr:uid="{1507D7D4-59D7-4AE5-9377-3D514335508C}"/>
    <cellStyle name="Normal 19 8" xfId="5743" xr:uid="{E52067C1-C2CA-483C-9EEC-9846E7F8DD75}"/>
    <cellStyle name="Normal 19_DEO ADIT Unprotected" xfId="3008" xr:uid="{2017C1B3-68C7-4067-9554-17EFA1F05CB4}"/>
    <cellStyle name="Normal 190" xfId="1062" xr:uid="{00000000-0005-0000-0000-000068040000}"/>
    <cellStyle name="Normal 190 2" xfId="2023" xr:uid="{00000000-0005-0000-0000-000069040000}"/>
    <cellStyle name="Normal 190 2 2" xfId="5273" xr:uid="{AF92A02A-C4F5-4D9F-B024-B50BDB2E2DFE}"/>
    <cellStyle name="Normal 190 2 2 2" xfId="8653" xr:uid="{F41921BB-C5AD-4F22-A496-1867548CB525}"/>
    <cellStyle name="Normal 190 2 3" xfId="6953" xr:uid="{4839BF61-2D10-4847-B56F-85C8FCF48DCA}"/>
    <cellStyle name="Normal 190 2_DEO ADIT Unprotected" xfId="3023" xr:uid="{9ECB0EC2-7B82-40C9-A4E6-672F5D4A90F3}"/>
    <cellStyle name="Normal 190 3" xfId="4436" xr:uid="{F3282332-4F17-46E4-B6A3-5A71305C80B2}"/>
    <cellStyle name="Normal 190 3 2" xfId="7816" xr:uid="{E51C35CA-0D57-498C-ACE0-C2BE929F6E9D}"/>
    <cellStyle name="Normal 190 4" xfId="6115" xr:uid="{CF5483B5-8810-466B-B96C-EF1648A18D25}"/>
    <cellStyle name="Normal 190_DEO ADIT Unprotected" xfId="3022" xr:uid="{1961D8F6-E0BE-4476-8E3B-20494A05BED6}"/>
    <cellStyle name="Normal 191" xfId="1063" xr:uid="{00000000-0005-0000-0000-00006A040000}"/>
    <cellStyle name="Normal 191 2" xfId="2024" xr:uid="{00000000-0005-0000-0000-00006B040000}"/>
    <cellStyle name="Normal 191 2 2" xfId="5274" xr:uid="{CF112023-9BD4-4FF3-986A-F8EAD4F137F9}"/>
    <cellStyle name="Normal 191 2 2 2" xfId="8654" xr:uid="{C77C29E4-BCE8-4085-957F-C5946075AE8F}"/>
    <cellStyle name="Normal 191 2 3" xfId="6954" xr:uid="{F8804771-074C-436F-B3E3-141B9F15D36E}"/>
    <cellStyle name="Normal 191 2_DEO ADIT Unprotected" xfId="3025" xr:uid="{3A58490D-6D85-4F8A-B1B7-748496E46396}"/>
    <cellStyle name="Normal 191 3" xfId="4437" xr:uid="{E8F8EA70-B59F-44C3-A58E-7E300C1ACB07}"/>
    <cellStyle name="Normal 191 3 2" xfId="7817" xr:uid="{1A504C58-C1D1-4ABE-BE3D-D8574F763A1E}"/>
    <cellStyle name="Normal 191 4" xfId="6116" xr:uid="{AAE91D49-1B29-4071-A59C-84B8E2D62CCB}"/>
    <cellStyle name="Normal 191_DEO ADIT Unprotected" xfId="3024" xr:uid="{1DCC5F52-ACD1-42E5-A5E8-7E1F1E940319}"/>
    <cellStyle name="Normal 192" xfId="1064" xr:uid="{00000000-0005-0000-0000-00006C040000}"/>
    <cellStyle name="Normal 192 2" xfId="2025" xr:uid="{00000000-0005-0000-0000-00006D040000}"/>
    <cellStyle name="Normal 192 2 2" xfId="5275" xr:uid="{75409D45-900A-44AB-A668-8BAF958C1A43}"/>
    <cellStyle name="Normal 192 2 2 2" xfId="8655" xr:uid="{0FF59057-DD96-4F20-A2F7-BC2082035456}"/>
    <cellStyle name="Normal 192 2 3" xfId="6955" xr:uid="{C5BB1375-2DB7-48B8-A0FB-31384EACF3B0}"/>
    <cellStyle name="Normal 192 2_DEO ADIT Unprotected" xfId="3027" xr:uid="{5AA5EF64-A127-4D90-BE89-95B8E7CF6EBC}"/>
    <cellStyle name="Normal 192 3" xfId="4438" xr:uid="{255ED2D2-2CFD-41EC-AB64-020C0F975058}"/>
    <cellStyle name="Normal 192 3 2" xfId="7818" xr:uid="{3111B709-AA43-439C-A6F4-73499BF292D0}"/>
    <cellStyle name="Normal 192 4" xfId="6117" xr:uid="{9E9E0A4B-9360-413E-81F1-BC7FBB3EC955}"/>
    <cellStyle name="Normal 192_DEO ADIT Unprotected" xfId="3026" xr:uid="{B3DAB99F-ECF3-45DD-A428-8049B52FCE33}"/>
    <cellStyle name="Normal 193" xfId="1065" xr:uid="{00000000-0005-0000-0000-00006E040000}"/>
    <cellStyle name="Normal 193 2" xfId="2026" xr:uid="{00000000-0005-0000-0000-00006F040000}"/>
    <cellStyle name="Normal 193 2 2" xfId="5276" xr:uid="{96973E64-71AB-484B-995F-7EF513426CD9}"/>
    <cellStyle name="Normal 193 2 2 2" xfId="8656" xr:uid="{8A10EC1D-A8AA-49A7-805B-853176318C9D}"/>
    <cellStyle name="Normal 193 2 3" xfId="6956" xr:uid="{4AF58394-EB0D-4D64-979A-81AF8CBC196C}"/>
    <cellStyle name="Normal 193 2_DEO ADIT Unprotected" xfId="3029" xr:uid="{F54601D5-84EA-4106-A4D8-C8888C0FC22C}"/>
    <cellStyle name="Normal 193 3" xfId="4439" xr:uid="{CC760027-642F-4C48-876D-D723250439FE}"/>
    <cellStyle name="Normal 193 3 2" xfId="7819" xr:uid="{235A6B8C-0EFC-4CD8-8DE9-94FD76ECCC94}"/>
    <cellStyle name="Normal 193 4" xfId="6118" xr:uid="{6FC4D8F2-B095-4C84-BF89-9C8EEC5B4BA7}"/>
    <cellStyle name="Normal 193_DEO ADIT Unprotected" xfId="3028" xr:uid="{450B18E3-C6FE-4002-B541-99D355F498AE}"/>
    <cellStyle name="Normal 194" xfId="1066" xr:uid="{00000000-0005-0000-0000-000070040000}"/>
    <cellStyle name="Normal 194 2" xfId="2027" xr:uid="{00000000-0005-0000-0000-000071040000}"/>
    <cellStyle name="Normal 194 2 2" xfId="5277" xr:uid="{A2FFE9D8-F089-4054-883A-CC440556E5DB}"/>
    <cellStyle name="Normal 194 2 2 2" xfId="8657" xr:uid="{C36C1749-9A9F-4290-95FD-A014BE234EA8}"/>
    <cellStyle name="Normal 194 2 3" xfId="6957" xr:uid="{34EA262D-1F2C-44F9-93DD-05DB01674706}"/>
    <cellStyle name="Normal 194 2_DEO ADIT Unprotected" xfId="3031" xr:uid="{16E7BA42-BFB1-4BF4-9A0A-8E54C7AF8A09}"/>
    <cellStyle name="Normal 194 3" xfId="4440" xr:uid="{2485894B-D21C-4198-9000-ED86DC835DFD}"/>
    <cellStyle name="Normal 194 3 2" xfId="7820" xr:uid="{AA09C85E-DACB-4514-A3B2-F9F1183E5C87}"/>
    <cellStyle name="Normal 194 4" xfId="6119" xr:uid="{4AFB7205-6F05-46C1-ACC3-E5DE4CF044FB}"/>
    <cellStyle name="Normal 194_DEO ADIT Unprotected" xfId="3030" xr:uid="{3976554B-4011-4105-BDB0-10ACFD918DCC}"/>
    <cellStyle name="Normal 195" xfId="1067" xr:uid="{00000000-0005-0000-0000-000072040000}"/>
    <cellStyle name="Normal 195 2" xfId="2028" xr:uid="{00000000-0005-0000-0000-000073040000}"/>
    <cellStyle name="Normal 195 2 2" xfId="5278" xr:uid="{C2BAC2C1-406B-4738-A673-4CE6A099E766}"/>
    <cellStyle name="Normal 195 2 2 2" xfId="8658" xr:uid="{C041D3AB-49C7-4C7E-9333-8D57A8033A76}"/>
    <cellStyle name="Normal 195 2 3" xfId="6958" xr:uid="{6B0428B1-B01E-4016-A931-DBF6A4EB4CBD}"/>
    <cellStyle name="Normal 195 2_DEO ADIT Unprotected" xfId="3033" xr:uid="{CAC6CD39-B205-4C9A-B35F-3243A1869A41}"/>
    <cellStyle name="Normal 195 3" xfId="4441" xr:uid="{48481BB5-F603-447D-9D66-CFFCA37281A1}"/>
    <cellStyle name="Normal 195 3 2" xfId="7821" xr:uid="{192EC46F-2342-4AA0-83C7-580F8DF83B77}"/>
    <cellStyle name="Normal 195 4" xfId="6120" xr:uid="{CBE9A6B1-5224-4312-B172-23590D77A3E0}"/>
    <cellStyle name="Normal 195_DEO ADIT Unprotected" xfId="3032" xr:uid="{DFE516D4-CB76-430F-B793-49A9FDA29A69}"/>
    <cellStyle name="Normal 196" xfId="1068" xr:uid="{00000000-0005-0000-0000-000074040000}"/>
    <cellStyle name="Normal 196 2" xfId="2029" xr:uid="{00000000-0005-0000-0000-000075040000}"/>
    <cellStyle name="Normal 196 2 2" xfId="5279" xr:uid="{633873E6-A7E1-48A9-B88F-05B1F8332E75}"/>
    <cellStyle name="Normal 196 2 2 2" xfId="8659" xr:uid="{846CCD18-3816-488E-948C-1BE075C6E69E}"/>
    <cellStyle name="Normal 196 2 3" xfId="6959" xr:uid="{C801ADCA-D1A9-4149-A182-BEEAA5570EB9}"/>
    <cellStyle name="Normal 196 2_DEO ADIT Unprotected" xfId="3035" xr:uid="{87262AB4-512E-44D7-9100-0ABBF71418E8}"/>
    <cellStyle name="Normal 196 3" xfId="4442" xr:uid="{75E5D42D-E6F9-45A4-B5E4-E6D926597821}"/>
    <cellStyle name="Normal 196 3 2" xfId="7822" xr:uid="{FB66B533-6AC6-47FA-AFD9-11F9E180A4E5}"/>
    <cellStyle name="Normal 196 4" xfId="6121" xr:uid="{CD3FDBB3-5B4F-42C7-9AB2-3523EAF21B79}"/>
    <cellStyle name="Normal 196_DEO ADIT Unprotected" xfId="3034" xr:uid="{574C9891-57B5-4352-AA55-5847628FB273}"/>
    <cellStyle name="Normal 197" xfId="1069" xr:uid="{00000000-0005-0000-0000-000076040000}"/>
    <cellStyle name="Normal 197 2" xfId="2030" xr:uid="{00000000-0005-0000-0000-000077040000}"/>
    <cellStyle name="Normal 197 2 2" xfId="5280" xr:uid="{1C5DF62D-F59C-4811-BF4E-21FD90DA48B1}"/>
    <cellStyle name="Normal 197 2 2 2" xfId="8660" xr:uid="{119FCE22-4C24-4647-AA54-187A5F9747CB}"/>
    <cellStyle name="Normal 197 2 3" xfId="6960" xr:uid="{75CB403D-7DDA-4C50-A020-347014BA958E}"/>
    <cellStyle name="Normal 197 2_DEO ADIT Unprotected" xfId="3037" xr:uid="{76610361-1414-479D-885A-37BF50AD9DD5}"/>
    <cellStyle name="Normal 197 3" xfId="4443" xr:uid="{6955009A-5CEF-400F-B26C-A33D8AF1DDDF}"/>
    <cellStyle name="Normal 197 3 2" xfId="7823" xr:uid="{05B870EE-A849-49CC-87B8-5D55CE87EC5E}"/>
    <cellStyle name="Normal 197 4" xfId="6122" xr:uid="{0342A97D-9BB2-4F9B-A4A0-5947EE2D6885}"/>
    <cellStyle name="Normal 197_DEO ADIT Unprotected" xfId="3036" xr:uid="{0FCC59C9-F5CD-4902-BB50-18B2B620D098}"/>
    <cellStyle name="Normal 198" xfId="1070" xr:uid="{00000000-0005-0000-0000-000078040000}"/>
    <cellStyle name="Normal 198 2" xfId="2031" xr:uid="{00000000-0005-0000-0000-000079040000}"/>
    <cellStyle name="Normal 198 2 2" xfId="5281" xr:uid="{060F5244-4A72-4714-B279-B5D9E973B365}"/>
    <cellStyle name="Normal 198 2 2 2" xfId="8661" xr:uid="{A27CA6A8-ED06-4742-9427-1A0BD6A1BB5E}"/>
    <cellStyle name="Normal 198 2 3" xfId="6961" xr:uid="{4634D991-DC69-4230-9BDB-B7B1F5535EC0}"/>
    <cellStyle name="Normal 198 2_DEO ADIT Unprotected" xfId="3039" xr:uid="{B116F115-90D7-49AA-838D-512934CC9621}"/>
    <cellStyle name="Normal 198 3" xfId="4444" xr:uid="{9004A442-BC8B-4641-9C51-575C58272850}"/>
    <cellStyle name="Normal 198 3 2" xfId="7824" xr:uid="{18BD4B44-FCC4-4B08-AD1C-F6585A0C6248}"/>
    <cellStyle name="Normal 198 4" xfId="6123" xr:uid="{6BA3E04D-DC38-452A-8337-8D5EBC67BC16}"/>
    <cellStyle name="Normal 198_DEO ADIT Unprotected" xfId="3038" xr:uid="{01F38AEA-8CB3-4C3D-90E5-2AF12F4CCE6C}"/>
    <cellStyle name="Normal 199" xfId="1071" xr:uid="{00000000-0005-0000-0000-00007A040000}"/>
    <cellStyle name="Normal 199 2" xfId="2032" xr:uid="{00000000-0005-0000-0000-00007B040000}"/>
    <cellStyle name="Normal 199 2 2" xfId="5282" xr:uid="{B6AF76BE-179E-450B-A153-5290EC96AB8A}"/>
    <cellStyle name="Normal 199 2 2 2" xfId="8662" xr:uid="{492D90EC-E091-4FD0-8740-203DDA469CF8}"/>
    <cellStyle name="Normal 199 2 3" xfId="6962" xr:uid="{2986DF8C-F463-4AB3-ABA3-CD2374651788}"/>
    <cellStyle name="Normal 199 2_DEO ADIT Unprotected" xfId="3041" xr:uid="{5A431234-0C30-4E56-8610-A89976CAF785}"/>
    <cellStyle name="Normal 199 3" xfId="4445" xr:uid="{F3FD9BA8-2131-42FE-815B-F434EB15536B}"/>
    <cellStyle name="Normal 199 3 2" xfId="7825" xr:uid="{2D4CB070-C920-4139-A824-B86E8ADEB60F}"/>
    <cellStyle name="Normal 199 4" xfId="6124" xr:uid="{B70506CE-614E-4566-8E2A-27046C5FD232}"/>
    <cellStyle name="Normal 199_DEO ADIT Unprotected" xfId="3040" xr:uid="{67444696-9CAD-4EF4-97EB-5A047C962A47}"/>
    <cellStyle name="Normal 2" xfId="3" xr:uid="{00000000-0005-0000-0000-00007C040000}"/>
    <cellStyle name="Normal 2 2" xfId="359" xr:uid="{00000000-0005-0000-0000-00007D040000}"/>
    <cellStyle name="Normal 2 2 10" xfId="1072" xr:uid="{00000000-0005-0000-0000-00007E040000}"/>
    <cellStyle name="Normal 2 2 11" xfId="1633" xr:uid="{00000000-0005-0000-0000-00007F040000}"/>
    <cellStyle name="Normal 2 2 11 2" xfId="4883" xr:uid="{1738D5F3-4DBF-4F48-94A1-2981A935DBD9}"/>
    <cellStyle name="Normal 2 2 11 2 2" xfId="8263" xr:uid="{E3E0FC2C-89BC-4382-BA30-879102B1B050}"/>
    <cellStyle name="Normal 2 2 11 3" xfId="6563" xr:uid="{FA44FA85-B38E-4140-9C66-6F6ED95745FE}"/>
    <cellStyle name="Normal 2 2 11_DEO ADIT Unprotected" xfId="3044" xr:uid="{08B2C754-0A67-4506-933A-78971CF6163D}"/>
    <cellStyle name="Normal 2 2 12" xfId="4046" xr:uid="{7CC03252-7F3D-4C62-8724-0A6B399580C7}"/>
    <cellStyle name="Normal 2 2 12 2" xfId="7426" xr:uid="{7FE57CC1-C137-4A1E-B971-7756FE89A535}"/>
    <cellStyle name="Normal 2 2 13" xfId="5725" xr:uid="{B7E944E3-9834-4184-BE81-8EB1C1FE39E5}"/>
    <cellStyle name="Normal 2 2 2" xfId="428" xr:uid="{00000000-0005-0000-0000-000080040000}"/>
    <cellStyle name="Normal 2 2 2 2" xfId="1073" xr:uid="{00000000-0005-0000-0000-000081040000}"/>
    <cellStyle name="Normal 2 2 2 2 2" xfId="1074" xr:uid="{00000000-0005-0000-0000-000082040000}"/>
    <cellStyle name="Normal 2 2 2 2 2 2" xfId="2034" xr:uid="{00000000-0005-0000-0000-000083040000}"/>
    <cellStyle name="Normal 2 2 2 2 2 2 2" xfId="5284" xr:uid="{F7522112-2762-4409-AEE3-0716C60BD3DE}"/>
    <cellStyle name="Normal 2 2 2 2 2 2 2 2" xfId="8664" xr:uid="{6253DD82-4422-440C-82FA-6067383A0B1D}"/>
    <cellStyle name="Normal 2 2 2 2 2 2 3" xfId="6964" xr:uid="{B4FBEDCA-BC46-4680-9AC6-C6C0D862E948}"/>
    <cellStyle name="Normal 2 2 2 2 2 2_DEO ADIT Unprotected" xfId="3048" xr:uid="{B827C77B-01C6-45C9-88ED-4915C7C0F3EF}"/>
    <cellStyle name="Normal 2 2 2 2 2 3" xfId="4447" xr:uid="{60A224C3-02DC-4D2A-9870-5E5EF986B071}"/>
    <cellStyle name="Normal 2 2 2 2 2 3 2" xfId="7827" xr:uid="{B17714C4-1ADA-42DC-B577-38581CCE86E8}"/>
    <cellStyle name="Normal 2 2 2 2 2 4" xfId="6126" xr:uid="{21B42FF3-7915-4BB2-9610-D83750687AC1}"/>
    <cellStyle name="Normal 2 2 2 2 2_DEO ADIT Unprotected" xfId="3047" xr:uid="{076FC8B1-E8A3-47BE-A341-BA3D659AB7F9}"/>
    <cellStyle name="Normal 2 2 2 2 3" xfId="2033" xr:uid="{00000000-0005-0000-0000-000084040000}"/>
    <cellStyle name="Normal 2 2 2 2 3 2" xfId="5283" xr:uid="{85E3718C-35A8-4BCA-8972-1B9801A5E7A8}"/>
    <cellStyle name="Normal 2 2 2 2 3 2 2" xfId="8663" xr:uid="{B1F83A21-5DE1-4416-ABC4-791CDB499B49}"/>
    <cellStyle name="Normal 2 2 2 2 3 3" xfId="6963" xr:uid="{429818F1-EE32-4DB0-9E2D-F63FBCE95315}"/>
    <cellStyle name="Normal 2 2 2 2 3_DEO ADIT Unprotected" xfId="3049" xr:uid="{D9A44C61-96CC-493B-B20C-5B984F5E951E}"/>
    <cellStyle name="Normal 2 2 2 2 4" xfId="4446" xr:uid="{05E87BB7-57BC-4F36-AE81-D10B463E110D}"/>
    <cellStyle name="Normal 2 2 2 2 4 2" xfId="7826" xr:uid="{90C20B06-B1E0-4FFE-8D90-A03B4A91C8A2}"/>
    <cellStyle name="Normal 2 2 2 2 5" xfId="6125" xr:uid="{AA579137-D8E3-4BD5-A405-3D6FFC426689}"/>
    <cellStyle name="Normal 2 2 2 2_DEO ADIT Unprotected" xfId="3046" xr:uid="{E5400CAB-411A-4FAB-865F-EFB8A7CC27ED}"/>
    <cellStyle name="Normal 2 2 2 3" xfId="1075" xr:uid="{00000000-0005-0000-0000-000085040000}"/>
    <cellStyle name="Normal 2 2 2 3 2" xfId="1076" xr:uid="{00000000-0005-0000-0000-000086040000}"/>
    <cellStyle name="Normal 2 2 2 3 2 2" xfId="2035" xr:uid="{00000000-0005-0000-0000-000087040000}"/>
    <cellStyle name="Normal 2 2 2 3 2 2 2" xfId="5285" xr:uid="{F2CCA2C0-58CB-40DD-B1F7-9BFE53DF0C11}"/>
    <cellStyle name="Normal 2 2 2 3 2 2 2 2" xfId="8665" xr:uid="{C04709F9-1DDF-4336-BBF1-9A88263A6031}"/>
    <cellStyle name="Normal 2 2 2 3 2 2 3" xfId="6965" xr:uid="{394D47DD-D983-40DF-AC2D-C7CE244DE79A}"/>
    <cellStyle name="Normal 2 2 2 3 2 2_DEO ADIT Unprotected" xfId="3051" xr:uid="{60BAECED-4342-478A-80F8-8DB74C67B303}"/>
    <cellStyle name="Normal 2 2 2 3 2 3" xfId="4448" xr:uid="{AFF0DB84-7D1F-4F13-8A6D-4526C8B4358F}"/>
    <cellStyle name="Normal 2 2 2 3 2 3 2" xfId="7828" xr:uid="{9AC987AF-2CFD-42CA-B0D2-0C2F6727DE51}"/>
    <cellStyle name="Normal 2 2 2 3 2 4" xfId="6127" xr:uid="{71D057B5-FCD4-4D1B-9004-C03CC220F448}"/>
    <cellStyle name="Normal 2 2 2 3 2_DEO ADIT Unprotected" xfId="3050" xr:uid="{CE9F2EEC-70C3-4B4D-942A-C1808DB9C89A}"/>
    <cellStyle name="Normal 2 2 2 4" xfId="1077" xr:uid="{00000000-0005-0000-0000-000088040000}"/>
    <cellStyle name="Normal 2 2 2 4 2" xfId="1078" xr:uid="{00000000-0005-0000-0000-000089040000}"/>
    <cellStyle name="Normal 2 2 2 4 2 2" xfId="2036" xr:uid="{00000000-0005-0000-0000-00008A040000}"/>
    <cellStyle name="Normal 2 2 2 4 2 2 2" xfId="5286" xr:uid="{5935B611-CC32-49E2-81EA-EF0D4C15900C}"/>
    <cellStyle name="Normal 2 2 2 4 2 2 2 2" xfId="8666" xr:uid="{A410A080-280C-4CA6-96B2-76B4F0822A02}"/>
    <cellStyle name="Normal 2 2 2 4 2 2 3" xfId="6966" xr:uid="{4995E37A-3AF3-44A8-9355-CA8FB11C5AF4}"/>
    <cellStyle name="Normal 2 2 2 4 2 2_DEO ADIT Unprotected" xfId="3053" xr:uid="{7A9BA146-65BF-414E-AFEA-0ED157D9FB11}"/>
    <cellStyle name="Normal 2 2 2 4 2 3" xfId="4449" xr:uid="{45DD9C20-FB2E-471F-9065-62A9983EA738}"/>
    <cellStyle name="Normal 2 2 2 4 2 3 2" xfId="7829" xr:uid="{9FF38CC0-2F8A-4AAD-A661-3AAE46AFF567}"/>
    <cellStyle name="Normal 2 2 2 4 2 4" xfId="6128" xr:uid="{5A442766-C4DA-490A-8868-7EE44A3BC93B}"/>
    <cellStyle name="Normal 2 2 2 4 2_DEO ADIT Unprotected" xfId="3052" xr:uid="{F07AED73-CDD8-4068-91E7-A382317426F3}"/>
    <cellStyle name="Normal 2 2 2_DEO ADIT Unprotected" xfId="3045" xr:uid="{9B657873-CBE7-4972-B61B-D3D7CD44713B}"/>
    <cellStyle name="Normal 2 2 3" xfId="1079" xr:uid="{00000000-0005-0000-0000-00008B040000}"/>
    <cellStyle name="Normal 2 2 3 2" xfId="1080" xr:uid="{00000000-0005-0000-0000-00008C040000}"/>
    <cellStyle name="Normal 2 2 3 2 2" xfId="1081" xr:uid="{00000000-0005-0000-0000-00008D040000}"/>
    <cellStyle name="Normal 2 2 3 2 2 2" xfId="1082" xr:uid="{00000000-0005-0000-0000-00008E040000}"/>
    <cellStyle name="Normal 2 2 3 2 2 2 2" xfId="2040" xr:uid="{00000000-0005-0000-0000-00008F040000}"/>
    <cellStyle name="Normal 2 2 3 2 2 2 2 2" xfId="5290" xr:uid="{9D9D9787-11F8-4321-B8DE-BEDFA79DA467}"/>
    <cellStyle name="Normal 2 2 3 2 2 2 2 2 2" xfId="8670" xr:uid="{1628E64F-2E49-42D4-ACA8-05B5BF7AE486}"/>
    <cellStyle name="Normal 2 2 3 2 2 2 2 3" xfId="6970" xr:uid="{9BDB1C47-7817-4FC6-8331-168AB59173A0}"/>
    <cellStyle name="Normal 2 2 3 2 2 2 2_DEO ADIT Unprotected" xfId="3058" xr:uid="{9498096C-6A16-41EB-B1FE-B6A40997F892}"/>
    <cellStyle name="Normal 2 2 3 2 2 2 3" xfId="4453" xr:uid="{F3AEDD9A-4BF7-4E04-9076-495326B51DD6}"/>
    <cellStyle name="Normal 2 2 3 2 2 2 3 2" xfId="7833" xr:uid="{F31A2A48-1AE6-48E0-841B-C89E2E338365}"/>
    <cellStyle name="Normal 2 2 3 2 2 2 4" xfId="6132" xr:uid="{989FDE14-CB2D-487B-91F8-98F9FD4743D9}"/>
    <cellStyle name="Normal 2 2 3 2 2 2_DEO ADIT Unprotected" xfId="3057" xr:uid="{6FFFFBC6-5B19-48C5-81AD-184FBA63B228}"/>
    <cellStyle name="Normal 2 2 3 2 2 3" xfId="2039" xr:uid="{00000000-0005-0000-0000-000090040000}"/>
    <cellStyle name="Normal 2 2 3 2 2 3 2" xfId="5289" xr:uid="{916E69F9-F4E0-4C57-926D-5810368150AA}"/>
    <cellStyle name="Normal 2 2 3 2 2 3 2 2" xfId="8669" xr:uid="{89852774-CFB4-48CD-B9EE-A08B7D1FA6D9}"/>
    <cellStyle name="Normal 2 2 3 2 2 3 3" xfId="6969" xr:uid="{58F4765C-7715-488B-9EEF-BBFBB7551447}"/>
    <cellStyle name="Normal 2 2 3 2 2 3_DEO ADIT Unprotected" xfId="3059" xr:uid="{E8F154F7-D565-49F0-8CED-0830E64CC3CB}"/>
    <cellStyle name="Normal 2 2 3 2 2 4" xfId="4452" xr:uid="{48962ADA-C121-4C41-B27E-BC489A88A889}"/>
    <cellStyle name="Normal 2 2 3 2 2 4 2" xfId="7832" xr:uid="{7E61AA7A-BD6C-4040-B249-CDB53D69C24E}"/>
    <cellStyle name="Normal 2 2 3 2 2 5" xfId="6131" xr:uid="{CF76164C-DE1B-43C3-8F35-9CC27F6259A8}"/>
    <cellStyle name="Normal 2 2 3 2 2_DEO ADIT Unprotected" xfId="3056" xr:uid="{CE1E4EAD-0A72-48FB-9530-8499305736E6}"/>
    <cellStyle name="Normal 2 2 3 2 3" xfId="2038" xr:uid="{00000000-0005-0000-0000-000091040000}"/>
    <cellStyle name="Normal 2 2 3 2 3 2" xfId="5288" xr:uid="{FC2A927D-B1E2-4F00-B912-A679C931E452}"/>
    <cellStyle name="Normal 2 2 3 2 3 2 2" xfId="8668" xr:uid="{33A2BCCD-CA67-429E-BC5A-E57BDAAC45BD}"/>
    <cellStyle name="Normal 2 2 3 2 3 3" xfId="6968" xr:uid="{3101FFA7-0D10-4C08-B98E-4B5518778233}"/>
    <cellStyle name="Normal 2 2 3 2 3_DEO ADIT Unprotected" xfId="3060" xr:uid="{7D42E455-14DE-45BC-B334-3ECC93420CA7}"/>
    <cellStyle name="Normal 2 2 3 2 4" xfId="4451" xr:uid="{6300480E-9680-480A-810E-985C31042BBE}"/>
    <cellStyle name="Normal 2 2 3 2 4 2" xfId="7831" xr:uid="{4A96DBEE-28B5-4A15-9080-6557D35FA2B0}"/>
    <cellStyle name="Normal 2 2 3 2 5" xfId="6130" xr:uid="{ED4D9A83-F30F-4381-A212-DD0C645920B2}"/>
    <cellStyle name="Normal 2 2 3 2_DEO ADIT Unprotected" xfId="3055" xr:uid="{83BDA62A-BC66-46D0-842D-3F395F6CEBE6}"/>
    <cellStyle name="Normal 2 2 3 3" xfId="1083" xr:uid="{00000000-0005-0000-0000-000092040000}"/>
    <cellStyle name="Normal 2 2 3 3 2" xfId="1084" xr:uid="{00000000-0005-0000-0000-000093040000}"/>
    <cellStyle name="Normal 2 2 3 3 2 2" xfId="2042" xr:uid="{00000000-0005-0000-0000-000094040000}"/>
    <cellStyle name="Normal 2 2 3 3 2 2 2" xfId="5292" xr:uid="{037D3334-DD63-4BE9-B177-35CC949111AC}"/>
    <cellStyle name="Normal 2 2 3 3 2 2 2 2" xfId="8672" xr:uid="{6B4BF342-38D6-4C97-8BD6-AC42A46FDDD3}"/>
    <cellStyle name="Normal 2 2 3 3 2 2 3" xfId="6972" xr:uid="{1C5952C0-7903-4EDC-8F84-D3D7AED7992B}"/>
    <cellStyle name="Normal 2 2 3 3 2 2_DEO ADIT Unprotected" xfId="3063" xr:uid="{54508161-639A-42EC-A277-04756D4A4814}"/>
    <cellStyle name="Normal 2 2 3 3 2 3" xfId="4455" xr:uid="{63CB97D9-567E-4400-B527-0FAD14ABCD3E}"/>
    <cellStyle name="Normal 2 2 3 3 2 3 2" xfId="7835" xr:uid="{5E9A319E-5EFA-4DAF-8515-BBEE381C1B67}"/>
    <cellStyle name="Normal 2 2 3 3 2 4" xfId="6134" xr:uid="{FD54AC38-B628-4107-9343-B230D110BE0A}"/>
    <cellStyle name="Normal 2 2 3 3 2_DEO ADIT Unprotected" xfId="3062" xr:uid="{4D07684D-DAF1-44F3-924D-FDE6D816591C}"/>
    <cellStyle name="Normal 2 2 3 3 3" xfId="2041" xr:uid="{00000000-0005-0000-0000-000095040000}"/>
    <cellStyle name="Normal 2 2 3 3 3 2" xfId="5291" xr:uid="{1EA44B24-3CC5-45C8-AC85-5F750B727703}"/>
    <cellStyle name="Normal 2 2 3 3 3 2 2" xfId="8671" xr:uid="{DB410F47-3676-4A2B-819A-A56BD5E0581B}"/>
    <cellStyle name="Normal 2 2 3 3 3 3" xfId="6971" xr:uid="{501303B9-F55D-48E2-A00B-CC892D8CA34C}"/>
    <cellStyle name="Normal 2 2 3 3 3_DEO ADIT Unprotected" xfId="3064" xr:uid="{DDE1A691-AA4E-4A9F-8D06-342EEC2E6B06}"/>
    <cellStyle name="Normal 2 2 3 3 4" xfId="4454" xr:uid="{31ABC527-278E-4913-8516-56C7026B79DA}"/>
    <cellStyle name="Normal 2 2 3 3 4 2" xfId="7834" xr:uid="{A2F89868-01C7-4986-BCE0-DD82446781CB}"/>
    <cellStyle name="Normal 2 2 3 3 5" xfId="6133" xr:uid="{D825B459-A4A1-442C-8A30-31A7481BB8A4}"/>
    <cellStyle name="Normal 2 2 3 3_DEO ADIT Unprotected" xfId="3061" xr:uid="{58034828-F19B-4ABD-9DF2-17523AD35AEF}"/>
    <cellStyle name="Normal 2 2 3 4" xfId="1085" xr:uid="{00000000-0005-0000-0000-000096040000}"/>
    <cellStyle name="Normal 2 2 3 4 2" xfId="1086" xr:uid="{00000000-0005-0000-0000-000097040000}"/>
    <cellStyle name="Normal 2 2 3 4 2 2" xfId="2044" xr:uid="{00000000-0005-0000-0000-000098040000}"/>
    <cellStyle name="Normal 2 2 3 4 2 2 2" xfId="5294" xr:uid="{6FB85D15-5D5D-448A-A091-F14C4FAFA980}"/>
    <cellStyle name="Normal 2 2 3 4 2 2 2 2" xfId="8674" xr:uid="{6A2009B0-426E-4850-8F0C-01BB67996BE8}"/>
    <cellStyle name="Normal 2 2 3 4 2 2 3" xfId="6974" xr:uid="{1DDDDA76-7C60-4489-9657-FC82955AA2AC}"/>
    <cellStyle name="Normal 2 2 3 4 2 2_DEO ADIT Unprotected" xfId="3067" xr:uid="{E021E798-EF02-4F0E-8AA7-5D4A71C6A445}"/>
    <cellStyle name="Normal 2 2 3 4 2 3" xfId="4457" xr:uid="{FE0D4691-874D-4267-8CA3-34A4C9102CF3}"/>
    <cellStyle name="Normal 2 2 3 4 2 3 2" xfId="7837" xr:uid="{20A3DA61-42AF-4633-892F-971C335E4FE1}"/>
    <cellStyle name="Normal 2 2 3 4 2 4" xfId="6136" xr:uid="{394A3C1F-471F-47A2-8BDC-9EEA07733E30}"/>
    <cellStyle name="Normal 2 2 3 4 2_DEO ADIT Unprotected" xfId="3066" xr:uid="{FCC71D09-91CA-4E9D-A51E-49F235BEB4D1}"/>
    <cellStyle name="Normal 2 2 3 4 3" xfId="2043" xr:uid="{00000000-0005-0000-0000-000099040000}"/>
    <cellStyle name="Normal 2 2 3 4 3 2" xfId="5293" xr:uid="{D145EA6F-19C0-4645-99E4-0C74E62760D8}"/>
    <cellStyle name="Normal 2 2 3 4 3 2 2" xfId="8673" xr:uid="{65563177-E7DE-4BEE-B794-51FB63003A58}"/>
    <cellStyle name="Normal 2 2 3 4 3 3" xfId="6973" xr:uid="{DCB33092-1DBC-4FC5-83AD-293246A7E97E}"/>
    <cellStyle name="Normal 2 2 3 4 3_DEO ADIT Unprotected" xfId="3068" xr:uid="{E4C6AFAB-9066-4181-A143-0F6FDDA44312}"/>
    <cellStyle name="Normal 2 2 3 4 4" xfId="4456" xr:uid="{7E64A59F-2BD4-4F52-93B7-BFCB51C0F10D}"/>
    <cellStyle name="Normal 2 2 3 4 4 2" xfId="7836" xr:uid="{D20FA562-712E-4DC1-9DF0-F7D8EFE80125}"/>
    <cellStyle name="Normal 2 2 3 4 5" xfId="6135" xr:uid="{B43A86BE-23D8-4CF9-B3B8-A1792618ECE8}"/>
    <cellStyle name="Normal 2 2 3 4_DEO ADIT Unprotected" xfId="3065" xr:uid="{EFEC5C8B-0BEB-4708-88C1-2E5C08B49961}"/>
    <cellStyle name="Normal 2 2 3 5" xfId="1087" xr:uid="{00000000-0005-0000-0000-00009A040000}"/>
    <cellStyle name="Normal 2 2 3 6" xfId="2037" xr:uid="{00000000-0005-0000-0000-00009B040000}"/>
    <cellStyle name="Normal 2 2 3 6 2" xfId="5287" xr:uid="{DE54ABF2-681B-46D5-B650-E72593DB7AD6}"/>
    <cellStyle name="Normal 2 2 3 6 2 2" xfId="8667" xr:uid="{F7DB918C-F1A5-4FF9-A3DE-96B0C49787A3}"/>
    <cellStyle name="Normal 2 2 3 6 3" xfId="6967" xr:uid="{96F19325-8DFA-409F-8415-24989A138C68}"/>
    <cellStyle name="Normal 2 2 3 6_DEO ADIT Unprotected" xfId="3069" xr:uid="{5A664184-B6D6-4468-A165-6046DE722409}"/>
    <cellStyle name="Normal 2 2 3 7" xfId="4450" xr:uid="{46C70E43-D6A3-4242-AAC7-3161F4906C8A}"/>
    <cellStyle name="Normal 2 2 3 7 2" xfId="7830" xr:uid="{5DC1C57D-C109-4A7A-87F3-97F12F1CF7A1}"/>
    <cellStyle name="Normal 2 2 3 8" xfId="6129" xr:uid="{CBF5AF3C-EE5B-4410-93D8-B21D4FD7B0B2}"/>
    <cellStyle name="Normal 2 2 3_DEO ADIT Unprotected" xfId="3054" xr:uid="{5158A3E3-10CF-4D1F-9762-43FB73A33BAB}"/>
    <cellStyle name="Normal 2 2 4" xfId="1088" xr:uid="{00000000-0005-0000-0000-00009C040000}"/>
    <cellStyle name="Normal 2 2 4 2" xfId="1089" xr:uid="{00000000-0005-0000-0000-00009D040000}"/>
    <cellStyle name="Normal 2 2 4 2 2" xfId="1090" xr:uid="{00000000-0005-0000-0000-00009E040000}"/>
    <cellStyle name="Normal 2 2 4 2 2 2" xfId="1091" xr:uid="{00000000-0005-0000-0000-00009F040000}"/>
    <cellStyle name="Normal 2 2 4 2 2 2 2" xfId="2048" xr:uid="{00000000-0005-0000-0000-0000A0040000}"/>
    <cellStyle name="Normal 2 2 4 2 2 2 2 2" xfId="5298" xr:uid="{D49E8346-01B9-4F72-BAFB-173C2D01B898}"/>
    <cellStyle name="Normal 2 2 4 2 2 2 2 2 2" xfId="8678" xr:uid="{06918C51-BF84-4526-985C-A4E1F4D9A926}"/>
    <cellStyle name="Normal 2 2 4 2 2 2 2 3" xfId="6978" xr:uid="{63495188-A9F9-4F9A-A090-6C95ECC09D8B}"/>
    <cellStyle name="Normal 2 2 4 2 2 2 2_DEO ADIT Unprotected" xfId="3074" xr:uid="{3B66B1EE-5634-420B-A11A-B825973130CD}"/>
    <cellStyle name="Normal 2 2 4 2 2 2 3" xfId="4461" xr:uid="{281F8B27-1C95-4B5C-8D8D-EFC24413BD37}"/>
    <cellStyle name="Normal 2 2 4 2 2 2 3 2" xfId="7841" xr:uid="{2BBD5075-3EAB-456B-BF78-29510E5C1EC8}"/>
    <cellStyle name="Normal 2 2 4 2 2 2 4" xfId="6140" xr:uid="{16C3DF16-09FA-449A-B132-78B516288A3F}"/>
    <cellStyle name="Normal 2 2 4 2 2 2_DEO ADIT Unprotected" xfId="3073" xr:uid="{2EB3E527-BFC7-4CAA-849A-FB96E1893CD8}"/>
    <cellStyle name="Normal 2 2 4 2 2 3" xfId="2047" xr:uid="{00000000-0005-0000-0000-0000A1040000}"/>
    <cellStyle name="Normal 2 2 4 2 2 3 2" xfId="5297" xr:uid="{4D448A29-CC7C-428B-8665-0E78185EFB96}"/>
    <cellStyle name="Normal 2 2 4 2 2 3 2 2" xfId="8677" xr:uid="{81A1D13D-05CD-43AC-88E5-BF620203D6DF}"/>
    <cellStyle name="Normal 2 2 4 2 2 3 3" xfId="6977" xr:uid="{2ACB000A-EC71-43A4-AA7C-D803E0130208}"/>
    <cellStyle name="Normal 2 2 4 2 2 3_DEO ADIT Unprotected" xfId="3075" xr:uid="{B5984D4D-CFC9-46C1-B689-3C247C5B87CF}"/>
    <cellStyle name="Normal 2 2 4 2 2 4" xfId="4460" xr:uid="{BBAEDD9C-FED1-4B84-A285-093FD37F12D8}"/>
    <cellStyle name="Normal 2 2 4 2 2 4 2" xfId="7840" xr:uid="{7BB73E16-954D-4ABA-B963-BF96C2B9F8B1}"/>
    <cellStyle name="Normal 2 2 4 2 2 5" xfId="6139" xr:uid="{F401AF30-33BD-4045-9DB9-512C5AF804F1}"/>
    <cellStyle name="Normal 2 2 4 2 2_DEO ADIT Unprotected" xfId="3072" xr:uid="{914DA46F-0C31-402D-8E60-49C297BB2428}"/>
    <cellStyle name="Normal 2 2 4 2 3" xfId="1092" xr:uid="{00000000-0005-0000-0000-0000A2040000}"/>
    <cellStyle name="Normal 2 2 4 2 3 2" xfId="2049" xr:uid="{00000000-0005-0000-0000-0000A3040000}"/>
    <cellStyle name="Normal 2 2 4 2 3 2 2" xfId="5299" xr:uid="{EE41D6DE-4054-4292-A5EC-B32C54A49C9D}"/>
    <cellStyle name="Normal 2 2 4 2 3 2 2 2" xfId="8679" xr:uid="{4A0B32CB-7318-4F7E-BF1F-6F24C4D417E6}"/>
    <cellStyle name="Normal 2 2 4 2 3 2 3" xfId="6979" xr:uid="{05ADA2BB-6A6E-46FA-A85B-D2B20B378926}"/>
    <cellStyle name="Normal 2 2 4 2 3 2_DEO ADIT Unprotected" xfId="3077" xr:uid="{78E0E27C-A4EA-40DF-9DF4-39B0100FE878}"/>
    <cellStyle name="Normal 2 2 4 2 3 3" xfId="4462" xr:uid="{405710C6-B303-4C3C-921C-4D5C26984F4B}"/>
    <cellStyle name="Normal 2 2 4 2 3 3 2" xfId="7842" xr:uid="{C9051C3C-5C70-4219-9EEE-5169D432412E}"/>
    <cellStyle name="Normal 2 2 4 2 3 4" xfId="6141" xr:uid="{4194EBA8-6D58-4C5F-AD62-436F9D92898A}"/>
    <cellStyle name="Normal 2 2 4 2 3_DEO ADIT Unprotected" xfId="3076" xr:uid="{100E9D87-D45E-46AA-9A96-2C58A21A2A66}"/>
    <cellStyle name="Normal 2 2 4 2 4" xfId="2046" xr:uid="{00000000-0005-0000-0000-0000A4040000}"/>
    <cellStyle name="Normal 2 2 4 2 4 2" xfId="5296" xr:uid="{CF17C28E-227D-41F1-A39C-182BBCA0591B}"/>
    <cellStyle name="Normal 2 2 4 2 4 2 2" xfId="8676" xr:uid="{9F110ABC-D135-40EC-956F-DCA17C97E240}"/>
    <cellStyle name="Normal 2 2 4 2 4 3" xfId="6976" xr:uid="{66CB4CB9-1A57-4661-892D-3669B2D7773E}"/>
    <cellStyle name="Normal 2 2 4 2 4_DEO ADIT Unprotected" xfId="3078" xr:uid="{B28DFFBC-B471-43EA-AB29-8E79BC1E0888}"/>
    <cellStyle name="Normal 2 2 4 2 5" xfId="4459" xr:uid="{63062382-66A7-4EE5-B943-FABEEC454662}"/>
    <cellStyle name="Normal 2 2 4 2 5 2" xfId="7839" xr:uid="{20EEA858-5AD1-44D3-9BF0-68D127B4C19E}"/>
    <cellStyle name="Normal 2 2 4 2 6" xfId="6138" xr:uid="{782C3813-4EDD-44B8-A88A-1A90899F85C9}"/>
    <cellStyle name="Normal 2 2 4 2_DEO ADIT Unprotected" xfId="3071" xr:uid="{22CA442C-2A54-4113-8753-F682249E6F94}"/>
    <cellStyle name="Normal 2 2 4 3" xfId="1093" xr:uid="{00000000-0005-0000-0000-0000A5040000}"/>
    <cellStyle name="Normal 2 2 4 3 2" xfId="1094" xr:uid="{00000000-0005-0000-0000-0000A6040000}"/>
    <cellStyle name="Normal 2 2 4 3 2 2" xfId="2051" xr:uid="{00000000-0005-0000-0000-0000A7040000}"/>
    <cellStyle name="Normal 2 2 4 3 2 2 2" xfId="5301" xr:uid="{A400660D-A40F-4B07-9135-5D3864B9035D}"/>
    <cellStyle name="Normal 2 2 4 3 2 2 2 2" xfId="8681" xr:uid="{82794ADE-59C8-48CA-905D-E51583ABBA81}"/>
    <cellStyle name="Normal 2 2 4 3 2 2 3" xfId="6981" xr:uid="{834DDFCC-3635-4FF8-BA9A-9CCB7A83E36D}"/>
    <cellStyle name="Normal 2 2 4 3 2 2_DEO ADIT Unprotected" xfId="3081" xr:uid="{C04CCF44-505B-4E5E-B32C-E92D7968060F}"/>
    <cellStyle name="Normal 2 2 4 3 2 3" xfId="4464" xr:uid="{6BAE7810-D8DD-48C4-AA41-E5897C562A21}"/>
    <cellStyle name="Normal 2 2 4 3 2 3 2" xfId="7844" xr:uid="{75D7C8EA-BB86-46F6-9749-BD55DECD8840}"/>
    <cellStyle name="Normal 2 2 4 3 2 4" xfId="6143" xr:uid="{9C1D5230-8047-4ACE-93C9-0BE52357E6E6}"/>
    <cellStyle name="Normal 2 2 4 3 2_DEO ADIT Unprotected" xfId="3080" xr:uid="{912266BE-C567-4599-8050-25661863E589}"/>
    <cellStyle name="Normal 2 2 4 3 3" xfId="2050" xr:uid="{00000000-0005-0000-0000-0000A8040000}"/>
    <cellStyle name="Normal 2 2 4 3 3 2" xfId="5300" xr:uid="{2D9DA4C5-AFDE-4309-B465-2B6D21C33CAE}"/>
    <cellStyle name="Normal 2 2 4 3 3 2 2" xfId="8680" xr:uid="{61B2DC31-5BAB-42CE-BA35-E93705EBA5ED}"/>
    <cellStyle name="Normal 2 2 4 3 3 3" xfId="6980" xr:uid="{85BB5EBA-ABBE-4133-9FA9-4180DA99454D}"/>
    <cellStyle name="Normal 2 2 4 3 3_DEO ADIT Unprotected" xfId="3082" xr:uid="{F9EF055C-F81C-4646-852F-15DBE408C07D}"/>
    <cellStyle name="Normal 2 2 4 3 4" xfId="4463" xr:uid="{E551E9EB-797A-4442-9E54-30156EC04274}"/>
    <cellStyle name="Normal 2 2 4 3 4 2" xfId="7843" xr:uid="{535AC79E-03B4-426D-B4A0-823656434DA4}"/>
    <cellStyle name="Normal 2 2 4 3 5" xfId="6142" xr:uid="{3110D66F-6F8D-4261-BB1F-E6E562E48D1F}"/>
    <cellStyle name="Normal 2 2 4 3_DEO ADIT Unprotected" xfId="3079" xr:uid="{814AC2FE-8AEF-483A-A1C3-EC399866E254}"/>
    <cellStyle name="Normal 2 2 4 4" xfId="1095" xr:uid="{00000000-0005-0000-0000-0000A9040000}"/>
    <cellStyle name="Normal 2 2 4 4 2" xfId="1096" xr:uid="{00000000-0005-0000-0000-0000AA040000}"/>
    <cellStyle name="Normal 2 2 4 4 2 2" xfId="2053" xr:uid="{00000000-0005-0000-0000-0000AB040000}"/>
    <cellStyle name="Normal 2 2 4 4 2 2 2" xfId="5303" xr:uid="{CE0B86CB-C305-4BFE-BCFC-6AB31AB1B77F}"/>
    <cellStyle name="Normal 2 2 4 4 2 2 2 2" xfId="8683" xr:uid="{6682A715-1F23-459A-BEEE-977945B78EA0}"/>
    <cellStyle name="Normal 2 2 4 4 2 2 3" xfId="6983" xr:uid="{35F9EA91-2E57-47EE-AA68-FA3DC7156E57}"/>
    <cellStyle name="Normal 2 2 4 4 2 2_DEO ADIT Unprotected" xfId="3085" xr:uid="{3D5BFA3D-7353-46DF-89A1-1AB7255824AC}"/>
    <cellStyle name="Normal 2 2 4 4 2 3" xfId="4466" xr:uid="{AAE67F41-C083-47F0-9DDE-88D7A7FB8B34}"/>
    <cellStyle name="Normal 2 2 4 4 2 3 2" xfId="7846" xr:uid="{3579A51A-7A90-4C1D-9A18-E5738DD7B5FB}"/>
    <cellStyle name="Normal 2 2 4 4 2 4" xfId="6145" xr:uid="{B8716ECD-32B6-4C3F-952B-AA29CE37B190}"/>
    <cellStyle name="Normal 2 2 4 4 2_DEO ADIT Unprotected" xfId="3084" xr:uid="{67C00496-198B-4352-88AB-8BFE53926CD6}"/>
    <cellStyle name="Normal 2 2 4 4 3" xfId="2052" xr:uid="{00000000-0005-0000-0000-0000AC040000}"/>
    <cellStyle name="Normal 2 2 4 4 3 2" xfId="5302" xr:uid="{091C2889-42C4-4B15-A081-239D5F03E122}"/>
    <cellStyle name="Normal 2 2 4 4 3 2 2" xfId="8682" xr:uid="{CD42A6C9-4099-4517-98E6-15CDE364510B}"/>
    <cellStyle name="Normal 2 2 4 4 3 3" xfId="6982" xr:uid="{1A27F1FB-0809-4124-BC48-B2CDB638DAD8}"/>
    <cellStyle name="Normal 2 2 4 4 3_DEO ADIT Unprotected" xfId="3086" xr:uid="{282AF3A9-EA8C-4DD8-A71A-0681898EA8D9}"/>
    <cellStyle name="Normal 2 2 4 4 4" xfId="4465" xr:uid="{F4602097-8F81-4DC3-8082-DFA0F80BD752}"/>
    <cellStyle name="Normal 2 2 4 4 4 2" xfId="7845" xr:uid="{343FC799-D887-4B0A-8BB4-FFC39585ACC7}"/>
    <cellStyle name="Normal 2 2 4 4 5" xfId="6144" xr:uid="{279A35F8-CF41-499C-BA57-F51CF65DB834}"/>
    <cellStyle name="Normal 2 2 4 4_DEO ADIT Unprotected" xfId="3083" xr:uid="{7F401D79-AB06-4120-B69C-27C3B2089FC7}"/>
    <cellStyle name="Normal 2 2 4 5" xfId="2045" xr:uid="{00000000-0005-0000-0000-0000AD040000}"/>
    <cellStyle name="Normal 2 2 4 5 2" xfId="5295" xr:uid="{05162909-F622-4B83-BEE8-22D25794C870}"/>
    <cellStyle name="Normal 2 2 4 5 2 2" xfId="8675" xr:uid="{F5005ADE-7BEC-41F8-9900-B3A839B5A574}"/>
    <cellStyle name="Normal 2 2 4 5 3" xfId="6975" xr:uid="{6B256308-2010-4DA6-A3F3-BA1183A432EA}"/>
    <cellStyle name="Normal 2 2 4 5_DEO ADIT Unprotected" xfId="3087" xr:uid="{FE2B6409-914F-4D1A-A2AB-444EFFE1E259}"/>
    <cellStyle name="Normal 2 2 4 6" xfId="4458" xr:uid="{375ED597-8D34-4D62-8650-DFA7649496C5}"/>
    <cellStyle name="Normal 2 2 4 6 2" xfId="7838" xr:uid="{933E08B8-61AD-41C4-AD02-FF5449BDAD74}"/>
    <cellStyle name="Normal 2 2 4 7" xfId="6137" xr:uid="{4C9C12D3-B4C3-4652-9AB7-4FA33596A4FE}"/>
    <cellStyle name="Normal 2 2 4_DEO ADIT Unprotected" xfId="3070" xr:uid="{1D409253-DB8A-4C67-9F91-63BD172F3EFE}"/>
    <cellStyle name="Normal 2 2 5" xfId="1097" xr:uid="{00000000-0005-0000-0000-0000AE040000}"/>
    <cellStyle name="Normal 2 2 5 2" xfId="1098" xr:uid="{00000000-0005-0000-0000-0000AF040000}"/>
    <cellStyle name="Normal 2 2 5 2 2" xfId="1099" xr:uid="{00000000-0005-0000-0000-0000B0040000}"/>
    <cellStyle name="Normal 2 2 5 2 2 2" xfId="2056" xr:uid="{00000000-0005-0000-0000-0000B1040000}"/>
    <cellStyle name="Normal 2 2 5 2 2 2 2" xfId="5306" xr:uid="{C8035A6C-8414-4CB0-9BD8-13740FD882B4}"/>
    <cellStyle name="Normal 2 2 5 2 2 2 2 2" xfId="8686" xr:uid="{060EDB4F-1150-4ECB-BF4C-7D1251CB880C}"/>
    <cellStyle name="Normal 2 2 5 2 2 2 3" xfId="6986" xr:uid="{A20195D4-F6A7-4CA2-9772-C57A76CEFD3F}"/>
    <cellStyle name="Normal 2 2 5 2 2 2_DEO ADIT Unprotected" xfId="3091" xr:uid="{568296E1-F9E0-4028-8ECB-720F6B5390D4}"/>
    <cellStyle name="Normal 2 2 5 2 2 3" xfId="4469" xr:uid="{F93103C7-36A3-4F5F-B29A-879FEB4FA9DC}"/>
    <cellStyle name="Normal 2 2 5 2 2 3 2" xfId="7849" xr:uid="{0314EE4E-0110-46F0-A627-6403D9F648C1}"/>
    <cellStyle name="Normal 2 2 5 2 2 4" xfId="6148" xr:uid="{CAA9D2EF-BB98-422C-9257-8A836B9EAFFC}"/>
    <cellStyle name="Normal 2 2 5 2 2_DEO ADIT Unprotected" xfId="3090" xr:uid="{AA280ECF-CDF2-454F-9F69-630FF2F07BDB}"/>
    <cellStyle name="Normal 2 2 5 2 3" xfId="2055" xr:uid="{00000000-0005-0000-0000-0000B2040000}"/>
    <cellStyle name="Normal 2 2 5 2 3 2" xfId="5305" xr:uid="{79ECD0F5-9040-4722-8B9C-6F683CF59AFD}"/>
    <cellStyle name="Normal 2 2 5 2 3 2 2" xfId="8685" xr:uid="{256AB84D-6060-4623-9876-B0EF7BEC7C55}"/>
    <cellStyle name="Normal 2 2 5 2 3 3" xfId="6985" xr:uid="{F1BCBA6E-B780-4BB4-8923-13AE556DE4E0}"/>
    <cellStyle name="Normal 2 2 5 2 3_DEO ADIT Unprotected" xfId="3092" xr:uid="{A9F40312-5530-46C5-A7F4-91D1C6A9DD7C}"/>
    <cellStyle name="Normal 2 2 5 2 4" xfId="4468" xr:uid="{0D7E0114-4A21-4407-85E8-276B0A03F80E}"/>
    <cellStyle name="Normal 2 2 5 2 4 2" xfId="7848" xr:uid="{E9D94893-9368-4163-85F0-8110E6ACD07C}"/>
    <cellStyle name="Normal 2 2 5 2 5" xfId="6147" xr:uid="{CE03F89D-9A8E-4EF9-9732-E52FDB298C79}"/>
    <cellStyle name="Normal 2 2 5 2_DEO ADIT Unprotected" xfId="3089" xr:uid="{069A7A7D-85E1-49A7-9086-DF2CF9772434}"/>
    <cellStyle name="Normal 2 2 5 3" xfId="1100" xr:uid="{00000000-0005-0000-0000-0000B3040000}"/>
    <cellStyle name="Normal 2 2 5 3 2" xfId="2057" xr:uid="{00000000-0005-0000-0000-0000B4040000}"/>
    <cellStyle name="Normal 2 2 5 3 2 2" xfId="5307" xr:uid="{5B17C662-792F-4D56-AD8E-814871EACC25}"/>
    <cellStyle name="Normal 2 2 5 3 2 2 2" xfId="8687" xr:uid="{278B4DA1-EE93-46F9-A1AC-B9647A75CADA}"/>
    <cellStyle name="Normal 2 2 5 3 2 3" xfId="6987" xr:uid="{F0F88869-66E2-4E36-A353-C4A7395B527D}"/>
    <cellStyle name="Normal 2 2 5 3 2_DEO ADIT Unprotected" xfId="3094" xr:uid="{B862A788-5F04-4D5D-97FB-E8CA593A9E3D}"/>
    <cellStyle name="Normal 2 2 5 3 3" xfId="4470" xr:uid="{70FF4847-6BB8-4A8F-8314-6F2BD8E8CE2D}"/>
    <cellStyle name="Normal 2 2 5 3 3 2" xfId="7850" xr:uid="{3E410E3D-6EBF-4B47-879A-6972ABE02C73}"/>
    <cellStyle name="Normal 2 2 5 3 4" xfId="6149" xr:uid="{E71D7F20-7652-4EFD-9BD8-2AB94D440DA9}"/>
    <cellStyle name="Normal 2 2 5 3_DEO ADIT Unprotected" xfId="3093" xr:uid="{977C9660-8445-4D0C-91E3-637C5B7C55DD}"/>
    <cellStyle name="Normal 2 2 5 4" xfId="2054" xr:uid="{00000000-0005-0000-0000-0000B5040000}"/>
    <cellStyle name="Normal 2 2 5 4 2" xfId="5304" xr:uid="{F147CE0C-2FBB-46C5-BF4A-A05C142B9468}"/>
    <cellStyle name="Normal 2 2 5 4 2 2" xfId="8684" xr:uid="{9AD23A15-F2CF-454F-A941-34B740234EE5}"/>
    <cellStyle name="Normal 2 2 5 4 3" xfId="6984" xr:uid="{B71AAC2C-D315-4E70-B265-0C39EEE088C4}"/>
    <cellStyle name="Normal 2 2 5 4_DEO ADIT Unprotected" xfId="3095" xr:uid="{8A471822-8A4C-4533-88B9-4C7744738D12}"/>
    <cellStyle name="Normal 2 2 5 5" xfId="4467" xr:uid="{6D6DBC49-394C-41BC-9E6E-B1362EE6A84D}"/>
    <cellStyle name="Normal 2 2 5 5 2" xfId="7847" xr:uid="{78DFD04E-566A-4719-B97B-809CA680B0EE}"/>
    <cellStyle name="Normal 2 2 5 6" xfId="6146" xr:uid="{61B0C7C2-13CB-4C39-B2E4-2147D315129F}"/>
    <cellStyle name="Normal 2 2 5_DEO ADIT Unprotected" xfId="3088" xr:uid="{D0F6F46E-178D-47FF-B52B-E1FE1ADC4E6F}"/>
    <cellStyle name="Normal 2 2 6" xfId="1101" xr:uid="{00000000-0005-0000-0000-0000B6040000}"/>
    <cellStyle name="Normal 2 2 6 2" xfId="1102" xr:uid="{00000000-0005-0000-0000-0000B7040000}"/>
    <cellStyle name="Normal 2 2 6 2 2" xfId="2059" xr:uid="{00000000-0005-0000-0000-0000B8040000}"/>
    <cellStyle name="Normal 2 2 6 2 2 2" xfId="5309" xr:uid="{ED1B7A47-B087-4752-AED4-FB8BC7EC3875}"/>
    <cellStyle name="Normal 2 2 6 2 2 2 2" xfId="8689" xr:uid="{C310FEAC-6AFE-4EBE-996B-C4666DE90AFE}"/>
    <cellStyle name="Normal 2 2 6 2 2 3" xfId="6989" xr:uid="{86BEF0A5-5949-4277-BD18-E37941136120}"/>
    <cellStyle name="Normal 2 2 6 2 2_DEO ADIT Unprotected" xfId="3098" xr:uid="{D145BFBF-2BAB-4755-94B9-EB5BE837D692}"/>
    <cellStyle name="Normal 2 2 6 2 3" xfId="4472" xr:uid="{4A221CFC-2701-4B2A-AF75-874A2682274E}"/>
    <cellStyle name="Normal 2 2 6 2 3 2" xfId="7852" xr:uid="{7C3C32AD-16C4-4ACF-8B9F-A133559C94DE}"/>
    <cellStyle name="Normal 2 2 6 2 4" xfId="6151" xr:uid="{145E0760-9FC3-4051-BF94-C6A008353B4B}"/>
    <cellStyle name="Normal 2 2 6 2_DEO ADIT Unprotected" xfId="3097" xr:uid="{5CBBF342-183D-42BD-9F09-245BA1981243}"/>
    <cellStyle name="Normal 2 2 6 3" xfId="2058" xr:uid="{00000000-0005-0000-0000-0000B9040000}"/>
    <cellStyle name="Normal 2 2 6 3 2" xfId="5308" xr:uid="{D9C14A35-A70A-4BB0-A0B6-855F3D236502}"/>
    <cellStyle name="Normal 2 2 6 3 2 2" xfId="8688" xr:uid="{834BEE6D-D8A1-4A19-A363-F50483FE1CB9}"/>
    <cellStyle name="Normal 2 2 6 3 3" xfId="6988" xr:uid="{2212BE97-02D9-43E7-929E-A52C3AC53A2E}"/>
    <cellStyle name="Normal 2 2 6 3_DEO ADIT Unprotected" xfId="3099" xr:uid="{3ED0591D-76A4-4383-83D4-D1FC6CDB348B}"/>
    <cellStyle name="Normal 2 2 6 4" xfId="4471" xr:uid="{8546E082-7803-4D56-ADA7-6D4E2F73A330}"/>
    <cellStyle name="Normal 2 2 6 4 2" xfId="7851" xr:uid="{A10075EF-0A14-4F11-88C6-CC74B3D96429}"/>
    <cellStyle name="Normal 2 2 6 5" xfId="6150" xr:uid="{E2F9AF18-F397-4D8A-9905-761DE807D3C8}"/>
    <cellStyle name="Normal 2 2 6_DEO ADIT Unprotected" xfId="3096" xr:uid="{C593399A-90C0-4F2D-AF4D-07EB4B9AC158}"/>
    <cellStyle name="Normal 2 2 7" xfId="1103" xr:uid="{00000000-0005-0000-0000-0000BA040000}"/>
    <cellStyle name="Normal 2 2 7 2" xfId="1104" xr:uid="{00000000-0005-0000-0000-0000BB040000}"/>
    <cellStyle name="Normal 2 2 7 2 2" xfId="2061" xr:uid="{00000000-0005-0000-0000-0000BC040000}"/>
    <cellStyle name="Normal 2 2 7 2 2 2" xfId="5311" xr:uid="{ECA15CD9-A9C9-40CE-95B1-DFDA141A7053}"/>
    <cellStyle name="Normal 2 2 7 2 2 2 2" xfId="8691" xr:uid="{051B7C40-8292-4694-8CB7-A10BD50CA77B}"/>
    <cellStyle name="Normal 2 2 7 2 2 3" xfId="6991" xr:uid="{8ECF0B76-D2B4-431A-A2CC-B48AAA725B30}"/>
    <cellStyle name="Normal 2 2 7 2 2_DEO ADIT Unprotected" xfId="3102" xr:uid="{0C31F67E-8FB9-40CE-A935-90AAB6A4701B}"/>
    <cellStyle name="Normal 2 2 7 2 3" xfId="4474" xr:uid="{00DADE40-A65B-4054-8F4E-C9137666998A}"/>
    <cellStyle name="Normal 2 2 7 2 3 2" xfId="7854" xr:uid="{78D06334-DE5F-480C-92F8-FEDB580EC3BB}"/>
    <cellStyle name="Normal 2 2 7 2 4" xfId="6153" xr:uid="{CCFE67A1-C617-4331-9849-691333976FDA}"/>
    <cellStyle name="Normal 2 2 7 2_DEO ADIT Unprotected" xfId="3101" xr:uid="{76F53B75-2141-4DB5-9FFD-DBE5EF876E5F}"/>
    <cellStyle name="Normal 2 2 7 3" xfId="2060" xr:uid="{00000000-0005-0000-0000-0000BD040000}"/>
    <cellStyle name="Normal 2 2 7 3 2" xfId="5310" xr:uid="{144B3AD6-3886-4A60-8E65-99D2861B1FE8}"/>
    <cellStyle name="Normal 2 2 7 3 2 2" xfId="8690" xr:uid="{A6D97365-7779-454C-9615-76D3F6583900}"/>
    <cellStyle name="Normal 2 2 7 3 3" xfId="6990" xr:uid="{2F31DAFD-B668-461F-B95A-A86328CE7D4D}"/>
    <cellStyle name="Normal 2 2 7 3_DEO ADIT Unprotected" xfId="3103" xr:uid="{6BAD9CE6-4DE0-41FD-A799-29EF8B72F8EF}"/>
    <cellStyle name="Normal 2 2 7 4" xfId="4473" xr:uid="{26FA1833-2E19-4E86-92D3-996F76639D89}"/>
    <cellStyle name="Normal 2 2 7 4 2" xfId="7853" xr:uid="{328DE196-DD8A-4E6A-BAEB-1DA5A00A60D8}"/>
    <cellStyle name="Normal 2 2 7 5" xfId="6152" xr:uid="{AD742C12-4C03-4B3F-AAE9-1F922AC966ED}"/>
    <cellStyle name="Normal 2 2 7_DEO ADIT Unprotected" xfId="3100" xr:uid="{26CFE068-D161-4FFE-B175-66A330072011}"/>
    <cellStyle name="Normal 2 2 8" xfId="1105" xr:uid="{00000000-0005-0000-0000-0000BE040000}"/>
    <cellStyle name="Normal 2 2 8 2" xfId="2062" xr:uid="{00000000-0005-0000-0000-0000BF040000}"/>
    <cellStyle name="Normal 2 2 8 2 2" xfId="5312" xr:uid="{26415D5E-D6E8-44EB-AD8A-F9EB99B7C323}"/>
    <cellStyle name="Normal 2 2 8 2 2 2" xfId="8692" xr:uid="{440D72D0-3898-418C-A554-6B52BBCF81CA}"/>
    <cellStyle name="Normal 2 2 8 2 3" xfId="6992" xr:uid="{C4F29790-FFDE-4A24-9701-76B7E306349E}"/>
    <cellStyle name="Normal 2 2 8 2_DEO ADIT Unprotected" xfId="3105" xr:uid="{47B7A4D1-9240-470C-BBA7-6141D3843A04}"/>
    <cellStyle name="Normal 2 2 8 3" xfId="4475" xr:uid="{6E8D752B-DF0A-4DA4-B032-3076A0BDB1D1}"/>
    <cellStyle name="Normal 2 2 8 3 2" xfId="7855" xr:uid="{5630C97D-BFB2-4FEB-8457-44F31EC9568C}"/>
    <cellStyle name="Normal 2 2 8 4" xfId="6154" xr:uid="{7D1E1C9C-7BE8-4C47-8C0B-858E13B6CA3B}"/>
    <cellStyle name="Normal 2 2 8_DEO ADIT Unprotected" xfId="3104" xr:uid="{D0CA5845-9FD9-46D6-8BC6-7A81FFC5A146}"/>
    <cellStyle name="Normal 2 2 9" xfId="1106" xr:uid="{00000000-0005-0000-0000-0000C0040000}"/>
    <cellStyle name="Normal 2 2_DEO ADIT Unprotected" xfId="3043" xr:uid="{621B0ED7-6534-491B-8213-BDB1510C0DF6}"/>
    <cellStyle name="Normal 2 3" xfId="439" xr:uid="{00000000-0005-0000-0000-0000C1040000}"/>
    <cellStyle name="Normal 2 3 2" xfId="1107" xr:uid="{00000000-0005-0000-0000-0000C2040000}"/>
    <cellStyle name="Normal 2 3 2 2" xfId="1108" xr:uid="{00000000-0005-0000-0000-0000C3040000}"/>
    <cellStyle name="Normal 2 3 2 2 2" xfId="1109" xr:uid="{00000000-0005-0000-0000-0000C4040000}"/>
    <cellStyle name="Normal 2 3 2 2 2 2" xfId="1110" xr:uid="{00000000-0005-0000-0000-0000C5040000}"/>
    <cellStyle name="Normal 2 3 2 2 2 2 2" xfId="2066" xr:uid="{00000000-0005-0000-0000-0000C6040000}"/>
    <cellStyle name="Normal 2 3 2 2 2 2 2 2" xfId="5316" xr:uid="{561557E9-3BBB-471B-ABA0-5026A8338E99}"/>
    <cellStyle name="Normal 2 3 2 2 2 2 2 2 2" xfId="8696" xr:uid="{3420ADC6-3EB9-49C8-B7A7-5796CC8997FE}"/>
    <cellStyle name="Normal 2 3 2 2 2 2 2 3" xfId="6996" xr:uid="{DD968626-081B-47E4-ADC9-66F18BB01C15}"/>
    <cellStyle name="Normal 2 3 2 2 2 2 2_DEO ADIT Unprotected" xfId="3111" xr:uid="{510D8F35-294A-4B51-AF1C-3F3FD490DA96}"/>
    <cellStyle name="Normal 2 3 2 2 2 2 3" xfId="4479" xr:uid="{617408C6-2C64-402B-B5D5-D5DD910316EF}"/>
    <cellStyle name="Normal 2 3 2 2 2 2 3 2" xfId="7859" xr:uid="{C4EB1423-E319-4A11-A043-2B745BFF6B2F}"/>
    <cellStyle name="Normal 2 3 2 2 2 2 4" xfId="6159" xr:uid="{FF4B9444-C063-4F81-B63D-19039F560855}"/>
    <cellStyle name="Normal 2 3 2 2 2 2_DEO ADIT Unprotected" xfId="3110" xr:uid="{AEF819DA-01FF-4D9F-BE0C-B869A2D84550}"/>
    <cellStyle name="Normal 2 3 2 2 2 3" xfId="2065" xr:uid="{00000000-0005-0000-0000-0000C7040000}"/>
    <cellStyle name="Normal 2 3 2 2 2 3 2" xfId="5315" xr:uid="{D32564B3-C3EB-4500-9E27-C42B28979612}"/>
    <cellStyle name="Normal 2 3 2 2 2 3 2 2" xfId="8695" xr:uid="{3A10E79F-108B-4435-B1A5-D1CD47C49D7F}"/>
    <cellStyle name="Normal 2 3 2 2 2 3 3" xfId="6995" xr:uid="{402B986A-6430-4092-9C1E-526222B73B81}"/>
    <cellStyle name="Normal 2 3 2 2 2 3_DEO ADIT Unprotected" xfId="3112" xr:uid="{0C24EA41-EB8E-4E12-B5D9-25881B9ECE37}"/>
    <cellStyle name="Normal 2 3 2 2 2 4" xfId="4478" xr:uid="{8BCB35F4-B653-45D2-898E-0D61A82A81C4}"/>
    <cellStyle name="Normal 2 3 2 2 2 4 2" xfId="7858" xr:uid="{A65EF48D-E30B-4C32-8AD6-9F601A76E04E}"/>
    <cellStyle name="Normal 2 3 2 2 2 5" xfId="6158" xr:uid="{6098C7C8-ACA3-47CE-B66D-251590E48714}"/>
    <cellStyle name="Normal 2 3 2 2 2_DEO ADIT Unprotected" xfId="3109" xr:uid="{82077A06-F95B-407B-8E9C-603B55EDAEA9}"/>
    <cellStyle name="Normal 2 3 2 2 3" xfId="1111" xr:uid="{00000000-0005-0000-0000-0000C8040000}"/>
    <cellStyle name="Normal 2 3 2 2 3 2" xfId="2067" xr:uid="{00000000-0005-0000-0000-0000C9040000}"/>
    <cellStyle name="Normal 2 3 2 2 3 2 2" xfId="5317" xr:uid="{090EC692-3590-4091-AF34-B309E629C045}"/>
    <cellStyle name="Normal 2 3 2 2 3 2 2 2" xfId="8697" xr:uid="{C497D685-BB69-40C0-AF88-E5AA5594DB44}"/>
    <cellStyle name="Normal 2 3 2 2 3 2 3" xfId="6997" xr:uid="{4A9105C0-C6E3-460C-ABAB-6FD030C0FB80}"/>
    <cellStyle name="Normal 2 3 2 2 3 2_DEO ADIT Unprotected" xfId="3114" xr:uid="{807CA81B-48A7-48BD-9308-0EB92D94E88F}"/>
    <cellStyle name="Normal 2 3 2 2 3 3" xfId="4480" xr:uid="{49EEAC72-8850-492A-8981-B39FC7298514}"/>
    <cellStyle name="Normal 2 3 2 2 3 3 2" xfId="7860" xr:uid="{1343F30E-A063-4580-8D5C-EA2718B7D82F}"/>
    <cellStyle name="Normal 2 3 2 2 3 4" xfId="6160" xr:uid="{2CCF73D9-5D4E-4446-BFC0-046805732D49}"/>
    <cellStyle name="Normal 2 3 2 2 3_DEO ADIT Unprotected" xfId="3113" xr:uid="{3B6BC79D-FB50-4C24-A7FA-4200D406318D}"/>
    <cellStyle name="Normal 2 3 2 2 4" xfId="2064" xr:uid="{00000000-0005-0000-0000-0000CA040000}"/>
    <cellStyle name="Normal 2 3 2 2 4 2" xfId="5314" xr:uid="{6CE1EE0E-708C-47C3-AA23-2F3FF1148FA5}"/>
    <cellStyle name="Normal 2 3 2 2 4 2 2" xfId="8694" xr:uid="{9EDB2A98-1206-414B-9D24-081770C211DC}"/>
    <cellStyle name="Normal 2 3 2 2 4 3" xfId="6994" xr:uid="{D08CA91E-E2F3-4919-80A0-EFB54218CD98}"/>
    <cellStyle name="Normal 2 3 2 2 4_DEO ADIT Unprotected" xfId="3115" xr:uid="{7713125F-0559-4351-8290-47F0D375191D}"/>
    <cellStyle name="Normal 2 3 2 2 5" xfId="4477" xr:uid="{D43A876B-75D1-4DCB-8780-78EC15A99DED}"/>
    <cellStyle name="Normal 2 3 2 2 5 2" xfId="7857" xr:uid="{72E480D7-81F6-449A-9ED5-0609EA7BD118}"/>
    <cellStyle name="Normal 2 3 2 2 6" xfId="6157" xr:uid="{AA77FBA3-09BD-4601-953F-7ADD134A817D}"/>
    <cellStyle name="Normal 2 3 2 2_DEO ADIT Unprotected" xfId="3108" xr:uid="{E1FB08C2-EB54-437A-9746-A32255E8FDBC}"/>
    <cellStyle name="Normal 2 3 2 3" xfId="1112" xr:uid="{00000000-0005-0000-0000-0000CB040000}"/>
    <cellStyle name="Normal 2 3 2 3 2" xfId="1113" xr:uid="{00000000-0005-0000-0000-0000CC040000}"/>
    <cellStyle name="Normal 2 3 2 3 2 2" xfId="2069" xr:uid="{00000000-0005-0000-0000-0000CD040000}"/>
    <cellStyle name="Normal 2 3 2 3 2 2 2" xfId="5319" xr:uid="{6424A204-B62E-44E1-B941-D18D9713461A}"/>
    <cellStyle name="Normal 2 3 2 3 2 2 2 2" xfId="8699" xr:uid="{06B62C28-5232-4F60-89BA-F4308D2E4192}"/>
    <cellStyle name="Normal 2 3 2 3 2 2 3" xfId="6999" xr:uid="{D94BF459-0322-4A7C-9958-1F68F42A83C2}"/>
    <cellStyle name="Normal 2 3 2 3 2 2_DEO ADIT Unprotected" xfId="3118" xr:uid="{4448650A-5306-4E5A-9DBC-1FFF49F2A676}"/>
    <cellStyle name="Normal 2 3 2 3 2 3" xfId="4482" xr:uid="{DD38CB5C-AFA8-495C-A304-270AFEB39E2F}"/>
    <cellStyle name="Normal 2 3 2 3 2 3 2" xfId="7862" xr:uid="{B385EF87-4EA2-4CFE-AAF6-45C62707AA1E}"/>
    <cellStyle name="Normal 2 3 2 3 2 4" xfId="6162" xr:uid="{8999CDD4-A43E-4656-9043-9AC73C4DA4EB}"/>
    <cellStyle name="Normal 2 3 2 3 2_DEO ADIT Unprotected" xfId="3117" xr:uid="{C2041278-0355-46E2-A15D-BE9E706893FE}"/>
    <cellStyle name="Normal 2 3 2 3 3" xfId="2068" xr:uid="{00000000-0005-0000-0000-0000CE040000}"/>
    <cellStyle name="Normal 2 3 2 3 3 2" xfId="5318" xr:uid="{54EE11A2-C0E4-4207-8AC1-D229576943F8}"/>
    <cellStyle name="Normal 2 3 2 3 3 2 2" xfId="8698" xr:uid="{F5B7639C-5D51-431B-B0EC-8967B3DCE8C2}"/>
    <cellStyle name="Normal 2 3 2 3 3 3" xfId="6998" xr:uid="{077395E7-C1FB-4E3D-9353-2848A793005D}"/>
    <cellStyle name="Normal 2 3 2 3 3_DEO ADIT Unprotected" xfId="3119" xr:uid="{2C309335-AD5D-401C-9EF1-E66C30FF923C}"/>
    <cellStyle name="Normal 2 3 2 3 4" xfId="4481" xr:uid="{2E33B859-D306-4B79-9FA8-D58B042B6CAD}"/>
    <cellStyle name="Normal 2 3 2 3 4 2" xfId="7861" xr:uid="{132F337F-62C5-44EF-8E97-CE4B1EC32A33}"/>
    <cellStyle name="Normal 2 3 2 3 5" xfId="6161" xr:uid="{B106E4A5-824F-47A5-80FE-C7FABBAC2F7D}"/>
    <cellStyle name="Normal 2 3 2 3_DEO ADIT Unprotected" xfId="3116" xr:uid="{8BD08323-BD61-4293-86CE-53F5A57281BC}"/>
    <cellStyle name="Normal 2 3 2 4" xfId="1114" xr:uid="{00000000-0005-0000-0000-0000CF040000}"/>
    <cellStyle name="Normal 2 3 2 4 2" xfId="1115" xr:uid="{00000000-0005-0000-0000-0000D0040000}"/>
    <cellStyle name="Normal 2 3 2 4 2 2" xfId="2071" xr:uid="{00000000-0005-0000-0000-0000D1040000}"/>
    <cellStyle name="Normal 2 3 2 4 2 2 2" xfId="5321" xr:uid="{74872E7A-F96F-4EC3-B38C-6944764142CF}"/>
    <cellStyle name="Normal 2 3 2 4 2 2 2 2" xfId="8701" xr:uid="{CEF9BA39-3DAC-4232-AEB8-455429B41FDA}"/>
    <cellStyle name="Normal 2 3 2 4 2 2 3" xfId="7001" xr:uid="{86894C21-FF23-40DA-9513-5E2E60F2A734}"/>
    <cellStyle name="Normal 2 3 2 4 2 2_DEO ADIT Unprotected" xfId="3122" xr:uid="{30A1BA80-4F59-4BFF-A3E6-7648096022A3}"/>
    <cellStyle name="Normal 2 3 2 4 2 3" xfId="4484" xr:uid="{CCD3230B-B42F-4FCF-B577-41D9E9719EB2}"/>
    <cellStyle name="Normal 2 3 2 4 2 3 2" xfId="7864" xr:uid="{A4B92EC0-6FA6-4189-B723-44C55096BB24}"/>
    <cellStyle name="Normal 2 3 2 4 2 4" xfId="6164" xr:uid="{DFD454B1-1E85-4113-A40A-EC4DA2C27A6C}"/>
    <cellStyle name="Normal 2 3 2 4 2_DEO ADIT Unprotected" xfId="3121" xr:uid="{4127E53B-09B1-4D0E-9900-E194C6DD92E6}"/>
    <cellStyle name="Normal 2 3 2 4 3" xfId="2070" xr:uid="{00000000-0005-0000-0000-0000D2040000}"/>
    <cellStyle name="Normal 2 3 2 4 3 2" xfId="5320" xr:uid="{5F98C3D6-1E53-4CE1-B160-0CB1E3CFF7DF}"/>
    <cellStyle name="Normal 2 3 2 4 3 2 2" xfId="8700" xr:uid="{E802CD6C-BB46-47CA-81B3-B86DDDAF8387}"/>
    <cellStyle name="Normal 2 3 2 4 3 3" xfId="7000" xr:uid="{51035DE1-F329-42C4-A13A-DD7B8635E700}"/>
    <cellStyle name="Normal 2 3 2 4 3_DEO ADIT Unprotected" xfId="3123" xr:uid="{704634C6-5371-43D6-A1A5-14A42A9F3A2F}"/>
    <cellStyle name="Normal 2 3 2 4 4" xfId="4483" xr:uid="{FE6B82D2-B56C-4244-B5EF-EA24FFB8E2F6}"/>
    <cellStyle name="Normal 2 3 2 4 4 2" xfId="7863" xr:uid="{205FB8F1-25C6-44F1-9C2E-8B75E9A8A631}"/>
    <cellStyle name="Normal 2 3 2 4 5" xfId="6163" xr:uid="{0941A5C5-820D-4AF2-9F15-3D54EF0DE520}"/>
    <cellStyle name="Normal 2 3 2 4_DEO ADIT Unprotected" xfId="3120" xr:uid="{B343486D-F22D-4E82-8737-C4A4A8B46596}"/>
    <cellStyle name="Normal 2 3 2 5" xfId="2063" xr:uid="{00000000-0005-0000-0000-0000D3040000}"/>
    <cellStyle name="Normal 2 3 2 5 2" xfId="5313" xr:uid="{70D9EA0A-6D3B-42C5-8A48-98161C417104}"/>
    <cellStyle name="Normal 2 3 2 5 2 2" xfId="8693" xr:uid="{7CFB1ED6-D914-4E05-8195-D6E97373E0A5}"/>
    <cellStyle name="Normal 2 3 2 5 3" xfId="6993" xr:uid="{B6F8C7EB-73DD-4588-9C94-6ADC78F4DFBD}"/>
    <cellStyle name="Normal 2 3 2 5_DEO ADIT Unprotected" xfId="3124" xr:uid="{83343C79-B8A9-4AB2-AE58-B668E8AE8248}"/>
    <cellStyle name="Normal 2 3 2 6" xfId="4476" xr:uid="{F51B9F0A-1EBB-4C73-9CA6-5E1560E356AD}"/>
    <cellStyle name="Normal 2 3 2 6 2" xfId="7856" xr:uid="{DFEFD96F-9640-4985-8093-1FA9EA1C4F03}"/>
    <cellStyle name="Normal 2 3 2 7" xfId="6156" xr:uid="{71D0A414-BCFD-443B-9C09-AF144FB7E886}"/>
    <cellStyle name="Normal 2 3 2_DEO ADIT Unprotected" xfId="3107" xr:uid="{CFA69D7F-0296-43EF-96D9-194A7DD81190}"/>
    <cellStyle name="Normal 2 3 26" xfId="1116" xr:uid="{00000000-0005-0000-0000-0000D4040000}"/>
    <cellStyle name="Normal 2 3 26 2" xfId="2072" xr:uid="{00000000-0005-0000-0000-0000D5040000}"/>
    <cellStyle name="Normal 2 3 26 2 2" xfId="5322" xr:uid="{EC5DA6AF-B896-412B-810A-CF1DEC46D76D}"/>
    <cellStyle name="Normal 2 3 26 2 2 2" xfId="8702" xr:uid="{E900E3D3-90DE-442A-8335-9DE8DF7D9AF7}"/>
    <cellStyle name="Normal 2 3 26 2 3" xfId="7002" xr:uid="{714C0E4C-D373-49CF-A284-9C62CF78EE44}"/>
    <cellStyle name="Normal 2 3 26 2_DEO ADIT Unprotected" xfId="3126" xr:uid="{0D3DEBA9-8E32-4AF2-88A4-758598D320E6}"/>
    <cellStyle name="Normal 2 3 26 3" xfId="4485" xr:uid="{D60AB542-2689-4F21-BD64-4BD57FDB094E}"/>
    <cellStyle name="Normal 2 3 26 3 2" xfId="7865" xr:uid="{3545D3E3-2CE0-489C-AC6D-39811594D888}"/>
    <cellStyle name="Normal 2 3 26 4" xfId="6165" xr:uid="{BA7E0D5A-A011-4A17-B409-C3FF6E548E45}"/>
    <cellStyle name="Normal 2 3 26_DEO ADIT Unprotected" xfId="3125" xr:uid="{0F9C3B52-4614-444B-A391-2F2A5F0BC3A7}"/>
    <cellStyle name="Normal 2 3 3" xfId="1117" xr:uid="{00000000-0005-0000-0000-0000D6040000}"/>
    <cellStyle name="Normal 2 3 3 2" xfId="1118" xr:uid="{00000000-0005-0000-0000-0000D7040000}"/>
    <cellStyle name="Normal 2 3 3 2 2" xfId="1119" xr:uid="{00000000-0005-0000-0000-0000D8040000}"/>
    <cellStyle name="Normal 2 3 3 2 2 2" xfId="2075" xr:uid="{00000000-0005-0000-0000-0000D9040000}"/>
    <cellStyle name="Normal 2 3 3 2 2 2 2" xfId="5325" xr:uid="{06C54B4A-3431-4252-AA18-26C6A5187E29}"/>
    <cellStyle name="Normal 2 3 3 2 2 2 2 2" xfId="8705" xr:uid="{D0494D3F-FD45-4185-BAF0-8D2B4B14E41D}"/>
    <cellStyle name="Normal 2 3 3 2 2 2 3" xfId="7005" xr:uid="{6AD3DC81-1665-4428-90C8-DA578F8FE996}"/>
    <cellStyle name="Normal 2 3 3 2 2 2_DEO ADIT Unprotected" xfId="3130" xr:uid="{753F1794-EE56-47EF-8377-8C5D15220A75}"/>
    <cellStyle name="Normal 2 3 3 2 2 3" xfId="4488" xr:uid="{3429AF99-B9CE-4EED-8162-44F6A0382B8C}"/>
    <cellStyle name="Normal 2 3 3 2 2 3 2" xfId="7868" xr:uid="{861C3760-34BC-48FA-8CD4-CEFF6D9FFDE4}"/>
    <cellStyle name="Normal 2 3 3 2 2 4" xfId="6168" xr:uid="{E089D29D-0F84-4A30-BC7B-31341C44C62E}"/>
    <cellStyle name="Normal 2 3 3 2 2_DEO ADIT Unprotected" xfId="3129" xr:uid="{5818CE46-E983-4418-8774-3E0A71BF10D9}"/>
    <cellStyle name="Normal 2 3 3 2 3" xfId="2074" xr:uid="{00000000-0005-0000-0000-0000DA040000}"/>
    <cellStyle name="Normal 2 3 3 2 3 2" xfId="5324" xr:uid="{B5D4340E-AE3C-4EF6-839B-6C9E13C0B572}"/>
    <cellStyle name="Normal 2 3 3 2 3 2 2" xfId="8704" xr:uid="{3D1F7BAF-3E2E-4650-8117-A5ECF265A32B}"/>
    <cellStyle name="Normal 2 3 3 2 3 3" xfId="7004" xr:uid="{B241A842-C567-4AFB-AAC8-F0D0FACC50C6}"/>
    <cellStyle name="Normal 2 3 3 2 3_DEO ADIT Unprotected" xfId="3131" xr:uid="{D99199A4-07CD-461E-8910-61B335CD5E55}"/>
    <cellStyle name="Normal 2 3 3 2 4" xfId="4487" xr:uid="{76FB56F0-18B1-4202-82EE-1F429E11ED5D}"/>
    <cellStyle name="Normal 2 3 3 2 4 2" xfId="7867" xr:uid="{F56AA6A4-6E6F-4DBE-8ABE-9505CE4257DD}"/>
    <cellStyle name="Normal 2 3 3 2 5" xfId="6167" xr:uid="{D78E5BF1-5A08-4B81-9048-849220603044}"/>
    <cellStyle name="Normal 2 3 3 2_DEO ADIT Unprotected" xfId="3128" xr:uid="{13C31EDA-01C0-446C-A954-013053FDA922}"/>
    <cellStyle name="Normal 2 3 3 3" xfId="1120" xr:uid="{00000000-0005-0000-0000-0000DB040000}"/>
    <cellStyle name="Normal 2 3 3 3 2" xfId="2076" xr:uid="{00000000-0005-0000-0000-0000DC040000}"/>
    <cellStyle name="Normal 2 3 3 3 2 2" xfId="5326" xr:uid="{A81A7910-0B1D-4E5E-A9BC-A6D50F2855C4}"/>
    <cellStyle name="Normal 2 3 3 3 2 2 2" xfId="8706" xr:uid="{7CEE5AF2-95B3-4A81-842D-4ED457ED4831}"/>
    <cellStyle name="Normal 2 3 3 3 2 3" xfId="7006" xr:uid="{AA2E9E5A-E52C-46A8-97BD-56B60E819AE7}"/>
    <cellStyle name="Normal 2 3 3 3 2_DEO ADIT Unprotected" xfId="3133" xr:uid="{DD7F4AA2-CF70-4F44-A38A-066257E81AB4}"/>
    <cellStyle name="Normal 2 3 3 3 3" xfId="4489" xr:uid="{4F50592F-CE52-443D-8541-A2A87A5AE079}"/>
    <cellStyle name="Normal 2 3 3 3 3 2" xfId="7869" xr:uid="{64EF2684-2B86-448D-8665-DB7FE5347AA8}"/>
    <cellStyle name="Normal 2 3 3 3 4" xfId="6169" xr:uid="{85E91B5D-2ADB-474E-A3F0-50E5E9737E51}"/>
    <cellStyle name="Normal 2 3 3 3_DEO ADIT Unprotected" xfId="3132" xr:uid="{3959326D-DC34-49D4-ABE8-A9530A6ED6BF}"/>
    <cellStyle name="Normal 2 3 3 4" xfId="2073" xr:uid="{00000000-0005-0000-0000-0000DD040000}"/>
    <cellStyle name="Normal 2 3 3 4 2" xfId="5323" xr:uid="{3446DF71-D723-427E-953D-CDBDCC32B3BB}"/>
    <cellStyle name="Normal 2 3 3 4 2 2" xfId="8703" xr:uid="{FF231090-24A3-4062-BA9F-CDDD1BEE86A3}"/>
    <cellStyle name="Normal 2 3 3 4 3" xfId="7003" xr:uid="{A92058A5-99C2-4F5C-9C85-9AD56FE0A9FC}"/>
    <cellStyle name="Normal 2 3 3 4_DEO ADIT Unprotected" xfId="3134" xr:uid="{CA328A3C-0424-4CA8-8C45-0A0E34BC35D1}"/>
    <cellStyle name="Normal 2 3 3 5" xfId="4486" xr:uid="{0DED0155-A91F-4441-AC24-0C8E31DBF1E6}"/>
    <cellStyle name="Normal 2 3 3 5 2" xfId="7866" xr:uid="{BBDA2FE1-4548-477C-A280-B090264073CD}"/>
    <cellStyle name="Normal 2 3 3 6" xfId="6166" xr:uid="{31A75B34-B027-4585-A1A5-65D40B05C0F7}"/>
    <cellStyle name="Normal 2 3 3_DEO ADIT Unprotected" xfId="3127" xr:uid="{C727EF67-47E3-4922-9E88-66F3DD1D789C}"/>
    <cellStyle name="Normal 2 3 4" xfId="1121" xr:uid="{00000000-0005-0000-0000-0000DE040000}"/>
    <cellStyle name="Normal 2 3 4 2" xfId="1122" xr:uid="{00000000-0005-0000-0000-0000DF040000}"/>
    <cellStyle name="Normal 2 3 4 2 2" xfId="2078" xr:uid="{00000000-0005-0000-0000-0000E0040000}"/>
    <cellStyle name="Normal 2 3 4 2 2 2" xfId="5328" xr:uid="{6DB96F1E-4E91-40AE-8BE2-58DC0011EF4C}"/>
    <cellStyle name="Normal 2 3 4 2 2 2 2" xfId="8708" xr:uid="{FCCA006C-8FCE-4119-9D07-B58AF07AA089}"/>
    <cellStyle name="Normal 2 3 4 2 2 3" xfId="7008" xr:uid="{BC507B39-39E0-4040-ADC8-98B310F36C18}"/>
    <cellStyle name="Normal 2 3 4 2 2_DEO ADIT Unprotected" xfId="3137" xr:uid="{9C2F069B-373C-4B24-8075-A42C01D5500D}"/>
    <cellStyle name="Normal 2 3 4 2 3" xfId="4491" xr:uid="{5AA0DF76-BE1A-4E95-820D-B2A0915309F5}"/>
    <cellStyle name="Normal 2 3 4 2 3 2" xfId="7871" xr:uid="{9179E8CA-8FA7-4274-823F-C2112CF8881F}"/>
    <cellStyle name="Normal 2 3 4 2 4" xfId="6171" xr:uid="{DE823F4A-1D93-4735-A75A-DD0EF9268125}"/>
    <cellStyle name="Normal 2 3 4 2_DEO ADIT Unprotected" xfId="3136" xr:uid="{B82569C5-791C-45E7-A70B-663A470E35BC}"/>
    <cellStyle name="Normal 2 3 4 3" xfId="2077" xr:uid="{00000000-0005-0000-0000-0000E1040000}"/>
    <cellStyle name="Normal 2 3 4 3 2" xfId="5327" xr:uid="{92D2848F-B75A-49E7-9C9B-4462319328EA}"/>
    <cellStyle name="Normal 2 3 4 3 2 2" xfId="8707" xr:uid="{7D4CC062-DB1C-4CF7-A667-D639C1F8F675}"/>
    <cellStyle name="Normal 2 3 4 3 3" xfId="7007" xr:uid="{8DA1B799-BF91-47AF-A140-1D5ADF7DA295}"/>
    <cellStyle name="Normal 2 3 4 3_DEO ADIT Unprotected" xfId="3138" xr:uid="{DEF04BAE-DFF4-4253-8306-63490AA1BEF0}"/>
    <cellStyle name="Normal 2 3 4 4" xfId="4490" xr:uid="{F5AA6036-F650-4E3F-B5BF-B2DC1C8977C0}"/>
    <cellStyle name="Normal 2 3 4 4 2" xfId="7870" xr:uid="{C0430A54-6FA7-4251-9542-46A64F36567A}"/>
    <cellStyle name="Normal 2 3 4 5" xfId="6170" xr:uid="{E94841C5-F3E6-4851-8AC2-A94A36340674}"/>
    <cellStyle name="Normal 2 3 4_DEO ADIT Unprotected" xfId="3135" xr:uid="{E0722F43-A755-4678-AB99-F1A528E31B0C}"/>
    <cellStyle name="Normal 2 3 5" xfId="1123" xr:uid="{00000000-0005-0000-0000-0000E2040000}"/>
    <cellStyle name="Normal 2 3 5 2" xfId="1124" xr:uid="{00000000-0005-0000-0000-0000E3040000}"/>
    <cellStyle name="Normal 2 3 5 2 2" xfId="2080" xr:uid="{00000000-0005-0000-0000-0000E4040000}"/>
    <cellStyle name="Normal 2 3 5 2 2 2" xfId="5330" xr:uid="{954A60C5-4C54-4BBE-BB1D-4EB667109583}"/>
    <cellStyle name="Normal 2 3 5 2 2 2 2" xfId="8710" xr:uid="{298D3983-1EBD-477C-B5D6-5DAB3052A25A}"/>
    <cellStyle name="Normal 2 3 5 2 2 3" xfId="7010" xr:uid="{23FE2CE6-6C8F-4AAB-9525-738CDA321A88}"/>
    <cellStyle name="Normal 2 3 5 2 2_DEO ADIT Unprotected" xfId="3141" xr:uid="{7A730FBC-0656-45B6-9872-873D6EF7F77B}"/>
    <cellStyle name="Normal 2 3 5 2 3" xfId="4493" xr:uid="{9461E127-1E92-4F2B-93EA-7CD0FD4882AC}"/>
    <cellStyle name="Normal 2 3 5 2 3 2" xfId="7873" xr:uid="{A34782A5-BDE1-4988-968C-B23174C14769}"/>
    <cellStyle name="Normal 2 3 5 2 4" xfId="6173" xr:uid="{57AB4C73-0A6B-426F-B395-52A419BD7EFB}"/>
    <cellStyle name="Normal 2 3 5 2_DEO ADIT Unprotected" xfId="3140" xr:uid="{EC6AB51F-19F8-4BDF-9A47-428A10737673}"/>
    <cellStyle name="Normal 2 3 5 3" xfId="2079" xr:uid="{00000000-0005-0000-0000-0000E5040000}"/>
    <cellStyle name="Normal 2 3 5 3 2" xfId="5329" xr:uid="{C5C4457D-B283-4B5A-A050-864039A124DE}"/>
    <cellStyle name="Normal 2 3 5 3 2 2" xfId="8709" xr:uid="{D79E2BE8-EE47-4B62-BBE3-6F1445A7BE7E}"/>
    <cellStyle name="Normal 2 3 5 3 3" xfId="7009" xr:uid="{7796FC09-C344-46C1-A5D0-EBA929A9D113}"/>
    <cellStyle name="Normal 2 3 5 3_DEO ADIT Unprotected" xfId="3142" xr:uid="{B2F235BB-709E-47B9-962F-93C7A5998576}"/>
    <cellStyle name="Normal 2 3 5 4" xfId="4492" xr:uid="{0B0E5F76-76FE-4ABE-8EDE-53B2388B8EBD}"/>
    <cellStyle name="Normal 2 3 5 4 2" xfId="7872" xr:uid="{792DA8DA-6771-42F4-942F-4C2B16C13712}"/>
    <cellStyle name="Normal 2 3 5 5" xfId="6172" xr:uid="{A688F742-06D6-4FA5-B095-32443A6FD1FE}"/>
    <cellStyle name="Normal 2 3 5_DEO ADIT Unprotected" xfId="3139" xr:uid="{BAB3CEE7-E338-4E58-8D3A-38B5AB592AA0}"/>
    <cellStyle name="Normal 2 3_DEO ADIT Unprotected" xfId="3106" xr:uid="{DF5F86C5-BFE1-4D9A-B53F-201B437DCE3C}"/>
    <cellStyle name="Normal 2 4" xfId="1125" xr:uid="{00000000-0005-0000-0000-0000E6040000}"/>
    <cellStyle name="Normal 2 4 2" xfId="1126" xr:uid="{00000000-0005-0000-0000-0000E7040000}"/>
    <cellStyle name="Normal 2 4 2 2" xfId="1127" xr:uid="{00000000-0005-0000-0000-0000E8040000}"/>
    <cellStyle name="Normal 2 4 2 2 2" xfId="1128" xr:uid="{00000000-0005-0000-0000-0000E9040000}"/>
    <cellStyle name="Normal 2 4 2 2 2 2" xfId="2083" xr:uid="{00000000-0005-0000-0000-0000EA040000}"/>
    <cellStyle name="Normal 2 4 2 2 2 2 2" xfId="5333" xr:uid="{AC7A92EF-3018-40CF-9D1F-E436F65A1C7A}"/>
    <cellStyle name="Normal 2 4 2 2 2 2 2 2" xfId="8713" xr:uid="{E11EED1C-892D-47FE-910A-76257FE04B73}"/>
    <cellStyle name="Normal 2 4 2 2 2 2 3" xfId="7013" xr:uid="{D669F739-5BEA-4FFE-B4BC-7FF25F2CC2FD}"/>
    <cellStyle name="Normal 2 4 2 2 2 2_DEO ADIT Unprotected" xfId="3146" xr:uid="{8501D59B-736B-4962-B1FF-12799279ED05}"/>
    <cellStyle name="Normal 2 4 2 2 2 3" xfId="4496" xr:uid="{76592828-B98E-4D18-9860-9B425DF5266B}"/>
    <cellStyle name="Normal 2 4 2 2 2 3 2" xfId="7876" xr:uid="{DC050A09-23E1-410D-8B5D-A875F2EF9D7D}"/>
    <cellStyle name="Normal 2 4 2 2 2 4" xfId="6176" xr:uid="{7B392E0C-7B45-4792-9146-78302B9F2FFC}"/>
    <cellStyle name="Normal 2 4 2 2 2_DEO ADIT Unprotected" xfId="3145" xr:uid="{C6DBF39A-58A7-4709-8064-9F5692A6BA78}"/>
    <cellStyle name="Normal 2 4 2 2 3" xfId="2082" xr:uid="{00000000-0005-0000-0000-0000EB040000}"/>
    <cellStyle name="Normal 2 4 2 2 3 2" xfId="5332" xr:uid="{FC55345C-7EC9-4E1E-8F7C-186EC3CC6885}"/>
    <cellStyle name="Normal 2 4 2 2 3 2 2" xfId="8712" xr:uid="{4FA90171-86CB-4451-BDC6-4087F204BD76}"/>
    <cellStyle name="Normal 2 4 2 2 3 3" xfId="7012" xr:uid="{B8A2D23D-3365-4A60-84A1-81527D3E8819}"/>
    <cellStyle name="Normal 2 4 2 2 3_DEO ADIT Unprotected" xfId="3147" xr:uid="{BF4191FD-6BD6-479A-B2FC-B9503B79E666}"/>
    <cellStyle name="Normal 2 4 2 2 4" xfId="4495" xr:uid="{2BDDB9BE-ECF5-4798-B464-23E24F3D38FB}"/>
    <cellStyle name="Normal 2 4 2 2 4 2" xfId="7875" xr:uid="{313DB3CE-426C-4E48-A5F5-0EE29D6CCFAF}"/>
    <cellStyle name="Normal 2 4 2 2 5" xfId="6175" xr:uid="{73AE7CCF-014D-4B44-AC87-A072C024D963}"/>
    <cellStyle name="Normal 2 4 2 2_DEO ADIT Unprotected" xfId="3144" xr:uid="{AB9A62AA-CD46-454E-AAE9-DC5C2C729CA8}"/>
    <cellStyle name="Normal 2 4 2 3" xfId="1129" xr:uid="{00000000-0005-0000-0000-0000EC040000}"/>
    <cellStyle name="Normal 2 4 2 4" xfId="1130" xr:uid="{00000000-0005-0000-0000-0000ED040000}"/>
    <cellStyle name="Normal 2 4 2 4 2" xfId="2084" xr:uid="{00000000-0005-0000-0000-0000EE040000}"/>
    <cellStyle name="Normal 2 4 2 4 2 2" xfId="5334" xr:uid="{1C8C7A6A-E77C-4E7A-8E8A-BCD8B900EB22}"/>
    <cellStyle name="Normal 2 4 2 4 2 2 2" xfId="8714" xr:uid="{FA4844E3-F4C6-45C9-99C8-F7522ED43415}"/>
    <cellStyle name="Normal 2 4 2 4 2 3" xfId="7014" xr:uid="{84DF2537-FF2C-4101-A8D5-6E2107978F71}"/>
    <cellStyle name="Normal 2 4 2 4 2_DEO ADIT Unprotected" xfId="3149" xr:uid="{B8D02AB3-61FF-4703-8027-0BB68093B273}"/>
    <cellStyle name="Normal 2 4 2 4 3" xfId="4497" xr:uid="{6085761C-2F53-475F-88AE-9D1B69CA721B}"/>
    <cellStyle name="Normal 2 4 2 4 3 2" xfId="7877" xr:uid="{347374CF-1F02-4882-A0EA-B4F386F3EC4B}"/>
    <cellStyle name="Normal 2 4 2 4 4" xfId="6177" xr:uid="{10FCB67D-CBE5-4BFA-BF03-8E8C00212257}"/>
    <cellStyle name="Normal 2 4 2 4_DEO ADIT Unprotected" xfId="3148" xr:uid="{4FFAE363-8A71-458A-8128-7163876C0A29}"/>
    <cellStyle name="Normal 2 4 2 5" xfId="2081" xr:uid="{00000000-0005-0000-0000-0000EF040000}"/>
    <cellStyle name="Normal 2 4 2 5 2" xfId="5331" xr:uid="{B54EAE24-52C8-418B-97DF-BC2C9225F83C}"/>
    <cellStyle name="Normal 2 4 2 5 2 2" xfId="8711" xr:uid="{D57CFDA3-C2CF-4BE7-9525-3DF70CA55B23}"/>
    <cellStyle name="Normal 2 4 2 5 3" xfId="7011" xr:uid="{E24907EA-0CAC-4A0F-BA3D-30613DABD675}"/>
    <cellStyle name="Normal 2 4 2 5_DEO ADIT Unprotected" xfId="3150" xr:uid="{523F12DC-6B92-468D-9632-4149D529BA10}"/>
    <cellStyle name="Normal 2 4 2 6" xfId="4494" xr:uid="{8F84177A-894E-4039-B609-79962E95C228}"/>
    <cellStyle name="Normal 2 4 2 6 2" xfId="7874" xr:uid="{8EAC7223-550D-4E57-93BF-5824697841C0}"/>
    <cellStyle name="Normal 2 4 2 7" xfId="6174" xr:uid="{C2DA5E69-AB1A-4CEF-803D-D03A0419BA4B}"/>
    <cellStyle name="Normal 2 4 2_DEO ADIT Unprotected" xfId="3143" xr:uid="{23F90CE0-8719-47E1-80CC-31FDA4F6A2C9}"/>
    <cellStyle name="Normal 2 4 3" xfId="1131" xr:uid="{00000000-0005-0000-0000-0000F0040000}"/>
    <cellStyle name="Normal 2 4 3 2" xfId="1132" xr:uid="{00000000-0005-0000-0000-0000F1040000}"/>
    <cellStyle name="Normal 2 4 3 2 2" xfId="2086" xr:uid="{00000000-0005-0000-0000-0000F2040000}"/>
    <cellStyle name="Normal 2 4 3 2 2 2" xfId="5336" xr:uid="{C9119282-4576-4318-B6F8-F29042ACCF55}"/>
    <cellStyle name="Normal 2 4 3 2 2 2 2" xfId="8716" xr:uid="{6A397772-7D7D-479A-8C81-AE43B81B40AF}"/>
    <cellStyle name="Normal 2 4 3 2 2 3" xfId="7016" xr:uid="{00A7B944-AA90-4A15-8527-F588BC6AF344}"/>
    <cellStyle name="Normal 2 4 3 2 2_DEO ADIT Unprotected" xfId="3153" xr:uid="{436CE7B6-2384-4F3B-A2B5-47CF4B63972B}"/>
    <cellStyle name="Normal 2 4 3 2 3" xfId="4499" xr:uid="{84DA8306-264B-4CF4-B9CA-B48E66BEE0BB}"/>
    <cellStyle name="Normal 2 4 3 2 3 2" xfId="7879" xr:uid="{A984965C-9540-41FE-A089-F0A72C6D5453}"/>
    <cellStyle name="Normal 2 4 3 2 4" xfId="6179" xr:uid="{7265C00A-C562-4478-8453-CD98CDDDE16F}"/>
    <cellStyle name="Normal 2 4 3 2_DEO ADIT Unprotected" xfId="3152" xr:uid="{A8309CEE-1AAE-4646-8E5F-6C32422BA1D4}"/>
    <cellStyle name="Normal 2 4 3 3" xfId="2085" xr:uid="{00000000-0005-0000-0000-0000F3040000}"/>
    <cellStyle name="Normal 2 4 3 3 2" xfId="5335" xr:uid="{61672613-32ED-436E-9ED7-6C15A63247CD}"/>
    <cellStyle name="Normal 2 4 3 3 2 2" xfId="8715" xr:uid="{323921AC-261E-4223-8E9A-784AC8B88F9F}"/>
    <cellStyle name="Normal 2 4 3 3 3" xfId="7015" xr:uid="{592C0037-1A63-41DD-A012-CA1DFFB10118}"/>
    <cellStyle name="Normal 2 4 3 3_DEO ADIT Unprotected" xfId="3154" xr:uid="{D98F4DC2-2234-47FA-9C56-DDE23EF9FD43}"/>
    <cellStyle name="Normal 2 4 3 4" xfId="4498" xr:uid="{FC844C76-CE6A-4DE4-B565-F7BD3A408003}"/>
    <cellStyle name="Normal 2 4 3 4 2" xfId="7878" xr:uid="{B759EC8B-AA8F-4175-A731-8AD66C6213CC}"/>
    <cellStyle name="Normal 2 4 3 5" xfId="6178" xr:uid="{BD2BFEF9-1C67-4BBE-8EE5-C1A35CA60C2C}"/>
    <cellStyle name="Normal 2 4 3_DEO ADIT Unprotected" xfId="3151" xr:uid="{07294235-2B32-4DC0-89D5-B5E88A591C9B}"/>
    <cellStyle name="Normal 2 4 4" xfId="1133" xr:uid="{00000000-0005-0000-0000-0000F4040000}"/>
    <cellStyle name="Normal 2 4 4 2" xfId="1134" xr:uid="{00000000-0005-0000-0000-0000F5040000}"/>
    <cellStyle name="Normal 2 4 4 2 2" xfId="2088" xr:uid="{00000000-0005-0000-0000-0000F6040000}"/>
    <cellStyle name="Normal 2 4 4 2 2 2" xfId="5338" xr:uid="{D8E050E9-4FAA-475E-B2F9-41374368B703}"/>
    <cellStyle name="Normal 2 4 4 2 2 2 2" xfId="8718" xr:uid="{E2FAE7AE-BCCD-44DD-8BBA-17B7301DDE4C}"/>
    <cellStyle name="Normal 2 4 4 2 2 3" xfId="7018" xr:uid="{47C43FD3-A9A2-466C-89A4-E1BA89DBF487}"/>
    <cellStyle name="Normal 2 4 4 2 2_DEO ADIT Unprotected" xfId="3157" xr:uid="{14C415DD-F979-41B7-8AB5-E751D8487203}"/>
    <cellStyle name="Normal 2 4 4 2 3" xfId="4501" xr:uid="{948005FA-5F4F-434A-92CE-CF8BC83CBB1F}"/>
    <cellStyle name="Normal 2 4 4 2 3 2" xfId="7881" xr:uid="{D1B76D0E-951A-4D51-9A89-CB299B3F7CA6}"/>
    <cellStyle name="Normal 2 4 4 2 4" xfId="6181" xr:uid="{88E6BDC3-D12D-4302-9521-907FE1316899}"/>
    <cellStyle name="Normal 2 4 4 2_DEO ADIT Unprotected" xfId="3156" xr:uid="{62C626A1-6B1F-4B43-BFC5-480272E16007}"/>
    <cellStyle name="Normal 2 4 4 3" xfId="2087" xr:uid="{00000000-0005-0000-0000-0000F7040000}"/>
    <cellStyle name="Normal 2 4 4 3 2" xfId="5337" xr:uid="{83AF2D9D-D2CD-4D52-AC9F-4212E51CD81C}"/>
    <cellStyle name="Normal 2 4 4 3 2 2" xfId="8717" xr:uid="{AD520ED6-6FC9-4E59-B8E4-AAA981656707}"/>
    <cellStyle name="Normal 2 4 4 3 3" xfId="7017" xr:uid="{7E012728-23E2-4147-8F63-6C70F62D37D2}"/>
    <cellStyle name="Normal 2 4 4 3_DEO ADIT Unprotected" xfId="3158" xr:uid="{28713818-7BD7-4BC3-9A91-59406ED90428}"/>
    <cellStyle name="Normal 2 4 4 4" xfId="4500" xr:uid="{7E093357-E69C-4D10-832E-C90D827AC2BD}"/>
    <cellStyle name="Normal 2 4 4 4 2" xfId="7880" xr:uid="{CE6BC78C-D1A4-48B1-94EC-6E9EEA58C6B8}"/>
    <cellStyle name="Normal 2 4 4 5" xfId="6180" xr:uid="{D6509F82-A5D5-4092-9EAA-44FBFEB4B5AC}"/>
    <cellStyle name="Normal 2 4 4_DEO ADIT Unprotected" xfId="3155" xr:uid="{B3D21389-62EA-4F4F-AD3F-0F76DF3FFFB4}"/>
    <cellStyle name="Normal 2 4 5" xfId="1135" xr:uid="{00000000-0005-0000-0000-0000F8040000}"/>
    <cellStyle name="Normal 2 4 6" xfId="1136" xr:uid="{00000000-0005-0000-0000-0000F9040000}"/>
    <cellStyle name="Normal 2 45" xfId="1137" xr:uid="{00000000-0005-0000-0000-0000FA040000}"/>
    <cellStyle name="Normal 2 5" xfId="1138" xr:uid="{00000000-0005-0000-0000-0000FB040000}"/>
    <cellStyle name="Normal 2 6" xfId="1139" xr:uid="{00000000-0005-0000-0000-0000FC040000}"/>
    <cellStyle name="Normal 2 6 2" xfId="1140" xr:uid="{00000000-0005-0000-0000-0000FD040000}"/>
    <cellStyle name="Normal 2 6 2 2" xfId="1141" xr:uid="{00000000-0005-0000-0000-0000FE040000}"/>
    <cellStyle name="Normal 2 6 2 2 2" xfId="2091" xr:uid="{00000000-0005-0000-0000-0000FF040000}"/>
    <cellStyle name="Normal 2 6 2 2 2 2" xfId="5341" xr:uid="{C597E8EE-069C-42D7-A5FC-D9B9DF4F1804}"/>
    <cellStyle name="Normal 2 6 2 2 2 2 2" xfId="8721" xr:uid="{72C3B872-D69F-490E-BEEE-A8A6EB311D5D}"/>
    <cellStyle name="Normal 2 6 2 2 2 3" xfId="7021" xr:uid="{AF16AEE0-4CB0-4C46-A71A-1505E2A6456C}"/>
    <cellStyle name="Normal 2 6 2 2 2_DEO ADIT Unprotected" xfId="3162" xr:uid="{8BE3892E-1993-4853-AEE9-29FA472A6325}"/>
    <cellStyle name="Normal 2 6 2 2 3" xfId="4504" xr:uid="{E6E22B35-19BF-4A5D-81D1-FB6781AB4684}"/>
    <cellStyle name="Normal 2 6 2 2 3 2" xfId="7884" xr:uid="{178E576C-9956-4777-8D21-A1A2A4BC3C90}"/>
    <cellStyle name="Normal 2 6 2 2 4" xfId="6184" xr:uid="{7C422E2D-B375-4EC2-BF27-91A5549615C9}"/>
    <cellStyle name="Normal 2 6 2 2_DEO ADIT Unprotected" xfId="3161" xr:uid="{BD418FAD-6630-4925-A87E-5EE587FF211C}"/>
    <cellStyle name="Normal 2 6 2 3" xfId="2090" xr:uid="{00000000-0005-0000-0000-000000050000}"/>
    <cellStyle name="Normal 2 6 2 3 2" xfId="5340" xr:uid="{ABE89546-E8B2-4DA0-882E-F03B2D979E80}"/>
    <cellStyle name="Normal 2 6 2 3 2 2" xfId="8720" xr:uid="{91519E43-9CD0-4DA7-ACFE-B02E46080A87}"/>
    <cellStyle name="Normal 2 6 2 3 3" xfId="7020" xr:uid="{7ADCB23D-79DB-478B-B518-CAC7E0F974AC}"/>
    <cellStyle name="Normal 2 6 2 3_DEO ADIT Unprotected" xfId="3163" xr:uid="{92BD4D0C-AC01-4D33-8A42-B87CD0806639}"/>
    <cellStyle name="Normal 2 6 2 4" xfId="4503" xr:uid="{AB897724-21EB-43E3-9670-AF89589983F0}"/>
    <cellStyle name="Normal 2 6 2 4 2" xfId="7883" xr:uid="{AF1C3841-181F-4518-AD08-781F553EF28D}"/>
    <cellStyle name="Normal 2 6 2 5" xfId="6183" xr:uid="{C573B165-0D17-4ACD-81A1-8BE87872A597}"/>
    <cellStyle name="Normal 2 6 2_DEO ADIT Unprotected" xfId="3160" xr:uid="{8764CADA-3F38-4D58-8281-0240CA1679D8}"/>
    <cellStyle name="Normal 2 6 3" xfId="1142" xr:uid="{00000000-0005-0000-0000-000001050000}"/>
    <cellStyle name="Normal 2 6 3 2" xfId="2092" xr:uid="{00000000-0005-0000-0000-000002050000}"/>
    <cellStyle name="Normal 2 6 3 2 2" xfId="5342" xr:uid="{B741928E-1732-4672-8888-41ADBC111B91}"/>
    <cellStyle name="Normal 2 6 3 2 2 2" xfId="8722" xr:uid="{C6ACFEC3-3233-4A1E-81BD-EAFE0720369E}"/>
    <cellStyle name="Normal 2 6 3 2 3" xfId="7022" xr:uid="{3A34176D-56FF-401F-8E10-932DB257CE3F}"/>
    <cellStyle name="Normal 2 6 3 2_DEO ADIT Unprotected" xfId="3165" xr:uid="{AEFC96A5-B490-4F60-88A9-4E4ABAC12EA0}"/>
    <cellStyle name="Normal 2 6 3 3" xfId="4505" xr:uid="{DF3982B4-F418-4777-B405-05E0AE9414FC}"/>
    <cellStyle name="Normal 2 6 3 3 2" xfId="7885" xr:uid="{F3E528B8-89BA-4A5B-B4A3-526B5C6036FD}"/>
    <cellStyle name="Normal 2 6 3 4" xfId="6185" xr:uid="{0E79D325-A144-48ED-8AD4-51854BD2BCA3}"/>
    <cellStyle name="Normal 2 6 3_DEO ADIT Unprotected" xfId="3164" xr:uid="{E22C643F-393C-4E95-94CC-FCF623ABB48A}"/>
    <cellStyle name="Normal 2 6 4" xfId="2089" xr:uid="{00000000-0005-0000-0000-000003050000}"/>
    <cellStyle name="Normal 2 6 4 2" xfId="5339" xr:uid="{2572D567-6DDD-426A-B072-32167AF67703}"/>
    <cellStyle name="Normal 2 6 4 2 2" xfId="8719" xr:uid="{4C6CFEA9-2548-4F59-BFF7-B97A3A3537BE}"/>
    <cellStyle name="Normal 2 6 4 3" xfId="7019" xr:uid="{185C30E8-336B-4AE9-8F1D-4FA04837835F}"/>
    <cellStyle name="Normal 2 6 4_DEO ADIT Unprotected" xfId="3166" xr:uid="{E48B0EFA-2954-4439-8FEC-4B49C6935DAA}"/>
    <cellStyle name="Normal 2 6 5" xfId="4502" xr:uid="{6F443B60-A362-4664-87CA-CA2DF79717A0}"/>
    <cellStyle name="Normal 2 6 5 2" xfId="7882" xr:uid="{570EF1ED-849C-4FE1-ACFA-1CDF889A8EC3}"/>
    <cellStyle name="Normal 2 6 6" xfId="6182" xr:uid="{88D1E50D-63A2-4219-B257-692D396B2A55}"/>
    <cellStyle name="Normal 2 6_DEO ADIT Unprotected" xfId="3159" xr:uid="{674E1944-8DC8-4792-B454-1617249F5E3E}"/>
    <cellStyle name="Normal 2 7" xfId="1143" xr:uid="{00000000-0005-0000-0000-000004050000}"/>
    <cellStyle name="Normal 2 7 2" xfId="1144" xr:uid="{00000000-0005-0000-0000-000005050000}"/>
    <cellStyle name="Normal 2 7 2 2" xfId="2094" xr:uid="{00000000-0005-0000-0000-000006050000}"/>
    <cellStyle name="Normal 2 7 2 2 2" xfId="5344" xr:uid="{9271875C-6E4E-4E35-814D-BAFE376CBA42}"/>
    <cellStyle name="Normal 2 7 2 2 2 2" xfId="8724" xr:uid="{F91C3AC9-B393-4B1B-8FE3-F0D87B6BA6AD}"/>
    <cellStyle name="Normal 2 7 2 2 3" xfId="7024" xr:uid="{6080FA35-3DBE-40A8-8A45-D9F7532D8EC4}"/>
    <cellStyle name="Normal 2 7 2 2_DEO ADIT Unprotected" xfId="3169" xr:uid="{F46AFF54-2C4B-43B6-A734-119DBEFC9B43}"/>
    <cellStyle name="Normal 2 7 2 3" xfId="4507" xr:uid="{5478033B-896A-4B5D-88F0-1F4961770726}"/>
    <cellStyle name="Normal 2 7 2 3 2" xfId="7887" xr:uid="{1FB4C505-3E40-44D7-BE78-A9CFE4CC6B86}"/>
    <cellStyle name="Normal 2 7 2 4" xfId="6187" xr:uid="{9DD5386E-101D-487A-A328-97D22AF150BE}"/>
    <cellStyle name="Normal 2 7 2_DEO ADIT Unprotected" xfId="3168" xr:uid="{C57CEA24-54FA-40F6-B367-B417CDAB49B2}"/>
    <cellStyle name="Normal 2 7 3" xfId="2093" xr:uid="{00000000-0005-0000-0000-000007050000}"/>
    <cellStyle name="Normal 2 7 3 2" xfId="5343" xr:uid="{7D6CD9E0-8DCB-44E8-AD04-1ACE1BF36BA6}"/>
    <cellStyle name="Normal 2 7 3 2 2" xfId="8723" xr:uid="{1E5E9840-9FAF-4102-818E-FFF49BB6C9C4}"/>
    <cellStyle name="Normal 2 7 3 3" xfId="7023" xr:uid="{75B90C7E-0255-45ED-B64E-0D8EF4064291}"/>
    <cellStyle name="Normal 2 7 3_DEO ADIT Unprotected" xfId="3170" xr:uid="{908A44E3-2044-4D4F-9724-A7D558A5E11C}"/>
    <cellStyle name="Normal 2 7 4" xfId="4506" xr:uid="{23B8DBD2-BBD7-49E3-9F7E-3DE1544706D1}"/>
    <cellStyle name="Normal 2 7 4 2" xfId="7886" xr:uid="{A25C075C-2CC2-4434-91E8-340621DBF766}"/>
    <cellStyle name="Normal 2 7 5" xfId="6186" xr:uid="{B80E8BF5-C927-40E3-B701-2F154CE232F0}"/>
    <cellStyle name="Normal 2 7_DEO ADIT Unprotected" xfId="3167" xr:uid="{BEF00EAC-5333-4623-9A67-D61C12CF6E2A}"/>
    <cellStyle name="Normal 2 8" xfId="1145" xr:uid="{00000000-0005-0000-0000-000008050000}"/>
    <cellStyle name="Normal 2 8 2" xfId="1146" xr:uid="{00000000-0005-0000-0000-000009050000}"/>
    <cellStyle name="Normal 2 8 2 2" xfId="2096" xr:uid="{00000000-0005-0000-0000-00000A050000}"/>
    <cellStyle name="Normal 2 8 2 2 2" xfId="5346" xr:uid="{E8B9A0D8-E269-4F81-8FC6-EA1F18F0A1A1}"/>
    <cellStyle name="Normal 2 8 2 2 2 2" xfId="8726" xr:uid="{919AEF0A-FC82-4E14-BEDC-5CFF83072F34}"/>
    <cellStyle name="Normal 2 8 2 2 3" xfId="7026" xr:uid="{8C0A4EE0-9DF3-4A98-BAF2-E4245BA86E9E}"/>
    <cellStyle name="Normal 2 8 2 2_DEO ADIT Unprotected" xfId="3173" xr:uid="{B6E080DD-1032-41B0-9144-0B1E40DDF154}"/>
    <cellStyle name="Normal 2 8 2 3" xfId="4509" xr:uid="{10AC1C3A-1D4E-4569-96D5-8CD6E8B21870}"/>
    <cellStyle name="Normal 2 8 2 3 2" xfId="7889" xr:uid="{DFCFEC47-2740-47BE-ADE6-074BC0B8765F}"/>
    <cellStyle name="Normal 2 8 2 4" xfId="6189" xr:uid="{B9368C4B-2DA2-4A1C-A0E6-03215A5848B4}"/>
    <cellStyle name="Normal 2 8 2_DEO ADIT Unprotected" xfId="3172" xr:uid="{2B4D3B7E-1461-4ED8-9F81-100AF5BBE652}"/>
    <cellStyle name="Normal 2 8 3" xfId="2095" xr:uid="{00000000-0005-0000-0000-00000B050000}"/>
    <cellStyle name="Normal 2 8 3 2" xfId="5345" xr:uid="{452F7BA8-7772-4F10-AEFF-43DF897B64E3}"/>
    <cellStyle name="Normal 2 8 3 2 2" xfId="8725" xr:uid="{8CAFAA73-8F12-49C5-A584-C4576B8C021C}"/>
    <cellStyle name="Normal 2 8 3 3" xfId="7025" xr:uid="{EB42F5E3-D917-4B1E-9EBC-D45F42D7F9C9}"/>
    <cellStyle name="Normal 2 8 3_DEO ADIT Unprotected" xfId="3174" xr:uid="{48E72BD9-9A9D-47D5-AF4C-88583E224CD3}"/>
    <cellStyle name="Normal 2 8 4" xfId="4508" xr:uid="{F84D2BBD-4568-4451-97F6-7033232A9AC0}"/>
    <cellStyle name="Normal 2 8 4 2" xfId="7888" xr:uid="{1B135194-95C8-453A-A453-6EBEF959528A}"/>
    <cellStyle name="Normal 2 8 5" xfId="6188" xr:uid="{187ECF5F-9569-415F-A6F9-540D1249F1B1}"/>
    <cellStyle name="Normal 2 8_DEO ADIT Unprotected" xfId="3171" xr:uid="{026B9B06-27BF-4F3C-B298-663E5F9BAAF7}"/>
    <cellStyle name="Normal 2 9" xfId="9123" xr:uid="{72FCE430-C5A6-43F9-B9F0-9873F6CCDD8B}"/>
    <cellStyle name="Normal 2_DEO ADIT Unprotected" xfId="3042" xr:uid="{1B69E183-7DEC-4BC3-AA53-04D3F813430C}"/>
    <cellStyle name="Normal 20" xfId="456" xr:uid="{00000000-0005-0000-0000-00000D050000}"/>
    <cellStyle name="Normal 20 2" xfId="491" xr:uid="{00000000-0005-0000-0000-00000E050000}"/>
    <cellStyle name="Normal 20 2 2" xfId="1684" xr:uid="{00000000-0005-0000-0000-00000F050000}"/>
    <cellStyle name="Normal 20 2 2 2" xfId="4934" xr:uid="{33F6645A-4260-4C3C-A569-480DA2BD0C56}"/>
    <cellStyle name="Normal 20 2 2 2 2" xfId="8314" xr:uid="{5A308EC0-5465-4452-BE23-DE54AAE0BF7D}"/>
    <cellStyle name="Normal 20 2 2 3" xfId="6614" xr:uid="{516A0A39-D242-4D7E-B120-CF2FEA282671}"/>
    <cellStyle name="Normal 20 2 2_DEO ADIT Unprotected" xfId="3177" xr:uid="{D49E0C09-B704-4E0F-9732-237A7FE60FF6}"/>
    <cellStyle name="Normal 20 2 3" xfId="4097" xr:uid="{124DA552-7A88-4019-BCA6-0F2515FF2AAD}"/>
    <cellStyle name="Normal 20 2 3 2" xfId="7477" xr:uid="{9F3B4A93-F9BC-4579-A93D-F3CAC7F53B34}"/>
    <cellStyle name="Normal 20 2 4" xfId="5776" xr:uid="{52D30B05-6F20-4077-AAF3-17567326EA09}"/>
    <cellStyle name="Normal 20 2_DEO ADIT Unprotected" xfId="3176" xr:uid="{9BD1A41C-C741-4B9B-ADD4-3875A83E2062}"/>
    <cellStyle name="Normal 20 3" xfId="1652" xr:uid="{00000000-0005-0000-0000-000010050000}"/>
    <cellStyle name="Normal 20 3 2" xfId="4902" xr:uid="{2CA4ED25-47FD-4FED-8943-3A5C037F17E0}"/>
    <cellStyle name="Normal 20 3 2 2" xfId="8282" xr:uid="{8DE56AB6-B1A3-4762-9FC1-391F28128EC6}"/>
    <cellStyle name="Normal 20 3 3" xfId="6582" xr:uid="{1B362150-24F8-4387-9AAF-A3E8EC47C778}"/>
    <cellStyle name="Normal 20 3_DEO ADIT Unprotected" xfId="3178" xr:uid="{FFEFC865-9D6C-4E34-BCAA-19882A32E1C7}"/>
    <cellStyle name="Normal 20 4" xfId="4065" xr:uid="{695CE4AD-6B50-4199-942B-B78B558C13CB}"/>
    <cellStyle name="Normal 20 4 2" xfId="7445" xr:uid="{ED884BB7-DF7E-4FBC-ADDE-B4CA42232494}"/>
    <cellStyle name="Normal 20 5" xfId="5744" xr:uid="{13213B17-81C9-41C0-AD7A-DD7FFDB932FF}"/>
    <cellStyle name="Normal 20_DEO ADIT Unprotected" xfId="3175" xr:uid="{FD7451BF-BD01-49AC-94D7-7E540F08D992}"/>
    <cellStyle name="Normal 200" xfId="1147" xr:uid="{00000000-0005-0000-0000-000011050000}"/>
    <cellStyle name="Normal 200 2" xfId="2097" xr:uid="{00000000-0005-0000-0000-000012050000}"/>
    <cellStyle name="Normal 200 2 2" xfId="5347" xr:uid="{5AB996F8-464A-43EE-A153-24CD68672A73}"/>
    <cellStyle name="Normal 200 2 2 2" xfId="8727" xr:uid="{49C16C0B-240F-4DA7-B1A4-B01838A5AE6D}"/>
    <cellStyle name="Normal 200 2 3" xfId="7027" xr:uid="{E80D45C3-254D-4793-A015-F62C9AAC3547}"/>
    <cellStyle name="Normal 200 2_DEO ADIT Unprotected" xfId="3180" xr:uid="{584F8DDE-73DA-4EE1-B1C8-963B1DBBABA4}"/>
    <cellStyle name="Normal 200 3" xfId="4510" xr:uid="{D7643810-55CE-4EFB-A9EE-C6CA830ED9A8}"/>
    <cellStyle name="Normal 200 3 2" xfId="7890" xr:uid="{AC582E28-797A-4159-B393-7C611EED203D}"/>
    <cellStyle name="Normal 200 4" xfId="6190" xr:uid="{A57380CC-4464-467E-AD17-E4BA61F399A9}"/>
    <cellStyle name="Normal 200_DEO ADIT Unprotected" xfId="3179" xr:uid="{941CF22D-13FF-494E-A0CE-6C784AF33D75}"/>
    <cellStyle name="Normal 201" xfId="1148" xr:uid="{00000000-0005-0000-0000-000013050000}"/>
    <cellStyle name="Normal 201 2" xfId="2098" xr:uid="{00000000-0005-0000-0000-000014050000}"/>
    <cellStyle name="Normal 201 2 2" xfId="5348" xr:uid="{B7C9AB51-024B-4A05-9E79-3888FF00EA1D}"/>
    <cellStyle name="Normal 201 2 2 2" xfId="8728" xr:uid="{36831111-1AD5-40AB-B3AF-B9D873000274}"/>
    <cellStyle name="Normal 201 2 3" xfId="7028" xr:uid="{C9DD66AE-62EB-4C54-AA11-E4E09639F5DC}"/>
    <cellStyle name="Normal 201 2_DEO ADIT Unprotected" xfId="3182" xr:uid="{8428616E-358F-409B-B358-80AC70270643}"/>
    <cellStyle name="Normal 201 3" xfId="4511" xr:uid="{25BC3B2A-FC60-4628-AC78-1BB4D28E8B0C}"/>
    <cellStyle name="Normal 201 3 2" xfId="7891" xr:uid="{D85550C5-4797-4DEA-9BCC-395021D53EE0}"/>
    <cellStyle name="Normal 201 4" xfId="6191" xr:uid="{708727C2-3427-4C66-8EEB-81AA709DE549}"/>
    <cellStyle name="Normal 201_DEO ADIT Unprotected" xfId="3181" xr:uid="{B1EE9E45-364B-4FAC-BE48-9B7DC87C920A}"/>
    <cellStyle name="Normal 202" xfId="1149" xr:uid="{00000000-0005-0000-0000-000015050000}"/>
    <cellStyle name="Normal 202 2" xfId="2099" xr:uid="{00000000-0005-0000-0000-000016050000}"/>
    <cellStyle name="Normal 202 2 2" xfId="5349" xr:uid="{CBE1863B-3EC2-4DE6-A5A2-1617E39B91D9}"/>
    <cellStyle name="Normal 202 2 2 2" xfId="8729" xr:uid="{27F90123-D1A3-4BBA-B9E8-AACEBF497674}"/>
    <cellStyle name="Normal 202 2 3" xfId="7029" xr:uid="{2CEE3752-69DB-4B6A-8974-E2E7A168BC08}"/>
    <cellStyle name="Normal 202 2_DEO ADIT Unprotected" xfId="3184" xr:uid="{5C1672CA-3884-460A-A05D-D8FE7FC8F2F5}"/>
    <cellStyle name="Normal 202 3" xfId="4512" xr:uid="{F7691D85-8304-44FE-8849-E4638B2B89B9}"/>
    <cellStyle name="Normal 202 3 2" xfId="7892" xr:uid="{2AA0D2F6-E44B-48F2-A703-40A90E28E73F}"/>
    <cellStyle name="Normal 202 4" xfId="6192" xr:uid="{C0460EB1-FCBE-4F01-9976-0A476E4206A1}"/>
    <cellStyle name="Normal 202_DEO ADIT Unprotected" xfId="3183" xr:uid="{55D7760E-EE1D-4308-AF73-E8F1924DC84E}"/>
    <cellStyle name="Normal 203" xfId="1150" xr:uid="{00000000-0005-0000-0000-000017050000}"/>
    <cellStyle name="Normal 203 2" xfId="2100" xr:uid="{00000000-0005-0000-0000-000018050000}"/>
    <cellStyle name="Normal 203 2 2" xfId="5350" xr:uid="{B746A3CE-8260-421F-AABD-867F4D3A0A1C}"/>
    <cellStyle name="Normal 203 2 2 2" xfId="8730" xr:uid="{638ACC0D-476A-406A-8D25-62BFC6BA8D65}"/>
    <cellStyle name="Normal 203 2 3" xfId="7030" xr:uid="{1EE34D77-FCDD-43FD-BFC2-F132D57EE680}"/>
    <cellStyle name="Normal 203 2_DEO ADIT Unprotected" xfId="3186" xr:uid="{8CF5946C-416D-465E-89F9-F64A4B133BF5}"/>
    <cellStyle name="Normal 203 3" xfId="4513" xr:uid="{DDADCCD6-8768-4EC3-BC12-268B8209151B}"/>
    <cellStyle name="Normal 203 3 2" xfId="7893" xr:uid="{1D204801-D3BF-42DE-A11B-497F3B88CB76}"/>
    <cellStyle name="Normal 203 4" xfId="6193" xr:uid="{5ED288A4-A6F9-4C6A-A9EB-A6E7C6DE4D31}"/>
    <cellStyle name="Normal 203_DEO ADIT Unprotected" xfId="3185" xr:uid="{BEAF67A9-2BAC-4926-B4A5-83F6AB3F252D}"/>
    <cellStyle name="Normal 204" xfId="1151" xr:uid="{00000000-0005-0000-0000-000019050000}"/>
    <cellStyle name="Normal 204 2" xfId="2101" xr:uid="{00000000-0005-0000-0000-00001A050000}"/>
    <cellStyle name="Normal 204 2 2" xfId="5351" xr:uid="{9E20BE72-77A4-45BE-810C-572BAF6A274C}"/>
    <cellStyle name="Normal 204 2 2 2" xfId="8731" xr:uid="{7F5A453D-1790-4DCE-B5D7-399A7572EF5A}"/>
    <cellStyle name="Normal 204 2 3" xfId="7031" xr:uid="{8ACED4C3-73ED-44E5-AE6C-F6E20297E427}"/>
    <cellStyle name="Normal 204 2_DEO ADIT Unprotected" xfId="3188" xr:uid="{5FFA4DDE-C370-402C-8AA3-722A4BE4C5F7}"/>
    <cellStyle name="Normal 204 3" xfId="4514" xr:uid="{43D0C9AF-F486-4606-9B0D-0EA32D127AE0}"/>
    <cellStyle name="Normal 204 3 2" xfId="7894" xr:uid="{FC20C3F2-B8E6-405C-8BAD-34C88CA7FB82}"/>
    <cellStyle name="Normal 204 4" xfId="6194" xr:uid="{4BC69265-B5CC-43AC-BD86-9C2E50A5D904}"/>
    <cellStyle name="Normal 204_DEO ADIT Unprotected" xfId="3187" xr:uid="{D5469C8D-0F3D-4402-B839-78FB6794D7A4}"/>
    <cellStyle name="Normal 205" xfId="1152" xr:uid="{00000000-0005-0000-0000-00001B050000}"/>
    <cellStyle name="Normal 205 2" xfId="2102" xr:uid="{00000000-0005-0000-0000-00001C050000}"/>
    <cellStyle name="Normal 205 2 2" xfId="5352" xr:uid="{7821CEC0-358A-48F1-914B-ED85AC4D924E}"/>
    <cellStyle name="Normal 205 2 2 2" xfId="8732" xr:uid="{CA02987B-1196-4560-AE29-DBEE5AC25087}"/>
    <cellStyle name="Normal 205 2 3" xfId="7032" xr:uid="{7692A431-B0F5-44EF-9D5B-7A4A09075642}"/>
    <cellStyle name="Normal 205 2_DEO ADIT Unprotected" xfId="3190" xr:uid="{F8EA9F4D-1BE5-4FBF-A4A0-E22A61F5A3F1}"/>
    <cellStyle name="Normal 205 3" xfId="4515" xr:uid="{9CC54DA9-4019-4AC5-9B0F-5527D257A72C}"/>
    <cellStyle name="Normal 205 3 2" xfId="7895" xr:uid="{69B1504B-0DA8-4162-A58F-79C9576C2837}"/>
    <cellStyle name="Normal 205 4" xfId="6195" xr:uid="{6A5C86A2-21BF-4621-9A8B-E1F1C57B1BF4}"/>
    <cellStyle name="Normal 205_DEO ADIT Unprotected" xfId="3189" xr:uid="{0719C9D0-EC90-4CDC-9872-E7CE5738CCA2}"/>
    <cellStyle name="Normal 206" xfId="1153" xr:uid="{00000000-0005-0000-0000-00001D050000}"/>
    <cellStyle name="Normal 206 2" xfId="2103" xr:uid="{00000000-0005-0000-0000-00001E050000}"/>
    <cellStyle name="Normal 206 2 2" xfId="5353" xr:uid="{D783923A-1EFD-4919-8BE9-2F276F2E2497}"/>
    <cellStyle name="Normal 206 2 2 2" xfId="8733" xr:uid="{1DBA82E0-78AF-412F-8D7D-754852637A13}"/>
    <cellStyle name="Normal 206 2 3" xfId="7033" xr:uid="{25B8471B-C911-4A8A-AAFA-64665FAE23F0}"/>
    <cellStyle name="Normal 206 2_DEO ADIT Unprotected" xfId="3192" xr:uid="{605CAB68-7C45-421E-A5BC-AD242C273A43}"/>
    <cellStyle name="Normal 206 3" xfId="4516" xr:uid="{13B4A9D3-E587-4506-95E2-666C10424620}"/>
    <cellStyle name="Normal 206 3 2" xfId="7896" xr:uid="{B44BE0D1-54C5-43E2-A814-9FCA4BF6FDDF}"/>
    <cellStyle name="Normal 206 4" xfId="6196" xr:uid="{A38372D4-90FD-42D9-A2F9-6916CFDDE8C1}"/>
    <cellStyle name="Normal 206_DEO ADIT Unprotected" xfId="3191" xr:uid="{EDCD7230-3497-493D-BC0D-3D449218CFA9}"/>
    <cellStyle name="Normal 207" xfId="1154" xr:uid="{00000000-0005-0000-0000-00001F050000}"/>
    <cellStyle name="Normal 207 2" xfId="2104" xr:uid="{00000000-0005-0000-0000-000020050000}"/>
    <cellStyle name="Normal 207 2 2" xfId="5354" xr:uid="{642C038E-5CA6-48ED-BA3F-5504CA6A29D9}"/>
    <cellStyle name="Normal 207 2 2 2" xfId="8734" xr:uid="{90DB1CE2-2541-47CA-B4CD-7439B4B229DB}"/>
    <cellStyle name="Normal 207 2 3" xfId="7034" xr:uid="{7F3DC9F7-CCB1-4B71-824F-ED9A907D319B}"/>
    <cellStyle name="Normal 207 2_DEO ADIT Unprotected" xfId="3194" xr:uid="{F893394E-B1E2-49DB-8016-9339B625F34F}"/>
    <cellStyle name="Normal 207 3" xfId="4517" xr:uid="{89124EDB-CA5D-4F25-8854-DA8E3BAF4B41}"/>
    <cellStyle name="Normal 207 3 2" xfId="7897" xr:uid="{22BE343B-F494-4859-8EA1-51841DB7B462}"/>
    <cellStyle name="Normal 207 4" xfId="6197" xr:uid="{53B9BF7B-CABC-4AA4-9093-6196C641EB8F}"/>
    <cellStyle name="Normal 207_DEO ADIT Unprotected" xfId="3193" xr:uid="{BBCCD289-501E-46F3-BB5D-D1D69781A262}"/>
    <cellStyle name="Normal 208" xfId="1155" xr:uid="{00000000-0005-0000-0000-000021050000}"/>
    <cellStyle name="Normal 208 2" xfId="2105" xr:uid="{00000000-0005-0000-0000-000022050000}"/>
    <cellStyle name="Normal 208 2 2" xfId="5355" xr:uid="{EA83FFAB-5926-480A-91C9-F5F9D58BF47C}"/>
    <cellStyle name="Normal 208 2 2 2" xfId="8735" xr:uid="{A6A093F4-1364-4ACC-880A-BE8AA3705766}"/>
    <cellStyle name="Normal 208 2 3" xfId="7035" xr:uid="{C171EB5E-2378-4F76-8405-41135601AB2A}"/>
    <cellStyle name="Normal 208 2_DEO ADIT Unprotected" xfId="3196" xr:uid="{33FB2BE1-92DE-4A45-9210-4EF06F2EBE2B}"/>
    <cellStyle name="Normal 208 3" xfId="4518" xr:uid="{F2C39445-8CEF-4B72-B081-CCCEE19CB77E}"/>
    <cellStyle name="Normal 208 3 2" xfId="7898" xr:uid="{CE9CD2A2-F4C9-47DA-9F89-AE447530A14C}"/>
    <cellStyle name="Normal 208 4" xfId="6198" xr:uid="{7F12ACD8-B8FC-4D8F-A8D7-C5FC35B2A6BE}"/>
    <cellStyle name="Normal 208_DEO ADIT Unprotected" xfId="3195" xr:uid="{FF248103-3F70-4E21-9183-DE332F5C3E85}"/>
    <cellStyle name="Normal 209" xfId="1156" xr:uid="{00000000-0005-0000-0000-000023050000}"/>
    <cellStyle name="Normal 209 2" xfId="2106" xr:uid="{00000000-0005-0000-0000-000024050000}"/>
    <cellStyle name="Normal 209 2 2" xfId="5356" xr:uid="{4F361044-FCA5-43E6-A019-3E1124888325}"/>
    <cellStyle name="Normal 209 2 2 2" xfId="8736" xr:uid="{F9BB584A-4E6D-46E0-AB15-F4E3BF305616}"/>
    <cellStyle name="Normal 209 2 3" xfId="7036" xr:uid="{54458A79-64BC-434C-B343-E4E8693417DC}"/>
    <cellStyle name="Normal 209 2_DEO ADIT Unprotected" xfId="3198" xr:uid="{4AF9E14E-6B08-4B22-B454-DFA43769A623}"/>
    <cellStyle name="Normal 209 3" xfId="4519" xr:uid="{DB75351B-8D6C-4C99-9CF3-8E3F4A3AAAEA}"/>
    <cellStyle name="Normal 209 3 2" xfId="7899" xr:uid="{02870D25-FB81-4A0A-BD47-B011AE094280}"/>
    <cellStyle name="Normal 209 4" xfId="6199" xr:uid="{692D3635-9EDF-45D6-9EFA-4B8C6988A4B5}"/>
    <cellStyle name="Normal 209_DEO ADIT Unprotected" xfId="3197" xr:uid="{7311911A-EFCA-4297-A75F-9B83DE434248}"/>
    <cellStyle name="Normal 21" xfId="453" xr:uid="{00000000-0005-0000-0000-000025050000}"/>
    <cellStyle name="Normal 21 2" xfId="489" xr:uid="{00000000-0005-0000-0000-000026050000}"/>
    <cellStyle name="Normal 21 2 2" xfId="1682" xr:uid="{00000000-0005-0000-0000-000027050000}"/>
    <cellStyle name="Normal 21 2 2 2" xfId="4932" xr:uid="{E20A2F9C-0212-44DD-A99C-80EC1785E8E2}"/>
    <cellStyle name="Normal 21 2 2 2 2" xfId="8312" xr:uid="{88408C7D-FE21-4E3F-976A-089EC787F374}"/>
    <cellStyle name="Normal 21 2 2 3" xfId="6612" xr:uid="{F5B3E002-8683-46F1-B2F1-0225EE3ED871}"/>
    <cellStyle name="Normal 21 2 2_DEO ADIT Unprotected" xfId="3201" xr:uid="{300D16C8-0E08-4C3F-9EC7-CF6BD3FE2F4C}"/>
    <cellStyle name="Normal 21 2 3" xfId="4095" xr:uid="{3E940A85-883D-47A4-82E0-B037CD6ABC4F}"/>
    <cellStyle name="Normal 21 2 3 2" xfId="7475" xr:uid="{0B3A889A-DE98-423E-BC98-08DE090C1C44}"/>
    <cellStyle name="Normal 21 2 4" xfId="5774" xr:uid="{D1753944-CE04-48BC-A642-4E03B8456576}"/>
    <cellStyle name="Normal 21 2_DEO ADIT Unprotected" xfId="3200" xr:uid="{4DF2A7EE-0D24-4ECE-B857-D81E21CE6663}"/>
    <cellStyle name="Normal 21 3" xfId="1157" xr:uid="{00000000-0005-0000-0000-000028050000}"/>
    <cellStyle name="Normal 21 3 2" xfId="2107" xr:uid="{00000000-0005-0000-0000-000029050000}"/>
    <cellStyle name="Normal 21 3 2 2" xfId="5357" xr:uid="{FD970C38-0669-4FA0-BF72-1D0DA40221D5}"/>
    <cellStyle name="Normal 21 3 2 2 2" xfId="8737" xr:uid="{9E63BF02-0914-4DF7-AF89-541A061F1519}"/>
    <cellStyle name="Normal 21 3 2 3" xfId="7037" xr:uid="{1CA16015-6AE3-497F-ADA7-057FA4C2A977}"/>
    <cellStyle name="Normal 21 3 2_DEO ADIT Unprotected" xfId="3203" xr:uid="{F9E60759-1AFB-475D-9D39-6FA3B8A7EE21}"/>
    <cellStyle name="Normal 21 3 3" xfId="4520" xr:uid="{781114C3-212C-4AFD-99FA-6F4925ABEAA2}"/>
    <cellStyle name="Normal 21 3 3 2" xfId="7900" xr:uid="{B7B9F02E-9BD7-4901-B31B-1D80768FE976}"/>
    <cellStyle name="Normal 21 3 4" xfId="6200" xr:uid="{96D67F25-2D31-4512-932C-C17385E6009C}"/>
    <cellStyle name="Normal 21 3_DEO ADIT Unprotected" xfId="3202" xr:uid="{B4E211D9-152C-4999-BD42-9F9EAA3AF32E}"/>
    <cellStyle name="Normal 21 4" xfId="1650" xr:uid="{00000000-0005-0000-0000-00002A050000}"/>
    <cellStyle name="Normal 21 4 2" xfId="4900" xr:uid="{2C069F87-37AA-47F1-A9F6-3AE037AA32CF}"/>
    <cellStyle name="Normal 21 4 2 2" xfId="8280" xr:uid="{3E37E86C-C76D-4A92-955E-68CFE391A9D2}"/>
    <cellStyle name="Normal 21 4 3" xfId="6580" xr:uid="{73FA4021-D8F2-4717-86B3-B4BFA7119530}"/>
    <cellStyle name="Normal 21 4_DEO ADIT Unprotected" xfId="3204" xr:uid="{0030A3E3-C34D-4DB4-96B8-353C29A0225E}"/>
    <cellStyle name="Normal 21 5" xfId="4063" xr:uid="{3A87F6A4-1004-465C-9DC1-029D70EBD5A5}"/>
    <cellStyle name="Normal 21 5 2" xfId="7443" xr:uid="{852D4FC4-BA4C-4E07-A20C-6C63803C3D3B}"/>
    <cellStyle name="Normal 21 6" xfId="5742" xr:uid="{B116F4B1-E968-4D0E-915A-E73D529E7A1A}"/>
    <cellStyle name="Normal 21_DEO ADIT Unprotected" xfId="3199" xr:uid="{481A354C-2FE2-4198-8BA5-2820B1E97AEE}"/>
    <cellStyle name="Normal 210" xfId="1158" xr:uid="{00000000-0005-0000-0000-00002B050000}"/>
    <cellStyle name="Normal 210 2" xfId="2108" xr:uid="{00000000-0005-0000-0000-00002C050000}"/>
    <cellStyle name="Normal 210 2 2" xfId="5358" xr:uid="{A943E0CA-A00A-4664-99F9-DB381DAE5EEB}"/>
    <cellStyle name="Normal 210 2 2 2" xfId="8738" xr:uid="{F13DBE06-8F2B-4123-B0DB-6D5444A7F45E}"/>
    <cellStyle name="Normal 210 2 3" xfId="7038" xr:uid="{E849D9E4-386B-43E8-B47F-9B364D46E874}"/>
    <cellStyle name="Normal 210 2_DEO ADIT Unprotected" xfId="3206" xr:uid="{97F1C19F-E9D0-49DE-9A68-04CB7117F6C7}"/>
    <cellStyle name="Normal 210 3" xfId="4521" xr:uid="{D89F846E-F93A-42DD-B15B-632A2041A319}"/>
    <cellStyle name="Normal 210 3 2" xfId="7901" xr:uid="{7FD83C83-AAE6-44D4-B0DA-E072CB9D1E52}"/>
    <cellStyle name="Normal 210 4" xfId="6201" xr:uid="{DBEBC18D-DF67-41E5-8A99-78AEAE5537D2}"/>
    <cellStyle name="Normal 210_DEO ADIT Unprotected" xfId="3205" xr:uid="{633182FE-454F-4D37-B8F9-E4B154DE0400}"/>
    <cellStyle name="Normal 211" xfId="1159" xr:uid="{00000000-0005-0000-0000-00002D050000}"/>
    <cellStyle name="Normal 211 2" xfId="2109" xr:uid="{00000000-0005-0000-0000-00002E050000}"/>
    <cellStyle name="Normal 211 2 2" xfId="5359" xr:uid="{CBA91D54-A34F-46DC-B9D6-3B1927E08C8C}"/>
    <cellStyle name="Normal 211 2 2 2" xfId="8739" xr:uid="{85EB1944-40D1-48E9-900E-86AF496FAFB9}"/>
    <cellStyle name="Normal 211 2 3" xfId="7039" xr:uid="{8FE7180B-2E7E-4D3B-A967-F0B655EF88F0}"/>
    <cellStyle name="Normal 211 2_DEO ADIT Unprotected" xfId="3208" xr:uid="{1DE0144E-9039-46C5-904F-4DFE9714B609}"/>
    <cellStyle name="Normal 211 3" xfId="4522" xr:uid="{51E6C9D2-47C3-4D3F-83A2-C2716B7716A7}"/>
    <cellStyle name="Normal 211 3 2" xfId="7902" xr:uid="{33DF39FD-3500-492E-AC5C-EA84250FCD85}"/>
    <cellStyle name="Normal 211 4" xfId="6202" xr:uid="{741B71A1-81A1-4FEF-90A6-5CC14B16C454}"/>
    <cellStyle name="Normal 211_DEO ADIT Unprotected" xfId="3207" xr:uid="{B2D52D45-2A04-4784-B91D-0F24DB33091D}"/>
    <cellStyle name="Normal 212" xfId="1160" xr:uid="{00000000-0005-0000-0000-00002F050000}"/>
    <cellStyle name="Normal 212 2" xfId="2110" xr:uid="{00000000-0005-0000-0000-000030050000}"/>
    <cellStyle name="Normal 212 2 2" xfId="5360" xr:uid="{30D75CC1-39F1-4F4F-91D2-591D700418BA}"/>
    <cellStyle name="Normal 212 2 2 2" xfId="8740" xr:uid="{E3A32D1B-8D26-409F-BBDC-66AC34083C6B}"/>
    <cellStyle name="Normal 212 2 3" xfId="7040" xr:uid="{29E9072D-0A42-4D16-B27A-B0B7F5981D65}"/>
    <cellStyle name="Normal 212 2_DEO ADIT Unprotected" xfId="3210" xr:uid="{3ED9517B-EC7B-43D6-863D-A78C44766280}"/>
    <cellStyle name="Normal 212 3" xfId="4523" xr:uid="{17740756-9421-4E2E-82A4-ABF0A93BCDF5}"/>
    <cellStyle name="Normal 212 3 2" xfId="7903" xr:uid="{DCFE27E3-0DBA-47C8-B4E8-4A299F129DEE}"/>
    <cellStyle name="Normal 212 4" xfId="6203" xr:uid="{C24E209C-EC84-479D-A9AD-9DA32A59D4DF}"/>
    <cellStyle name="Normal 212_DEO ADIT Unprotected" xfId="3209" xr:uid="{54AF94DD-75C9-459D-886A-0982936AC5D2}"/>
    <cellStyle name="Normal 213" xfId="1161" xr:uid="{00000000-0005-0000-0000-000031050000}"/>
    <cellStyle name="Normal 213 2" xfId="2111" xr:uid="{00000000-0005-0000-0000-000032050000}"/>
    <cellStyle name="Normal 213 2 2" xfId="5361" xr:uid="{9E5DBCEB-8352-4922-8632-28D5F16A56AC}"/>
    <cellStyle name="Normal 213 2 2 2" xfId="8741" xr:uid="{A804D162-C979-460D-BF8A-88BE04C7E3F5}"/>
    <cellStyle name="Normal 213 2 3" xfId="7041" xr:uid="{9CB5D857-93BA-43F7-9963-580DA6B76283}"/>
    <cellStyle name="Normal 213 2_DEO ADIT Unprotected" xfId="3212" xr:uid="{BC29D6BD-3176-4AA9-A332-515BF5A6F046}"/>
    <cellStyle name="Normal 213 3" xfId="4524" xr:uid="{E8B3A4BA-5D67-4F84-AACB-6707A6BE6D52}"/>
    <cellStyle name="Normal 213 3 2" xfId="7904" xr:uid="{8A7A8181-F5BE-470B-A7D4-16ADAE46CA58}"/>
    <cellStyle name="Normal 213 4" xfId="6204" xr:uid="{D469AF10-D10E-43AF-B2F6-B61E973BE3FF}"/>
    <cellStyle name="Normal 213_DEO ADIT Unprotected" xfId="3211" xr:uid="{4EC0F518-6C18-49C7-AE3D-D7CEC99DA66C}"/>
    <cellStyle name="Normal 214" xfId="1162" xr:uid="{00000000-0005-0000-0000-000033050000}"/>
    <cellStyle name="Normal 214 2" xfId="2112" xr:uid="{00000000-0005-0000-0000-000034050000}"/>
    <cellStyle name="Normal 214 2 2" xfId="5362" xr:uid="{17486754-4FF9-4E48-85C1-245CC4544BDB}"/>
    <cellStyle name="Normal 214 2 2 2" xfId="8742" xr:uid="{E86BD4B4-D5E6-482A-90B5-042BC68DEA0E}"/>
    <cellStyle name="Normal 214 2 3" xfId="7042" xr:uid="{4D9E3E12-9E14-40F6-8AC0-8BDB79D922C4}"/>
    <cellStyle name="Normal 214 2_DEO ADIT Unprotected" xfId="3214" xr:uid="{49B2CB52-2A9B-43AA-9C8C-95761CB4A455}"/>
    <cellStyle name="Normal 214 3" xfId="4525" xr:uid="{C6019146-4E1E-4DAA-B3CD-D53F32541FB9}"/>
    <cellStyle name="Normal 214 3 2" xfId="7905" xr:uid="{D8650B40-FFA5-41AA-8FBB-9630CA0A6656}"/>
    <cellStyle name="Normal 214 4" xfId="6205" xr:uid="{BDB1AF06-7313-49D1-8D2C-1DFFE3D9061C}"/>
    <cellStyle name="Normal 214_DEO ADIT Unprotected" xfId="3213" xr:uid="{D13F0E3D-D841-4CEF-B12D-AFB413A41C49}"/>
    <cellStyle name="Normal 215" xfId="1163" xr:uid="{00000000-0005-0000-0000-000035050000}"/>
    <cellStyle name="Normal 215 2" xfId="2113" xr:uid="{00000000-0005-0000-0000-000036050000}"/>
    <cellStyle name="Normal 215 2 2" xfId="5363" xr:uid="{768521CA-E669-41DB-AE31-6B66F4F4E17C}"/>
    <cellStyle name="Normal 215 2 2 2" xfId="8743" xr:uid="{BA642090-B442-494F-BA69-D92F21850B9A}"/>
    <cellStyle name="Normal 215 2 3" xfId="7043" xr:uid="{825EA08F-1353-450D-ACE1-FBAC7D221922}"/>
    <cellStyle name="Normal 215 2_DEO ADIT Unprotected" xfId="3216" xr:uid="{92D127D3-3AC8-43E1-8928-40B7C33C1C3D}"/>
    <cellStyle name="Normal 215 3" xfId="4526" xr:uid="{F024F8C5-17F0-4697-B570-7AB4F40FCB84}"/>
    <cellStyle name="Normal 215 3 2" xfId="7906" xr:uid="{F5EDFAEF-4091-4793-AC3E-4A92B023DD13}"/>
    <cellStyle name="Normal 215 4" xfId="6206" xr:uid="{FA6B4543-88E8-4F97-8E99-7D4EE5598FCE}"/>
    <cellStyle name="Normal 215_DEO ADIT Unprotected" xfId="3215" xr:uid="{675205FF-70A5-495B-B3D5-3FA614A30938}"/>
    <cellStyle name="Normal 216" xfId="1164" xr:uid="{00000000-0005-0000-0000-000037050000}"/>
    <cellStyle name="Normal 216 2" xfId="2114" xr:uid="{00000000-0005-0000-0000-000038050000}"/>
    <cellStyle name="Normal 216 2 2" xfId="5364" xr:uid="{F54CB343-B8B5-4D8F-9529-7ADA3771910E}"/>
    <cellStyle name="Normal 216 2 2 2" xfId="8744" xr:uid="{38A33B43-66BF-4CD0-8D46-0C6E6ADD8776}"/>
    <cellStyle name="Normal 216 2 3" xfId="7044" xr:uid="{49719953-9482-41EA-AFA4-355C28DD58AB}"/>
    <cellStyle name="Normal 216 2_DEO ADIT Unprotected" xfId="3218" xr:uid="{650486CA-3B05-4EEA-8F42-9AC8FEF72A42}"/>
    <cellStyle name="Normal 216 3" xfId="4527" xr:uid="{7FB3DD44-A4F5-43EA-A1F9-8E77BCE4D30E}"/>
    <cellStyle name="Normal 216 3 2" xfId="7907" xr:uid="{2BD634DD-6876-4F2F-8224-B6DE38F0348C}"/>
    <cellStyle name="Normal 216 4" xfId="6207" xr:uid="{DF1DE4D7-CECA-4A7E-8C3D-BE3B0FD6FAF5}"/>
    <cellStyle name="Normal 216_DEO ADIT Unprotected" xfId="3217" xr:uid="{0F32C069-36DC-412E-A3EE-F5674DECE17F}"/>
    <cellStyle name="Normal 217" xfId="1165" xr:uid="{00000000-0005-0000-0000-000039050000}"/>
    <cellStyle name="Normal 217 2" xfId="2115" xr:uid="{00000000-0005-0000-0000-00003A050000}"/>
    <cellStyle name="Normal 217 2 2" xfId="5365" xr:uid="{992A4187-44BF-40A2-BA28-49EF81067E36}"/>
    <cellStyle name="Normal 217 2 2 2" xfId="8745" xr:uid="{AAB539A4-9E34-47BB-9ADF-4965CAC45C61}"/>
    <cellStyle name="Normal 217 2 3" xfId="7045" xr:uid="{CB3DA5F5-D0B9-4753-BBDF-B1109F8C15DF}"/>
    <cellStyle name="Normal 217 2_DEO ADIT Unprotected" xfId="3220" xr:uid="{B5E388F7-B2FD-4A09-A971-61F4BECA823F}"/>
    <cellStyle name="Normal 217 3" xfId="4528" xr:uid="{602D6016-0F6D-405F-87C6-3DD58F370E6A}"/>
    <cellStyle name="Normal 217 3 2" xfId="7908" xr:uid="{1E0C073A-23A8-4E94-B6F6-67C539D591B3}"/>
    <cellStyle name="Normal 217 4" xfId="6208" xr:uid="{0ECB867D-FF32-4EBA-A317-8EEB3DDA8556}"/>
    <cellStyle name="Normal 217_DEO ADIT Unprotected" xfId="3219" xr:uid="{FB141648-FF79-4B26-AB50-5D1161A33504}"/>
    <cellStyle name="Normal 218" xfId="1166" xr:uid="{00000000-0005-0000-0000-00003B050000}"/>
    <cellStyle name="Normal 218 2" xfId="2116" xr:uid="{00000000-0005-0000-0000-00003C050000}"/>
    <cellStyle name="Normal 218 2 2" xfId="5366" xr:uid="{0FD7718C-5A64-4BBC-9BFA-92BF23EDA962}"/>
    <cellStyle name="Normal 218 2 2 2" xfId="8746" xr:uid="{795B5AC7-5D96-4C05-B824-A063E39038FD}"/>
    <cellStyle name="Normal 218 2 3" xfId="7046" xr:uid="{55B48070-E926-465D-B586-779A4843CB39}"/>
    <cellStyle name="Normal 218 2_DEO ADIT Unprotected" xfId="3222" xr:uid="{3B0D05AC-014E-4C20-A18D-9F52ECED4D67}"/>
    <cellStyle name="Normal 218 3" xfId="4529" xr:uid="{4EB23497-8CD4-4C3A-8FAF-0C8EC42188C7}"/>
    <cellStyle name="Normal 218 3 2" xfId="7909" xr:uid="{A92F7312-873D-4606-86CC-B64951D15843}"/>
    <cellStyle name="Normal 218 4" xfId="6209" xr:uid="{8E709AF2-0387-484A-A294-64EB26DE47CA}"/>
    <cellStyle name="Normal 218_DEO ADIT Unprotected" xfId="3221" xr:uid="{20367AC9-6536-4C60-8683-659BAEDE5220}"/>
    <cellStyle name="Normal 219" xfId="1167" xr:uid="{00000000-0005-0000-0000-00003D050000}"/>
    <cellStyle name="Normal 219 2" xfId="2117" xr:uid="{00000000-0005-0000-0000-00003E050000}"/>
    <cellStyle name="Normal 219 2 2" xfId="5367" xr:uid="{2A32077E-52DF-430A-B6C2-5C20D4C3DAF9}"/>
    <cellStyle name="Normal 219 2 2 2" xfId="8747" xr:uid="{A621A7B4-FD38-4FE4-9C6C-ADB20D6016EB}"/>
    <cellStyle name="Normal 219 2 3" xfId="7047" xr:uid="{00344488-6713-43C9-90B1-0B3302C912BB}"/>
    <cellStyle name="Normal 219 2_DEO ADIT Unprotected" xfId="3224" xr:uid="{6BBA0E73-9096-4271-BF14-A2C0CE355FF4}"/>
    <cellStyle name="Normal 219 3" xfId="4530" xr:uid="{E118F684-3455-4806-968E-3B7E477A58BE}"/>
    <cellStyle name="Normal 219 3 2" xfId="7910" xr:uid="{870497DD-660E-415A-89A5-E9EE5DABADC3}"/>
    <cellStyle name="Normal 219 4" xfId="6210" xr:uid="{168452C1-F006-42C8-A1DD-EF560D18BAC6}"/>
    <cellStyle name="Normal 219_DEO ADIT Unprotected" xfId="3223" xr:uid="{A5A2B9E9-FD01-4E1F-A4F5-F47D35601E49}"/>
    <cellStyle name="Normal 22" xfId="552" xr:uid="{00000000-0005-0000-0000-00003F050000}"/>
    <cellStyle name="Normal 22 2" xfId="1168" xr:uid="{00000000-0005-0000-0000-000040050000}"/>
    <cellStyle name="Normal 22 3" xfId="1169" xr:uid="{00000000-0005-0000-0000-000041050000}"/>
    <cellStyle name="Normal 22 4" xfId="1170" xr:uid="{00000000-0005-0000-0000-000042050000}"/>
    <cellStyle name="Normal 22 5" xfId="1716" xr:uid="{00000000-0005-0000-0000-000043050000}"/>
    <cellStyle name="Normal 22 5 2" xfId="4966" xr:uid="{3F7CB3DE-BEF2-473A-90A1-611F0A79CA13}"/>
    <cellStyle name="Normal 22 5 2 2" xfId="8346" xr:uid="{DAD5B6F5-C9B4-497F-9337-ADFD3202B5A9}"/>
    <cellStyle name="Normal 22 5 3" xfId="6646" xr:uid="{42087E06-DE23-4E75-8AA8-50F2D4F49CA7}"/>
    <cellStyle name="Normal 22 5_DEO ADIT Unprotected" xfId="3226" xr:uid="{7BA88CA7-CA6F-4480-BF6B-D80B136697B8}"/>
    <cellStyle name="Normal 22 6" xfId="4129" xr:uid="{E3DD70AE-B99C-40D7-B8E8-E327ADB0826B}"/>
    <cellStyle name="Normal 22 6 2" xfId="7509" xr:uid="{5BCC0D04-3A7B-4251-BDAC-992D309DBF14}"/>
    <cellStyle name="Normal 22 7" xfId="5808" xr:uid="{6C11DCD4-F342-4C3D-B6CF-6304965EE26F}"/>
    <cellStyle name="Normal 22_DEO ADIT Unprotected" xfId="3225" xr:uid="{55BBB8CC-458C-4015-8E6D-B715411B15FE}"/>
    <cellStyle name="Normal 220" xfId="1171" xr:uid="{00000000-0005-0000-0000-000044050000}"/>
    <cellStyle name="Normal 220 2" xfId="2118" xr:uid="{00000000-0005-0000-0000-000045050000}"/>
    <cellStyle name="Normal 220 2 2" xfId="5368" xr:uid="{1BD796C4-4454-4A97-B4D3-AE759F1028E3}"/>
    <cellStyle name="Normal 220 2 2 2" xfId="8748" xr:uid="{46B001CC-8B06-4921-940F-A6C146936809}"/>
    <cellStyle name="Normal 220 2 3" xfId="7048" xr:uid="{B634F3E8-8D06-4444-A51E-325864D46B06}"/>
    <cellStyle name="Normal 220 2_DEO ADIT Unprotected" xfId="3228" xr:uid="{27193E3F-5A30-4D24-A5D1-739483F236F8}"/>
    <cellStyle name="Normal 220 3" xfId="4531" xr:uid="{36B44F58-43C0-4950-AD8B-713A1C17D647}"/>
    <cellStyle name="Normal 220 3 2" xfId="7911" xr:uid="{DE9A7BEC-7BCA-44CC-AEA8-ACBFE3F1E670}"/>
    <cellStyle name="Normal 220 4" xfId="6211" xr:uid="{C602F614-7B9F-4996-91E7-ABC273876E75}"/>
    <cellStyle name="Normal 220_DEO ADIT Unprotected" xfId="3227" xr:uid="{D8984EC1-590F-4572-90F2-4050D9EF24EC}"/>
    <cellStyle name="Normal 221" xfId="1172" xr:uid="{00000000-0005-0000-0000-000046050000}"/>
    <cellStyle name="Normal 221 2" xfId="2119" xr:uid="{00000000-0005-0000-0000-000047050000}"/>
    <cellStyle name="Normal 221 2 2" xfId="5369" xr:uid="{A98946FC-D4BB-4825-8CAC-755B1ACA3A44}"/>
    <cellStyle name="Normal 221 2 2 2" xfId="8749" xr:uid="{8E98B6C5-B7DC-4F88-8EA3-A22B8CAF5988}"/>
    <cellStyle name="Normal 221 2 3" xfId="7049" xr:uid="{85E1B44D-9763-4752-A2AB-83953B9B89CA}"/>
    <cellStyle name="Normal 221 2_DEO ADIT Unprotected" xfId="3230" xr:uid="{E5F7C065-0BC8-4212-80F2-38A7556386B7}"/>
    <cellStyle name="Normal 221 3" xfId="4532" xr:uid="{7E58A52F-75D1-40D4-897B-025AD255807B}"/>
    <cellStyle name="Normal 221 3 2" xfId="7912" xr:uid="{36385CB8-D9A7-47F9-9934-B87A67E28D8B}"/>
    <cellStyle name="Normal 221 4" xfId="6212" xr:uid="{D37479A6-04A9-40F9-921A-C3F05806A5F9}"/>
    <cellStyle name="Normal 221_DEO ADIT Unprotected" xfId="3229" xr:uid="{5705882D-8523-4FC5-A7CB-F9D9BC8F7F8D}"/>
    <cellStyle name="Normal 222" xfId="1173" xr:uid="{00000000-0005-0000-0000-000048050000}"/>
    <cellStyle name="Normal 222 2" xfId="2120" xr:uid="{00000000-0005-0000-0000-000049050000}"/>
    <cellStyle name="Normal 222 2 2" xfId="5370" xr:uid="{7E8D2803-F27E-4657-B4C0-B422A20ED4F7}"/>
    <cellStyle name="Normal 222 2 2 2" xfId="8750" xr:uid="{7B473356-EC48-4145-AD4F-4DE1F99E1F70}"/>
    <cellStyle name="Normal 222 2 3" xfId="7050" xr:uid="{CD490911-4CC5-4C63-AF95-ECD969D678C8}"/>
    <cellStyle name="Normal 222 2_DEO ADIT Unprotected" xfId="3232" xr:uid="{D49D92A0-C4DB-4917-89CD-B13AE60E58EA}"/>
    <cellStyle name="Normal 222 3" xfId="4533" xr:uid="{3EC2BE13-7113-4E39-9F50-D04D9D3AA881}"/>
    <cellStyle name="Normal 222 3 2" xfId="7913" xr:uid="{9973AFF5-7FBA-412A-B1EB-F2C2C01E8816}"/>
    <cellStyle name="Normal 222 4" xfId="6213" xr:uid="{2B56C0D5-DAE8-4100-85B6-0E0DE897BCAB}"/>
    <cellStyle name="Normal 222_DEO ADIT Unprotected" xfId="3231" xr:uid="{DB705EE3-DCF2-4549-AF8B-785AD459FD06}"/>
    <cellStyle name="Normal 223" xfId="1174" xr:uid="{00000000-0005-0000-0000-00004A050000}"/>
    <cellStyle name="Normal 223 2" xfId="2121" xr:uid="{00000000-0005-0000-0000-00004B050000}"/>
    <cellStyle name="Normal 223 2 2" xfId="5371" xr:uid="{90EED3E9-3BD9-40AE-95DF-90ADC440A5EB}"/>
    <cellStyle name="Normal 223 2 2 2" xfId="8751" xr:uid="{718638F0-795F-4D57-819F-77267FD1DE10}"/>
    <cellStyle name="Normal 223 2 3" xfId="7051" xr:uid="{487AAB47-57BB-4305-914B-4F32EF614BF4}"/>
    <cellStyle name="Normal 223 2_DEO ADIT Unprotected" xfId="3234" xr:uid="{FAAC42E9-4122-4D77-BBD4-3BCC3B5647B2}"/>
    <cellStyle name="Normal 223 3" xfId="4534" xr:uid="{CEFCA45A-FB76-43C7-88A4-53E0C199F5B2}"/>
    <cellStyle name="Normal 223 3 2" xfId="7914" xr:uid="{051A506C-ED54-4BC2-AF7A-FB90E498F2B9}"/>
    <cellStyle name="Normal 223 4" xfId="6214" xr:uid="{B35F7499-9763-4FE4-A907-EE03CD2FFAA0}"/>
    <cellStyle name="Normal 223_DEO ADIT Unprotected" xfId="3233" xr:uid="{856B34C2-1175-4C1E-90BA-80458A93E40C}"/>
    <cellStyle name="Normal 224" xfId="1175" xr:uid="{00000000-0005-0000-0000-00004C050000}"/>
    <cellStyle name="Normal 224 2" xfId="2122" xr:uid="{00000000-0005-0000-0000-00004D050000}"/>
    <cellStyle name="Normal 224 2 2" xfId="5372" xr:uid="{0DB4803C-6863-45B7-846F-EEB17761E68A}"/>
    <cellStyle name="Normal 224 2 2 2" xfId="8752" xr:uid="{3DE94519-6459-4ACA-96FD-65F44DB25B78}"/>
    <cellStyle name="Normal 224 2 3" xfId="7052" xr:uid="{598ECF0D-E2A1-41B0-96A6-537B4D51DF7F}"/>
    <cellStyle name="Normal 224 2_DEO ADIT Unprotected" xfId="3236" xr:uid="{9F268992-FE21-4EAD-AB5C-D5EBDD881242}"/>
    <cellStyle name="Normal 224 3" xfId="4535" xr:uid="{A7B09F7A-93F1-4B5D-95AE-9D993EEFD9CA}"/>
    <cellStyle name="Normal 224 3 2" xfId="7915" xr:uid="{C096F501-0D98-4CE6-961B-C9C5C45D26A5}"/>
    <cellStyle name="Normal 224 4" xfId="6215" xr:uid="{BC1184A0-7CB1-4A7A-B636-C96CB9EEA7C4}"/>
    <cellStyle name="Normal 224_DEO ADIT Unprotected" xfId="3235" xr:uid="{C92B7294-2411-4FF3-8738-3D3D22A6B29C}"/>
    <cellStyle name="Normal 225" xfId="1176" xr:uid="{00000000-0005-0000-0000-00004E050000}"/>
    <cellStyle name="Normal 225 2" xfId="2123" xr:uid="{00000000-0005-0000-0000-00004F050000}"/>
    <cellStyle name="Normal 225 2 2" xfId="5373" xr:uid="{283F7D13-CE76-4D50-892D-26337003B1B6}"/>
    <cellStyle name="Normal 225 2 2 2" xfId="8753" xr:uid="{E66F89A9-DB57-46DC-B256-C12162B239A2}"/>
    <cellStyle name="Normal 225 2 3" xfId="7053" xr:uid="{AB52270C-9943-4F1B-8345-116B9BA337C3}"/>
    <cellStyle name="Normal 225 2_DEO ADIT Unprotected" xfId="3238" xr:uid="{91CE8D8C-2AEE-44F4-90A8-88FB16DE0840}"/>
    <cellStyle name="Normal 225 3" xfId="4536" xr:uid="{84F4F467-B29F-482C-A5E2-3980A223262C}"/>
    <cellStyle name="Normal 225 3 2" xfId="7916" xr:uid="{AA515734-F8BA-49B9-A6E2-DDDC4B189B04}"/>
    <cellStyle name="Normal 225 4" xfId="6216" xr:uid="{6CEF581D-EC6B-4641-A255-229ABCBA5C86}"/>
    <cellStyle name="Normal 225_DEO ADIT Unprotected" xfId="3237" xr:uid="{DC2FBA14-3ACE-4843-87E1-FECF0F7750BC}"/>
    <cellStyle name="Normal 226" xfId="1177" xr:uid="{00000000-0005-0000-0000-000050050000}"/>
    <cellStyle name="Normal 226 2" xfId="2124" xr:uid="{00000000-0005-0000-0000-000051050000}"/>
    <cellStyle name="Normal 226 2 2" xfId="5374" xr:uid="{69F31C90-2957-4ED2-B206-3D2FB894AA6C}"/>
    <cellStyle name="Normal 226 2 2 2" xfId="8754" xr:uid="{EDC7F047-B04B-469E-8E38-4741D3EADA29}"/>
    <cellStyle name="Normal 226 2 3" xfId="7054" xr:uid="{81FC834A-9F4A-4817-8DF4-B9624123C10E}"/>
    <cellStyle name="Normal 226 2_DEO ADIT Unprotected" xfId="3240" xr:uid="{96094B73-0E02-4DF3-8044-BE2AECAF1FE5}"/>
    <cellStyle name="Normal 226 3" xfId="4537" xr:uid="{AB8B1261-5D46-4331-9321-7BE2AEBA0DBC}"/>
    <cellStyle name="Normal 226 3 2" xfId="7917" xr:uid="{9D4DC1F6-F5B5-439C-9ED4-171E68ADE39D}"/>
    <cellStyle name="Normal 226 4" xfId="6217" xr:uid="{E4805049-1D30-488D-9DF5-B938FB1452CD}"/>
    <cellStyle name="Normal 226_DEO ADIT Unprotected" xfId="3239" xr:uid="{3D1E63AA-1A63-4E1F-A541-3BB6355292E8}"/>
    <cellStyle name="Normal 227" xfId="1178" xr:uid="{00000000-0005-0000-0000-000052050000}"/>
    <cellStyle name="Normal 227 2" xfId="2125" xr:uid="{00000000-0005-0000-0000-000053050000}"/>
    <cellStyle name="Normal 227 2 2" xfId="5375" xr:uid="{5B5B2C9C-AB9A-4919-9DB8-C4A8D9D20533}"/>
    <cellStyle name="Normal 227 2 2 2" xfId="8755" xr:uid="{9DDD9FCE-D31C-4170-AC86-ED9D68BB8D2B}"/>
    <cellStyle name="Normal 227 2 3" xfId="7055" xr:uid="{AAE6988E-C119-46CF-925E-905F0F8569E5}"/>
    <cellStyle name="Normal 227 2_DEO ADIT Unprotected" xfId="3242" xr:uid="{AF078C61-F6B1-473E-B1BD-C7DA0B82C3F8}"/>
    <cellStyle name="Normal 227 3" xfId="4538" xr:uid="{76B1E4FC-50E7-4745-A6DC-ECBE6D06DA3A}"/>
    <cellStyle name="Normal 227 3 2" xfId="7918" xr:uid="{E4B0BFFB-7E76-4668-9D07-CF4DD0ACC509}"/>
    <cellStyle name="Normal 227 4" xfId="6218" xr:uid="{DB335CCE-DA86-47EC-B426-659AEA34BB0C}"/>
    <cellStyle name="Normal 227_DEO ADIT Unprotected" xfId="3241" xr:uid="{16FFDF94-8D9E-4B08-9778-7411BAB9DF84}"/>
    <cellStyle name="Normal 228" xfId="1179" xr:uid="{00000000-0005-0000-0000-000054050000}"/>
    <cellStyle name="Normal 228 2" xfId="2126" xr:uid="{00000000-0005-0000-0000-000055050000}"/>
    <cellStyle name="Normal 228 2 2" xfId="5376" xr:uid="{FC01C715-3A4B-4E1F-8AA0-85776572B629}"/>
    <cellStyle name="Normal 228 2 2 2" xfId="8756" xr:uid="{225F1646-D98F-47DF-ABAB-4634F977DEF5}"/>
    <cellStyle name="Normal 228 2 3" xfId="7056" xr:uid="{A7E852C7-784A-4687-A2B8-A3E84FFFBB1A}"/>
    <cellStyle name="Normal 228 2_DEO ADIT Unprotected" xfId="3244" xr:uid="{38BBD59D-4B86-4011-B4F3-1C09D134F31B}"/>
    <cellStyle name="Normal 228 3" xfId="4539" xr:uid="{B84DBF43-B779-446B-A3CC-7AFA290DB480}"/>
    <cellStyle name="Normal 228 3 2" xfId="7919" xr:uid="{5DCA5D98-DCE4-40CE-938F-F74230FD4897}"/>
    <cellStyle name="Normal 228 4" xfId="6219" xr:uid="{8F5335C8-ECB1-4BBB-9C58-F9A3693050F7}"/>
    <cellStyle name="Normal 228_DEO ADIT Unprotected" xfId="3243" xr:uid="{629540CE-E352-4B84-9042-3A369040DF76}"/>
    <cellStyle name="Normal 229" xfId="1180" xr:uid="{00000000-0005-0000-0000-000056050000}"/>
    <cellStyle name="Normal 229 2" xfId="2127" xr:uid="{00000000-0005-0000-0000-000057050000}"/>
    <cellStyle name="Normal 229 2 2" xfId="5377" xr:uid="{0B0B1BD2-CD97-4459-861F-095D6EF56759}"/>
    <cellStyle name="Normal 229 2 2 2" xfId="8757" xr:uid="{1C5555CD-D7C5-4A7C-84A1-6501D8C370C2}"/>
    <cellStyle name="Normal 229 2 3" xfId="7057" xr:uid="{B9799628-2A37-4F26-8468-F7984DC12B20}"/>
    <cellStyle name="Normal 229 2_DEO ADIT Unprotected" xfId="3246" xr:uid="{19E2CB20-0123-41F6-BC2A-71C1E1C8E580}"/>
    <cellStyle name="Normal 229 3" xfId="4540" xr:uid="{A774F02F-897F-4BDF-B8A8-458CC3F124E4}"/>
    <cellStyle name="Normal 229 3 2" xfId="7920" xr:uid="{07729A81-B85C-4BB9-B3F0-8F34588DA7F6}"/>
    <cellStyle name="Normal 229 4" xfId="6220" xr:uid="{0412E5A4-61DB-482B-AA8A-783EDF417DE1}"/>
    <cellStyle name="Normal 229_DEO ADIT Unprotected" xfId="3245" xr:uid="{F9F3CAEC-E8C7-49F7-B2F8-14BC74C6C026}"/>
    <cellStyle name="Normal 23" xfId="555" xr:uid="{00000000-0005-0000-0000-000058050000}"/>
    <cellStyle name="Normal 23 2" xfId="1181" xr:uid="{00000000-0005-0000-0000-000059050000}"/>
    <cellStyle name="Normal 23 3" xfId="1719" xr:uid="{00000000-0005-0000-0000-00005A050000}"/>
    <cellStyle name="Normal 23 3 2" xfId="4969" xr:uid="{F46A14F0-383D-47E4-B9BF-169ACA5D0BC2}"/>
    <cellStyle name="Normal 23 3 2 2" xfId="8349" xr:uid="{966E4CB0-2488-4B40-BB8F-C1A819D63E8C}"/>
    <cellStyle name="Normal 23 3 3" xfId="6649" xr:uid="{9A2FE043-6549-4AB1-931A-AC0095CBC9C0}"/>
    <cellStyle name="Normal 23 3_DEO ADIT Unprotected" xfId="3248" xr:uid="{F9247846-DC8C-44CA-A8B9-7A0BD2F302EE}"/>
    <cellStyle name="Normal 23 4" xfId="4132" xr:uid="{291C4C37-6FBB-4410-86DA-660533DD6807}"/>
    <cellStyle name="Normal 23 4 2" xfId="7512" xr:uid="{BBC8B7FA-6763-4CA6-917C-401D6B664141}"/>
    <cellStyle name="Normal 23 5" xfId="5811" xr:uid="{2DCE76C9-71B7-4EEA-A636-A1EF827467C1}"/>
    <cellStyle name="Normal 23_DEO ADIT Unprotected" xfId="3247" xr:uid="{DC307574-3D7C-40D0-9573-0F1402A5C28F}"/>
    <cellStyle name="Normal 230" xfId="1182" xr:uid="{00000000-0005-0000-0000-00005B050000}"/>
    <cellStyle name="Normal 230 2" xfId="2128" xr:uid="{00000000-0005-0000-0000-00005C050000}"/>
    <cellStyle name="Normal 230 2 2" xfId="5378" xr:uid="{BC85E429-7054-4E59-A786-831C1D8DDBB4}"/>
    <cellStyle name="Normal 230 2 2 2" xfId="8758" xr:uid="{0DFBE091-E8BB-4CFA-B242-EDB5C4940BF1}"/>
    <cellStyle name="Normal 230 2 3" xfId="7058" xr:uid="{BCA7C034-6CF4-472D-A139-CD565F3CF944}"/>
    <cellStyle name="Normal 230 2_DEO ADIT Unprotected" xfId="3250" xr:uid="{4083FA78-5D8E-4DA2-8006-F58A08E43D89}"/>
    <cellStyle name="Normal 230 3" xfId="4541" xr:uid="{1A8F28AC-31CF-46A0-9336-3B3EA6B8675D}"/>
    <cellStyle name="Normal 230 3 2" xfId="7921" xr:uid="{D2E04514-A5B9-48BE-9D42-26AB84B72F82}"/>
    <cellStyle name="Normal 230 4" xfId="6221" xr:uid="{41A32BA4-905C-4590-9B5A-696E9BA9B8F1}"/>
    <cellStyle name="Normal 230_DEO ADIT Unprotected" xfId="3249" xr:uid="{7C9F08A0-4FD0-4804-A585-C080B5D8A002}"/>
    <cellStyle name="Normal 231" xfId="1183" xr:uid="{00000000-0005-0000-0000-00005D050000}"/>
    <cellStyle name="Normal 231 2" xfId="2129" xr:uid="{00000000-0005-0000-0000-00005E050000}"/>
    <cellStyle name="Normal 231 2 2" xfId="5379" xr:uid="{B771542E-AA95-4C74-93D2-0BC927A470F7}"/>
    <cellStyle name="Normal 231 2 2 2" xfId="8759" xr:uid="{961BD111-FEAE-4FC2-A530-4902494C3457}"/>
    <cellStyle name="Normal 231 2 3" xfId="7059" xr:uid="{79D5FFD1-9749-4EF9-8627-65686E78A150}"/>
    <cellStyle name="Normal 231 2_DEO ADIT Unprotected" xfId="3252" xr:uid="{EB0D16C5-1727-47F9-B067-A60B50BD398E}"/>
    <cellStyle name="Normal 231 3" xfId="4542" xr:uid="{BA53CC91-2FC9-45DC-A123-E30255B7DEC1}"/>
    <cellStyle name="Normal 231 3 2" xfId="7922" xr:uid="{7E5414E8-5215-405C-97FB-DD4018AFA626}"/>
    <cellStyle name="Normal 231 4" xfId="6222" xr:uid="{A443F393-3D99-4D18-87E8-8CE532DC58DE}"/>
    <cellStyle name="Normal 231_DEO ADIT Unprotected" xfId="3251" xr:uid="{A5C6DA10-1A2E-4AC4-98C7-76C6314F611C}"/>
    <cellStyle name="Normal 232" xfId="1184" xr:uid="{00000000-0005-0000-0000-00005F050000}"/>
    <cellStyle name="Normal 232 2" xfId="2130" xr:uid="{00000000-0005-0000-0000-000060050000}"/>
    <cellStyle name="Normal 232 2 2" xfId="5380" xr:uid="{007A2B4A-391A-4A68-9E38-96799C3CE789}"/>
    <cellStyle name="Normal 232 2 2 2" xfId="8760" xr:uid="{536C804B-2E7D-447E-B918-FCB30AB9AD60}"/>
    <cellStyle name="Normal 232 2 3" xfId="7060" xr:uid="{FDE56108-F55F-460D-9794-7C573B8E62D6}"/>
    <cellStyle name="Normal 232 2_DEO ADIT Unprotected" xfId="3254" xr:uid="{ACA23CB5-6A9C-4A34-AB9A-EAC3DABCC1F1}"/>
    <cellStyle name="Normal 232 3" xfId="4543" xr:uid="{35C613D0-9408-433A-A510-422B7A4ED8C7}"/>
    <cellStyle name="Normal 232 3 2" xfId="7923" xr:uid="{30A345FB-AD02-46ED-82A3-83F531C33FB2}"/>
    <cellStyle name="Normal 232 4" xfId="6223" xr:uid="{35433D8F-270E-48EA-A1DB-9A44F23FEAD3}"/>
    <cellStyle name="Normal 232_DEO ADIT Unprotected" xfId="3253" xr:uid="{B1D95CF5-E080-4960-ACB8-D94A4C385076}"/>
    <cellStyle name="Normal 233" xfId="1185" xr:uid="{00000000-0005-0000-0000-000061050000}"/>
    <cellStyle name="Normal 233 2" xfId="2131" xr:uid="{00000000-0005-0000-0000-000062050000}"/>
    <cellStyle name="Normal 233 2 2" xfId="5381" xr:uid="{9300085F-7C40-4028-992A-3D243C577D81}"/>
    <cellStyle name="Normal 233 2 2 2" xfId="8761" xr:uid="{C371E7A9-1113-4B8F-B288-75CA6232B92D}"/>
    <cellStyle name="Normal 233 2 3" xfId="7061" xr:uid="{CC3E6417-A7FC-4F80-99E4-3463EE85009A}"/>
    <cellStyle name="Normal 233 2_DEO ADIT Unprotected" xfId="3256" xr:uid="{A7C5067B-DE78-4C2E-840E-0A9166B89726}"/>
    <cellStyle name="Normal 233 3" xfId="4544" xr:uid="{7612E041-5BE0-4AB1-873E-017AEA546938}"/>
    <cellStyle name="Normal 233 3 2" xfId="7924" xr:uid="{CB4A7418-5ACC-49AF-A8E5-24A4D87043F3}"/>
    <cellStyle name="Normal 233 4" xfId="6224" xr:uid="{BD7DE8E3-2DED-4F7A-B4D0-40869ABBD9DF}"/>
    <cellStyle name="Normal 233_DEO ADIT Unprotected" xfId="3255" xr:uid="{C3BA003D-26AD-467B-A27D-3808024BC69E}"/>
    <cellStyle name="Normal 234" xfId="1186" xr:uid="{00000000-0005-0000-0000-000063050000}"/>
    <cellStyle name="Normal 234 2" xfId="2132" xr:uid="{00000000-0005-0000-0000-000064050000}"/>
    <cellStyle name="Normal 234 2 2" xfId="5382" xr:uid="{4D3432E6-15B8-491D-83A5-45C150A693D2}"/>
    <cellStyle name="Normal 234 2 2 2" xfId="8762" xr:uid="{2D7DD5B9-8239-4654-8881-8190C5331474}"/>
    <cellStyle name="Normal 234 2 3" xfId="7062" xr:uid="{6EC6415A-23E3-46D8-A7EC-FFE561F5761B}"/>
    <cellStyle name="Normal 234 2_DEO ADIT Unprotected" xfId="3258" xr:uid="{3FD60FC6-32A8-47C8-AE8B-D0429A286362}"/>
    <cellStyle name="Normal 234 3" xfId="4545" xr:uid="{D7F159C3-FC0E-4C5A-B1E7-883F75F75EEE}"/>
    <cellStyle name="Normal 234 3 2" xfId="7925" xr:uid="{099DA8F4-E906-4490-969E-53719985B4C3}"/>
    <cellStyle name="Normal 234 4" xfId="6225" xr:uid="{3A233CBE-71AA-49F2-AF47-06D1D1A8160F}"/>
    <cellStyle name="Normal 234_DEO ADIT Unprotected" xfId="3257" xr:uid="{9AE07F5C-6B79-4053-B27A-B2BA71CBDB97}"/>
    <cellStyle name="Normal 235" xfId="1187" xr:uid="{00000000-0005-0000-0000-000065050000}"/>
    <cellStyle name="Normal 235 2" xfId="2133" xr:uid="{00000000-0005-0000-0000-000066050000}"/>
    <cellStyle name="Normal 235 2 2" xfId="5383" xr:uid="{07271219-8D93-4D8D-B342-96902C2FF69A}"/>
    <cellStyle name="Normal 235 2 2 2" xfId="8763" xr:uid="{2E150C43-D742-4A2B-B839-544E8FAC05A7}"/>
    <cellStyle name="Normal 235 2 3" xfId="7063" xr:uid="{9EE8B85C-BC1C-4786-9941-83373B8A20E1}"/>
    <cellStyle name="Normal 235 2_DEO ADIT Unprotected" xfId="3260" xr:uid="{3D90E80B-4070-4993-9BB9-C4E30ADCDDE8}"/>
    <cellStyle name="Normal 235 3" xfId="4546" xr:uid="{D003B798-BADC-405D-A2CB-EACBFBE0BC7C}"/>
    <cellStyle name="Normal 235 3 2" xfId="7926" xr:uid="{9DFF25F7-F535-4F45-B41D-350CD95DFFD9}"/>
    <cellStyle name="Normal 235 4" xfId="6226" xr:uid="{800C1F6F-23A6-45B1-802A-A96BF5B06DAA}"/>
    <cellStyle name="Normal 235_DEO ADIT Unprotected" xfId="3259" xr:uid="{E0DA1348-AFC0-4173-AC42-5EC40991B11A}"/>
    <cellStyle name="Normal 236" xfId="1188" xr:uid="{00000000-0005-0000-0000-000067050000}"/>
    <cellStyle name="Normal 236 2" xfId="2134" xr:uid="{00000000-0005-0000-0000-000068050000}"/>
    <cellStyle name="Normal 236 2 2" xfId="5384" xr:uid="{6397CA81-DAE1-447C-B1E0-D1AF72B72FD8}"/>
    <cellStyle name="Normal 236 2 2 2" xfId="8764" xr:uid="{DC976189-5DA7-47FB-B384-E788FE76AD05}"/>
    <cellStyle name="Normal 236 2 3" xfId="7064" xr:uid="{28E34362-929C-49B9-9C0F-E0CBDF2F828E}"/>
    <cellStyle name="Normal 236 2_DEO ADIT Unprotected" xfId="3262" xr:uid="{AD5F9570-BF53-4359-98D5-E54966C0D203}"/>
    <cellStyle name="Normal 236 3" xfId="4547" xr:uid="{BB14D15C-78BD-4E8C-A565-212D62E52B4D}"/>
    <cellStyle name="Normal 236 3 2" xfId="7927" xr:uid="{241D51F9-42CB-4A70-BF1E-60059EE425BB}"/>
    <cellStyle name="Normal 236 4" xfId="6227" xr:uid="{05A45E57-8E02-446C-975E-B9987F245720}"/>
    <cellStyle name="Normal 236_DEO ADIT Unprotected" xfId="3261" xr:uid="{29FBC79B-BD54-40EB-B77B-ABD5E57CF82F}"/>
    <cellStyle name="Normal 237" xfId="1189" xr:uid="{00000000-0005-0000-0000-000069050000}"/>
    <cellStyle name="Normal 237 2" xfId="2135" xr:uid="{00000000-0005-0000-0000-00006A050000}"/>
    <cellStyle name="Normal 237 2 2" xfId="5385" xr:uid="{6150E96B-1DA6-477E-8713-D640B8F06B5C}"/>
    <cellStyle name="Normal 237 2 2 2" xfId="8765" xr:uid="{CABBAF31-3B7F-4901-8DAA-F5072247FA9F}"/>
    <cellStyle name="Normal 237 2 3" xfId="7065" xr:uid="{2A56C857-573A-4FD0-BE93-9069368F81DC}"/>
    <cellStyle name="Normal 237 2_DEO ADIT Unprotected" xfId="3264" xr:uid="{A039B397-DBEF-4808-A867-F998DCC2093F}"/>
    <cellStyle name="Normal 237 3" xfId="4548" xr:uid="{DDC3727C-4578-4748-863E-808E9020CA92}"/>
    <cellStyle name="Normal 237 3 2" xfId="7928" xr:uid="{1013BD68-6E2B-4AD0-90E7-ABEAAA5C7D00}"/>
    <cellStyle name="Normal 237 4" xfId="6228" xr:uid="{D9B46901-65BF-427F-996D-B2E619EFD794}"/>
    <cellStyle name="Normal 237_DEO ADIT Unprotected" xfId="3263" xr:uid="{CBA92CED-1C62-4EA4-B8F3-91567E97E526}"/>
    <cellStyle name="Normal 238" xfId="1190" xr:uid="{00000000-0005-0000-0000-00006B050000}"/>
    <cellStyle name="Normal 238 2" xfId="2136" xr:uid="{00000000-0005-0000-0000-00006C050000}"/>
    <cellStyle name="Normal 238 2 2" xfId="5386" xr:uid="{CC006A01-5E05-4854-8E51-14F3800C8414}"/>
    <cellStyle name="Normal 238 2 2 2" xfId="8766" xr:uid="{1E17AD2B-7212-425F-A856-1BE7CBDEAAF3}"/>
    <cellStyle name="Normal 238 2 3" xfId="7066" xr:uid="{94A79714-4D38-41BC-82AC-0CF582E5F8A7}"/>
    <cellStyle name="Normal 238 2_DEO ADIT Unprotected" xfId="3266" xr:uid="{0A8EF444-277B-47E9-8F6C-B8838D99496C}"/>
    <cellStyle name="Normal 238 3" xfId="4549" xr:uid="{1C32F662-24E1-4BE5-ADDF-A73BA66B0F49}"/>
    <cellStyle name="Normal 238 3 2" xfId="7929" xr:uid="{D39229B9-8FA4-40F9-BB81-95E3FD34BC17}"/>
    <cellStyle name="Normal 238 4" xfId="6229" xr:uid="{DE9E180A-3856-49A0-B731-CB96BC917972}"/>
    <cellStyle name="Normal 238_DEO ADIT Unprotected" xfId="3265" xr:uid="{D28D54B0-EDCC-460F-82DF-FED071F61EE6}"/>
    <cellStyle name="Normal 239" xfId="1191" xr:uid="{00000000-0005-0000-0000-00006D050000}"/>
    <cellStyle name="Normal 239 2" xfId="2137" xr:uid="{00000000-0005-0000-0000-00006E050000}"/>
    <cellStyle name="Normal 239 2 2" xfId="5387" xr:uid="{F514BD39-FD55-4B9B-8644-B6C74CB2E4DC}"/>
    <cellStyle name="Normal 239 2 2 2" xfId="8767" xr:uid="{9F5A111C-1B7D-4068-BAEB-6143183E745A}"/>
    <cellStyle name="Normal 239 2 3" xfId="7067" xr:uid="{B44AE886-780D-4A34-9E8E-FBB3FD23A737}"/>
    <cellStyle name="Normal 239 2_DEO ADIT Unprotected" xfId="3268" xr:uid="{98013CC0-84E1-4D6D-AE9B-5F4B94BE413D}"/>
    <cellStyle name="Normal 239 3" xfId="4550" xr:uid="{446CAB6B-6ED6-48BB-9340-E513D1074A78}"/>
    <cellStyle name="Normal 239 3 2" xfId="7930" xr:uid="{B77F2CD0-82ED-42B2-9AF5-2DC1D43A9996}"/>
    <cellStyle name="Normal 239 4" xfId="6230" xr:uid="{F702545A-87FF-46D0-BED4-6FA4BF8F9C26}"/>
    <cellStyle name="Normal 239_DEO ADIT Unprotected" xfId="3267" xr:uid="{11DCF3A2-BC33-4D36-9B5D-FCF696ACC5C2}"/>
    <cellStyle name="Normal 24" xfId="557" xr:uid="{00000000-0005-0000-0000-00006F050000}"/>
    <cellStyle name="Normal 24 2" xfId="1192" xr:uid="{00000000-0005-0000-0000-000070050000}"/>
    <cellStyle name="Normal 24 3" xfId="1721" xr:uid="{00000000-0005-0000-0000-000071050000}"/>
    <cellStyle name="Normal 24 3 2" xfId="4971" xr:uid="{8B4B8741-8BC8-4160-BF65-6EC521572C01}"/>
    <cellStyle name="Normal 24 3 2 2" xfId="8351" xr:uid="{E3842393-9919-411B-B804-F90C287B2D3D}"/>
    <cellStyle name="Normal 24 3 3" xfId="6651" xr:uid="{F16D3EFD-97D5-46BF-B6AA-0D449B6AC93A}"/>
    <cellStyle name="Normal 24 3_DEO ADIT Unprotected" xfId="3270" xr:uid="{8808D5C8-C503-4F8F-AD46-CEABFE0B8434}"/>
    <cellStyle name="Normal 24 4" xfId="4134" xr:uid="{28B0817D-DA63-482A-BC19-5EB14B1D3130}"/>
    <cellStyle name="Normal 24 4 2" xfId="7514" xr:uid="{4CBC5E84-F6CC-40B0-8E68-F9DBEDE9EB58}"/>
    <cellStyle name="Normal 24 5" xfId="5813" xr:uid="{6D53B141-4B64-4C20-AF8A-6422E2345293}"/>
    <cellStyle name="Normal 24_DEO ADIT Unprotected" xfId="3269" xr:uid="{4A760728-F656-4F50-A37C-46EBA6E48B35}"/>
    <cellStyle name="Normal 240" xfId="1193" xr:uid="{00000000-0005-0000-0000-000072050000}"/>
    <cellStyle name="Normal 240 2" xfId="2138" xr:uid="{00000000-0005-0000-0000-000073050000}"/>
    <cellStyle name="Normal 240 2 2" xfId="5388" xr:uid="{DCA4445A-DE29-4AA2-B943-5F696F885545}"/>
    <cellStyle name="Normal 240 2 2 2" xfId="8768" xr:uid="{74FFA255-DF90-4370-8919-084A9F5C1D48}"/>
    <cellStyle name="Normal 240 2 3" xfId="7068" xr:uid="{EB379EE5-EF69-4FA2-9D29-49CA98EF4881}"/>
    <cellStyle name="Normal 240 2_DEO ADIT Unprotected" xfId="3272" xr:uid="{DB8BA375-6179-4AA8-8137-AE8206A02CDC}"/>
    <cellStyle name="Normal 240 3" xfId="4551" xr:uid="{73DBFFDE-C83C-4290-8DD5-413E7040AB84}"/>
    <cellStyle name="Normal 240 3 2" xfId="7931" xr:uid="{9F5376CC-E304-4A60-A7DF-00F4E669B861}"/>
    <cellStyle name="Normal 240 4" xfId="6231" xr:uid="{B9C7C5A9-5D9B-435C-84FF-BA3B0467E510}"/>
    <cellStyle name="Normal 240_DEO ADIT Unprotected" xfId="3271" xr:uid="{EAD644BD-AA5B-4BF4-B345-FB9B3562E6FD}"/>
    <cellStyle name="Normal 241" xfId="1194" xr:uid="{00000000-0005-0000-0000-000074050000}"/>
    <cellStyle name="Normal 241 2" xfId="2139" xr:uid="{00000000-0005-0000-0000-000075050000}"/>
    <cellStyle name="Normal 241 2 2" xfId="5389" xr:uid="{C926A9D3-33D2-4C2A-8D45-1957E46F167D}"/>
    <cellStyle name="Normal 241 2 2 2" xfId="8769" xr:uid="{B2A6A182-679F-4A97-A545-0B9BCB8D9B1B}"/>
    <cellStyle name="Normal 241 2 3" xfId="7069" xr:uid="{1C642D4F-A304-49F9-9321-DC8D5C9A4B64}"/>
    <cellStyle name="Normal 241 2_DEO ADIT Unprotected" xfId="3274" xr:uid="{BF77C79C-3786-4FD9-8E26-30BC9556CC47}"/>
    <cellStyle name="Normal 241 3" xfId="4552" xr:uid="{F0104621-3394-4EBE-B29F-7234BC1D2588}"/>
    <cellStyle name="Normal 241 3 2" xfId="7932" xr:uid="{0F2F25CE-7EE5-48C5-9591-CFDD07ACB721}"/>
    <cellStyle name="Normal 241 4" xfId="6232" xr:uid="{081F6B3B-26A6-4060-A5D3-B704F6BCA67E}"/>
    <cellStyle name="Normal 241_DEO ADIT Unprotected" xfId="3273" xr:uid="{65960C8F-6764-447F-AAAC-8F786CE500AF}"/>
    <cellStyle name="Normal 242" xfId="1195" xr:uid="{00000000-0005-0000-0000-000076050000}"/>
    <cellStyle name="Normal 242 2" xfId="2140" xr:uid="{00000000-0005-0000-0000-000077050000}"/>
    <cellStyle name="Normal 242 2 2" xfId="5390" xr:uid="{1B1B1706-23D0-4AC6-B972-C2A611FE6CA5}"/>
    <cellStyle name="Normal 242 2 2 2" xfId="8770" xr:uid="{67154FA3-5DAF-4738-81D7-5731A9501E9C}"/>
    <cellStyle name="Normal 242 2 3" xfId="7070" xr:uid="{CDBB25FB-9E94-468D-81E2-D5D52CE5CDD5}"/>
    <cellStyle name="Normal 242 2_DEO ADIT Unprotected" xfId="3276" xr:uid="{A269CDC6-311D-4B3C-BB9A-D014CF30CDB6}"/>
    <cellStyle name="Normal 242 3" xfId="4553" xr:uid="{912704F1-27F6-4F08-8070-8EC58EB52CBC}"/>
    <cellStyle name="Normal 242 3 2" xfId="7933" xr:uid="{DBB34BB3-C863-4C74-9804-962A48173543}"/>
    <cellStyle name="Normal 242 4" xfId="6233" xr:uid="{CA3876BD-9DED-444F-85B9-9FDA7EF022F8}"/>
    <cellStyle name="Normal 242_DEO ADIT Unprotected" xfId="3275" xr:uid="{A328E992-4B82-4559-B1C4-C93E282B6934}"/>
    <cellStyle name="Normal 243" xfId="1196" xr:uid="{00000000-0005-0000-0000-000078050000}"/>
    <cellStyle name="Normal 243 2" xfId="2141" xr:uid="{00000000-0005-0000-0000-000079050000}"/>
    <cellStyle name="Normal 243 2 2" xfId="5391" xr:uid="{846FC384-9628-457A-81FC-CBBAAE3867E2}"/>
    <cellStyle name="Normal 243 2 2 2" xfId="8771" xr:uid="{35A0A9DB-FE8B-4BC5-864E-FDD43C52148E}"/>
    <cellStyle name="Normal 243 2 3" xfId="7071" xr:uid="{8B9A8F1E-8F4F-415D-B1E5-607EF74A70A2}"/>
    <cellStyle name="Normal 243 2_DEO ADIT Unprotected" xfId="3278" xr:uid="{45A91121-43CF-45BD-BB0B-3E22ABA9B8C8}"/>
    <cellStyle name="Normal 243 3" xfId="4554" xr:uid="{4ABE041C-A8B6-451D-A86C-6528A4CE217F}"/>
    <cellStyle name="Normal 243 3 2" xfId="7934" xr:uid="{7DF77727-136E-47BE-B7B7-D876BF7AF3D1}"/>
    <cellStyle name="Normal 243 4" xfId="6234" xr:uid="{D162629F-A73D-4983-A889-3A059CFD3876}"/>
    <cellStyle name="Normal 243_DEO ADIT Unprotected" xfId="3277" xr:uid="{94D25B87-BFD6-4855-96B2-CEA34878B7E1}"/>
    <cellStyle name="Normal 244" xfId="1197" xr:uid="{00000000-0005-0000-0000-00007A050000}"/>
    <cellStyle name="Normal 244 2" xfId="2142" xr:uid="{00000000-0005-0000-0000-00007B050000}"/>
    <cellStyle name="Normal 244 2 2" xfId="5392" xr:uid="{17FD10E8-DC48-45ED-941A-F88F28470100}"/>
    <cellStyle name="Normal 244 2 2 2" xfId="8772" xr:uid="{56F5706C-9763-4654-8035-8F37E16368A0}"/>
    <cellStyle name="Normal 244 2 3" xfId="7072" xr:uid="{712FDA36-DD5E-4B6F-BCF5-5DCA79211918}"/>
    <cellStyle name="Normal 244 2_DEO ADIT Unprotected" xfId="3280" xr:uid="{DF649308-9784-49F4-BA4F-218193EB88FC}"/>
    <cellStyle name="Normal 244 3" xfId="4555" xr:uid="{A4B7FCCB-05B6-4846-A1D5-497030002E1D}"/>
    <cellStyle name="Normal 244 3 2" xfId="7935" xr:uid="{E7606BE0-2CA8-48A1-AD3C-6ECAC596E77C}"/>
    <cellStyle name="Normal 244 4" xfId="6235" xr:uid="{3B647F32-5C68-4CB0-B3D1-22E67EB67CC1}"/>
    <cellStyle name="Normal 244_DEO ADIT Unprotected" xfId="3279" xr:uid="{068D4560-6E14-4DB6-8F29-F550345DE90B}"/>
    <cellStyle name="Normal 245" xfId="1198" xr:uid="{00000000-0005-0000-0000-00007C050000}"/>
    <cellStyle name="Normal 245 2" xfId="2143" xr:uid="{00000000-0005-0000-0000-00007D050000}"/>
    <cellStyle name="Normal 245 2 2" xfId="5393" xr:uid="{9E402DA2-9D54-4D66-9E67-6BAC37156729}"/>
    <cellStyle name="Normal 245 2 2 2" xfId="8773" xr:uid="{11AC25BB-CA18-402D-85B1-0F001F855601}"/>
    <cellStyle name="Normal 245 2 3" xfId="7073" xr:uid="{AD21E1CF-47DF-42D4-ADD6-B29939EA8BC3}"/>
    <cellStyle name="Normal 245 2_DEO ADIT Unprotected" xfId="3282" xr:uid="{02B622E0-DA94-4EC9-A37F-424B83150D5E}"/>
    <cellStyle name="Normal 245 3" xfId="4556" xr:uid="{08382D20-B19B-4C3C-9C3D-4B89A3DF75BC}"/>
    <cellStyle name="Normal 245 3 2" xfId="7936" xr:uid="{69ED21B7-066D-4C0E-8D62-F7899872DA42}"/>
    <cellStyle name="Normal 245 4" xfId="6236" xr:uid="{071B5896-C8E7-4765-9591-F942DB977FD1}"/>
    <cellStyle name="Normal 245_DEO ADIT Unprotected" xfId="3281" xr:uid="{B95DC553-B5BB-431E-8F2F-F9E2467F9BBF}"/>
    <cellStyle name="Normal 246" xfId="1199" xr:uid="{00000000-0005-0000-0000-00007E050000}"/>
    <cellStyle name="Normal 246 2" xfId="2144" xr:uid="{00000000-0005-0000-0000-00007F050000}"/>
    <cellStyle name="Normal 246 2 2" xfId="5394" xr:uid="{437F8EAA-4FBB-4EC8-BFC0-1CD62A7F85DC}"/>
    <cellStyle name="Normal 246 2 2 2" xfId="8774" xr:uid="{7BEFCDA2-6948-4495-B56F-DB4270AEC7CE}"/>
    <cellStyle name="Normal 246 2 3" xfId="7074" xr:uid="{F9532543-E9EF-4A89-AB32-2B2F899D7176}"/>
    <cellStyle name="Normal 246 2_DEO ADIT Unprotected" xfId="3284" xr:uid="{D67C69AE-0C8C-4FD7-91B1-5A9151360866}"/>
    <cellStyle name="Normal 246 3" xfId="4557" xr:uid="{1FE8FA94-D313-4425-A0A9-DA3F66E90AD3}"/>
    <cellStyle name="Normal 246 3 2" xfId="7937" xr:uid="{43EBED36-FF46-47B8-845B-F4DD6F3FAE4E}"/>
    <cellStyle name="Normal 246 4" xfId="6237" xr:uid="{C33AB200-87C3-4E7F-9423-0DE4F3D83D71}"/>
    <cellStyle name="Normal 246_DEO ADIT Unprotected" xfId="3283" xr:uid="{26393501-784F-44A1-9243-42C8C47A8881}"/>
    <cellStyle name="Normal 247" xfId="1200" xr:uid="{00000000-0005-0000-0000-000080050000}"/>
    <cellStyle name="Normal 247 2" xfId="2145" xr:uid="{00000000-0005-0000-0000-000081050000}"/>
    <cellStyle name="Normal 247 2 2" xfId="5395" xr:uid="{2E4FA873-6BAD-49FE-9EBD-4F80345836E9}"/>
    <cellStyle name="Normal 247 2 2 2" xfId="8775" xr:uid="{F28D57AC-7A83-4E29-BB52-94856BDE3C76}"/>
    <cellStyle name="Normal 247 2 3" xfId="7075" xr:uid="{334CDE71-EAD6-4D65-B52D-F7C36F59E9F5}"/>
    <cellStyle name="Normal 247 2_DEO ADIT Unprotected" xfId="3286" xr:uid="{CA4DAE31-629A-4EB0-AF4C-F6BB7ABC8DCB}"/>
    <cellStyle name="Normal 247 3" xfId="4558" xr:uid="{EA15F01A-FD4E-42A3-B80F-02FF41940248}"/>
    <cellStyle name="Normal 247 3 2" xfId="7938" xr:uid="{08926E43-67C4-4074-A12D-A1853168E26C}"/>
    <cellStyle name="Normal 247 4" xfId="6238" xr:uid="{EE365580-7D64-411E-A770-BC8520E203A4}"/>
    <cellStyle name="Normal 247_DEO ADIT Unprotected" xfId="3285" xr:uid="{9C3FC752-B0D0-4B57-A3E8-EBF0FCD87720}"/>
    <cellStyle name="Normal 248" xfId="1201" xr:uid="{00000000-0005-0000-0000-000082050000}"/>
    <cellStyle name="Normal 248 2" xfId="2146" xr:uid="{00000000-0005-0000-0000-000083050000}"/>
    <cellStyle name="Normal 248 2 2" xfId="5396" xr:uid="{B35E70D3-C390-4C42-BCFA-071A8EB3D47E}"/>
    <cellStyle name="Normal 248 2 2 2" xfId="8776" xr:uid="{0D864E33-5F91-428B-B281-9D78ECB85673}"/>
    <cellStyle name="Normal 248 2 3" xfId="7076" xr:uid="{91ABE01C-CE5D-45F8-8A21-2529309B1CCD}"/>
    <cellStyle name="Normal 248 2_DEO ADIT Unprotected" xfId="3288" xr:uid="{F3749E43-5573-4E96-BC6A-5386F4E8A831}"/>
    <cellStyle name="Normal 248 3" xfId="4559" xr:uid="{08F9EBEF-C31F-4690-9E30-C67F8DE36B48}"/>
    <cellStyle name="Normal 248 3 2" xfId="7939" xr:uid="{417B754E-A192-4160-8585-DBBBA8768B06}"/>
    <cellStyle name="Normal 248 4" xfId="6239" xr:uid="{D8857841-6EE4-4B51-BBF4-1AF4AAE71854}"/>
    <cellStyle name="Normal 248_DEO ADIT Unprotected" xfId="3287" xr:uid="{D885A55C-E20A-4AD6-A243-2C73AC74AEA6}"/>
    <cellStyle name="Normal 249" xfId="1202" xr:uid="{00000000-0005-0000-0000-000084050000}"/>
    <cellStyle name="Normal 249 2" xfId="2147" xr:uid="{00000000-0005-0000-0000-000085050000}"/>
    <cellStyle name="Normal 249 2 2" xfId="5397" xr:uid="{5DF818D0-A14D-4674-AED2-FCFF5463B791}"/>
    <cellStyle name="Normal 249 2 2 2" xfId="8777" xr:uid="{8AB9C14E-FDFB-45C0-AC23-ADD1D972F0BF}"/>
    <cellStyle name="Normal 249 2 3" xfId="7077" xr:uid="{9DBE6A01-BA94-409B-82CF-0C00C93E915C}"/>
    <cellStyle name="Normal 249 2_DEO ADIT Unprotected" xfId="3290" xr:uid="{F9B3A7DB-0DFD-4D6B-B6C5-2BE99B76634F}"/>
    <cellStyle name="Normal 249 3" xfId="4560" xr:uid="{DC761330-2DB5-4CC6-9DE6-CE2AF0CC87B3}"/>
    <cellStyle name="Normal 249 3 2" xfId="7940" xr:uid="{5B2E39D7-3C91-4E08-A832-B58210E67617}"/>
    <cellStyle name="Normal 249 4" xfId="6240" xr:uid="{0D72E5AD-85E3-4F8F-8795-2B8BC0B2B853}"/>
    <cellStyle name="Normal 249_DEO ADIT Unprotected" xfId="3289" xr:uid="{21BC6452-7E75-4FA9-8022-56BB32B94870}"/>
    <cellStyle name="Normal 25" xfId="554" xr:uid="{00000000-0005-0000-0000-000086050000}"/>
    <cellStyle name="Normal 25 2" xfId="1203" xr:uid="{00000000-0005-0000-0000-000087050000}"/>
    <cellStyle name="Normal 25 3" xfId="1718" xr:uid="{00000000-0005-0000-0000-000088050000}"/>
    <cellStyle name="Normal 25 3 2" xfId="4968" xr:uid="{2C0ED90C-09D4-4998-BAE8-61A30E8010ED}"/>
    <cellStyle name="Normal 25 3 2 2" xfId="8348" xr:uid="{F41ED112-B5DD-452C-A70B-5C776320A278}"/>
    <cellStyle name="Normal 25 3 3" xfId="6648" xr:uid="{E25814FE-8B5F-48AB-8498-A1684EE59C18}"/>
    <cellStyle name="Normal 25 3_DEO ADIT Unprotected" xfId="3292" xr:uid="{F4F7A37D-1A0F-4003-BFEB-D58F4FA4B9AE}"/>
    <cellStyle name="Normal 25 4" xfId="4131" xr:uid="{9C3680A4-5338-4B42-89D7-5C873ABF6C3B}"/>
    <cellStyle name="Normal 25 4 2" xfId="7511" xr:uid="{6D47F8F0-F468-496A-9B7A-EB6C5AEB8781}"/>
    <cellStyle name="Normal 25 5" xfId="5810" xr:uid="{718D02BD-AEA0-4C4E-9CBD-EE91E35FF6C1}"/>
    <cellStyle name="Normal 25_DEO ADIT Unprotected" xfId="3291" xr:uid="{F18857F0-BFC8-4A38-84B2-8942C4FB47A7}"/>
    <cellStyle name="Normal 250" xfId="1204" xr:uid="{00000000-0005-0000-0000-000089050000}"/>
    <cellStyle name="Normal 250 2" xfId="2148" xr:uid="{00000000-0005-0000-0000-00008A050000}"/>
    <cellStyle name="Normal 250 2 2" xfId="5398" xr:uid="{98FB220C-70D9-4E8F-BF5C-C0C840CB0A59}"/>
    <cellStyle name="Normal 250 2 2 2" xfId="8778" xr:uid="{9446852D-83F9-4368-B859-C7D488C8D083}"/>
    <cellStyle name="Normal 250 2 3" xfId="7078" xr:uid="{2B0A9182-EEFA-4A6C-8683-2F05E71B2D50}"/>
    <cellStyle name="Normal 250 2_DEO ADIT Unprotected" xfId="3294" xr:uid="{9B9B9350-8D8A-49FB-A7D9-2BBAD3CCD09C}"/>
    <cellStyle name="Normal 250 3" xfId="4561" xr:uid="{7BD89F5A-D074-4C32-AAA6-06565F164D62}"/>
    <cellStyle name="Normal 250 3 2" xfId="7941" xr:uid="{263B5CEC-3CB5-4F93-9C52-CF7F44EC0D75}"/>
    <cellStyle name="Normal 250 4" xfId="6241" xr:uid="{E8EC5095-46AD-47FE-88CF-97FFEE156807}"/>
    <cellStyle name="Normal 250_DEO ADIT Unprotected" xfId="3293" xr:uid="{81A2A4BE-60D7-4C5A-91BE-C324D3B141CC}"/>
    <cellStyle name="Normal 251" xfId="1205" xr:uid="{00000000-0005-0000-0000-00008B050000}"/>
    <cellStyle name="Normal 251 2" xfId="2149" xr:uid="{00000000-0005-0000-0000-00008C050000}"/>
    <cellStyle name="Normal 251 2 2" xfId="5399" xr:uid="{5FB7CC67-575C-432C-AEFE-040369582C03}"/>
    <cellStyle name="Normal 251 2 2 2" xfId="8779" xr:uid="{3689168C-EE20-498F-B944-8CDBBEC3074E}"/>
    <cellStyle name="Normal 251 2 3" xfId="7079" xr:uid="{1A03A405-C99D-4ABE-9223-8490D3B3514F}"/>
    <cellStyle name="Normal 251 2_DEO ADIT Unprotected" xfId="3296" xr:uid="{D4AED575-BEBC-4A6B-9F9C-8EFC183FFF56}"/>
    <cellStyle name="Normal 251 3" xfId="4562" xr:uid="{2FB038D2-0AC6-434C-BE35-766A66B96C62}"/>
    <cellStyle name="Normal 251 3 2" xfId="7942" xr:uid="{A2183576-D721-4C81-99BA-539AB4136603}"/>
    <cellStyle name="Normal 251 4" xfId="6242" xr:uid="{7E050BF1-E418-481D-A824-CB17EDE8E932}"/>
    <cellStyle name="Normal 251_DEO ADIT Unprotected" xfId="3295" xr:uid="{D2170EB1-6BEF-48BD-BE35-CCFA7331C557}"/>
    <cellStyle name="Normal 252" xfId="1206" xr:uid="{00000000-0005-0000-0000-00008D050000}"/>
    <cellStyle name="Normal 252 2" xfId="2150" xr:uid="{00000000-0005-0000-0000-00008E050000}"/>
    <cellStyle name="Normal 252 2 2" xfId="5400" xr:uid="{628C4FA5-90CF-4714-913F-9D584FF3D86C}"/>
    <cellStyle name="Normal 252 2 2 2" xfId="8780" xr:uid="{7924BE70-4727-4BFF-99B0-A142739339CF}"/>
    <cellStyle name="Normal 252 2 3" xfId="7080" xr:uid="{8B86669A-C8B2-4E59-B337-45CB5A225B5D}"/>
    <cellStyle name="Normal 252 2_DEO ADIT Unprotected" xfId="3298" xr:uid="{DA4B617E-C528-47CD-B859-2B28697F4155}"/>
    <cellStyle name="Normal 252 3" xfId="4563" xr:uid="{E207D1F0-D1C4-4649-B290-8CA10D7F4E78}"/>
    <cellStyle name="Normal 252 3 2" xfId="7943" xr:uid="{BCC61C58-CCA8-41FB-BEF2-9352DD925105}"/>
    <cellStyle name="Normal 252 4" xfId="6243" xr:uid="{5AA1557C-09EE-445A-B18C-3C6370E02BF7}"/>
    <cellStyle name="Normal 252_DEO ADIT Unprotected" xfId="3297" xr:uid="{4365C347-D5AF-4B8B-930A-F53605A8B0E2}"/>
    <cellStyle name="Normal 253" xfId="1207" xr:uid="{00000000-0005-0000-0000-00008F050000}"/>
    <cellStyle name="Normal 253 2" xfId="2151" xr:uid="{00000000-0005-0000-0000-000090050000}"/>
    <cellStyle name="Normal 253 2 2" xfId="5401" xr:uid="{D72E8F74-6FFD-4E99-A9B4-9CE96B13F5A3}"/>
    <cellStyle name="Normal 253 2 2 2" xfId="8781" xr:uid="{E342A590-6E0C-4F10-95D6-2EF91E432237}"/>
    <cellStyle name="Normal 253 2 3" xfId="7081" xr:uid="{DE6CF0C6-3585-49BB-8E91-BAAF26EEAA11}"/>
    <cellStyle name="Normal 253 2_DEO ADIT Unprotected" xfId="3300" xr:uid="{7A641EC1-5444-4FAA-965F-44F70672A56A}"/>
    <cellStyle name="Normal 253 3" xfId="4564" xr:uid="{673947C9-670E-4DF2-9809-C8C9F3C74DE7}"/>
    <cellStyle name="Normal 253 3 2" xfId="7944" xr:uid="{D8DBFA16-5337-4DD4-AEB6-55BF55977442}"/>
    <cellStyle name="Normal 253 4" xfId="6244" xr:uid="{772DC59C-C3AF-406E-9BFD-77758A77F7F5}"/>
    <cellStyle name="Normal 253_DEO ADIT Unprotected" xfId="3299" xr:uid="{D5EB7E89-6A0E-43B2-896C-17336C602465}"/>
    <cellStyle name="Normal 254" xfId="1208" xr:uid="{00000000-0005-0000-0000-000091050000}"/>
    <cellStyle name="Normal 254 2" xfId="2152" xr:uid="{00000000-0005-0000-0000-000092050000}"/>
    <cellStyle name="Normal 254 2 2" xfId="5402" xr:uid="{D6131853-F061-4C34-8BF7-258FD44392E1}"/>
    <cellStyle name="Normal 254 2 2 2" xfId="8782" xr:uid="{39C32BD9-1BD8-450B-9A08-D93305DA4578}"/>
    <cellStyle name="Normal 254 2 3" xfId="7082" xr:uid="{6F0202F5-2D21-4DD3-8783-95F451A887E8}"/>
    <cellStyle name="Normal 254 2_DEO ADIT Unprotected" xfId="3302" xr:uid="{0D307143-8AF3-40C0-8816-E125D298E324}"/>
    <cellStyle name="Normal 254 3" xfId="4565" xr:uid="{352D25ED-7B27-4A59-912C-C1BF609FF391}"/>
    <cellStyle name="Normal 254 3 2" xfId="7945" xr:uid="{640CBB97-DCBC-453F-8288-490A6B7738A2}"/>
    <cellStyle name="Normal 254 4" xfId="6245" xr:uid="{F059CFA2-0D97-4E69-A856-0CB8D4352067}"/>
    <cellStyle name="Normal 254_DEO ADIT Unprotected" xfId="3301" xr:uid="{97CAD7E8-DB9A-41D1-AECE-664E9ED2982D}"/>
    <cellStyle name="Normal 255" xfId="1209" xr:uid="{00000000-0005-0000-0000-000093050000}"/>
    <cellStyle name="Normal 255 2" xfId="2153" xr:uid="{00000000-0005-0000-0000-000094050000}"/>
    <cellStyle name="Normal 255 2 2" xfId="5403" xr:uid="{F536ED0D-DD81-42D3-9548-5D6046AE11A1}"/>
    <cellStyle name="Normal 255 2 2 2" xfId="8783" xr:uid="{3819FDD4-C2EB-4F33-A4F5-5905DD5B8BA7}"/>
    <cellStyle name="Normal 255 2 3" xfId="7083" xr:uid="{636E31B9-D0AC-4127-8A72-BC46D3672E7D}"/>
    <cellStyle name="Normal 255 2_DEO ADIT Unprotected" xfId="3304" xr:uid="{8B42583A-AF9D-46EF-B3B0-9E0CC24E1F9D}"/>
    <cellStyle name="Normal 255 3" xfId="4566" xr:uid="{CCE534B7-0D14-4EC7-AB56-E0D61832F6C4}"/>
    <cellStyle name="Normal 255 3 2" xfId="7946" xr:uid="{31C044EB-6BD1-49D5-9AD7-B6988ED2E3A6}"/>
    <cellStyle name="Normal 255 4" xfId="6246" xr:uid="{A1B449AC-A03D-45F2-B1DE-CED7813B3AAD}"/>
    <cellStyle name="Normal 255_DEO ADIT Unprotected" xfId="3303" xr:uid="{F0B6A437-D9B2-40A4-B10B-08AA4AA3C7A6}"/>
    <cellStyle name="Normal 256" xfId="1210" xr:uid="{00000000-0005-0000-0000-000095050000}"/>
    <cellStyle name="Normal 256 2" xfId="2154" xr:uid="{00000000-0005-0000-0000-000096050000}"/>
    <cellStyle name="Normal 256 2 2" xfId="5404" xr:uid="{D1E84AB6-84D6-467E-B7C8-ED4936C48A67}"/>
    <cellStyle name="Normal 256 2 2 2" xfId="8784" xr:uid="{E715772D-8356-45BB-89F6-A95A80A52E88}"/>
    <cellStyle name="Normal 256 2 3" xfId="7084" xr:uid="{CE903B63-9247-415B-8712-BD58E7671347}"/>
    <cellStyle name="Normal 256 2_DEO ADIT Unprotected" xfId="3306" xr:uid="{4A3DCADF-BC47-4DC4-8BAD-F8963314FC7B}"/>
    <cellStyle name="Normal 256 3" xfId="4567" xr:uid="{F47D67B8-1508-4E97-9A8B-2495AB41F45B}"/>
    <cellStyle name="Normal 256 3 2" xfId="7947" xr:uid="{9230374E-2D7F-4022-A873-2D30CFD2ADBC}"/>
    <cellStyle name="Normal 256 4" xfId="6247" xr:uid="{3C1FCFFD-A8AD-4573-A46E-AF8FD01444A3}"/>
    <cellStyle name="Normal 256_DEO ADIT Unprotected" xfId="3305" xr:uid="{765CFA56-7F9A-4838-860A-3D8D48B000EB}"/>
    <cellStyle name="Normal 257" xfId="1211" xr:uid="{00000000-0005-0000-0000-000097050000}"/>
    <cellStyle name="Normal 257 2" xfId="2155" xr:uid="{00000000-0005-0000-0000-000098050000}"/>
    <cellStyle name="Normal 257 2 2" xfId="5405" xr:uid="{D41F366B-6A1F-4070-87DA-970A9BE6EA2B}"/>
    <cellStyle name="Normal 257 2 2 2" xfId="8785" xr:uid="{28CB8D67-FA1E-406C-9EE0-74CE6E8D7971}"/>
    <cellStyle name="Normal 257 2 3" xfId="7085" xr:uid="{050F923F-AFA4-4575-BB3B-185E28185BED}"/>
    <cellStyle name="Normal 257 2_DEO ADIT Unprotected" xfId="3308" xr:uid="{F6CCB898-2F11-4BD0-9E7C-9E7FCDFE001D}"/>
    <cellStyle name="Normal 257 3" xfId="4568" xr:uid="{D95F9A7E-0215-41C6-B143-74D1DFD707D2}"/>
    <cellStyle name="Normal 257 3 2" xfId="7948" xr:uid="{681D4320-F072-4F84-87FA-BD924238FCB6}"/>
    <cellStyle name="Normal 257 4" xfId="6248" xr:uid="{60CA77BA-005D-4520-9BD5-1B4B8C7B78B3}"/>
    <cellStyle name="Normal 257_DEO ADIT Unprotected" xfId="3307" xr:uid="{F81DBAE1-3584-4379-AE1A-9FDC26180146}"/>
    <cellStyle name="Normal 258" xfId="1212" xr:uid="{00000000-0005-0000-0000-000099050000}"/>
    <cellStyle name="Normal 258 2" xfId="2156" xr:uid="{00000000-0005-0000-0000-00009A050000}"/>
    <cellStyle name="Normal 258 2 2" xfId="5406" xr:uid="{1A292412-4EC0-4BDD-BC5C-D681C57FA4BD}"/>
    <cellStyle name="Normal 258 2 2 2" xfId="8786" xr:uid="{E36FB0BC-91C2-423A-B68D-EEB554274FFB}"/>
    <cellStyle name="Normal 258 2 3" xfId="7086" xr:uid="{3A49AA16-D6B9-42FE-980D-0C7A71D879E0}"/>
    <cellStyle name="Normal 258 2_DEO ADIT Unprotected" xfId="3310" xr:uid="{210BEAF7-3DD6-4DF6-BBDF-C5D760716058}"/>
    <cellStyle name="Normal 258 3" xfId="4569" xr:uid="{94524B68-B83D-4018-A8C5-B45638239160}"/>
    <cellStyle name="Normal 258 3 2" xfId="7949" xr:uid="{60507BFA-02DD-4848-8EF6-566D85B85133}"/>
    <cellStyle name="Normal 258 4" xfId="6249" xr:uid="{BF4C5C8C-3F05-45DA-BD30-3BA0999C3CA8}"/>
    <cellStyle name="Normal 258_DEO ADIT Unprotected" xfId="3309" xr:uid="{9F43A385-7C82-41FC-B8E0-2047DDAD2D09}"/>
    <cellStyle name="Normal 259" xfId="1213" xr:uid="{00000000-0005-0000-0000-00009B050000}"/>
    <cellStyle name="Normal 259 2" xfId="2157" xr:uid="{00000000-0005-0000-0000-00009C050000}"/>
    <cellStyle name="Normal 259 2 2" xfId="5407" xr:uid="{0A7F4847-4837-4DBE-889B-F80FCD4DC483}"/>
    <cellStyle name="Normal 259 2 2 2" xfId="8787" xr:uid="{585DF4BD-EEE3-4E59-ACA0-6C77B71DA4DE}"/>
    <cellStyle name="Normal 259 2 3" xfId="7087" xr:uid="{51474CE5-0990-4D6E-8737-871A1F168802}"/>
    <cellStyle name="Normal 259 2_DEO ADIT Unprotected" xfId="3312" xr:uid="{FA8F722F-9CC2-4D33-A0FA-525A680BE76B}"/>
    <cellStyle name="Normal 259 3" xfId="4570" xr:uid="{666269DA-1B48-472C-9436-3E6A1CFC43D5}"/>
    <cellStyle name="Normal 259 3 2" xfId="7950" xr:uid="{F8B9ED21-9477-408D-B53C-6E1752ACB12A}"/>
    <cellStyle name="Normal 259 4" xfId="6250" xr:uid="{EE39682B-0AE1-41EA-AF52-CE989F021FC5}"/>
    <cellStyle name="Normal 259_DEO ADIT Unprotected" xfId="3311" xr:uid="{5E47DCC3-D5E5-49CE-B8ED-B0FF4F6AEE64}"/>
    <cellStyle name="Normal 26" xfId="559" xr:uid="{00000000-0005-0000-0000-00009D050000}"/>
    <cellStyle name="Normal 26 2" xfId="1214" xr:uid="{00000000-0005-0000-0000-00009E050000}"/>
    <cellStyle name="Normal 26 3" xfId="1723" xr:uid="{00000000-0005-0000-0000-00009F050000}"/>
    <cellStyle name="Normal 26 3 2" xfId="4973" xr:uid="{6287AB1C-42F7-4F50-A3D9-F9FAA7C6F513}"/>
    <cellStyle name="Normal 26 3 2 2" xfId="8353" xr:uid="{70D3ADDE-4BD4-42D7-AE03-44FA1497235E}"/>
    <cellStyle name="Normal 26 3 3" xfId="6653" xr:uid="{B662DF84-3885-422A-9351-F7537D77AFDF}"/>
    <cellStyle name="Normal 26 3_DEO ADIT Unprotected" xfId="3314" xr:uid="{CD6A2EF1-0605-49A8-9925-B92E343C6558}"/>
    <cellStyle name="Normal 26 4" xfId="4136" xr:uid="{EAC12CB7-1577-4CB4-9B16-1EB13640EA2B}"/>
    <cellStyle name="Normal 26 4 2" xfId="7516" xr:uid="{7E62045C-AE2A-4EEE-B611-ACFCFD686AA7}"/>
    <cellStyle name="Normal 26 5" xfId="5815" xr:uid="{B98D879D-2588-4738-B513-E73BAC7C4B21}"/>
    <cellStyle name="Normal 26_DEO ADIT Unprotected" xfId="3313" xr:uid="{71FAC048-EE46-4047-B71B-31B31B354829}"/>
    <cellStyle name="Normal 260" xfId="1215" xr:uid="{00000000-0005-0000-0000-0000A0050000}"/>
    <cellStyle name="Normal 260 2" xfId="2158" xr:uid="{00000000-0005-0000-0000-0000A1050000}"/>
    <cellStyle name="Normal 260 2 2" xfId="5408" xr:uid="{D059552A-2732-42F3-A922-8AC8E72D7223}"/>
    <cellStyle name="Normal 260 2 2 2" xfId="8788" xr:uid="{2EE524EE-E7B5-422E-99E7-5D337093DE2C}"/>
    <cellStyle name="Normal 260 2 3" xfId="7088" xr:uid="{28D40BFC-F1A0-4F6B-B259-82A6B4AB50B5}"/>
    <cellStyle name="Normal 260 2_DEO ADIT Unprotected" xfId="3316" xr:uid="{25CFF9C4-FCC8-4934-9981-67E02A29FBEA}"/>
    <cellStyle name="Normal 260 3" xfId="4571" xr:uid="{8F8F6B60-943C-4FB2-A6B8-09829AA4C6B9}"/>
    <cellStyle name="Normal 260 3 2" xfId="7951" xr:uid="{538B390C-21A6-4EB3-BC01-AC732DE00F1E}"/>
    <cellStyle name="Normal 260 4" xfId="6251" xr:uid="{0AACD231-EBCD-4015-9069-7F4A01798318}"/>
    <cellStyle name="Normal 260_DEO ADIT Unprotected" xfId="3315" xr:uid="{443537B5-EC36-4404-B783-8D8E6F93DD30}"/>
    <cellStyle name="Normal 261" xfId="1216" xr:uid="{00000000-0005-0000-0000-0000A2050000}"/>
    <cellStyle name="Normal 261 2" xfId="2159" xr:uid="{00000000-0005-0000-0000-0000A3050000}"/>
    <cellStyle name="Normal 261 2 2" xfId="5409" xr:uid="{0C912A16-C431-4FF1-8952-E655DAD163E9}"/>
    <cellStyle name="Normal 261 2 2 2" xfId="8789" xr:uid="{E73D8C72-B75D-491E-86B5-D9D3187A4EC8}"/>
    <cellStyle name="Normal 261 2 3" xfId="7089" xr:uid="{BA85885E-1ABB-460D-8FFF-3D868F50E5A0}"/>
    <cellStyle name="Normal 261 2_DEO ADIT Unprotected" xfId="3318" xr:uid="{748F0BF2-0CE5-4B55-B22A-6C79CFAD6607}"/>
    <cellStyle name="Normal 261 3" xfId="4572" xr:uid="{43A52FFF-B313-42C6-A393-F987FD9BD42A}"/>
    <cellStyle name="Normal 261 3 2" xfId="7952" xr:uid="{18A87C7B-F9AD-44FA-A366-8F1054C89D69}"/>
    <cellStyle name="Normal 261 4" xfId="6252" xr:uid="{AF2B25A4-B8D7-4C59-BD52-C63DE8B15DE7}"/>
    <cellStyle name="Normal 261_DEO ADIT Unprotected" xfId="3317" xr:uid="{8A3F7EB7-7884-49B8-827B-4F804CA5D062}"/>
    <cellStyle name="Normal 262" xfId="1217" xr:uid="{00000000-0005-0000-0000-0000A4050000}"/>
    <cellStyle name="Normal 262 2" xfId="2160" xr:uid="{00000000-0005-0000-0000-0000A5050000}"/>
    <cellStyle name="Normal 262 2 2" xfId="5410" xr:uid="{15835A59-0A9A-4C8C-AA99-938300ABC1A9}"/>
    <cellStyle name="Normal 262 2 2 2" xfId="8790" xr:uid="{76D6A995-7AE3-44A4-8E17-671B8579755D}"/>
    <cellStyle name="Normal 262 2 3" xfId="7090" xr:uid="{6863AA84-382C-4854-A2BD-77086EDBD313}"/>
    <cellStyle name="Normal 262 2_DEO ADIT Unprotected" xfId="3320" xr:uid="{07D2EE44-8C1C-4EBB-98C6-C036EAC960B4}"/>
    <cellStyle name="Normal 262 3" xfId="4573" xr:uid="{B85DB5EF-DEF8-4DB7-AAFD-11DE9C41859B}"/>
    <cellStyle name="Normal 262 3 2" xfId="7953" xr:uid="{CE8D7E82-CEC0-4926-AC22-CE64C901494B}"/>
    <cellStyle name="Normal 262 4" xfId="6253" xr:uid="{43A27450-EB07-4728-96F4-185EB34F0736}"/>
    <cellStyle name="Normal 262_DEO ADIT Unprotected" xfId="3319" xr:uid="{062EBF52-D60A-4812-8A27-4F6F4CAC5E6C}"/>
    <cellStyle name="Normal 263" xfId="1218" xr:uid="{00000000-0005-0000-0000-0000A6050000}"/>
    <cellStyle name="Normal 264" xfId="1219" xr:uid="{00000000-0005-0000-0000-0000A7050000}"/>
    <cellStyle name="Normal 265" xfId="1220" xr:uid="{00000000-0005-0000-0000-0000A8050000}"/>
    <cellStyle name="Normal 266" xfId="1221" xr:uid="{00000000-0005-0000-0000-0000A9050000}"/>
    <cellStyle name="Normal 267" xfId="1222" xr:uid="{00000000-0005-0000-0000-0000AA050000}"/>
    <cellStyle name="Normal 268" xfId="1223" xr:uid="{00000000-0005-0000-0000-0000AB050000}"/>
    <cellStyle name="Normal 269" xfId="1622" xr:uid="{00000000-0005-0000-0000-0000AC050000}"/>
    <cellStyle name="Normal 269 2" xfId="2462" xr:uid="{00000000-0005-0000-0000-0000AD050000}"/>
    <cellStyle name="Normal 269 2 2" xfId="5712" xr:uid="{71374898-9DD9-421C-9B24-AE0277DC43CF}"/>
    <cellStyle name="Normal 269 2 2 2" xfId="9092" xr:uid="{095BC891-A841-49A4-9388-B1B712E0EE24}"/>
    <cellStyle name="Normal 269 2 3" xfId="7392" xr:uid="{96BFFAB2-6038-4BD1-BC0A-B8222E802366}"/>
    <cellStyle name="Normal 269 2_DEO ADIT Unprotected" xfId="3322" xr:uid="{1F0AE6CA-BF88-49B5-B27E-C5EC2698213B}"/>
    <cellStyle name="Normal 269 3" xfId="4875" xr:uid="{BBAEE55E-1DC4-430D-BBC2-70B4AC18D9E1}"/>
    <cellStyle name="Normal 269 3 2" xfId="8255" xr:uid="{0637E05F-FE83-4DA4-AD64-7252AA329FFE}"/>
    <cellStyle name="Normal 269 4" xfId="6555" xr:uid="{09940730-4CD7-4E40-AA7A-93B2958455B1}"/>
    <cellStyle name="Normal 269_DEO ADIT Unprotected" xfId="3321" xr:uid="{2DB8DCC6-957F-4A7F-9003-3A8DFDD2528B}"/>
    <cellStyle name="Normal 27" xfId="560" xr:uid="{00000000-0005-0000-0000-0000AE050000}"/>
    <cellStyle name="Normal 27 2" xfId="1224" xr:uid="{00000000-0005-0000-0000-0000AF050000}"/>
    <cellStyle name="Normal 27 3" xfId="1724" xr:uid="{00000000-0005-0000-0000-0000B0050000}"/>
    <cellStyle name="Normal 27 3 2" xfId="4974" xr:uid="{9F1CD276-F88F-4DE4-9455-428204EB1C60}"/>
    <cellStyle name="Normal 27 3 2 2" xfId="8354" xr:uid="{660AD9B2-47AC-4C4A-9AF7-96D59F39388D}"/>
    <cellStyle name="Normal 27 3 3" xfId="6654" xr:uid="{AF7EFC0D-4A91-498A-9DD4-DBB1E7A74DB2}"/>
    <cellStyle name="Normal 27 3_DEO ADIT Unprotected" xfId="3324" xr:uid="{78B397FC-C513-48F9-952D-921CC67D526B}"/>
    <cellStyle name="Normal 27 4" xfId="4137" xr:uid="{33F12503-4027-499B-92C3-C9608DDBBDB5}"/>
    <cellStyle name="Normal 27 4 2" xfId="7517" xr:uid="{599F74AB-A6AE-4822-96BD-8386382E2850}"/>
    <cellStyle name="Normal 27 5" xfId="5816" xr:uid="{735CCFA9-8BA9-4AA9-B943-FD83CF548F48}"/>
    <cellStyle name="Normal 27_DEO ADIT Unprotected" xfId="3323" xr:uid="{A6C7F3C6-DBD1-4E50-BA26-D9BCF0625D9A}"/>
    <cellStyle name="Normal 270" xfId="9124" xr:uid="{6E3A7A00-7BB0-4389-90D5-E03C41460E8B}"/>
    <cellStyle name="Normal 28" xfId="563" xr:uid="{00000000-0005-0000-0000-0000B1050000}"/>
    <cellStyle name="Normal 28 2" xfId="1225" xr:uid="{00000000-0005-0000-0000-0000B2050000}"/>
    <cellStyle name="Normal 28 3" xfId="1727" xr:uid="{00000000-0005-0000-0000-0000B3050000}"/>
    <cellStyle name="Normal 28 3 2" xfId="4977" xr:uid="{22FA218F-AD60-4040-8FCE-5E5D6093B523}"/>
    <cellStyle name="Normal 28 3 2 2" xfId="8357" xr:uid="{977C252A-77F4-4477-BD4D-4559B9E83652}"/>
    <cellStyle name="Normal 28 3 3" xfId="6657" xr:uid="{5252A9F4-0CB0-474D-8E85-FD2DC375DFFF}"/>
    <cellStyle name="Normal 28 3_DEO ADIT Unprotected" xfId="3326" xr:uid="{79CF2B3B-5E4A-4C88-A3F0-AC8485AE88D5}"/>
    <cellStyle name="Normal 28 4" xfId="4140" xr:uid="{A74C4007-6C1C-4269-8F11-942DC41F32A0}"/>
    <cellStyle name="Normal 28 4 2" xfId="7520" xr:uid="{8D769745-69D2-42AC-AF32-BD7DF5CAB0AE}"/>
    <cellStyle name="Normal 28 5" xfId="5819" xr:uid="{EC9FC059-5FC8-4389-B9EC-911F7858218F}"/>
    <cellStyle name="Normal 28_DEO ADIT Unprotected" xfId="3325" xr:uid="{E82611D4-1180-49FA-9470-EF161E6A3D26}"/>
    <cellStyle name="Normal 29" xfId="561" xr:uid="{00000000-0005-0000-0000-0000B4050000}"/>
    <cellStyle name="Normal 29 2" xfId="1226" xr:uid="{00000000-0005-0000-0000-0000B5050000}"/>
    <cellStyle name="Normal 29 3" xfId="1725" xr:uid="{00000000-0005-0000-0000-0000B6050000}"/>
    <cellStyle name="Normal 29 3 2" xfId="4975" xr:uid="{92601351-7929-4796-926D-875FC02149A0}"/>
    <cellStyle name="Normal 29 3 2 2" xfId="8355" xr:uid="{91CE5A74-F91C-4F69-8D9E-3535D20D8E64}"/>
    <cellStyle name="Normal 29 3 3" xfId="6655" xr:uid="{1D29E86C-4577-48F5-9934-4805656367DD}"/>
    <cellStyle name="Normal 29 3_DEO ADIT Unprotected" xfId="3328" xr:uid="{1DBD5D1D-DDF8-4B29-A5DE-1EC656E750BD}"/>
    <cellStyle name="Normal 29 4" xfId="4138" xr:uid="{CEABB4CA-1359-4A62-9C1B-3169C17DF791}"/>
    <cellStyle name="Normal 29 4 2" xfId="7518" xr:uid="{512D00CD-F4E4-4D2E-9F7F-3D0C30EC9B27}"/>
    <cellStyle name="Normal 29 5" xfId="5817" xr:uid="{778C7851-54DE-4903-B242-ACF21B0E079B}"/>
    <cellStyle name="Normal 29_DEO ADIT Unprotected" xfId="3327" xr:uid="{995E6FE9-C7FC-4478-B0E0-425F2FC533CF}"/>
    <cellStyle name="Normal 3" xfId="4" xr:uid="{00000000-0005-0000-0000-0000B7050000}"/>
    <cellStyle name="Normal 3 2" xfId="177" xr:uid="{00000000-0005-0000-0000-0000B8050000}"/>
    <cellStyle name="Normal 3 3" xfId="1227" xr:uid="{00000000-0005-0000-0000-0000B9050000}"/>
    <cellStyle name="Normal 3_ITC-Great Plains Heintz 6-24-08a" xfId="178" xr:uid="{00000000-0005-0000-0000-0000BA050000}"/>
    <cellStyle name="Normal 30" xfId="562" xr:uid="{00000000-0005-0000-0000-0000BB050000}"/>
    <cellStyle name="Normal 30 2" xfId="1228" xr:uid="{00000000-0005-0000-0000-0000BC050000}"/>
    <cellStyle name="Normal 30 3" xfId="1726" xr:uid="{00000000-0005-0000-0000-0000BD050000}"/>
    <cellStyle name="Normal 30 3 2" xfId="4976" xr:uid="{D12B1E5F-1E9A-473E-8ED0-387570DE88E2}"/>
    <cellStyle name="Normal 30 3 2 2" xfId="8356" xr:uid="{703DEC77-C9BA-40AB-B338-9699CB7650E0}"/>
    <cellStyle name="Normal 30 3 3" xfId="6656" xr:uid="{A7DC0557-D74F-48E2-9EE3-1D16F74E8FBC}"/>
    <cellStyle name="Normal 30 3_DEO ADIT Unprotected" xfId="3330" xr:uid="{D34D797A-1EEF-435A-B844-999CD2D175DD}"/>
    <cellStyle name="Normal 30 4" xfId="4139" xr:uid="{5425F583-31E3-4CE5-9AA1-DE12CC7EFEBE}"/>
    <cellStyle name="Normal 30 4 2" xfId="7519" xr:uid="{2345DFD7-93D4-4731-A33C-D76C174D441C}"/>
    <cellStyle name="Normal 30 5" xfId="5818" xr:uid="{D1D6006E-B094-458F-853A-EE504682035A}"/>
    <cellStyle name="Normal 30_DEO ADIT Unprotected" xfId="3329" xr:uid="{F880ADBC-A67C-4994-861E-D1552C503EDF}"/>
    <cellStyle name="Normal 31" xfId="558" xr:uid="{00000000-0005-0000-0000-0000BE050000}"/>
    <cellStyle name="Normal 31 2" xfId="1229" xr:uid="{00000000-0005-0000-0000-0000BF050000}"/>
    <cellStyle name="Normal 31 3" xfId="1722" xr:uid="{00000000-0005-0000-0000-0000C0050000}"/>
    <cellStyle name="Normal 31 3 2" xfId="4972" xr:uid="{3A2135E8-26B2-486A-A283-278D9128229C}"/>
    <cellStyle name="Normal 31 3 2 2" xfId="8352" xr:uid="{2E43C699-3BA0-4D31-8879-8DA0BFFE10C7}"/>
    <cellStyle name="Normal 31 3 3" xfId="6652" xr:uid="{86C63437-DAB0-46EC-9324-BE6DEAD07F49}"/>
    <cellStyle name="Normal 31 3_DEO ADIT Unprotected" xfId="3332" xr:uid="{9E30129D-DA92-42A2-AF4A-420DAA790FB4}"/>
    <cellStyle name="Normal 31 4" xfId="4135" xr:uid="{4D9BB9D8-3B2D-416D-921A-6CE3B8AF10C7}"/>
    <cellStyle name="Normal 31 4 2" xfId="7515" xr:uid="{23F4EB31-FA19-4017-9478-0B28EA010F4A}"/>
    <cellStyle name="Normal 31 5" xfId="5814" xr:uid="{4E7960DD-2E6C-48A1-8B5E-80CA1B259EFB}"/>
    <cellStyle name="Normal 31_DEO ADIT Unprotected" xfId="3331" xr:uid="{378A5C7C-7B7F-47FA-83D9-730DC6EA1D09}"/>
    <cellStyle name="Normal 32" xfId="553" xr:uid="{00000000-0005-0000-0000-0000C1050000}"/>
    <cellStyle name="Normal 32 2" xfId="1230" xr:uid="{00000000-0005-0000-0000-0000C2050000}"/>
    <cellStyle name="Normal 32 3" xfId="1717" xr:uid="{00000000-0005-0000-0000-0000C3050000}"/>
    <cellStyle name="Normal 32 3 2" xfId="4967" xr:uid="{9AF2A437-2602-4816-9E39-5D6BBCC16F3E}"/>
    <cellStyle name="Normal 32 3 2 2" xfId="8347" xr:uid="{792191E5-E2F6-4697-A074-E63683B0596A}"/>
    <cellStyle name="Normal 32 3 3" xfId="6647" xr:uid="{0F3A1245-C1AC-4B65-A9BD-6C9BFEEA1C4F}"/>
    <cellStyle name="Normal 32 3_DEO ADIT Unprotected" xfId="3334" xr:uid="{0E974D8D-3BDD-4AB7-8844-85522A37714E}"/>
    <cellStyle name="Normal 32 4" xfId="4130" xr:uid="{8924B43C-543E-4E44-8F89-5590008AB457}"/>
    <cellStyle name="Normal 32 4 2" xfId="7510" xr:uid="{3ACED753-53DC-42E7-9CD9-B4ADD37B5F55}"/>
    <cellStyle name="Normal 32 5" xfId="5809" xr:uid="{472FA94F-8790-42B7-A272-567A8DA6C7DF}"/>
    <cellStyle name="Normal 32_DEO ADIT Unprotected" xfId="3333" xr:uid="{EB4A709F-44D0-4F46-9EF1-C9E89803367F}"/>
    <cellStyle name="Normal 33" xfId="575" xr:uid="{00000000-0005-0000-0000-0000C4050000}"/>
    <cellStyle name="Normal 33 2" xfId="1231" xr:uid="{00000000-0005-0000-0000-0000C5050000}"/>
    <cellStyle name="Normal 33 3" xfId="1739" xr:uid="{00000000-0005-0000-0000-0000C6050000}"/>
    <cellStyle name="Normal 33 3 2" xfId="4989" xr:uid="{556353D7-E9B0-461C-B23E-519324EE8484}"/>
    <cellStyle name="Normal 33 3 2 2" xfId="8369" xr:uid="{C3267591-D902-4B6F-A270-E49637AE55F8}"/>
    <cellStyle name="Normal 33 3 3" xfId="6669" xr:uid="{6D218845-3094-4015-A9A8-01D437984E2C}"/>
    <cellStyle name="Normal 33 3_DEO ADIT Unprotected" xfId="3336" xr:uid="{769E2712-8234-44B2-9B94-A1F5B366E517}"/>
    <cellStyle name="Normal 33 4" xfId="4152" xr:uid="{06EC88FE-58B7-4CB4-8A4D-4AA83D03D9B7}"/>
    <cellStyle name="Normal 33 4 2" xfId="7532" xr:uid="{03C93038-AD6B-452E-83AA-FFC52EB83DEA}"/>
    <cellStyle name="Normal 33 5" xfId="5831" xr:uid="{DC246313-781F-4CDA-BA80-825FA7BC4027}"/>
    <cellStyle name="Normal 33_DEO ADIT Unprotected" xfId="3335" xr:uid="{C3A63018-624A-410A-A470-87CBE735BEA7}"/>
    <cellStyle name="Normal 34" xfId="576" xr:uid="{00000000-0005-0000-0000-0000C7050000}"/>
    <cellStyle name="Normal 34 2" xfId="1232" xr:uid="{00000000-0005-0000-0000-0000C8050000}"/>
    <cellStyle name="Normal 34 2 2" xfId="1233" xr:uid="{00000000-0005-0000-0000-0000C9050000}"/>
    <cellStyle name="Normal 34 2 2 2" xfId="1234" xr:uid="{00000000-0005-0000-0000-0000CA050000}"/>
    <cellStyle name="Normal 34 2 2 2 2" xfId="2163" xr:uid="{00000000-0005-0000-0000-0000CB050000}"/>
    <cellStyle name="Normal 34 2 2 2 2 2" xfId="5413" xr:uid="{0636727B-8B97-4562-A692-AF4BD1D0A76D}"/>
    <cellStyle name="Normal 34 2 2 2 2 2 2" xfId="8793" xr:uid="{7F3A9C44-32DA-4C1C-806D-44D5A07E5DBD}"/>
    <cellStyle name="Normal 34 2 2 2 2 3" xfId="7093" xr:uid="{5CC1B1CD-4D80-4D2E-9767-4E8191D63EF1}"/>
    <cellStyle name="Normal 34 2 2 2 2_DEO ADIT Unprotected" xfId="3341" xr:uid="{2A0C6471-8951-4579-8846-FD6BAF16D30A}"/>
    <cellStyle name="Normal 34 2 2 2 3" xfId="4576" xr:uid="{8664F149-AB17-4C06-9815-A9D1478B7933}"/>
    <cellStyle name="Normal 34 2 2 2 3 2" xfId="7956" xr:uid="{3AAF0E3B-C1C5-49FD-AF1D-1FC8B9035696}"/>
    <cellStyle name="Normal 34 2 2 2 4" xfId="6256" xr:uid="{A950ABED-E40E-4C50-BDDC-33C8E42B1C77}"/>
    <cellStyle name="Normal 34 2 2 2_DEO ADIT Unprotected" xfId="3340" xr:uid="{376FF114-8286-4D21-A2E5-E486A3FDEEBE}"/>
    <cellStyle name="Normal 34 2 2 3" xfId="2162" xr:uid="{00000000-0005-0000-0000-0000CC050000}"/>
    <cellStyle name="Normal 34 2 2 3 2" xfId="5412" xr:uid="{98C220C1-78C7-436E-8F2E-D6966532D783}"/>
    <cellStyle name="Normal 34 2 2 3 2 2" xfId="8792" xr:uid="{F607E3CA-2A48-4CF9-ABAE-1B3123C7E3E2}"/>
    <cellStyle name="Normal 34 2 2 3 3" xfId="7092" xr:uid="{CCCB5EE8-3E2E-41DB-BD84-4FBB32309DD7}"/>
    <cellStyle name="Normal 34 2 2 3_DEO ADIT Unprotected" xfId="3342" xr:uid="{50BDB186-3E23-49A4-9EFB-BE617A1FA4EC}"/>
    <cellStyle name="Normal 34 2 2 4" xfId="4575" xr:uid="{B5383ADE-716C-4C2A-8B0C-F1DB5D2FF703}"/>
    <cellStyle name="Normal 34 2 2 4 2" xfId="7955" xr:uid="{AB0A9A6D-C460-43E7-AA09-1A524463630C}"/>
    <cellStyle name="Normal 34 2 2 5" xfId="6255" xr:uid="{5003C0FC-3D17-4037-A35E-E364BE1C4943}"/>
    <cellStyle name="Normal 34 2 2_DEO ADIT Unprotected" xfId="3339" xr:uid="{A710587C-0EEE-41F6-94A7-98EE34719153}"/>
    <cellStyle name="Normal 34 2 3" xfId="1235" xr:uid="{00000000-0005-0000-0000-0000CD050000}"/>
    <cellStyle name="Normal 34 2 3 2" xfId="2164" xr:uid="{00000000-0005-0000-0000-0000CE050000}"/>
    <cellStyle name="Normal 34 2 3 2 2" xfId="5414" xr:uid="{8FE4B551-0EC6-4624-8396-6B0289AFBE5F}"/>
    <cellStyle name="Normal 34 2 3 2 2 2" xfId="8794" xr:uid="{01723B87-CB88-4895-B607-625C95657BEB}"/>
    <cellStyle name="Normal 34 2 3 2 3" xfId="7094" xr:uid="{423A0C37-A3FF-4CF8-ABEE-73B00AF1A2B7}"/>
    <cellStyle name="Normal 34 2 3 2_DEO ADIT Unprotected" xfId="3344" xr:uid="{B0575BFF-17EE-4CCF-8753-1C928ABB111C}"/>
    <cellStyle name="Normal 34 2 3 3" xfId="4577" xr:uid="{87282761-CCDB-425C-A850-A72FFAC46E24}"/>
    <cellStyle name="Normal 34 2 3 3 2" xfId="7957" xr:uid="{C1A58D41-3EE0-40B7-9C6B-EA52265C801B}"/>
    <cellStyle name="Normal 34 2 3 4" xfId="6257" xr:uid="{D6A72558-B071-4219-9F89-B0159466BE2F}"/>
    <cellStyle name="Normal 34 2 3_DEO ADIT Unprotected" xfId="3343" xr:uid="{1F502154-6E09-48EF-BC85-BB6BDE079886}"/>
    <cellStyle name="Normal 34 2 4" xfId="2161" xr:uid="{00000000-0005-0000-0000-0000CF050000}"/>
    <cellStyle name="Normal 34 2 4 2" xfId="5411" xr:uid="{06C24A0D-D216-4411-8FD9-C85163B01810}"/>
    <cellStyle name="Normal 34 2 4 2 2" xfId="8791" xr:uid="{3918150F-E3DB-4BD3-9CB2-67B6150B5EC2}"/>
    <cellStyle name="Normal 34 2 4 3" xfId="7091" xr:uid="{D3CF7D4D-736F-47F7-9C82-535CBB9E59DE}"/>
    <cellStyle name="Normal 34 2 4_DEO ADIT Unprotected" xfId="3345" xr:uid="{670477D1-5BEA-4910-9BBC-C1A902942471}"/>
    <cellStyle name="Normal 34 2 5" xfId="4574" xr:uid="{2467CD1A-D313-41D3-8C59-8CE8A7887111}"/>
    <cellStyle name="Normal 34 2 5 2" xfId="7954" xr:uid="{8C731B61-9C16-43F0-8D80-7179DAA35659}"/>
    <cellStyle name="Normal 34 2 6" xfId="6254" xr:uid="{A75E7B68-D06F-44AF-ADF7-1B748398BBD1}"/>
    <cellStyle name="Normal 34 2_DEO ADIT Unprotected" xfId="3338" xr:uid="{A5A36A0D-9B21-4520-A444-A1EA3F41772A}"/>
    <cellStyle name="Normal 34 3" xfId="1236" xr:uid="{00000000-0005-0000-0000-0000D0050000}"/>
    <cellStyle name="Normal 34 3 2" xfId="1237" xr:uid="{00000000-0005-0000-0000-0000D1050000}"/>
    <cellStyle name="Normal 34 3 2 2" xfId="2166" xr:uid="{00000000-0005-0000-0000-0000D2050000}"/>
    <cellStyle name="Normal 34 3 2 2 2" xfId="5416" xr:uid="{B3E14FEA-459F-4F0A-B47B-1B95F2D6BC1C}"/>
    <cellStyle name="Normal 34 3 2 2 2 2" xfId="8796" xr:uid="{0C8C409A-355E-4B31-A9A9-7A691B2AAD30}"/>
    <cellStyle name="Normal 34 3 2 2 3" xfId="7096" xr:uid="{3AAABC43-BA57-49B1-9699-2DB1EC085124}"/>
    <cellStyle name="Normal 34 3 2 2_DEO ADIT Unprotected" xfId="3348" xr:uid="{61E5614E-AEE4-467D-853F-7BE682FE7EB9}"/>
    <cellStyle name="Normal 34 3 2 3" xfId="4579" xr:uid="{B42BA6D0-584D-45A6-80B0-B228D23E8014}"/>
    <cellStyle name="Normal 34 3 2 3 2" xfId="7959" xr:uid="{D24E6BB0-DF60-4423-9852-0F5840A5B362}"/>
    <cellStyle name="Normal 34 3 2 4" xfId="6259" xr:uid="{3C8899B2-ABAE-421F-958C-A0784C55AB4F}"/>
    <cellStyle name="Normal 34 3 2_DEO ADIT Unprotected" xfId="3347" xr:uid="{62A1A0DC-421B-46C2-8930-88CF3C051906}"/>
    <cellStyle name="Normal 34 3 3" xfId="2165" xr:uid="{00000000-0005-0000-0000-0000D3050000}"/>
    <cellStyle name="Normal 34 3 3 2" xfId="5415" xr:uid="{882853D3-5C36-41D8-B6E8-5F1979A692EE}"/>
    <cellStyle name="Normal 34 3 3 2 2" xfId="8795" xr:uid="{D8B8B822-AD61-4C6E-99A4-69AEEE5BE086}"/>
    <cellStyle name="Normal 34 3 3 3" xfId="7095" xr:uid="{29A68087-25F8-4796-9CB0-181011250F32}"/>
    <cellStyle name="Normal 34 3 3_DEO ADIT Unprotected" xfId="3349" xr:uid="{E4324B66-133E-4FE5-90A3-47BC50A0ED00}"/>
    <cellStyle name="Normal 34 3 4" xfId="4578" xr:uid="{7B4BC076-E373-4097-BD21-75A512062D87}"/>
    <cellStyle name="Normal 34 3 4 2" xfId="7958" xr:uid="{9CD37540-F182-476C-BA44-01430310BC75}"/>
    <cellStyle name="Normal 34 3 5" xfId="6258" xr:uid="{D0804267-AD3B-4899-BA28-AC03DA9744F7}"/>
    <cellStyle name="Normal 34 3_DEO ADIT Unprotected" xfId="3346" xr:uid="{6A6D2E0E-ED99-4FBD-9BFB-6F9149922E42}"/>
    <cellStyle name="Normal 34 4" xfId="1238" xr:uid="{00000000-0005-0000-0000-0000D4050000}"/>
    <cellStyle name="Normal 34 4 2" xfId="2167" xr:uid="{00000000-0005-0000-0000-0000D5050000}"/>
    <cellStyle name="Normal 34 4 2 2" xfId="5417" xr:uid="{28F3E02D-0E6B-42EB-950E-ADEDDE53D6D0}"/>
    <cellStyle name="Normal 34 4 2 2 2" xfId="8797" xr:uid="{6F9FF4E9-64AB-4D8B-A9BE-D875DDCCB031}"/>
    <cellStyle name="Normal 34 4 2 3" xfId="7097" xr:uid="{A415B5B7-4413-4283-B749-94C04C08C17C}"/>
    <cellStyle name="Normal 34 4 2_DEO ADIT Unprotected" xfId="3351" xr:uid="{F34F4DF4-37F5-498F-8BE7-AECB77DB8D17}"/>
    <cellStyle name="Normal 34 4 3" xfId="4580" xr:uid="{67E99521-0E11-42CE-B9FA-3C3DDCE9FC89}"/>
    <cellStyle name="Normal 34 4 3 2" xfId="7960" xr:uid="{28C12F03-B9E7-448F-B021-DDAFD768BF3F}"/>
    <cellStyle name="Normal 34 4 4" xfId="6260" xr:uid="{E9313EAD-7576-493E-AFE1-3C04902150FF}"/>
    <cellStyle name="Normal 34 4_DEO ADIT Unprotected" xfId="3350" xr:uid="{87F84684-9E62-458D-BBE2-797AF8D37D18}"/>
    <cellStyle name="Normal 34 5" xfId="1740" xr:uid="{00000000-0005-0000-0000-0000D6050000}"/>
    <cellStyle name="Normal 34 5 2" xfId="4990" xr:uid="{9F0FA58C-A5F5-4606-BB05-8D1FDCB20288}"/>
    <cellStyle name="Normal 34 5 2 2" xfId="8370" xr:uid="{337116AE-C938-404D-95DF-388639A5FAF6}"/>
    <cellStyle name="Normal 34 5 3" xfId="6670" xr:uid="{88BF4466-0A3E-4C65-88D9-730F59D4391B}"/>
    <cellStyle name="Normal 34 5_DEO ADIT Unprotected" xfId="3352" xr:uid="{48B4024B-650B-4447-B3F0-7ABCF39C5B36}"/>
    <cellStyle name="Normal 34 6" xfId="4153" xr:uid="{A15A9388-02F4-431F-88FD-29FFB09CF84F}"/>
    <cellStyle name="Normal 34 6 2" xfId="7533" xr:uid="{64A3CBE3-9A6E-4A06-B797-C182E33BE65A}"/>
    <cellStyle name="Normal 34 7" xfId="5832" xr:uid="{671DCF2E-D662-47D8-9EC0-7026CC0E32E6}"/>
    <cellStyle name="Normal 34_DEO ADIT Unprotected" xfId="3337" xr:uid="{6C5EED96-476D-4DAD-A587-E23B89258577}"/>
    <cellStyle name="Normal 35" xfId="1239" xr:uid="{00000000-0005-0000-0000-0000D7050000}"/>
    <cellStyle name="Normal 35 2" xfId="1240" xr:uid="{00000000-0005-0000-0000-0000D8050000}"/>
    <cellStyle name="Normal 35_DEO ADIT Unprotected" xfId="3353" xr:uid="{AFE2906B-47AB-4BE3-A0D6-CB9A75C43BBA}"/>
    <cellStyle name="Normal 36" xfId="1241" xr:uid="{00000000-0005-0000-0000-0000D9050000}"/>
    <cellStyle name="Normal 36 2" xfId="1242" xr:uid="{00000000-0005-0000-0000-0000DA050000}"/>
    <cellStyle name="Normal 36_DEO ADIT Unprotected" xfId="3354" xr:uid="{3842BA19-4169-4EF5-8158-F8C9974E13B6}"/>
    <cellStyle name="Normal 37" xfId="1243" xr:uid="{00000000-0005-0000-0000-0000DB050000}"/>
    <cellStyle name="Normal 37 2" xfId="1244" xr:uid="{00000000-0005-0000-0000-0000DC050000}"/>
    <cellStyle name="Normal 37_DEO ADIT Unprotected" xfId="3355" xr:uid="{7EABA707-F50C-4FA0-953C-9B979CCC0CBD}"/>
    <cellStyle name="Normal 38" xfId="1245" xr:uid="{00000000-0005-0000-0000-0000DD050000}"/>
    <cellStyle name="Normal 38 2" xfId="1246" xr:uid="{00000000-0005-0000-0000-0000DE050000}"/>
    <cellStyle name="Normal 38_DEO ADIT Unprotected" xfId="3356" xr:uid="{F5395630-26D8-416A-BFF3-84BD1941A83F}"/>
    <cellStyle name="Normal 39" xfId="1247" xr:uid="{00000000-0005-0000-0000-0000DF050000}"/>
    <cellStyle name="Normal 39 2" xfId="1248" xr:uid="{00000000-0005-0000-0000-0000E0050000}"/>
    <cellStyle name="Normal 39_DEO ADIT Unprotected" xfId="3357" xr:uid="{2F699B3E-7C57-42B5-8FFB-FE9EA232F0E4}"/>
    <cellStyle name="Normal 4" xfId="179" xr:uid="{00000000-0005-0000-0000-0000E1050000}"/>
    <cellStyle name="Normal 4 2" xfId="180" xr:uid="{00000000-0005-0000-0000-0000E2050000}"/>
    <cellStyle name="Normal 4 2 2" xfId="433" xr:uid="{00000000-0005-0000-0000-0000E3050000}"/>
    <cellStyle name="Normal 4 2_DEO ADIT Unprotected" xfId="3358" xr:uid="{77AF73E7-F911-4374-AD69-56E5E57F04D1}"/>
    <cellStyle name="Normal 4 3" xfId="1249" xr:uid="{00000000-0005-0000-0000-0000E4050000}"/>
    <cellStyle name="Normal 4 3 2" xfId="2168" xr:uid="{00000000-0005-0000-0000-0000E5050000}"/>
    <cellStyle name="Normal 4 3 2 2" xfId="5418" xr:uid="{F18E0CD7-EA51-4205-92B7-A7546C6560F1}"/>
    <cellStyle name="Normal 4 3 2 2 2" xfId="8798" xr:uid="{755DBC75-7FDA-4BB7-BB24-037A4E1BE098}"/>
    <cellStyle name="Normal 4 3 2 3" xfId="7098" xr:uid="{D13015F2-D839-4350-B6E6-5D8A2EBB19EF}"/>
    <cellStyle name="Normal 4 3 2_DEO ADIT Unprotected" xfId="3360" xr:uid="{37954862-AC8D-49CA-94CE-9EF33DAE5C30}"/>
    <cellStyle name="Normal 4 3 3" xfId="4581" xr:uid="{5B55C43C-C761-4272-B5C4-9DF9805F44FA}"/>
    <cellStyle name="Normal 4 3 3 2" xfId="7961" xr:uid="{10587DCC-7FFA-4BDB-82B4-FB3D0BCC7E3E}"/>
    <cellStyle name="Normal 4 3 4" xfId="6261" xr:uid="{A9E17CEF-7A46-4471-AD1C-2518B093E2B5}"/>
    <cellStyle name="Normal 4 3_DEO ADIT Unprotected" xfId="3359" xr:uid="{431C687D-86E8-4927-A94A-8FFEB846363B}"/>
    <cellStyle name="Normal 4 4" xfId="1250" xr:uid="{00000000-0005-0000-0000-0000E6050000}"/>
    <cellStyle name="Normal 4 4 2" xfId="2169" xr:uid="{00000000-0005-0000-0000-0000E7050000}"/>
    <cellStyle name="Normal 4 4 2 2" xfId="5419" xr:uid="{2B062299-6958-4926-B2BB-22562F5C569D}"/>
    <cellStyle name="Normal 4 4 2 2 2" xfId="8799" xr:uid="{1C3C342F-EB3A-45AF-BCBC-3A3DA820FD2F}"/>
    <cellStyle name="Normal 4 4 2 3" xfId="7099" xr:uid="{49BCBC5C-9305-478F-BB97-1DC5F491D9D4}"/>
    <cellStyle name="Normal 4 4 2_DEO ADIT Unprotected" xfId="3362" xr:uid="{8B1CCE7F-2D76-4091-B816-51DD28C8BC48}"/>
    <cellStyle name="Normal 4 4 3" xfId="4582" xr:uid="{FBD836E7-E128-45DD-BAE9-137D13679F1A}"/>
    <cellStyle name="Normal 4 4 3 2" xfId="7962" xr:uid="{C718FDD8-B005-45B1-A534-45353E50BA4D}"/>
    <cellStyle name="Normal 4 4 4" xfId="6262" xr:uid="{795D5E6B-BBF4-488B-8C4B-0F436BF426A4}"/>
    <cellStyle name="Normal 4 4_DEO ADIT Unprotected" xfId="3361" xr:uid="{E449A02B-041F-4E83-B0BE-6F8B6BF7D850}"/>
    <cellStyle name="Normal 4_ITC-Great Plains Heintz 6-24-08a" xfId="181" xr:uid="{00000000-0005-0000-0000-0000E8050000}"/>
    <cellStyle name="Normal 40" xfId="1251" xr:uid="{00000000-0005-0000-0000-0000E9050000}"/>
    <cellStyle name="Normal 40 2" xfId="1252" xr:uid="{00000000-0005-0000-0000-0000EA050000}"/>
    <cellStyle name="Normal 40_DEO ADIT Unprotected" xfId="3363" xr:uid="{4A77B941-6557-427A-B1D8-0C1472FFB817}"/>
    <cellStyle name="Normal 41" xfId="1253" xr:uid="{00000000-0005-0000-0000-0000EB050000}"/>
    <cellStyle name="Normal 42" xfId="1254" xr:uid="{00000000-0005-0000-0000-0000EC050000}"/>
    <cellStyle name="Normal 42 2" xfId="1255" xr:uid="{00000000-0005-0000-0000-0000ED050000}"/>
    <cellStyle name="Normal 42 2 2" xfId="1256" xr:uid="{00000000-0005-0000-0000-0000EE050000}"/>
    <cellStyle name="Normal 42 2 2 2" xfId="1257" xr:uid="{00000000-0005-0000-0000-0000EF050000}"/>
    <cellStyle name="Normal 42 2 2 2 2" xfId="2173" xr:uid="{00000000-0005-0000-0000-0000F0050000}"/>
    <cellStyle name="Normal 42 2 2 2 2 2" xfId="5423" xr:uid="{665368AC-0233-447A-882F-3042BD316D4C}"/>
    <cellStyle name="Normal 42 2 2 2 2 2 2" xfId="8803" xr:uid="{C37DFD63-9A35-4216-B376-41805E2A3A43}"/>
    <cellStyle name="Normal 42 2 2 2 2 3" xfId="7103" xr:uid="{22EE2630-9E48-47AD-88FA-2CEC8E2B92DA}"/>
    <cellStyle name="Normal 42 2 2 2 2_DEO ADIT Unprotected" xfId="3368" xr:uid="{73596274-3EF4-490D-92FC-D589367F9953}"/>
    <cellStyle name="Normal 42 2 2 2 3" xfId="4586" xr:uid="{AE06A80F-E3EC-4FFB-860A-24E7C768C9AA}"/>
    <cellStyle name="Normal 42 2 2 2 3 2" xfId="7966" xr:uid="{EAEBCD61-EFD9-46DB-A217-87E924DC5503}"/>
    <cellStyle name="Normal 42 2 2 2 4" xfId="6266" xr:uid="{E2AF5B50-CFD2-45C5-A1C3-0EE45C5BBEC2}"/>
    <cellStyle name="Normal 42 2 2 2_DEO ADIT Unprotected" xfId="3367" xr:uid="{0BF8C651-DB12-4619-9FD1-1209A3F266F4}"/>
    <cellStyle name="Normal 42 2 2 3" xfId="2172" xr:uid="{00000000-0005-0000-0000-0000F1050000}"/>
    <cellStyle name="Normal 42 2 2 3 2" xfId="5422" xr:uid="{9EFA3160-2E40-4D61-883C-67BE5C39015E}"/>
    <cellStyle name="Normal 42 2 2 3 2 2" xfId="8802" xr:uid="{9557ADC4-49B0-4245-944A-366EACAD1FFF}"/>
    <cellStyle name="Normal 42 2 2 3 3" xfId="7102" xr:uid="{55CA32D3-5887-4351-AB14-C484817FA6FC}"/>
    <cellStyle name="Normal 42 2 2 3_DEO ADIT Unprotected" xfId="3369" xr:uid="{E85358A6-C874-4A94-AF85-2236A018E975}"/>
    <cellStyle name="Normal 42 2 2 4" xfId="4585" xr:uid="{751929F3-37AA-4926-AFE4-3C59239F9556}"/>
    <cellStyle name="Normal 42 2 2 4 2" xfId="7965" xr:uid="{11623915-3512-4B61-ABED-482A799B230D}"/>
    <cellStyle name="Normal 42 2 2 5" xfId="6265" xr:uid="{10076388-E056-496E-B816-C5734F89ACB6}"/>
    <cellStyle name="Normal 42 2 2_DEO ADIT Unprotected" xfId="3366" xr:uid="{B37A691B-D3C0-4105-AA14-3F1756160E47}"/>
    <cellStyle name="Normal 42 2 3" xfId="1258" xr:uid="{00000000-0005-0000-0000-0000F2050000}"/>
    <cellStyle name="Normal 42 2 3 2" xfId="2174" xr:uid="{00000000-0005-0000-0000-0000F3050000}"/>
    <cellStyle name="Normal 42 2 3 2 2" xfId="5424" xr:uid="{4F108746-5EB5-4574-977B-F20CEFAFD725}"/>
    <cellStyle name="Normal 42 2 3 2 2 2" xfId="8804" xr:uid="{56376BD9-BE9D-4473-B07C-F868F0973D70}"/>
    <cellStyle name="Normal 42 2 3 2 3" xfId="7104" xr:uid="{23309C1F-43D3-40C3-B447-A65DCB73295B}"/>
    <cellStyle name="Normal 42 2 3 2_DEO ADIT Unprotected" xfId="3371" xr:uid="{CF1F39D5-3E40-4C62-B853-0B6985658FD6}"/>
    <cellStyle name="Normal 42 2 3 3" xfId="4587" xr:uid="{2CDDAC82-F7C8-4AC5-A9B1-4BE9AECE7E65}"/>
    <cellStyle name="Normal 42 2 3 3 2" xfId="7967" xr:uid="{F3B23342-4C91-404E-B359-543BD5CDA639}"/>
    <cellStyle name="Normal 42 2 3 4" xfId="6267" xr:uid="{967EA22F-4260-4A08-8683-FD6CE079A09D}"/>
    <cellStyle name="Normal 42 2 3_DEO ADIT Unprotected" xfId="3370" xr:uid="{653AE494-49BA-4214-A995-A36801342488}"/>
    <cellStyle name="Normal 42 2 4" xfId="2171" xr:uid="{00000000-0005-0000-0000-0000F4050000}"/>
    <cellStyle name="Normal 42 2 4 2" xfId="5421" xr:uid="{353FC5AF-D6B0-4BF9-8566-58E9BCF473E5}"/>
    <cellStyle name="Normal 42 2 4 2 2" xfId="8801" xr:uid="{52F17E42-043D-4CBF-B00E-BC3C9C1E3058}"/>
    <cellStyle name="Normal 42 2 4 3" xfId="7101" xr:uid="{FCCDB21E-B814-4894-9A5C-38C9C4A9F882}"/>
    <cellStyle name="Normal 42 2 4_DEO ADIT Unprotected" xfId="3372" xr:uid="{75D46724-E897-40CD-8020-65DB76722C4B}"/>
    <cellStyle name="Normal 42 2 5" xfId="4584" xr:uid="{643CFF2F-A290-4117-A44B-73FB55A1CC35}"/>
    <cellStyle name="Normal 42 2 5 2" xfId="7964" xr:uid="{1E5D3BAA-E461-46DF-B5C0-7F43269207CB}"/>
    <cellStyle name="Normal 42 2 6" xfId="6264" xr:uid="{1A89941D-70E6-4AE0-81BF-74AF33464110}"/>
    <cellStyle name="Normal 42 2_DEO ADIT Unprotected" xfId="3365" xr:uid="{C378791B-35DE-4AB9-A8D4-B0EC66D93AE9}"/>
    <cellStyle name="Normal 42 3" xfId="1259" xr:uid="{00000000-0005-0000-0000-0000F5050000}"/>
    <cellStyle name="Normal 42 3 2" xfId="1260" xr:uid="{00000000-0005-0000-0000-0000F6050000}"/>
    <cellStyle name="Normal 42 3 2 2" xfId="2176" xr:uid="{00000000-0005-0000-0000-0000F7050000}"/>
    <cellStyle name="Normal 42 3 2 2 2" xfId="5426" xr:uid="{6F5738BF-9832-4748-A751-6367D5EA026A}"/>
    <cellStyle name="Normal 42 3 2 2 2 2" xfId="8806" xr:uid="{37469BF6-669F-4E61-A823-5B524E1413BB}"/>
    <cellStyle name="Normal 42 3 2 2 3" xfId="7106" xr:uid="{7D6D95A8-18B0-4067-AF60-9E062DFF9DA1}"/>
    <cellStyle name="Normal 42 3 2 2_DEO ADIT Unprotected" xfId="3375" xr:uid="{F0C57065-E25B-47A1-B322-FDC970DE3FA8}"/>
    <cellStyle name="Normal 42 3 2 3" xfId="4589" xr:uid="{D8ADD317-3301-4CE8-9A5C-B5DA4E27F1A6}"/>
    <cellStyle name="Normal 42 3 2 3 2" xfId="7969" xr:uid="{884B15EF-81B6-405D-9569-DA3D807C50BB}"/>
    <cellStyle name="Normal 42 3 2 4" xfId="6269" xr:uid="{B901DDD2-BAAE-4391-AE18-BC54700F716F}"/>
    <cellStyle name="Normal 42 3 2_DEO ADIT Unprotected" xfId="3374" xr:uid="{9C136ADA-9EFB-42A4-891F-AB31366F798B}"/>
    <cellStyle name="Normal 42 3 3" xfId="2175" xr:uid="{00000000-0005-0000-0000-0000F8050000}"/>
    <cellStyle name="Normal 42 3 3 2" xfId="5425" xr:uid="{631B30DE-2375-4DE3-846B-CEA8849A894B}"/>
    <cellStyle name="Normal 42 3 3 2 2" xfId="8805" xr:uid="{0A3EEDA8-7306-4170-907D-4F415BFA164E}"/>
    <cellStyle name="Normal 42 3 3 3" xfId="7105" xr:uid="{CB2DD5C0-F3B4-4FA7-8B30-56A2C85246E5}"/>
    <cellStyle name="Normal 42 3 3_DEO ADIT Unprotected" xfId="3376" xr:uid="{F6D77C20-4A35-4B78-98D7-7CF29A563BBE}"/>
    <cellStyle name="Normal 42 3 4" xfId="4588" xr:uid="{14BFE162-E1D1-49E6-B4A5-21F3AC8DECE8}"/>
    <cellStyle name="Normal 42 3 4 2" xfId="7968" xr:uid="{03FF4270-B3B6-49FB-BED9-3EE91C5549AD}"/>
    <cellStyle name="Normal 42 3 5" xfId="6268" xr:uid="{E70606CC-2A3C-4ED2-82B4-1717358290FF}"/>
    <cellStyle name="Normal 42 3_DEO ADIT Unprotected" xfId="3373" xr:uid="{2C9F3010-E820-477E-A1B0-272239C0B497}"/>
    <cellStyle name="Normal 42 4" xfId="1261" xr:uid="{00000000-0005-0000-0000-0000F9050000}"/>
    <cellStyle name="Normal 42 4 2" xfId="2177" xr:uid="{00000000-0005-0000-0000-0000FA050000}"/>
    <cellStyle name="Normal 42 4 2 2" xfId="5427" xr:uid="{762439EC-7A62-4382-ACF4-F85EA6DCF59D}"/>
    <cellStyle name="Normal 42 4 2 2 2" xfId="8807" xr:uid="{4F53C188-D1A4-4C99-84FE-004C29B84B29}"/>
    <cellStyle name="Normal 42 4 2 3" xfId="7107" xr:uid="{046D132B-6D6B-49D9-9872-4F03209A019C}"/>
    <cellStyle name="Normal 42 4 2_DEO ADIT Unprotected" xfId="3378" xr:uid="{1BFF3029-DDAE-4DA5-B9F0-43686AED0A33}"/>
    <cellStyle name="Normal 42 4 3" xfId="4590" xr:uid="{31983A71-25AB-4A1E-B7E3-5BF983209396}"/>
    <cellStyle name="Normal 42 4 3 2" xfId="7970" xr:uid="{5FE1605D-0C6D-4F31-9A8D-B692274B4D6E}"/>
    <cellStyle name="Normal 42 4 4" xfId="6270" xr:uid="{537DC4F1-08F3-41DA-BEEE-A783303A145E}"/>
    <cellStyle name="Normal 42 4_DEO ADIT Unprotected" xfId="3377" xr:uid="{CA8DF689-9895-4A07-AAB9-7D469781FE9D}"/>
    <cellStyle name="Normal 42 5" xfId="2170" xr:uid="{00000000-0005-0000-0000-0000FB050000}"/>
    <cellStyle name="Normal 42 5 2" xfId="5420" xr:uid="{F1E7B884-BCE2-45E8-9A82-0B2889597FDE}"/>
    <cellStyle name="Normal 42 5 2 2" xfId="8800" xr:uid="{3F359B0F-9C5B-42D6-B8B0-C43087501713}"/>
    <cellStyle name="Normal 42 5 3" xfId="7100" xr:uid="{172AB509-2D2C-4C06-9C3C-0847BE33616D}"/>
    <cellStyle name="Normal 42 5_DEO ADIT Unprotected" xfId="3379" xr:uid="{4D63F535-B4B9-4207-9FBA-560B79FBE89E}"/>
    <cellStyle name="Normal 42 6" xfId="4583" xr:uid="{429662BF-109E-463E-9728-AAB67C66774F}"/>
    <cellStyle name="Normal 42 6 2" xfId="7963" xr:uid="{19FF9561-820E-4DD2-B36A-0A225F1CE8A2}"/>
    <cellStyle name="Normal 42 7" xfId="6263" xr:uid="{0F03CE9B-0125-453C-940E-FD62A4BF0D0E}"/>
    <cellStyle name="Normal 42_DEO ADIT Unprotected" xfId="3364" xr:uid="{6EF64B3F-7385-4D1E-A637-BD5B52E41BB9}"/>
    <cellStyle name="Normal 43" xfId="1262" xr:uid="{00000000-0005-0000-0000-0000FC050000}"/>
    <cellStyle name="Normal 43 2" xfId="1263" xr:uid="{00000000-0005-0000-0000-0000FD050000}"/>
    <cellStyle name="Normal 43 2 2" xfId="1264" xr:uid="{00000000-0005-0000-0000-0000FE050000}"/>
    <cellStyle name="Normal 43 2 2 2" xfId="1265" xr:uid="{00000000-0005-0000-0000-0000FF050000}"/>
    <cellStyle name="Normal 43 2 2 2 2" xfId="2181" xr:uid="{00000000-0005-0000-0000-000000060000}"/>
    <cellStyle name="Normal 43 2 2 2 2 2" xfId="5431" xr:uid="{241A28DA-0DD4-4121-AAD4-29526332D036}"/>
    <cellStyle name="Normal 43 2 2 2 2 2 2" xfId="8811" xr:uid="{B554A434-3608-4C8A-B8F6-119B7F713542}"/>
    <cellStyle name="Normal 43 2 2 2 2 3" xfId="7111" xr:uid="{9ED670A3-EB1C-461D-B969-CAD7F6CA07C7}"/>
    <cellStyle name="Normal 43 2 2 2 2_DEO ADIT Unprotected" xfId="3384" xr:uid="{3A4FDCCC-324C-4067-905F-9F83EB436A32}"/>
    <cellStyle name="Normal 43 2 2 2 3" xfId="4594" xr:uid="{E169A95A-6A10-4D1E-8F60-06BE51EEF195}"/>
    <cellStyle name="Normal 43 2 2 2 3 2" xfId="7974" xr:uid="{A653D7CF-F0D0-42F9-80A8-9C75983F054F}"/>
    <cellStyle name="Normal 43 2 2 2 4" xfId="6274" xr:uid="{4207A91A-7FF0-487C-9F70-7933E1CC25C6}"/>
    <cellStyle name="Normal 43 2 2 2_DEO ADIT Unprotected" xfId="3383" xr:uid="{2CAF14F5-35D0-412F-89D7-8FA0D9863A4B}"/>
    <cellStyle name="Normal 43 2 2 3" xfId="2180" xr:uid="{00000000-0005-0000-0000-000001060000}"/>
    <cellStyle name="Normal 43 2 2 3 2" xfId="5430" xr:uid="{6211EDC7-27E8-46CB-B2C1-95A3F672171C}"/>
    <cellStyle name="Normal 43 2 2 3 2 2" xfId="8810" xr:uid="{E4832818-6CD9-4DF5-96A4-49EF9ED30F3C}"/>
    <cellStyle name="Normal 43 2 2 3 3" xfId="7110" xr:uid="{E108908B-CC63-448F-A519-EA2BC335F9A4}"/>
    <cellStyle name="Normal 43 2 2 3_DEO ADIT Unprotected" xfId="3385" xr:uid="{29D25890-C923-435B-A3B1-27FACF168B44}"/>
    <cellStyle name="Normal 43 2 2 4" xfId="4593" xr:uid="{06A650C8-07BF-4157-941B-37ED710EC17A}"/>
    <cellStyle name="Normal 43 2 2 4 2" xfId="7973" xr:uid="{CA4CEF4F-AC21-4913-9C56-61B61CECA346}"/>
    <cellStyle name="Normal 43 2 2 5" xfId="6273" xr:uid="{89468490-C204-454D-B275-FA1EE8F5E5E5}"/>
    <cellStyle name="Normal 43 2 2_DEO ADIT Unprotected" xfId="3382" xr:uid="{E4D5F958-592F-45F8-9290-25F162F3931B}"/>
    <cellStyle name="Normal 43 2 3" xfId="1266" xr:uid="{00000000-0005-0000-0000-000002060000}"/>
    <cellStyle name="Normal 43 2 3 2" xfId="2182" xr:uid="{00000000-0005-0000-0000-000003060000}"/>
    <cellStyle name="Normal 43 2 3 2 2" xfId="5432" xr:uid="{2479BE26-1773-4527-B7FE-00226D79CCF5}"/>
    <cellStyle name="Normal 43 2 3 2 2 2" xfId="8812" xr:uid="{B38FB852-0B8F-423E-B4CD-C43E0F87B044}"/>
    <cellStyle name="Normal 43 2 3 2 3" xfId="7112" xr:uid="{740DC4A0-B902-4F43-A4E6-028E9A111AAF}"/>
    <cellStyle name="Normal 43 2 3 2_DEO ADIT Unprotected" xfId="3387" xr:uid="{0E8FFEAA-515E-4674-A60A-339A5A9BA93E}"/>
    <cellStyle name="Normal 43 2 3 3" xfId="4595" xr:uid="{C7FFE379-307D-4902-943A-FFB1C930E718}"/>
    <cellStyle name="Normal 43 2 3 3 2" xfId="7975" xr:uid="{B46F851B-296D-4ABF-8784-A841B6665212}"/>
    <cellStyle name="Normal 43 2 3 4" xfId="6275" xr:uid="{558E6830-FDA2-4675-8F8B-B9263B89BC38}"/>
    <cellStyle name="Normal 43 2 3_DEO ADIT Unprotected" xfId="3386" xr:uid="{9FD1E487-58FC-451B-A595-CA0128BB0336}"/>
    <cellStyle name="Normal 43 2 4" xfId="2179" xr:uid="{00000000-0005-0000-0000-000004060000}"/>
    <cellStyle name="Normal 43 2 4 2" xfId="5429" xr:uid="{16EB254E-D12E-460C-B719-7C67096A8646}"/>
    <cellStyle name="Normal 43 2 4 2 2" xfId="8809" xr:uid="{2E9896BA-F492-4545-B4CB-363753F338DC}"/>
    <cellStyle name="Normal 43 2 4 3" xfId="7109" xr:uid="{2ABF30C1-6151-4E00-8BEB-9182B25BE77D}"/>
    <cellStyle name="Normal 43 2 4_DEO ADIT Unprotected" xfId="3388" xr:uid="{62E410D7-9CF8-4D82-900A-750519E6C717}"/>
    <cellStyle name="Normal 43 2 5" xfId="4592" xr:uid="{13ADB9B2-C8B8-4212-9C42-B4A4DB9B1DEB}"/>
    <cellStyle name="Normal 43 2 5 2" xfId="7972" xr:uid="{24BE196A-C868-43FA-A035-D7B4F5B751AC}"/>
    <cellStyle name="Normal 43 2 6" xfId="6272" xr:uid="{1F520778-F416-41B3-9134-D6268F263CE0}"/>
    <cellStyle name="Normal 43 2_DEO ADIT Unprotected" xfId="3381" xr:uid="{7C168E96-4F42-4B98-BEE4-0921DFE67340}"/>
    <cellStyle name="Normal 43 3" xfId="1267" xr:uid="{00000000-0005-0000-0000-000005060000}"/>
    <cellStyle name="Normal 43 3 2" xfId="1268" xr:uid="{00000000-0005-0000-0000-000006060000}"/>
    <cellStyle name="Normal 43 3 2 2" xfId="2184" xr:uid="{00000000-0005-0000-0000-000007060000}"/>
    <cellStyle name="Normal 43 3 2 2 2" xfId="5434" xr:uid="{971AE731-2A50-422D-9EC3-FDEF933AEBBA}"/>
    <cellStyle name="Normal 43 3 2 2 2 2" xfId="8814" xr:uid="{6739F553-27A9-4CB8-8670-F48A742DE940}"/>
    <cellStyle name="Normal 43 3 2 2 3" xfId="7114" xr:uid="{F9CC6DAE-D67E-405D-919E-8AE3A8962DAA}"/>
    <cellStyle name="Normal 43 3 2 2_DEO ADIT Unprotected" xfId="3391" xr:uid="{3D24EDAE-28F9-4F2F-9A25-926AE557F47A}"/>
    <cellStyle name="Normal 43 3 2 3" xfId="4597" xr:uid="{93EC156D-8F83-484E-A26C-81E41FE4AA8A}"/>
    <cellStyle name="Normal 43 3 2 3 2" xfId="7977" xr:uid="{1E9B0DC8-AD38-465D-A5A1-4506BAD355E6}"/>
    <cellStyle name="Normal 43 3 2 4" xfId="6277" xr:uid="{CDD7E129-C69B-40A7-BC3F-808FBF24FADA}"/>
    <cellStyle name="Normal 43 3 2_DEO ADIT Unprotected" xfId="3390" xr:uid="{6816796F-4404-4E71-8634-CF119F26046B}"/>
    <cellStyle name="Normal 43 3 3" xfId="2183" xr:uid="{00000000-0005-0000-0000-000008060000}"/>
    <cellStyle name="Normal 43 3 3 2" xfId="5433" xr:uid="{8A849255-D079-4F12-87F4-E335305AF2FE}"/>
    <cellStyle name="Normal 43 3 3 2 2" xfId="8813" xr:uid="{D7C64689-AC57-42CE-9E6E-E0E5DC1BE824}"/>
    <cellStyle name="Normal 43 3 3 3" xfId="7113" xr:uid="{C200445A-0DAD-4A4A-8D53-E89CFF99A4C5}"/>
    <cellStyle name="Normal 43 3 3_DEO ADIT Unprotected" xfId="3392" xr:uid="{D412B352-BCD3-4923-8790-CD0CBAFF6A4F}"/>
    <cellStyle name="Normal 43 3 4" xfId="4596" xr:uid="{23507DAE-F06F-49C5-BCB8-B5700743C350}"/>
    <cellStyle name="Normal 43 3 4 2" xfId="7976" xr:uid="{28388A77-9D07-4B5C-B21F-749171AF5EE9}"/>
    <cellStyle name="Normal 43 3 5" xfId="6276" xr:uid="{187F7EE1-59B5-4F81-A17C-A2A0A3150DDB}"/>
    <cellStyle name="Normal 43 3_DEO ADIT Unprotected" xfId="3389" xr:uid="{BB8F8886-D090-47D5-8C87-49674D0B5A63}"/>
    <cellStyle name="Normal 43 4" xfId="1269" xr:uid="{00000000-0005-0000-0000-000009060000}"/>
    <cellStyle name="Normal 43 4 2" xfId="2185" xr:uid="{00000000-0005-0000-0000-00000A060000}"/>
    <cellStyle name="Normal 43 4 2 2" xfId="5435" xr:uid="{D442DBD0-7135-446F-B627-D1F645B34D4B}"/>
    <cellStyle name="Normal 43 4 2 2 2" xfId="8815" xr:uid="{A36C38DE-6784-4EF4-B9D2-480E73E176FB}"/>
    <cellStyle name="Normal 43 4 2 3" xfId="7115" xr:uid="{7D70111C-55A7-45C9-A3D0-2400DCC7F469}"/>
    <cellStyle name="Normal 43 4 2_DEO ADIT Unprotected" xfId="3394" xr:uid="{8B30C48D-04D6-4B5C-B39E-5F84D173EC07}"/>
    <cellStyle name="Normal 43 4 3" xfId="4598" xr:uid="{F763E069-28E8-415B-9CDB-9B186E3C84CE}"/>
    <cellStyle name="Normal 43 4 3 2" xfId="7978" xr:uid="{FBB3280B-1487-4194-91BA-0A3C2A6C7768}"/>
    <cellStyle name="Normal 43 4 4" xfId="6278" xr:uid="{7EAB05F0-DA38-41CA-AAB0-9A902CDEF348}"/>
    <cellStyle name="Normal 43 4_DEO ADIT Unprotected" xfId="3393" xr:uid="{C289C8A8-69F7-44FC-87FD-27CF80FBAF79}"/>
    <cellStyle name="Normal 43 5" xfId="2178" xr:uid="{00000000-0005-0000-0000-00000B060000}"/>
    <cellStyle name="Normal 43 5 2" xfId="5428" xr:uid="{926558F2-9B3D-4CB0-8723-81AA55B577BD}"/>
    <cellStyle name="Normal 43 5 2 2" xfId="8808" xr:uid="{89D0431F-A0DE-441B-81A4-6C82CBE23456}"/>
    <cellStyle name="Normal 43 5 3" xfId="7108" xr:uid="{43A64854-BCD4-42DE-8CDD-C2B2BDED1706}"/>
    <cellStyle name="Normal 43 5_DEO ADIT Unprotected" xfId="3395" xr:uid="{7C1A5DA4-43E2-4E79-898B-829F8D843978}"/>
    <cellStyle name="Normal 43 6" xfId="4591" xr:uid="{E91D691C-D9EB-4C45-A507-155A45AD4480}"/>
    <cellStyle name="Normal 43 6 2" xfId="7971" xr:uid="{1FD1EE2C-AF90-46AA-A62B-C393D7362E1D}"/>
    <cellStyle name="Normal 43 7" xfId="6271" xr:uid="{4BB00E6D-B270-46D4-906C-C2210C73984C}"/>
    <cellStyle name="Normal 43_DEO ADIT Unprotected" xfId="3380" xr:uid="{7C4A8E76-A220-442E-AC47-893A55FA0FEF}"/>
    <cellStyle name="Normal 44" xfId="1270" xr:uid="{00000000-0005-0000-0000-00000C060000}"/>
    <cellStyle name="Normal 44 2" xfId="1271" xr:uid="{00000000-0005-0000-0000-00000D060000}"/>
    <cellStyle name="Normal 44 2 2" xfId="1272" xr:uid="{00000000-0005-0000-0000-00000E060000}"/>
    <cellStyle name="Normal 44 2 2 2" xfId="1273" xr:uid="{00000000-0005-0000-0000-00000F060000}"/>
    <cellStyle name="Normal 44 2 2 2 2" xfId="2189" xr:uid="{00000000-0005-0000-0000-000010060000}"/>
    <cellStyle name="Normal 44 2 2 2 2 2" xfId="5439" xr:uid="{369AD9B6-4B57-4865-8E78-6FEF16C1B01E}"/>
    <cellStyle name="Normal 44 2 2 2 2 2 2" xfId="8819" xr:uid="{0229307F-8FEC-436F-8022-133CA620400D}"/>
    <cellStyle name="Normal 44 2 2 2 2 3" xfId="7119" xr:uid="{55430C3F-535B-4707-B919-53201EAA8F13}"/>
    <cellStyle name="Normal 44 2 2 2 2_DEO ADIT Unprotected" xfId="3400" xr:uid="{E310A4E2-AF49-403B-A16E-DB9E6450780B}"/>
    <cellStyle name="Normal 44 2 2 2 3" xfId="4602" xr:uid="{7A3CAB2F-5B6C-4145-9870-9F38C74C62AD}"/>
    <cellStyle name="Normal 44 2 2 2 3 2" xfId="7982" xr:uid="{396666C9-8EC0-47BB-A7C8-6310690EED02}"/>
    <cellStyle name="Normal 44 2 2 2 4" xfId="6282" xr:uid="{E852B698-3E27-4AEB-A471-AA0E09C2E759}"/>
    <cellStyle name="Normal 44 2 2 2_DEO ADIT Unprotected" xfId="3399" xr:uid="{2004AC2C-4D63-48F9-BA20-F465FBFE0866}"/>
    <cellStyle name="Normal 44 2 2 3" xfId="2188" xr:uid="{00000000-0005-0000-0000-000011060000}"/>
    <cellStyle name="Normal 44 2 2 3 2" xfId="5438" xr:uid="{EB8A4F46-F3BC-4062-B904-7F97826E5EBC}"/>
    <cellStyle name="Normal 44 2 2 3 2 2" xfId="8818" xr:uid="{47EF9A9E-043C-4066-A0C2-F562E9CA569A}"/>
    <cellStyle name="Normal 44 2 2 3 3" xfId="7118" xr:uid="{2235C7FC-333A-45A6-BB26-D039B4702618}"/>
    <cellStyle name="Normal 44 2 2 3_DEO ADIT Unprotected" xfId="3401" xr:uid="{9A829C62-B000-410C-99AF-EC3D3C98FB41}"/>
    <cellStyle name="Normal 44 2 2 4" xfId="4601" xr:uid="{1792527A-C6BD-4E4B-8DCE-64710A34E498}"/>
    <cellStyle name="Normal 44 2 2 4 2" xfId="7981" xr:uid="{407A902D-E86D-4992-A788-A485B34A93BA}"/>
    <cellStyle name="Normal 44 2 2 5" xfId="6281" xr:uid="{DE49840B-8E4C-4147-8C73-0493EAA12814}"/>
    <cellStyle name="Normal 44 2 2_DEO ADIT Unprotected" xfId="3398" xr:uid="{A3913A45-BAF1-4C18-B103-6111390A8C98}"/>
    <cellStyle name="Normal 44 2 3" xfId="1274" xr:uid="{00000000-0005-0000-0000-000012060000}"/>
    <cellStyle name="Normal 44 2 3 2" xfId="2190" xr:uid="{00000000-0005-0000-0000-000013060000}"/>
    <cellStyle name="Normal 44 2 3 2 2" xfId="5440" xr:uid="{B9600DC6-8A80-4950-9FCE-C4C3A19DD570}"/>
    <cellStyle name="Normal 44 2 3 2 2 2" xfId="8820" xr:uid="{E16BF1A4-A44F-42D0-9C73-FA923F48A12D}"/>
    <cellStyle name="Normal 44 2 3 2 3" xfId="7120" xr:uid="{DE1CB9F0-DF8B-4FF9-8A71-802DC1A557B1}"/>
    <cellStyle name="Normal 44 2 3 2_DEO ADIT Unprotected" xfId="3403" xr:uid="{ADC316F9-EA17-4F97-B441-AA70FF9806B7}"/>
    <cellStyle name="Normal 44 2 3 3" xfId="4603" xr:uid="{CF43E967-5023-4AB1-A787-A95EEB8B2EDE}"/>
    <cellStyle name="Normal 44 2 3 3 2" xfId="7983" xr:uid="{189A0F83-F232-4655-9F3D-8D69B156EB44}"/>
    <cellStyle name="Normal 44 2 3 4" xfId="6283" xr:uid="{B7F466A5-F3A3-450B-B42D-6CB68858457E}"/>
    <cellStyle name="Normal 44 2 3_DEO ADIT Unprotected" xfId="3402" xr:uid="{6F5366A8-7EA0-4C2F-BA42-9C72DD829979}"/>
    <cellStyle name="Normal 44 2 4" xfId="2187" xr:uid="{00000000-0005-0000-0000-000014060000}"/>
    <cellStyle name="Normal 44 2 4 2" xfId="5437" xr:uid="{CC0A98F0-5161-4FD7-9212-DF2F49BD79C4}"/>
    <cellStyle name="Normal 44 2 4 2 2" xfId="8817" xr:uid="{15B0EFB8-2D19-41A0-B45A-F154433F723E}"/>
    <cellStyle name="Normal 44 2 4 3" xfId="7117" xr:uid="{B6223BFA-4439-466A-9412-8E44CE5314FF}"/>
    <cellStyle name="Normal 44 2 4_DEO ADIT Unprotected" xfId="3404" xr:uid="{7732E481-A715-4E85-989A-F342933152DC}"/>
    <cellStyle name="Normal 44 2 5" xfId="4600" xr:uid="{CE077581-8A7D-44E4-829C-D394E588B8E6}"/>
    <cellStyle name="Normal 44 2 5 2" xfId="7980" xr:uid="{83AE402C-E14A-41EE-8A3C-FB40B5554ED0}"/>
    <cellStyle name="Normal 44 2 6" xfId="6280" xr:uid="{867A67C5-13CE-4B83-A6A1-5CAF29760ACF}"/>
    <cellStyle name="Normal 44 2_DEO ADIT Unprotected" xfId="3397" xr:uid="{1C3F3AB0-575A-43A9-8350-FC213FE5E70B}"/>
    <cellStyle name="Normal 44 3" xfId="1275" xr:uid="{00000000-0005-0000-0000-000015060000}"/>
    <cellStyle name="Normal 44 3 2" xfId="1276" xr:uid="{00000000-0005-0000-0000-000016060000}"/>
    <cellStyle name="Normal 44 3 2 2" xfId="2192" xr:uid="{00000000-0005-0000-0000-000017060000}"/>
    <cellStyle name="Normal 44 3 2 2 2" xfId="5442" xr:uid="{B5C08B34-33C0-4E72-8B95-29AFA5A03D91}"/>
    <cellStyle name="Normal 44 3 2 2 2 2" xfId="8822" xr:uid="{00567B34-D4F1-4FEF-90FC-EBF6C1AA943A}"/>
    <cellStyle name="Normal 44 3 2 2 3" xfId="7122" xr:uid="{83F1309D-761F-4514-87DB-48E2092777BB}"/>
    <cellStyle name="Normal 44 3 2 2_DEO ADIT Unprotected" xfId="3407" xr:uid="{28612655-C747-4F29-9DFB-249248C74B3D}"/>
    <cellStyle name="Normal 44 3 2 3" xfId="4605" xr:uid="{D6B0B3A6-E8E7-4ADE-B375-6BAE19816AB3}"/>
    <cellStyle name="Normal 44 3 2 3 2" xfId="7985" xr:uid="{F4495EA9-FF16-49C5-A595-86F36768F944}"/>
    <cellStyle name="Normal 44 3 2 4" xfId="6285" xr:uid="{782D914E-BE7A-4AF1-8068-7B85212B7830}"/>
    <cellStyle name="Normal 44 3 2_DEO ADIT Unprotected" xfId="3406" xr:uid="{18D9FDE2-D3EC-4A28-AAD9-E6FFBE3C8217}"/>
    <cellStyle name="Normal 44 3 3" xfId="2191" xr:uid="{00000000-0005-0000-0000-000018060000}"/>
    <cellStyle name="Normal 44 3 3 2" xfId="5441" xr:uid="{126B5E85-94EF-4B49-AC93-4ECAA5B45B81}"/>
    <cellStyle name="Normal 44 3 3 2 2" xfId="8821" xr:uid="{4A37DF19-0827-4633-927F-8E8A8365FB51}"/>
    <cellStyle name="Normal 44 3 3 3" xfId="7121" xr:uid="{449795E5-57CF-4951-A4E3-BECBD9E15D90}"/>
    <cellStyle name="Normal 44 3 3_DEO ADIT Unprotected" xfId="3408" xr:uid="{185EAC01-87B0-4D89-BCC1-31D4B3595843}"/>
    <cellStyle name="Normal 44 3 4" xfId="4604" xr:uid="{AC672E73-082B-4EA5-BAB5-7B7439A05A74}"/>
    <cellStyle name="Normal 44 3 4 2" xfId="7984" xr:uid="{B3D36751-0488-409D-A334-78682AB26532}"/>
    <cellStyle name="Normal 44 3 5" xfId="6284" xr:uid="{9C52324C-9754-4D28-8330-F030517B64F0}"/>
    <cellStyle name="Normal 44 3_DEO ADIT Unprotected" xfId="3405" xr:uid="{341FF12D-AC57-47C5-A55B-081B9D94A873}"/>
    <cellStyle name="Normal 44 4" xfId="1277" xr:uid="{00000000-0005-0000-0000-000019060000}"/>
    <cellStyle name="Normal 44 4 2" xfId="2193" xr:uid="{00000000-0005-0000-0000-00001A060000}"/>
    <cellStyle name="Normal 44 4 2 2" xfId="5443" xr:uid="{9D7E4FBF-F2BB-46E9-AB29-2524125D5084}"/>
    <cellStyle name="Normal 44 4 2 2 2" xfId="8823" xr:uid="{5E8E1586-8729-406F-9BF7-F1485921A5EF}"/>
    <cellStyle name="Normal 44 4 2 3" xfId="7123" xr:uid="{2346267B-E959-433B-B81C-4AF8ED349121}"/>
    <cellStyle name="Normal 44 4 2_DEO ADIT Unprotected" xfId="3410" xr:uid="{B2417483-C763-4595-9B9A-619E9A8F1FD8}"/>
    <cellStyle name="Normal 44 4 3" xfId="4606" xr:uid="{0A73E21E-5C4F-43A9-9E29-1F97309FE785}"/>
    <cellStyle name="Normal 44 4 3 2" xfId="7986" xr:uid="{9941E4CF-2734-43CF-9FE4-B2551B5E4479}"/>
    <cellStyle name="Normal 44 4 4" xfId="6286" xr:uid="{3071EA24-C590-41BA-BA36-11CB6171E001}"/>
    <cellStyle name="Normal 44 4_DEO ADIT Unprotected" xfId="3409" xr:uid="{9C19C5BA-227F-45AA-A1E7-79A15EE993F6}"/>
    <cellStyle name="Normal 44 5" xfId="2186" xr:uid="{00000000-0005-0000-0000-00001B060000}"/>
    <cellStyle name="Normal 44 5 2" xfId="5436" xr:uid="{C891759E-059A-447A-8FE6-2F52F43CD3EE}"/>
    <cellStyle name="Normal 44 5 2 2" xfId="8816" xr:uid="{6A30C7BA-1D3D-43DC-A066-850D6A7760BE}"/>
    <cellStyle name="Normal 44 5 3" xfId="7116" xr:uid="{DBC43BD8-74B8-4024-ACA3-97D05B8A4392}"/>
    <cellStyle name="Normal 44 5_DEO ADIT Unprotected" xfId="3411" xr:uid="{AE9CA1D1-0FFB-4961-90C1-2887FEB81AA0}"/>
    <cellStyle name="Normal 44 6" xfId="4599" xr:uid="{3A570600-299C-4A82-9C19-BC0F3B6B2C86}"/>
    <cellStyle name="Normal 44 6 2" xfId="7979" xr:uid="{4CB00C09-7CB4-4CD6-9663-2AE96AB19FB0}"/>
    <cellStyle name="Normal 44 7" xfId="6279" xr:uid="{595CFCBE-6373-4248-AFAF-E114EF63633B}"/>
    <cellStyle name="Normal 44_DEO ADIT Unprotected" xfId="3396" xr:uid="{F2FD9462-8801-4C2E-9FAE-7FE6D29AC025}"/>
    <cellStyle name="Normal 45" xfId="1278" xr:uid="{00000000-0005-0000-0000-00001C060000}"/>
    <cellStyle name="Normal 45 2" xfId="1279" xr:uid="{00000000-0005-0000-0000-00001D060000}"/>
    <cellStyle name="Normal 45 2 2" xfId="1280" xr:uid="{00000000-0005-0000-0000-00001E060000}"/>
    <cellStyle name="Normal 45 2 2 2" xfId="1281" xr:uid="{00000000-0005-0000-0000-00001F060000}"/>
    <cellStyle name="Normal 45 2 2 2 2" xfId="2197" xr:uid="{00000000-0005-0000-0000-000020060000}"/>
    <cellStyle name="Normal 45 2 2 2 2 2" xfId="5447" xr:uid="{2785A852-EE2D-409C-A1A3-2EC3F0CB282D}"/>
    <cellStyle name="Normal 45 2 2 2 2 2 2" xfId="8827" xr:uid="{A9030B8E-4023-4682-8092-9FF0DA457199}"/>
    <cellStyle name="Normal 45 2 2 2 2 3" xfId="7127" xr:uid="{712AB757-E466-47FB-B4C2-FF5A04EAC681}"/>
    <cellStyle name="Normal 45 2 2 2 2_DEO ADIT Unprotected" xfId="3416" xr:uid="{4016B93C-1912-4603-8A97-E52D754D7224}"/>
    <cellStyle name="Normal 45 2 2 2 3" xfId="4610" xr:uid="{3B774418-9349-4579-A75A-965DA7830AC2}"/>
    <cellStyle name="Normal 45 2 2 2 3 2" xfId="7990" xr:uid="{4A7C4382-AB9C-4FE9-A3DB-7EF9B9DC2431}"/>
    <cellStyle name="Normal 45 2 2 2 4" xfId="6290" xr:uid="{80D74F51-DA0A-45E4-ADFB-E9AAE94205D7}"/>
    <cellStyle name="Normal 45 2 2 2_DEO ADIT Unprotected" xfId="3415" xr:uid="{52391D66-4719-4656-95CF-D2DCCB3F77C6}"/>
    <cellStyle name="Normal 45 2 2 3" xfId="2196" xr:uid="{00000000-0005-0000-0000-000021060000}"/>
    <cellStyle name="Normal 45 2 2 3 2" xfId="5446" xr:uid="{EBE0E2DE-F7A0-4C87-9DC8-1CEA5ACFBB08}"/>
    <cellStyle name="Normal 45 2 2 3 2 2" xfId="8826" xr:uid="{61AACD96-CACE-4952-A7A0-ABDE55F263CB}"/>
    <cellStyle name="Normal 45 2 2 3 3" xfId="7126" xr:uid="{A5E8E521-9701-4F8B-A090-04F94BDB99B8}"/>
    <cellStyle name="Normal 45 2 2 3_DEO ADIT Unprotected" xfId="3417" xr:uid="{5BB789D6-2882-449E-A99D-8C1A9518FB37}"/>
    <cellStyle name="Normal 45 2 2 4" xfId="4609" xr:uid="{EB43D763-615F-46E3-8307-A707B5BD099B}"/>
    <cellStyle name="Normal 45 2 2 4 2" xfId="7989" xr:uid="{52CFA414-4A44-4E80-92C6-17064A58274B}"/>
    <cellStyle name="Normal 45 2 2 5" xfId="6289" xr:uid="{F5E364D4-96BD-4D28-965A-7839E18BFD86}"/>
    <cellStyle name="Normal 45 2 2_DEO ADIT Unprotected" xfId="3414" xr:uid="{46B3A490-9A25-4B5E-9E8C-B57EE63DA8A7}"/>
    <cellStyle name="Normal 45 2 3" xfId="1282" xr:uid="{00000000-0005-0000-0000-000022060000}"/>
    <cellStyle name="Normal 45 2 3 2" xfId="2198" xr:uid="{00000000-0005-0000-0000-000023060000}"/>
    <cellStyle name="Normal 45 2 3 2 2" xfId="5448" xr:uid="{B9C5C90B-BC24-4F67-8774-BC274E7BF375}"/>
    <cellStyle name="Normal 45 2 3 2 2 2" xfId="8828" xr:uid="{BD78AF67-FE4F-468A-9EF0-5356B9301B37}"/>
    <cellStyle name="Normal 45 2 3 2 3" xfId="7128" xr:uid="{C0DFD0FA-96EE-4677-853F-5E34B571C301}"/>
    <cellStyle name="Normal 45 2 3 2_DEO ADIT Unprotected" xfId="3419" xr:uid="{0B89930B-A211-4EE6-A30D-ECD91A916550}"/>
    <cellStyle name="Normal 45 2 3 3" xfId="4611" xr:uid="{C363FB0B-2127-41BE-B089-C9B397DB7083}"/>
    <cellStyle name="Normal 45 2 3 3 2" xfId="7991" xr:uid="{18E8521D-5DD7-47D7-9550-BCBE21407B6A}"/>
    <cellStyle name="Normal 45 2 3 4" xfId="6291" xr:uid="{BC77F27F-E5F6-4F1E-9B03-70A31F3D25C4}"/>
    <cellStyle name="Normal 45 2 3_DEO ADIT Unprotected" xfId="3418" xr:uid="{B9F4ECEE-1A2F-4E28-8B3C-208BE8051E18}"/>
    <cellStyle name="Normal 45 2 4" xfId="2195" xr:uid="{00000000-0005-0000-0000-000024060000}"/>
    <cellStyle name="Normal 45 2 4 2" xfId="5445" xr:uid="{D5C6B6DA-6401-49A4-A607-A994B4BACF0F}"/>
    <cellStyle name="Normal 45 2 4 2 2" xfId="8825" xr:uid="{8B635F49-3F90-4669-94DD-42A0245B7AEB}"/>
    <cellStyle name="Normal 45 2 4 3" xfId="7125" xr:uid="{E2A64F1A-4E2F-4598-B530-2BE7AA9F0391}"/>
    <cellStyle name="Normal 45 2 4_DEO ADIT Unprotected" xfId="3420" xr:uid="{9B4C7708-B3E1-42B7-AED6-ED162116DAC5}"/>
    <cellStyle name="Normal 45 2 5" xfId="4608" xr:uid="{B2338E9E-8156-4587-9389-406BCD0D8492}"/>
    <cellStyle name="Normal 45 2 5 2" xfId="7988" xr:uid="{601AE857-8970-4161-8E57-3DE1D6D688F2}"/>
    <cellStyle name="Normal 45 2 6" xfId="6288" xr:uid="{12CD6807-3C64-419A-8C8A-564ED2D46DC1}"/>
    <cellStyle name="Normal 45 2_DEO ADIT Unprotected" xfId="3413" xr:uid="{07CC0128-D162-4250-A298-78068222C205}"/>
    <cellStyle name="Normal 45 3" xfId="1283" xr:uid="{00000000-0005-0000-0000-000025060000}"/>
    <cellStyle name="Normal 45 3 2" xfId="1284" xr:uid="{00000000-0005-0000-0000-000026060000}"/>
    <cellStyle name="Normal 45 3 2 2" xfId="2200" xr:uid="{00000000-0005-0000-0000-000027060000}"/>
    <cellStyle name="Normal 45 3 2 2 2" xfId="5450" xr:uid="{9DCB0ACC-D041-4326-A839-5096709FA0BC}"/>
    <cellStyle name="Normal 45 3 2 2 2 2" xfId="8830" xr:uid="{8CC0ADFF-4961-44A3-BE38-02CD4FE49E08}"/>
    <cellStyle name="Normal 45 3 2 2 3" xfId="7130" xr:uid="{3E654F5B-FC7B-493A-93B7-9EF781C7DC8E}"/>
    <cellStyle name="Normal 45 3 2 2_DEO ADIT Unprotected" xfId="3423" xr:uid="{86E86C3A-979E-4230-B46C-4BE16A0D8453}"/>
    <cellStyle name="Normal 45 3 2 3" xfId="4613" xr:uid="{69617171-DF7F-4251-A54E-85A8FD15336F}"/>
    <cellStyle name="Normal 45 3 2 3 2" xfId="7993" xr:uid="{816C1D94-1ED1-47E0-94B2-AF5696DD97BB}"/>
    <cellStyle name="Normal 45 3 2 4" xfId="6293" xr:uid="{C3FA07E2-BE7C-4215-93BA-2D3AC31C07C4}"/>
    <cellStyle name="Normal 45 3 2_DEO ADIT Unprotected" xfId="3422" xr:uid="{4EEDEA6E-078E-4EC7-96B2-0124A81ED1C7}"/>
    <cellStyle name="Normal 45 3 3" xfId="2199" xr:uid="{00000000-0005-0000-0000-000028060000}"/>
    <cellStyle name="Normal 45 3 3 2" xfId="5449" xr:uid="{C7FF5BE6-EF94-4865-986E-5D8F1ED15EF4}"/>
    <cellStyle name="Normal 45 3 3 2 2" xfId="8829" xr:uid="{F11608E2-E38E-453D-9EBD-B2286763E561}"/>
    <cellStyle name="Normal 45 3 3 3" xfId="7129" xr:uid="{3CA1E1A7-6ACA-426B-9B2E-7B661D67AB20}"/>
    <cellStyle name="Normal 45 3 3_DEO ADIT Unprotected" xfId="3424" xr:uid="{47BF9406-AC91-4AFB-98CE-68A7527B7E70}"/>
    <cellStyle name="Normal 45 3 4" xfId="4612" xr:uid="{19DD20D9-1E60-4256-980D-2C9D1CDA9C8E}"/>
    <cellStyle name="Normal 45 3 4 2" xfId="7992" xr:uid="{3DDA3AB0-492D-4747-B14B-8CC5F0499E68}"/>
    <cellStyle name="Normal 45 3 5" xfId="6292" xr:uid="{470FE932-B0C9-4988-AAFD-CBD33ED0BFDD}"/>
    <cellStyle name="Normal 45 3_DEO ADIT Unprotected" xfId="3421" xr:uid="{2A64C4C0-9942-489D-8DCA-D09D4D106F9E}"/>
    <cellStyle name="Normal 45 4" xfId="1285" xr:uid="{00000000-0005-0000-0000-000029060000}"/>
    <cellStyle name="Normal 45 4 2" xfId="2201" xr:uid="{00000000-0005-0000-0000-00002A060000}"/>
    <cellStyle name="Normal 45 4 2 2" xfId="5451" xr:uid="{7A250BA3-7B99-4870-8032-B5D47EDCA86C}"/>
    <cellStyle name="Normal 45 4 2 2 2" xfId="8831" xr:uid="{0BFBF5A2-F3A9-4855-BA72-C775E4B69E9C}"/>
    <cellStyle name="Normal 45 4 2 3" xfId="7131" xr:uid="{ABC24E43-CB60-40D4-9616-3017D9F0F23C}"/>
    <cellStyle name="Normal 45 4 2_DEO ADIT Unprotected" xfId="3426" xr:uid="{41435D87-D01F-4DCD-B5E5-83CE5F70D9E0}"/>
    <cellStyle name="Normal 45 4 3" xfId="4614" xr:uid="{7A5CA9BB-9CAB-4738-99E4-83D6C32E3067}"/>
    <cellStyle name="Normal 45 4 3 2" xfId="7994" xr:uid="{7EAC9A0F-926B-471B-82E1-5E258AE87C72}"/>
    <cellStyle name="Normal 45 4 4" xfId="6294" xr:uid="{499426EF-85C3-45BD-B240-0CE0AAFA4A56}"/>
    <cellStyle name="Normal 45 4_DEO ADIT Unprotected" xfId="3425" xr:uid="{3F1F81C4-AB17-4D63-9DE2-1D88CFA42609}"/>
    <cellStyle name="Normal 45 5" xfId="2194" xr:uid="{00000000-0005-0000-0000-00002B060000}"/>
    <cellStyle name="Normal 45 5 2" xfId="5444" xr:uid="{910EE839-144C-437E-9922-9D383B7B4B76}"/>
    <cellStyle name="Normal 45 5 2 2" xfId="8824" xr:uid="{D2EE6F30-F5E8-4F63-A6BD-4F2007B74B04}"/>
    <cellStyle name="Normal 45 5 3" xfId="7124" xr:uid="{8BB32FB3-36CA-46AD-A9A0-1F2A518FAE33}"/>
    <cellStyle name="Normal 45 5_DEO ADIT Unprotected" xfId="3427" xr:uid="{20528C96-B193-4A31-837A-73FAB0F12E1B}"/>
    <cellStyle name="Normal 45 6" xfId="4607" xr:uid="{18268E1B-763A-4D00-89A7-57CBE64C2933}"/>
    <cellStyle name="Normal 45 6 2" xfId="7987" xr:uid="{EC419A4F-75D0-460A-A7BB-223DAE7364B6}"/>
    <cellStyle name="Normal 45 7" xfId="6287" xr:uid="{CAAAD510-EC04-4ABE-9CBE-82C1B5900726}"/>
    <cellStyle name="Normal 45_DEO ADIT Unprotected" xfId="3412" xr:uid="{FAC71E3F-BFB3-4D2B-9A70-67D858143450}"/>
    <cellStyle name="Normal 46" xfId="1286" xr:uid="{00000000-0005-0000-0000-00002C060000}"/>
    <cellStyle name="Normal 46 2" xfId="1287" xr:uid="{00000000-0005-0000-0000-00002D060000}"/>
    <cellStyle name="Normal 46 2 2" xfId="1288" xr:uid="{00000000-0005-0000-0000-00002E060000}"/>
    <cellStyle name="Normal 46 2 2 2" xfId="1289" xr:uid="{00000000-0005-0000-0000-00002F060000}"/>
    <cellStyle name="Normal 46 2 2 2 2" xfId="2205" xr:uid="{00000000-0005-0000-0000-000030060000}"/>
    <cellStyle name="Normal 46 2 2 2 2 2" xfId="5455" xr:uid="{F910FA6A-AB08-4035-9BB7-823024C0114E}"/>
    <cellStyle name="Normal 46 2 2 2 2 2 2" xfId="8835" xr:uid="{2227287E-8064-4112-97E0-230818B8153A}"/>
    <cellStyle name="Normal 46 2 2 2 2 3" xfId="7135" xr:uid="{8BBEC100-E328-4F24-B2E1-42BB7A29A66E}"/>
    <cellStyle name="Normal 46 2 2 2 2_DEO ADIT Unprotected" xfId="3432" xr:uid="{81089D48-C564-4D6D-BD59-F55F6EE8E255}"/>
    <cellStyle name="Normal 46 2 2 2 3" xfId="4618" xr:uid="{3659F066-34E7-4326-AA5C-12232BD1A207}"/>
    <cellStyle name="Normal 46 2 2 2 3 2" xfId="7998" xr:uid="{632B57BD-9E10-4907-8274-7A2854BA187A}"/>
    <cellStyle name="Normal 46 2 2 2 4" xfId="6298" xr:uid="{CCD9392F-611D-4675-9FDE-4A04B85564A7}"/>
    <cellStyle name="Normal 46 2 2 2_DEO ADIT Unprotected" xfId="3431" xr:uid="{1A42A30E-7810-4092-B688-427C58D05385}"/>
    <cellStyle name="Normal 46 2 2 3" xfId="2204" xr:uid="{00000000-0005-0000-0000-000031060000}"/>
    <cellStyle name="Normal 46 2 2 3 2" xfId="5454" xr:uid="{B3AEF573-5336-406D-8C6B-2B00A2960989}"/>
    <cellStyle name="Normal 46 2 2 3 2 2" xfId="8834" xr:uid="{BAA9DB23-065C-4C75-8001-E1697A68B154}"/>
    <cellStyle name="Normal 46 2 2 3 3" xfId="7134" xr:uid="{7BF0CEA4-D60F-49CA-8F33-706ABED48FE4}"/>
    <cellStyle name="Normal 46 2 2 3_DEO ADIT Unprotected" xfId="3433" xr:uid="{65DEB7DC-D77F-495D-9FB6-D5BAC868B70D}"/>
    <cellStyle name="Normal 46 2 2 4" xfId="4617" xr:uid="{B79150E0-AA6D-4803-AC6B-6C217DA28C4C}"/>
    <cellStyle name="Normal 46 2 2 4 2" xfId="7997" xr:uid="{5D41799B-3267-434C-B0E1-5AFD0015E3A3}"/>
    <cellStyle name="Normal 46 2 2 5" xfId="6297" xr:uid="{B1A540F6-E557-4181-A28D-95794CF11218}"/>
    <cellStyle name="Normal 46 2 2_DEO ADIT Unprotected" xfId="3430" xr:uid="{0B339B65-EE9C-4CC1-9CD6-90043A0C21A3}"/>
    <cellStyle name="Normal 46 2 3" xfId="1290" xr:uid="{00000000-0005-0000-0000-000032060000}"/>
    <cellStyle name="Normal 46 2 3 2" xfId="2206" xr:uid="{00000000-0005-0000-0000-000033060000}"/>
    <cellStyle name="Normal 46 2 3 2 2" xfId="5456" xr:uid="{9F895662-05EF-496B-84DF-F605091B5620}"/>
    <cellStyle name="Normal 46 2 3 2 2 2" xfId="8836" xr:uid="{2DF97CDD-3315-4C03-B39A-63AD3AA322E8}"/>
    <cellStyle name="Normal 46 2 3 2 3" xfId="7136" xr:uid="{8C22EE7E-2205-44B0-AC11-51F25D177A32}"/>
    <cellStyle name="Normal 46 2 3 2_DEO ADIT Unprotected" xfId="3435" xr:uid="{A605FE53-EB61-4924-A753-5013CD4F3806}"/>
    <cellStyle name="Normal 46 2 3 3" xfId="4619" xr:uid="{E2284279-56BF-4174-BF49-0192D0C67E7A}"/>
    <cellStyle name="Normal 46 2 3 3 2" xfId="7999" xr:uid="{E78D3F60-1B50-4947-B929-73AD1730E6A3}"/>
    <cellStyle name="Normal 46 2 3 4" xfId="6299" xr:uid="{ADF0D17A-B54B-4F54-8B4F-BDE8AC8C0AEB}"/>
    <cellStyle name="Normal 46 2 3_DEO ADIT Unprotected" xfId="3434" xr:uid="{8D6FD063-26E8-4920-9899-7057F0C1BFF0}"/>
    <cellStyle name="Normal 46 2 4" xfId="2203" xr:uid="{00000000-0005-0000-0000-000034060000}"/>
    <cellStyle name="Normal 46 2 4 2" xfId="5453" xr:uid="{512695A1-CAA4-4FA0-8CBB-0ED8A63EE3B7}"/>
    <cellStyle name="Normal 46 2 4 2 2" xfId="8833" xr:uid="{2D326587-B230-4C51-AECF-49072BC5D0C5}"/>
    <cellStyle name="Normal 46 2 4 3" xfId="7133" xr:uid="{01DCE6F9-0E83-4775-8DDA-36C4A10ACAB8}"/>
    <cellStyle name="Normal 46 2 4_DEO ADIT Unprotected" xfId="3436" xr:uid="{7693E0DE-CC73-4A79-9516-89B56F9B84CD}"/>
    <cellStyle name="Normal 46 2 5" xfId="4616" xr:uid="{B4F0881F-0D6B-4049-B678-3F0A23776DC9}"/>
    <cellStyle name="Normal 46 2 5 2" xfId="7996" xr:uid="{ADF7F2B1-C965-485D-96C3-C788BBEA973A}"/>
    <cellStyle name="Normal 46 2 6" xfId="6296" xr:uid="{84855A48-6372-47B1-B4D7-6A2DA2C53EF6}"/>
    <cellStyle name="Normal 46 2_DEO ADIT Unprotected" xfId="3429" xr:uid="{DEE6E370-C294-4DEE-8A5C-40C5BA0122B3}"/>
    <cellStyle name="Normal 46 3" xfId="1291" xr:uid="{00000000-0005-0000-0000-000035060000}"/>
    <cellStyle name="Normal 46 3 2" xfId="1292" xr:uid="{00000000-0005-0000-0000-000036060000}"/>
    <cellStyle name="Normal 46 3 2 2" xfId="2208" xr:uid="{00000000-0005-0000-0000-000037060000}"/>
    <cellStyle name="Normal 46 3 2 2 2" xfId="5458" xr:uid="{1F30722A-3B2F-48DB-90BD-90B84621D389}"/>
    <cellStyle name="Normal 46 3 2 2 2 2" xfId="8838" xr:uid="{EE9A33D6-6AB3-4BD5-BBA7-CB3AD9068311}"/>
    <cellStyle name="Normal 46 3 2 2 3" xfId="7138" xr:uid="{C1428F30-3E9B-4541-9BD5-B047B6BE2191}"/>
    <cellStyle name="Normal 46 3 2 2_DEO ADIT Unprotected" xfId="3439" xr:uid="{F99733CC-EE49-466C-AEF2-7B6F0F133706}"/>
    <cellStyle name="Normal 46 3 2 3" xfId="4621" xr:uid="{C9F02188-E54E-4FBE-87E0-7EFD61964C0B}"/>
    <cellStyle name="Normal 46 3 2 3 2" xfId="8001" xr:uid="{47B12B43-F018-4390-B61E-E30FF2678096}"/>
    <cellStyle name="Normal 46 3 2 4" xfId="6301" xr:uid="{7D09BD63-0E7B-406D-B20D-E2098C1D8CEB}"/>
    <cellStyle name="Normal 46 3 2_DEO ADIT Unprotected" xfId="3438" xr:uid="{17DCFEA5-EC3E-416A-A50A-25414A309AFE}"/>
    <cellStyle name="Normal 46 3 3" xfId="2207" xr:uid="{00000000-0005-0000-0000-000038060000}"/>
    <cellStyle name="Normal 46 3 3 2" xfId="5457" xr:uid="{C128F6B1-1BD0-442D-B97E-5C520CD42FB7}"/>
    <cellStyle name="Normal 46 3 3 2 2" xfId="8837" xr:uid="{0316E8D7-9CAF-438E-9FAF-FD2945B1E54C}"/>
    <cellStyle name="Normal 46 3 3 3" xfId="7137" xr:uid="{4FE0F01F-906C-4200-8558-40B18F52AA78}"/>
    <cellStyle name="Normal 46 3 3_DEO ADIT Unprotected" xfId="3440" xr:uid="{1E1BFC05-E0A8-43ED-8EB5-78B727F4DFC5}"/>
    <cellStyle name="Normal 46 3 4" xfId="4620" xr:uid="{FBEE55D7-4148-46EE-913E-ED52F06341F0}"/>
    <cellStyle name="Normal 46 3 4 2" xfId="8000" xr:uid="{57D33D73-E6B7-4B0A-A704-5B118F4CA67D}"/>
    <cellStyle name="Normal 46 3 5" xfId="6300" xr:uid="{0F09121B-46A0-4DE7-8167-78254C63DDC4}"/>
    <cellStyle name="Normal 46 3_DEO ADIT Unprotected" xfId="3437" xr:uid="{405289A4-F6A8-4BB9-BDF8-38E29B9F9BEB}"/>
    <cellStyle name="Normal 46 4" xfId="1293" xr:uid="{00000000-0005-0000-0000-000039060000}"/>
    <cellStyle name="Normal 46 4 2" xfId="2209" xr:uid="{00000000-0005-0000-0000-00003A060000}"/>
    <cellStyle name="Normal 46 4 2 2" xfId="5459" xr:uid="{0A250F24-C8CE-43BD-9A1C-E7BDB067E105}"/>
    <cellStyle name="Normal 46 4 2 2 2" xfId="8839" xr:uid="{60F3ED07-C520-4124-B627-C264DF7121E9}"/>
    <cellStyle name="Normal 46 4 2 3" xfId="7139" xr:uid="{2F729CD7-B70C-4718-B4A1-5A5CC3C666F8}"/>
    <cellStyle name="Normal 46 4 2_DEO ADIT Unprotected" xfId="3442" xr:uid="{2F14D511-973F-49B5-8FCF-60E5810742D5}"/>
    <cellStyle name="Normal 46 4 3" xfId="4622" xr:uid="{CE734787-72DD-4A6B-A0CE-83101A404429}"/>
    <cellStyle name="Normal 46 4 3 2" xfId="8002" xr:uid="{F6F34963-EE53-441B-A5D3-696D3EAD9472}"/>
    <cellStyle name="Normal 46 4 4" xfId="6302" xr:uid="{F50DF613-B4B6-4C83-B8BB-8019EB197FEE}"/>
    <cellStyle name="Normal 46 4_DEO ADIT Unprotected" xfId="3441" xr:uid="{4DB97C9A-4959-44CC-BB54-959D031B4081}"/>
    <cellStyle name="Normal 46 5" xfId="2202" xr:uid="{00000000-0005-0000-0000-00003B060000}"/>
    <cellStyle name="Normal 46 5 2" xfId="5452" xr:uid="{F54A6587-1D41-43FC-B7EF-C59D378D33B1}"/>
    <cellStyle name="Normal 46 5 2 2" xfId="8832" xr:uid="{DEE4CF42-6654-4D4D-9246-E7CC8DC6FB5E}"/>
    <cellStyle name="Normal 46 5 3" xfId="7132" xr:uid="{D49BB6CE-61F0-4653-A368-041DB5CF68F0}"/>
    <cellStyle name="Normal 46 5_DEO ADIT Unprotected" xfId="3443" xr:uid="{AB8077E7-49C4-454A-BAC8-BBF22EADC722}"/>
    <cellStyle name="Normal 46 6" xfId="4615" xr:uid="{E5E24A59-4E50-41EB-ABAB-91857A56FF17}"/>
    <cellStyle name="Normal 46 6 2" xfId="7995" xr:uid="{9E9B08EF-8830-43FE-97BD-481465D376D0}"/>
    <cellStyle name="Normal 46 7" xfId="6295" xr:uid="{D8B34924-04E7-498F-91B8-E58F21CA578F}"/>
    <cellStyle name="Normal 46_DEO ADIT Unprotected" xfId="3428" xr:uid="{52B51C64-03AF-4FB6-B7C5-2BB92B720CB2}"/>
    <cellStyle name="Normal 47" xfId="1294" xr:uid="{00000000-0005-0000-0000-00003C060000}"/>
    <cellStyle name="Normal 47 2" xfId="1295" xr:uid="{00000000-0005-0000-0000-00003D060000}"/>
    <cellStyle name="Normal 47 2 2" xfId="1296" xr:uid="{00000000-0005-0000-0000-00003E060000}"/>
    <cellStyle name="Normal 47 2 2 2" xfId="1297" xr:uid="{00000000-0005-0000-0000-00003F060000}"/>
    <cellStyle name="Normal 47 2 2 2 2" xfId="2213" xr:uid="{00000000-0005-0000-0000-000040060000}"/>
    <cellStyle name="Normal 47 2 2 2 2 2" xfId="5463" xr:uid="{36296FF6-A7B6-486A-BBD8-E09664E65951}"/>
    <cellStyle name="Normal 47 2 2 2 2 2 2" xfId="8843" xr:uid="{7F54A570-CB99-41AA-8369-A6A1D906BC62}"/>
    <cellStyle name="Normal 47 2 2 2 2 3" xfId="7143" xr:uid="{4BD862E8-716E-490D-8E84-C81B238F4C05}"/>
    <cellStyle name="Normal 47 2 2 2 2_DEO ADIT Unprotected" xfId="3448" xr:uid="{7A45EDAA-0E4E-46F1-AACD-CCC0718C1C63}"/>
    <cellStyle name="Normal 47 2 2 2 3" xfId="4626" xr:uid="{A792F894-B9DB-4FE7-93B7-B74F36756F64}"/>
    <cellStyle name="Normal 47 2 2 2 3 2" xfId="8006" xr:uid="{FE4163FC-0A0A-4ADF-98BE-5F4DEDA37C95}"/>
    <cellStyle name="Normal 47 2 2 2 4" xfId="6306" xr:uid="{4D2F7B0D-71EF-4488-8E22-607AE8220F71}"/>
    <cellStyle name="Normal 47 2 2 2_DEO ADIT Unprotected" xfId="3447" xr:uid="{F07C0E53-2652-4D19-85C7-C735CD9BB8B8}"/>
    <cellStyle name="Normal 47 2 2 3" xfId="2212" xr:uid="{00000000-0005-0000-0000-000041060000}"/>
    <cellStyle name="Normal 47 2 2 3 2" xfId="5462" xr:uid="{9DFC5441-1240-48C4-B35C-C7DF920DA7F2}"/>
    <cellStyle name="Normal 47 2 2 3 2 2" xfId="8842" xr:uid="{61F915AD-8ADD-45A1-8464-223663738A26}"/>
    <cellStyle name="Normal 47 2 2 3 3" xfId="7142" xr:uid="{AD9E3FB1-DB14-4D17-B7A2-A745B3359233}"/>
    <cellStyle name="Normal 47 2 2 3_DEO ADIT Unprotected" xfId="3449" xr:uid="{B5CD4E4D-68BC-483C-B564-FB91F67C9C18}"/>
    <cellStyle name="Normal 47 2 2 4" xfId="4625" xr:uid="{CE0D24D3-7BAA-4427-BAEA-41D92D9441CD}"/>
    <cellStyle name="Normal 47 2 2 4 2" xfId="8005" xr:uid="{A2A8D9EC-4B16-4523-AB90-1237632A5E31}"/>
    <cellStyle name="Normal 47 2 2 5" xfId="6305" xr:uid="{97DFA2F2-23DA-495B-AB1B-3B86516910BF}"/>
    <cellStyle name="Normal 47 2 2_DEO ADIT Unprotected" xfId="3446" xr:uid="{B7F0B03F-4399-44A4-AFAA-F9FA5BCC6433}"/>
    <cellStyle name="Normal 47 2 3" xfId="1298" xr:uid="{00000000-0005-0000-0000-000042060000}"/>
    <cellStyle name="Normal 47 2 3 2" xfId="2214" xr:uid="{00000000-0005-0000-0000-000043060000}"/>
    <cellStyle name="Normal 47 2 3 2 2" xfId="5464" xr:uid="{39912CFF-6D5E-4504-A8FC-97C822CFEDD8}"/>
    <cellStyle name="Normal 47 2 3 2 2 2" xfId="8844" xr:uid="{36E1A8E0-918F-478B-B9C5-8520AC8E004A}"/>
    <cellStyle name="Normal 47 2 3 2 3" xfId="7144" xr:uid="{F306CD85-235F-4A75-BD9C-2E97BB84E406}"/>
    <cellStyle name="Normal 47 2 3 2_DEO ADIT Unprotected" xfId="3451" xr:uid="{5968AB03-ECA7-4F9A-9CD0-65D8FB9CD575}"/>
    <cellStyle name="Normal 47 2 3 3" xfId="4627" xr:uid="{937A7149-8D86-407B-98AA-CC9FBCD0198E}"/>
    <cellStyle name="Normal 47 2 3 3 2" xfId="8007" xr:uid="{D677CB55-4567-4E55-9907-8BB7300CE1B1}"/>
    <cellStyle name="Normal 47 2 3 4" xfId="6307" xr:uid="{8F0E5D06-026C-4058-BD2A-EB4723552747}"/>
    <cellStyle name="Normal 47 2 3_DEO ADIT Unprotected" xfId="3450" xr:uid="{0EB59148-702E-401B-9248-5D138EC1DB43}"/>
    <cellStyle name="Normal 47 2 4" xfId="2211" xr:uid="{00000000-0005-0000-0000-000044060000}"/>
    <cellStyle name="Normal 47 2 4 2" xfId="5461" xr:uid="{74713941-AB2B-4044-A4E2-EF34AB12C245}"/>
    <cellStyle name="Normal 47 2 4 2 2" xfId="8841" xr:uid="{3C3999C7-3A0E-475F-8C1E-E227A9FAD6B4}"/>
    <cellStyle name="Normal 47 2 4 3" xfId="7141" xr:uid="{D2DD578B-6D52-4CD5-A6E3-87244D31DAAA}"/>
    <cellStyle name="Normal 47 2 4_DEO ADIT Unprotected" xfId="3452" xr:uid="{AA0EF347-FE71-445E-BD4F-37AF6F8F9E83}"/>
    <cellStyle name="Normal 47 2 5" xfId="4624" xr:uid="{3A8887C0-740A-476D-AFBE-1B266D68C7AC}"/>
    <cellStyle name="Normal 47 2 5 2" xfId="8004" xr:uid="{E2027407-B330-4CB5-9779-2C6BE5470884}"/>
    <cellStyle name="Normal 47 2 6" xfId="6304" xr:uid="{F7CDF74C-1917-4E26-AC80-410B5E05E888}"/>
    <cellStyle name="Normal 47 2_DEO ADIT Unprotected" xfId="3445" xr:uid="{C0082314-890B-4479-BAEC-3891189F2AF8}"/>
    <cellStyle name="Normal 47 3" xfId="1299" xr:uid="{00000000-0005-0000-0000-000045060000}"/>
    <cellStyle name="Normal 47 3 2" xfId="1300" xr:uid="{00000000-0005-0000-0000-000046060000}"/>
    <cellStyle name="Normal 47 3 2 2" xfId="2216" xr:uid="{00000000-0005-0000-0000-000047060000}"/>
    <cellStyle name="Normal 47 3 2 2 2" xfId="5466" xr:uid="{645617F6-A9D1-4769-8102-876BC4DF2DB9}"/>
    <cellStyle name="Normal 47 3 2 2 2 2" xfId="8846" xr:uid="{5B0EEAE1-AA52-40DC-8D28-4DF06DF6AAD4}"/>
    <cellStyle name="Normal 47 3 2 2 3" xfId="7146" xr:uid="{62CE12A4-F838-4BF9-ABB4-765ADDEF7082}"/>
    <cellStyle name="Normal 47 3 2 2_DEO ADIT Unprotected" xfId="3455" xr:uid="{7F296920-9DB1-46E9-952E-A9B9D4F9B4B8}"/>
    <cellStyle name="Normal 47 3 2 3" xfId="4629" xr:uid="{4208E1BD-5163-4067-B6E5-2E6235B002C5}"/>
    <cellStyle name="Normal 47 3 2 3 2" xfId="8009" xr:uid="{3F8E39CD-B188-4ADF-9DC3-A1F2121B06A2}"/>
    <cellStyle name="Normal 47 3 2 4" xfId="6309" xr:uid="{C2874DF1-4869-4CE1-8FB4-4FDB120494A8}"/>
    <cellStyle name="Normal 47 3 2_DEO ADIT Unprotected" xfId="3454" xr:uid="{58DB7097-7C7B-42FD-89EC-64605CCE20A1}"/>
    <cellStyle name="Normal 47 3 3" xfId="2215" xr:uid="{00000000-0005-0000-0000-000048060000}"/>
    <cellStyle name="Normal 47 3 3 2" xfId="5465" xr:uid="{4DD5FEDC-DC76-450A-AEAF-76A2A211AABD}"/>
    <cellStyle name="Normal 47 3 3 2 2" xfId="8845" xr:uid="{BFBA762E-8C36-450D-9B2D-4369CCCACD03}"/>
    <cellStyle name="Normal 47 3 3 3" xfId="7145" xr:uid="{E62AA9B1-B842-4242-A83C-24B221163A62}"/>
    <cellStyle name="Normal 47 3 3_DEO ADIT Unprotected" xfId="3456" xr:uid="{B62A7756-6C8C-4D34-B658-27A00BB9C24A}"/>
    <cellStyle name="Normal 47 3 4" xfId="4628" xr:uid="{74185192-A24F-4B02-8033-321F7369C8D7}"/>
    <cellStyle name="Normal 47 3 4 2" xfId="8008" xr:uid="{BA27349F-0F0E-4460-A092-9A420FB408C4}"/>
    <cellStyle name="Normal 47 3 5" xfId="6308" xr:uid="{37C16EFF-25E8-458B-ADDE-8D38AA2AEBE9}"/>
    <cellStyle name="Normal 47 3_DEO ADIT Unprotected" xfId="3453" xr:uid="{CF4B5099-D5E7-4C38-8BDE-71C130F622C8}"/>
    <cellStyle name="Normal 47 4" xfId="1301" xr:uid="{00000000-0005-0000-0000-000049060000}"/>
    <cellStyle name="Normal 47 4 2" xfId="2217" xr:uid="{00000000-0005-0000-0000-00004A060000}"/>
    <cellStyle name="Normal 47 4 2 2" xfId="5467" xr:uid="{BA9D9863-F307-4125-9B6D-E3F583AF8E8A}"/>
    <cellStyle name="Normal 47 4 2 2 2" xfId="8847" xr:uid="{9626A4FC-C55F-4CB6-B3A0-3EF168DDC8B6}"/>
    <cellStyle name="Normal 47 4 2 3" xfId="7147" xr:uid="{1CA74DE9-10B3-44FB-B367-E12A9FB20D0C}"/>
    <cellStyle name="Normal 47 4 2_DEO ADIT Unprotected" xfId="3458" xr:uid="{7D471567-3EB9-449D-A7F8-E64F91EB18F2}"/>
    <cellStyle name="Normal 47 4 3" xfId="4630" xr:uid="{D5837ED5-7202-4177-AA26-89FDA609E009}"/>
    <cellStyle name="Normal 47 4 3 2" xfId="8010" xr:uid="{D72A2D76-EF3D-4E72-A39D-A88C99120662}"/>
    <cellStyle name="Normal 47 4 4" xfId="6310" xr:uid="{810F7063-09F8-4BF1-87ED-A071D5F25C3D}"/>
    <cellStyle name="Normal 47 4_DEO ADIT Unprotected" xfId="3457" xr:uid="{7AA72CC7-4464-472A-8A98-1177D6DBE77A}"/>
    <cellStyle name="Normal 47 5" xfId="2210" xr:uid="{00000000-0005-0000-0000-00004B060000}"/>
    <cellStyle name="Normal 47 5 2" xfId="5460" xr:uid="{31DA4CD4-29B8-4032-9325-04DA7ABF150E}"/>
    <cellStyle name="Normal 47 5 2 2" xfId="8840" xr:uid="{BADDE7D4-F45C-40D6-B107-0ACB1A543F77}"/>
    <cellStyle name="Normal 47 5 3" xfId="7140" xr:uid="{925A55FD-669D-420E-936B-B002A13CC383}"/>
    <cellStyle name="Normal 47 5_DEO ADIT Unprotected" xfId="3459" xr:uid="{555A96C2-F606-4A1B-8F7D-A54BC3AF4AD3}"/>
    <cellStyle name="Normal 47 6" xfId="4623" xr:uid="{2E38580F-FB92-4F64-8627-A68A38FB9B05}"/>
    <cellStyle name="Normal 47 6 2" xfId="8003" xr:uid="{F3DC237A-4DC9-410F-A5E4-9501EB120165}"/>
    <cellStyle name="Normal 47 7" xfId="6303" xr:uid="{932147D7-C9CD-4354-BF52-DF98F6671A54}"/>
    <cellStyle name="Normal 47_DEO ADIT Unprotected" xfId="3444" xr:uid="{A30F42DA-6F63-4DCB-BB09-EC76958D5C99}"/>
    <cellStyle name="Normal 48" xfId="1302" xr:uid="{00000000-0005-0000-0000-00004C060000}"/>
    <cellStyle name="Normal 48 2" xfId="1303" xr:uid="{00000000-0005-0000-0000-00004D060000}"/>
    <cellStyle name="Normal 48 2 2" xfId="1304" xr:uid="{00000000-0005-0000-0000-00004E060000}"/>
    <cellStyle name="Normal 48 2 2 2" xfId="1305" xr:uid="{00000000-0005-0000-0000-00004F060000}"/>
    <cellStyle name="Normal 48 2 2 2 2" xfId="2221" xr:uid="{00000000-0005-0000-0000-000050060000}"/>
    <cellStyle name="Normal 48 2 2 2 2 2" xfId="5471" xr:uid="{169D440A-FA28-48A1-B075-EDBD0AAC5EE0}"/>
    <cellStyle name="Normal 48 2 2 2 2 2 2" xfId="8851" xr:uid="{393733BB-58F3-4D12-9D7F-F6AE1F8771FA}"/>
    <cellStyle name="Normal 48 2 2 2 2 3" xfId="7151" xr:uid="{F16FC50D-0351-4AEA-8949-20565763D44A}"/>
    <cellStyle name="Normal 48 2 2 2 2_DEO ADIT Unprotected" xfId="3464" xr:uid="{00AB292E-EB1A-4DFC-B4DE-335CD203844E}"/>
    <cellStyle name="Normal 48 2 2 2 3" xfId="4634" xr:uid="{79EB2300-EED5-498A-BEDF-3FBE59C09067}"/>
    <cellStyle name="Normal 48 2 2 2 3 2" xfId="8014" xr:uid="{24D2CDC7-5A0F-465F-A1AF-35FDE508A6EA}"/>
    <cellStyle name="Normal 48 2 2 2 4" xfId="6314" xr:uid="{83E10814-D225-4DFA-99A9-99F2722DF385}"/>
    <cellStyle name="Normal 48 2 2 2_DEO ADIT Unprotected" xfId="3463" xr:uid="{CE27CB1E-D25F-4789-B777-B807E8305901}"/>
    <cellStyle name="Normal 48 2 2 3" xfId="2220" xr:uid="{00000000-0005-0000-0000-000051060000}"/>
    <cellStyle name="Normal 48 2 2 3 2" xfId="5470" xr:uid="{EBD7B23A-C146-4C26-8E65-BFB4864B5368}"/>
    <cellStyle name="Normal 48 2 2 3 2 2" xfId="8850" xr:uid="{9E7202A4-6B6A-4937-B010-26F3E45837CF}"/>
    <cellStyle name="Normal 48 2 2 3 3" xfId="7150" xr:uid="{012935D1-097F-4655-9C86-3B0EE40E8B66}"/>
    <cellStyle name="Normal 48 2 2 3_DEO ADIT Unprotected" xfId="3465" xr:uid="{9262DE58-BB1E-4804-BB37-AC4DDAC51993}"/>
    <cellStyle name="Normal 48 2 2 4" xfId="4633" xr:uid="{9B9F6284-AB66-47BB-8246-EE18570FE021}"/>
    <cellStyle name="Normal 48 2 2 4 2" xfId="8013" xr:uid="{98C21C3D-0128-44B3-9EDF-6ED9C5351638}"/>
    <cellStyle name="Normal 48 2 2 5" xfId="6313" xr:uid="{1BD598A5-7065-425E-9281-23A0D727AEBA}"/>
    <cellStyle name="Normal 48 2 2_DEO ADIT Unprotected" xfId="3462" xr:uid="{EEAFA062-44D6-4B64-82EF-1D54596524C4}"/>
    <cellStyle name="Normal 48 2 3" xfId="1306" xr:uid="{00000000-0005-0000-0000-000052060000}"/>
    <cellStyle name="Normal 48 2 3 2" xfId="2222" xr:uid="{00000000-0005-0000-0000-000053060000}"/>
    <cellStyle name="Normal 48 2 3 2 2" xfId="5472" xr:uid="{003AB75B-FFF5-4254-A20B-BF9B22F494D8}"/>
    <cellStyle name="Normal 48 2 3 2 2 2" xfId="8852" xr:uid="{81D6719A-6266-4A93-835A-047C6890D80A}"/>
    <cellStyle name="Normal 48 2 3 2 3" xfId="7152" xr:uid="{18DAABAA-A458-459D-B861-63628E0B57D1}"/>
    <cellStyle name="Normal 48 2 3 2_DEO ADIT Unprotected" xfId="3467" xr:uid="{4DD5C506-C3D3-4B2A-8140-4E4DF162E7F9}"/>
    <cellStyle name="Normal 48 2 3 3" xfId="4635" xr:uid="{FBFD6487-C4FC-4F06-BEED-1CBD95BC08FC}"/>
    <cellStyle name="Normal 48 2 3 3 2" xfId="8015" xr:uid="{BB88C596-99F6-41D6-BE8D-3F619E053641}"/>
    <cellStyle name="Normal 48 2 3 4" xfId="6315" xr:uid="{AF815A0C-4563-4518-9FC8-05BAFE5BF038}"/>
    <cellStyle name="Normal 48 2 3_DEO ADIT Unprotected" xfId="3466" xr:uid="{E38902C5-F433-4CE3-BD5D-5575ED439EB1}"/>
    <cellStyle name="Normal 48 2 4" xfId="2219" xr:uid="{00000000-0005-0000-0000-000054060000}"/>
    <cellStyle name="Normal 48 2 4 2" xfId="5469" xr:uid="{5587D898-16F5-4F96-A6D8-2EEF5A50BD03}"/>
    <cellStyle name="Normal 48 2 4 2 2" xfId="8849" xr:uid="{E2725BE7-AF8B-48B2-9644-7CB15B543B83}"/>
    <cellStyle name="Normal 48 2 4 3" xfId="7149" xr:uid="{9F5480EE-93CF-4390-B0C0-DAA6C5E11064}"/>
    <cellStyle name="Normal 48 2 4_DEO ADIT Unprotected" xfId="3468" xr:uid="{69CA6595-6882-4C14-BA76-15976152C173}"/>
    <cellStyle name="Normal 48 2 5" xfId="4632" xr:uid="{D2C6D25B-7269-4281-B649-8F3771EDE2EF}"/>
    <cellStyle name="Normal 48 2 5 2" xfId="8012" xr:uid="{D2354A9A-C4C3-4516-A9EA-42C5E375D65A}"/>
    <cellStyle name="Normal 48 2 6" xfId="6312" xr:uid="{BA09487E-9A03-449D-AE76-B16352E63AB2}"/>
    <cellStyle name="Normal 48 2_DEO ADIT Unprotected" xfId="3461" xr:uid="{4D4E1235-A5A7-4199-8A09-FA29886F1974}"/>
    <cellStyle name="Normal 48 3" xfId="1307" xr:uid="{00000000-0005-0000-0000-000055060000}"/>
    <cellStyle name="Normal 48 3 2" xfId="1308" xr:uid="{00000000-0005-0000-0000-000056060000}"/>
    <cellStyle name="Normal 48 3 2 2" xfId="2224" xr:uid="{00000000-0005-0000-0000-000057060000}"/>
    <cellStyle name="Normal 48 3 2 2 2" xfId="5474" xr:uid="{AFD28D7A-D9D3-4795-B78A-3DDEDF4BEB4F}"/>
    <cellStyle name="Normal 48 3 2 2 2 2" xfId="8854" xr:uid="{2646809C-1BF2-4308-A28B-8FB52F06603C}"/>
    <cellStyle name="Normal 48 3 2 2 3" xfId="7154" xr:uid="{1FDF5ACC-B07E-48C3-9708-A755BADDE43A}"/>
    <cellStyle name="Normal 48 3 2 2_DEO ADIT Unprotected" xfId="3471" xr:uid="{828851C8-08C6-4C90-9EA8-BF6B054B7F5F}"/>
    <cellStyle name="Normal 48 3 2 3" xfId="4637" xr:uid="{2865FA3A-649E-47A9-90D4-144D18BA1EF4}"/>
    <cellStyle name="Normal 48 3 2 3 2" xfId="8017" xr:uid="{0EC5FBFF-26D9-47AC-90D3-3663AAB9943C}"/>
    <cellStyle name="Normal 48 3 2 4" xfId="6317" xr:uid="{58FBFE64-47E3-4AC0-9635-CFFABC482A47}"/>
    <cellStyle name="Normal 48 3 2_DEO ADIT Unprotected" xfId="3470" xr:uid="{4A212547-9C9F-4293-BCAF-FEA24C06ADA3}"/>
    <cellStyle name="Normal 48 3 3" xfId="2223" xr:uid="{00000000-0005-0000-0000-000058060000}"/>
    <cellStyle name="Normal 48 3 3 2" xfId="5473" xr:uid="{BD45DD53-3AFF-4020-BC5D-EE11DF2081C3}"/>
    <cellStyle name="Normal 48 3 3 2 2" xfId="8853" xr:uid="{DD850A5E-AAFE-40F1-8CE3-BCA15267A03C}"/>
    <cellStyle name="Normal 48 3 3 3" xfId="7153" xr:uid="{6870C58F-8851-4C4D-A285-2A7799C21AA3}"/>
    <cellStyle name="Normal 48 3 3_DEO ADIT Unprotected" xfId="3472" xr:uid="{45F92EC2-AE15-4D91-BC60-F0875EEF1153}"/>
    <cellStyle name="Normal 48 3 4" xfId="4636" xr:uid="{2FB403BA-AB9C-4974-A78A-457CAF0C94F0}"/>
    <cellStyle name="Normal 48 3 4 2" xfId="8016" xr:uid="{EE816883-D464-4693-9203-33B29B9B238A}"/>
    <cellStyle name="Normal 48 3 5" xfId="6316" xr:uid="{70E34DA5-32D6-4444-B9B0-1A42E03541D3}"/>
    <cellStyle name="Normal 48 3_DEO ADIT Unprotected" xfId="3469" xr:uid="{35DA8B90-5FE7-449D-A6D8-7403A191AB5B}"/>
    <cellStyle name="Normal 48 4" xfId="1309" xr:uid="{00000000-0005-0000-0000-000059060000}"/>
    <cellStyle name="Normal 48 4 2" xfId="2225" xr:uid="{00000000-0005-0000-0000-00005A060000}"/>
    <cellStyle name="Normal 48 4 2 2" xfId="5475" xr:uid="{C7770CF3-958F-468F-B7B1-85B4C1B0D4CB}"/>
    <cellStyle name="Normal 48 4 2 2 2" xfId="8855" xr:uid="{F539E7AD-A43F-44DC-A627-1D6B1485C246}"/>
    <cellStyle name="Normal 48 4 2 3" xfId="7155" xr:uid="{E48ED5D1-9152-426E-8D72-1C259AF8EDDF}"/>
    <cellStyle name="Normal 48 4 2_DEO ADIT Unprotected" xfId="3474" xr:uid="{ADD2D6A7-464B-4704-A4BC-3D6CB58AA0AF}"/>
    <cellStyle name="Normal 48 4 3" xfId="4638" xr:uid="{215FB128-8194-458A-BF2A-CE02678795CC}"/>
    <cellStyle name="Normal 48 4 3 2" xfId="8018" xr:uid="{15BF030F-5D60-4462-939E-19A9A2977B35}"/>
    <cellStyle name="Normal 48 4 4" xfId="6318" xr:uid="{1070A26D-BC4A-4AD3-8321-884232FDC8A3}"/>
    <cellStyle name="Normal 48 4_DEO ADIT Unprotected" xfId="3473" xr:uid="{8CE5C865-EC06-4FBA-B594-09D74B137ACA}"/>
    <cellStyle name="Normal 48 5" xfId="2218" xr:uid="{00000000-0005-0000-0000-00005B060000}"/>
    <cellStyle name="Normal 48 5 2" xfId="5468" xr:uid="{911AE107-0CA7-43BE-8E74-28CF574D8605}"/>
    <cellStyle name="Normal 48 5 2 2" xfId="8848" xr:uid="{86F0C647-307E-4D2D-83C5-6413A4191FDB}"/>
    <cellStyle name="Normal 48 5 3" xfId="7148" xr:uid="{D560DCD7-7277-4EC9-B4C5-C946DFFEBF80}"/>
    <cellStyle name="Normal 48 5_DEO ADIT Unprotected" xfId="3475" xr:uid="{BB18A90A-5155-4882-81E6-CA3C1BBE195E}"/>
    <cellStyle name="Normal 48 6" xfId="4631" xr:uid="{C5CD6C12-00B6-4F3C-93E8-F60D9148F038}"/>
    <cellStyle name="Normal 48 6 2" xfId="8011" xr:uid="{8DA19618-2EFB-4DF0-8935-73E0C117B29A}"/>
    <cellStyle name="Normal 48 7" xfId="6311" xr:uid="{F51EA807-B2BA-4371-9568-1778263C824B}"/>
    <cellStyle name="Normal 48_DEO ADIT Unprotected" xfId="3460" xr:uid="{1EC81AEA-AB3E-4488-A673-45C6F099330D}"/>
    <cellStyle name="Normal 49" xfId="1310" xr:uid="{00000000-0005-0000-0000-00005C060000}"/>
    <cellStyle name="Normal 49 2" xfId="1311" xr:uid="{00000000-0005-0000-0000-00005D060000}"/>
    <cellStyle name="Normal 5" xfId="182" xr:uid="{00000000-0005-0000-0000-00005E060000}"/>
    <cellStyle name="Normal 5 2" xfId="1312" xr:uid="{00000000-0005-0000-0000-00005F060000}"/>
    <cellStyle name="Normal 5 2 2" xfId="1313" xr:uid="{00000000-0005-0000-0000-000060060000}"/>
    <cellStyle name="Normal 5 2 2 2" xfId="1314" xr:uid="{00000000-0005-0000-0000-000061060000}"/>
    <cellStyle name="Normal 5 2 2 2 2" xfId="2228" xr:uid="{00000000-0005-0000-0000-000062060000}"/>
    <cellStyle name="Normal 5 2 2 2 2 2" xfId="5478" xr:uid="{CEF5C6A5-3B13-4DED-B6E9-3489B41ADD2D}"/>
    <cellStyle name="Normal 5 2 2 2 2 2 2" xfId="8858" xr:uid="{7F9AB89A-8EB4-4B5F-8176-3269B082A2B8}"/>
    <cellStyle name="Normal 5 2 2 2 2 3" xfId="7158" xr:uid="{98EBD1FA-39FF-4FF2-88F4-C0445275C619}"/>
    <cellStyle name="Normal 5 2 2 2 2_DEO ADIT Unprotected" xfId="3480" xr:uid="{9AE007A5-1C64-44A6-8205-7A9DFF3C97B9}"/>
    <cellStyle name="Normal 5 2 2 2 3" xfId="4641" xr:uid="{6F5E6650-6982-41E2-B6B2-4DB8580EFE7D}"/>
    <cellStyle name="Normal 5 2 2 2 3 2" xfId="8021" xr:uid="{021FAD2C-DE6F-4462-ACC1-A339EF068832}"/>
    <cellStyle name="Normal 5 2 2 2 4" xfId="6321" xr:uid="{155BB5B3-3C3E-4C6E-BEE3-7975923F3B43}"/>
    <cellStyle name="Normal 5 2 2 2_DEO ADIT Unprotected" xfId="3479" xr:uid="{FA40D082-2D66-4470-AA52-93D8671F88C1}"/>
    <cellStyle name="Normal 5 2 2 3" xfId="2227" xr:uid="{00000000-0005-0000-0000-000063060000}"/>
    <cellStyle name="Normal 5 2 2 3 2" xfId="5477" xr:uid="{F9894172-3C58-4EBA-AB1A-A5444435F673}"/>
    <cellStyle name="Normal 5 2 2 3 2 2" xfId="8857" xr:uid="{06792750-996B-44C1-8572-6B5A90768AB4}"/>
    <cellStyle name="Normal 5 2 2 3 3" xfId="7157" xr:uid="{DFA21FEF-A64D-4B26-8A62-B1F8A7632224}"/>
    <cellStyle name="Normal 5 2 2 3_DEO ADIT Unprotected" xfId="3481" xr:uid="{469833C7-D96A-4E44-82C6-A1899069F4C4}"/>
    <cellStyle name="Normal 5 2 2 4" xfId="4640" xr:uid="{BC7945FE-B3E7-46D4-9617-9CF94A159B50}"/>
    <cellStyle name="Normal 5 2 2 4 2" xfId="8020" xr:uid="{CF438730-3818-4735-9CB4-D7B08AD347EC}"/>
    <cellStyle name="Normal 5 2 2 5" xfId="6320" xr:uid="{77F16DB0-F60C-49CB-BDC8-C12EC8A7FB09}"/>
    <cellStyle name="Normal 5 2 2_DEO ADIT Unprotected" xfId="3478" xr:uid="{6D603BE8-D16D-46BB-9F35-5C76CB8DD4A7}"/>
    <cellStyle name="Normal 5 2 3" xfId="1315" xr:uid="{00000000-0005-0000-0000-000064060000}"/>
    <cellStyle name="Normal 5 2 3 2" xfId="2229" xr:uid="{00000000-0005-0000-0000-000065060000}"/>
    <cellStyle name="Normal 5 2 3 2 2" xfId="5479" xr:uid="{E3A28B6E-8141-479D-812E-72CF46AD8BE1}"/>
    <cellStyle name="Normal 5 2 3 2 2 2" xfId="8859" xr:uid="{146A89B6-C344-4522-9E7F-55D861598A5B}"/>
    <cellStyle name="Normal 5 2 3 2 3" xfId="7159" xr:uid="{BDCB6486-2475-41F4-9B3B-8EA8504D00E0}"/>
    <cellStyle name="Normal 5 2 3 2_DEO ADIT Unprotected" xfId="3483" xr:uid="{D6E7939B-93AD-4C30-A34F-EA1A5898D32B}"/>
    <cellStyle name="Normal 5 2 3 3" xfId="4642" xr:uid="{D8C00B15-7BC5-4241-B809-08104521BCC8}"/>
    <cellStyle name="Normal 5 2 3 3 2" xfId="8022" xr:uid="{0C41D177-D419-472B-A9CA-292455CF2EE6}"/>
    <cellStyle name="Normal 5 2 3 4" xfId="6322" xr:uid="{8B036A6C-0D3F-4E3D-813E-DEF12FA4D437}"/>
    <cellStyle name="Normal 5 2 3_DEO ADIT Unprotected" xfId="3482" xr:uid="{4FE773E0-49B8-41AA-96AE-61EE4E51F31A}"/>
    <cellStyle name="Normal 5 2 4" xfId="2226" xr:uid="{00000000-0005-0000-0000-000066060000}"/>
    <cellStyle name="Normal 5 2 4 2" xfId="5476" xr:uid="{7764939C-A258-46F9-906A-2BDE9935F18C}"/>
    <cellStyle name="Normal 5 2 4 2 2" xfId="8856" xr:uid="{AEA17914-BF45-45BE-9F38-1768FA0453C0}"/>
    <cellStyle name="Normal 5 2 4 3" xfId="7156" xr:uid="{A4010545-E546-4BDC-8EDD-FE68F2F1857E}"/>
    <cellStyle name="Normal 5 2 4_DEO ADIT Unprotected" xfId="3484" xr:uid="{83A99613-DA25-41DE-BEA8-821AC1F78E1E}"/>
    <cellStyle name="Normal 5 2 5" xfId="4639" xr:uid="{9995361C-6288-4312-8B82-D4D2D25AAA01}"/>
    <cellStyle name="Normal 5 2 5 2" xfId="8019" xr:uid="{09257AFB-B9E7-4A27-A69D-412C07FB49D3}"/>
    <cellStyle name="Normal 5 2 6" xfId="6319" xr:uid="{2371D752-6B66-4B5D-A1A7-B0E8F43275F4}"/>
    <cellStyle name="Normal 5 2_DEO ADIT Unprotected" xfId="3477" xr:uid="{F8EA7F6D-FA3D-4144-B815-A5D8F0879666}"/>
    <cellStyle name="Normal 5 3" xfId="1316" xr:uid="{00000000-0005-0000-0000-000067060000}"/>
    <cellStyle name="Normal 5 3 2" xfId="1317" xr:uid="{00000000-0005-0000-0000-000068060000}"/>
    <cellStyle name="Normal 5 3 2 2" xfId="2231" xr:uid="{00000000-0005-0000-0000-000069060000}"/>
    <cellStyle name="Normal 5 3 2 2 2" xfId="5481" xr:uid="{BE1A1E9E-B687-4A98-A6D2-5FABFE72F896}"/>
    <cellStyle name="Normal 5 3 2 2 2 2" xfId="8861" xr:uid="{54BAF030-48D3-480B-9868-588CFED24A62}"/>
    <cellStyle name="Normal 5 3 2 2 3" xfId="7161" xr:uid="{4DD64861-F783-498D-A226-851A3EA37505}"/>
    <cellStyle name="Normal 5 3 2 2_DEO ADIT Unprotected" xfId="3487" xr:uid="{85DE4F56-A3A0-4C5C-9873-FF4C2F29950E}"/>
    <cellStyle name="Normal 5 3 2 3" xfId="4644" xr:uid="{C2366D61-6675-472C-9512-8C58582CFBD3}"/>
    <cellStyle name="Normal 5 3 2 3 2" xfId="8024" xr:uid="{5EEFA492-A636-4551-BD28-C3AFBF76BC6C}"/>
    <cellStyle name="Normal 5 3 2 4" xfId="6324" xr:uid="{1E795CD3-DB22-458E-9DCF-6D2AFEB2654F}"/>
    <cellStyle name="Normal 5 3 2_DEO ADIT Unprotected" xfId="3486" xr:uid="{44D699D3-AFA1-4290-B8F3-2F0E4EC2B0AC}"/>
    <cellStyle name="Normal 5 3 3" xfId="2230" xr:uid="{00000000-0005-0000-0000-00006A060000}"/>
    <cellStyle name="Normal 5 3 3 2" xfId="5480" xr:uid="{A0BBCB59-6B26-4A18-8D61-6A01A08304C6}"/>
    <cellStyle name="Normal 5 3 3 2 2" xfId="8860" xr:uid="{1F2B6CD4-C32F-4E9A-9E75-3FDF9D9582E8}"/>
    <cellStyle name="Normal 5 3 3 3" xfId="7160" xr:uid="{F9C3144A-04DF-45C3-91EC-7ECE16F90FC0}"/>
    <cellStyle name="Normal 5 3 3_DEO ADIT Unprotected" xfId="3488" xr:uid="{1AC9323A-B38A-4F7E-AB1E-47D87F78FEC1}"/>
    <cellStyle name="Normal 5 3 4" xfId="4643" xr:uid="{ACB5C876-D2B5-46F0-9A3B-BAF640D86CD1}"/>
    <cellStyle name="Normal 5 3 4 2" xfId="8023" xr:uid="{D6B251ED-5359-422E-BB0A-E2ABD1797C5A}"/>
    <cellStyle name="Normal 5 3 5" xfId="6323" xr:uid="{F50BFD06-4C90-4705-89D2-218FE678AD6E}"/>
    <cellStyle name="Normal 5 3_DEO ADIT Unprotected" xfId="3485" xr:uid="{9131213A-5E94-4BB0-A72F-516E604C0BC3}"/>
    <cellStyle name="Normal 5 4" xfId="1318" xr:uid="{00000000-0005-0000-0000-00006B060000}"/>
    <cellStyle name="Normal 5 4 2" xfId="1319" xr:uid="{00000000-0005-0000-0000-00006C060000}"/>
    <cellStyle name="Normal 5 4 2 2" xfId="2233" xr:uid="{00000000-0005-0000-0000-00006D060000}"/>
    <cellStyle name="Normal 5 4 2 2 2" xfId="5483" xr:uid="{CF52A41A-DDFB-44C3-A358-BFE6E8CC993C}"/>
    <cellStyle name="Normal 5 4 2 2 2 2" xfId="8863" xr:uid="{FE88FCD2-4C35-42FC-A857-251C3DDC0526}"/>
    <cellStyle name="Normal 5 4 2 2 3" xfId="7163" xr:uid="{AAD60D49-76B8-4DC2-94ED-168E423D5004}"/>
    <cellStyle name="Normal 5 4 2 2_DEO ADIT Unprotected" xfId="3491" xr:uid="{309CA302-8CBA-4EBC-8BD0-F45C46E6B7D6}"/>
    <cellStyle name="Normal 5 4 2 3" xfId="4646" xr:uid="{F506C68A-5CD1-4E27-92C5-7E4EBE034014}"/>
    <cellStyle name="Normal 5 4 2 3 2" xfId="8026" xr:uid="{706E7E23-83F3-467E-8046-C43507090F08}"/>
    <cellStyle name="Normal 5 4 2 4" xfId="6326" xr:uid="{418CF688-35ED-4EEA-A307-1B2D0A0D0D31}"/>
    <cellStyle name="Normal 5 4 2_DEO ADIT Unprotected" xfId="3490" xr:uid="{D753FBFC-AC1E-4139-9753-574D814AFA0D}"/>
    <cellStyle name="Normal 5 4 3" xfId="2232" xr:uid="{00000000-0005-0000-0000-00006E060000}"/>
    <cellStyle name="Normal 5 4 3 2" xfId="5482" xr:uid="{CC6CD212-8A3C-4DFF-AEFC-6DB55EBB9E78}"/>
    <cellStyle name="Normal 5 4 3 2 2" xfId="8862" xr:uid="{8A7EF650-39A9-4A13-9567-1D3D3527B97B}"/>
    <cellStyle name="Normal 5 4 3 3" xfId="7162" xr:uid="{00B0A7EC-6955-4CEF-872E-844F51D7CA1D}"/>
    <cellStyle name="Normal 5 4 3_DEO ADIT Unprotected" xfId="3492" xr:uid="{BA546DDA-CC6C-4576-B0B5-AF8CD3A80134}"/>
    <cellStyle name="Normal 5 4 4" xfId="4645" xr:uid="{A99FF16B-CCA9-4BBE-BB8C-2B673286F2AC}"/>
    <cellStyle name="Normal 5 4 4 2" xfId="8025" xr:uid="{718A7C2F-CCDA-4692-8A51-BD253F0FAC72}"/>
    <cellStyle name="Normal 5 4 5" xfId="6325" xr:uid="{33B734CC-373B-42C4-B984-5204DB0767FD}"/>
    <cellStyle name="Normal 5 4_DEO ADIT Unprotected" xfId="3489" xr:uid="{4715FA47-BDD0-4FAB-B575-041FBD5896F3}"/>
    <cellStyle name="Normal 5 5" xfId="1320" xr:uid="{00000000-0005-0000-0000-00006F060000}"/>
    <cellStyle name="Normal 5 5 2" xfId="1321" xr:uid="{00000000-0005-0000-0000-000070060000}"/>
    <cellStyle name="Normal 5 5 2 2" xfId="2235" xr:uid="{00000000-0005-0000-0000-000071060000}"/>
    <cellStyle name="Normal 5 5 2 2 2" xfId="5485" xr:uid="{719EFAEC-62F7-412F-9A76-A893DD0F2894}"/>
    <cellStyle name="Normal 5 5 2 2 2 2" xfId="8865" xr:uid="{6561A645-9E9A-41F4-8D60-A96304738BF1}"/>
    <cellStyle name="Normal 5 5 2 2 3" xfId="7165" xr:uid="{1CD384DD-A3BB-428F-B60C-DEAB35675C50}"/>
    <cellStyle name="Normal 5 5 2 2_DEO ADIT Unprotected" xfId="3495" xr:uid="{FF8241D5-657B-4FC5-8AF9-9DD18D846F91}"/>
    <cellStyle name="Normal 5 5 2 3" xfId="4648" xr:uid="{DE1A09C4-8009-4B25-B7BF-8E4A1A76946D}"/>
    <cellStyle name="Normal 5 5 2 3 2" xfId="8028" xr:uid="{8329D1DA-02C7-417B-BAA2-FD9750433B9A}"/>
    <cellStyle name="Normal 5 5 2 4" xfId="6328" xr:uid="{64072338-730F-4388-8668-F5983DD42846}"/>
    <cellStyle name="Normal 5 5 2_DEO ADIT Unprotected" xfId="3494" xr:uid="{C025FBF3-398F-461E-972E-9EDC8289BD7E}"/>
    <cellStyle name="Normal 5 5 3" xfId="2234" xr:uid="{00000000-0005-0000-0000-000072060000}"/>
    <cellStyle name="Normal 5 5 3 2" xfId="5484" xr:uid="{223B20D7-9ABB-43CE-A45F-8C80B6C86717}"/>
    <cellStyle name="Normal 5 5 3 2 2" xfId="8864" xr:uid="{12D715C2-5B37-4EF1-9987-8F89CE29F74B}"/>
    <cellStyle name="Normal 5 5 3 3" xfId="7164" xr:uid="{54E11E71-EC2F-470A-96D1-036A992129E5}"/>
    <cellStyle name="Normal 5 5 3_DEO ADIT Unprotected" xfId="3496" xr:uid="{DBC1BAC1-5956-467B-AB56-1C46007D5BA4}"/>
    <cellStyle name="Normal 5 5 4" xfId="4647" xr:uid="{EF4F4592-5868-4F7D-ADB3-A3274844E7D3}"/>
    <cellStyle name="Normal 5 5 4 2" xfId="8027" xr:uid="{519D884E-0127-4EC2-AA5A-3E05631965BB}"/>
    <cellStyle name="Normal 5 5 5" xfId="6327" xr:uid="{7B911DA0-4713-4292-BDD1-87F8C65FF04C}"/>
    <cellStyle name="Normal 5 5_DEO ADIT Unprotected" xfId="3493" xr:uid="{41EAFC64-5E6F-4E70-9A97-A49E83FE6E27}"/>
    <cellStyle name="Normal 5_DEO ADIT Unprotected" xfId="3476" xr:uid="{5233CDF6-0589-4A90-B260-B729ACF0B2B1}"/>
    <cellStyle name="Normal 50" xfId="1322" xr:uid="{00000000-0005-0000-0000-000073060000}"/>
    <cellStyle name="Normal 50 2" xfId="1323" xr:uid="{00000000-0005-0000-0000-000074060000}"/>
    <cellStyle name="Normal 50 2 2" xfId="1324" xr:uid="{00000000-0005-0000-0000-000075060000}"/>
    <cellStyle name="Normal 50 2 2 2" xfId="1325" xr:uid="{00000000-0005-0000-0000-000076060000}"/>
    <cellStyle name="Normal 50 2 2 2 2" xfId="2239" xr:uid="{00000000-0005-0000-0000-000077060000}"/>
    <cellStyle name="Normal 50 2 2 2 2 2" xfId="5489" xr:uid="{88502F08-D0E5-4F44-83F1-FE7FFC03880F}"/>
    <cellStyle name="Normal 50 2 2 2 2 2 2" xfId="8869" xr:uid="{91F72DC5-B2B5-489D-9269-01FB1C84928B}"/>
    <cellStyle name="Normal 50 2 2 2 2 3" xfId="7169" xr:uid="{6841217A-BCC1-4056-84A2-B2BED45F34CB}"/>
    <cellStyle name="Normal 50 2 2 2 2_DEO ADIT Unprotected" xfId="3501" xr:uid="{84A3D83E-C38E-4C74-BB2D-B76321512B8D}"/>
    <cellStyle name="Normal 50 2 2 2 3" xfId="4652" xr:uid="{6B5148ED-BB9F-4DC3-B3DB-BE38365740B6}"/>
    <cellStyle name="Normal 50 2 2 2 3 2" xfId="8032" xr:uid="{11EBA98A-5C61-46A1-93F2-40C8C5AA240C}"/>
    <cellStyle name="Normal 50 2 2 2 4" xfId="6332" xr:uid="{65D776E9-2B51-42D3-9354-F04F7F073BE0}"/>
    <cellStyle name="Normal 50 2 2 2_DEO ADIT Unprotected" xfId="3500" xr:uid="{212B232C-A1D1-40D5-AEC5-EA3F3C350499}"/>
    <cellStyle name="Normal 50 2 2 3" xfId="2238" xr:uid="{00000000-0005-0000-0000-000078060000}"/>
    <cellStyle name="Normal 50 2 2 3 2" xfId="5488" xr:uid="{DD694104-A751-4046-A9E2-B7E18719BF69}"/>
    <cellStyle name="Normal 50 2 2 3 2 2" xfId="8868" xr:uid="{AEF21BC2-3526-4A67-A0E9-E20CD07F47A0}"/>
    <cellStyle name="Normal 50 2 2 3 3" xfId="7168" xr:uid="{58CD2079-98BC-45BB-9D5D-687853F2194E}"/>
    <cellStyle name="Normal 50 2 2 3_DEO ADIT Unprotected" xfId="3502" xr:uid="{BA3EA8AC-3001-4514-8699-62A1CEF3DF18}"/>
    <cellStyle name="Normal 50 2 2 4" xfId="4651" xr:uid="{552BAD74-5452-4C9E-819E-244D681B3605}"/>
    <cellStyle name="Normal 50 2 2 4 2" xfId="8031" xr:uid="{3B934D84-1FCE-4835-A21E-BBD343AA61FC}"/>
    <cellStyle name="Normal 50 2 2 5" xfId="6331" xr:uid="{60FCC174-B9F4-45AA-BB99-2BDF47C6B2C9}"/>
    <cellStyle name="Normal 50 2 2_DEO ADIT Unprotected" xfId="3499" xr:uid="{7EE80A3D-75BA-41E3-A763-1CA209C41F66}"/>
    <cellStyle name="Normal 50 2 3" xfId="1326" xr:uid="{00000000-0005-0000-0000-000079060000}"/>
    <cellStyle name="Normal 50 2 3 2" xfId="2240" xr:uid="{00000000-0005-0000-0000-00007A060000}"/>
    <cellStyle name="Normal 50 2 3 2 2" xfId="5490" xr:uid="{B1F9A2E6-0852-4344-9854-AB4A0F2A4894}"/>
    <cellStyle name="Normal 50 2 3 2 2 2" xfId="8870" xr:uid="{69AE0F86-D21D-4D1D-82AF-7B0B8D2B9E8D}"/>
    <cellStyle name="Normal 50 2 3 2 3" xfId="7170" xr:uid="{BD76E175-C220-425D-93D3-7D12136F0570}"/>
    <cellStyle name="Normal 50 2 3 2_DEO ADIT Unprotected" xfId="3504" xr:uid="{949187A6-682F-4C0C-958C-9EE1FDF81F6A}"/>
    <cellStyle name="Normal 50 2 3 3" xfId="4653" xr:uid="{DEE9587A-CBE0-4D75-BF9B-29116EE13C87}"/>
    <cellStyle name="Normal 50 2 3 3 2" xfId="8033" xr:uid="{8C428A5C-4A5D-42D2-BB54-B8A6F6336C40}"/>
    <cellStyle name="Normal 50 2 3 4" xfId="6333" xr:uid="{46D8D972-689B-475C-A272-F8DCD28B59D9}"/>
    <cellStyle name="Normal 50 2 3_DEO ADIT Unprotected" xfId="3503" xr:uid="{F47F4AE6-97B5-41DC-8591-3B9EF6D7247B}"/>
    <cellStyle name="Normal 50 2 4" xfId="2237" xr:uid="{00000000-0005-0000-0000-00007B060000}"/>
    <cellStyle name="Normal 50 2 4 2" xfId="5487" xr:uid="{301D5759-1A49-49A6-8BB8-19C37AF182CA}"/>
    <cellStyle name="Normal 50 2 4 2 2" xfId="8867" xr:uid="{B2A2AE72-5EFC-4621-9D56-20526286E54D}"/>
    <cellStyle name="Normal 50 2 4 3" xfId="7167" xr:uid="{CA63783D-2F33-4EDC-95BD-CD5B783CC69C}"/>
    <cellStyle name="Normal 50 2 4_DEO ADIT Unprotected" xfId="3505" xr:uid="{57BD1753-92A5-4628-9D70-47B9DB9A5381}"/>
    <cellStyle name="Normal 50 2 5" xfId="4650" xr:uid="{EF8227AD-D4A6-48C0-9A5E-FB703995DD38}"/>
    <cellStyle name="Normal 50 2 5 2" xfId="8030" xr:uid="{17D12A51-707B-432A-94C9-249C2847430D}"/>
    <cellStyle name="Normal 50 2 6" xfId="6330" xr:uid="{9A2A4E78-9898-4D77-A0B2-0667542146BA}"/>
    <cellStyle name="Normal 50 2_DEO ADIT Unprotected" xfId="3498" xr:uid="{1F4EFE3C-7D35-44B2-9D75-52604AFE16A1}"/>
    <cellStyle name="Normal 50 3" xfId="1327" xr:uid="{00000000-0005-0000-0000-00007C060000}"/>
    <cellStyle name="Normal 50 3 2" xfId="1328" xr:uid="{00000000-0005-0000-0000-00007D060000}"/>
    <cellStyle name="Normal 50 3 2 2" xfId="2242" xr:uid="{00000000-0005-0000-0000-00007E060000}"/>
    <cellStyle name="Normal 50 3 2 2 2" xfId="5492" xr:uid="{C4ED5438-0907-48F2-9C74-16C54B6D323F}"/>
    <cellStyle name="Normal 50 3 2 2 2 2" xfId="8872" xr:uid="{F3A62C2C-5B8E-4007-9456-F249E1CE89B6}"/>
    <cellStyle name="Normal 50 3 2 2 3" xfId="7172" xr:uid="{BAF90B11-3C92-442C-BB94-0CD19409B096}"/>
    <cellStyle name="Normal 50 3 2 2_DEO ADIT Unprotected" xfId="3508" xr:uid="{04C20430-9D46-433C-AB46-4216F0F70EE1}"/>
    <cellStyle name="Normal 50 3 2 3" xfId="4655" xr:uid="{4474032C-5F2A-4042-82CF-3525F6DCF193}"/>
    <cellStyle name="Normal 50 3 2 3 2" xfId="8035" xr:uid="{F0D60D87-BD38-42D0-9E9A-7BCAE92F2FB4}"/>
    <cellStyle name="Normal 50 3 2 4" xfId="6335" xr:uid="{F38DDE07-4A81-47B7-BE46-92B5C2C1BE5C}"/>
    <cellStyle name="Normal 50 3 2_DEO ADIT Unprotected" xfId="3507" xr:uid="{15ADC39B-BEA2-41CE-A897-C198FBDFAB13}"/>
    <cellStyle name="Normal 50 3 3" xfId="2241" xr:uid="{00000000-0005-0000-0000-00007F060000}"/>
    <cellStyle name="Normal 50 3 3 2" xfId="5491" xr:uid="{FFAD3900-0758-4086-96D9-67A2A3ABC456}"/>
    <cellStyle name="Normal 50 3 3 2 2" xfId="8871" xr:uid="{72470203-ABD8-4A9D-94DC-F7B0061F3C49}"/>
    <cellStyle name="Normal 50 3 3 3" xfId="7171" xr:uid="{0E1102BD-17BC-42F0-9CCB-24CA8483B4B5}"/>
    <cellStyle name="Normal 50 3 3_DEO ADIT Unprotected" xfId="3509" xr:uid="{07C0C542-7C81-442A-968A-12DB38DF8DA7}"/>
    <cellStyle name="Normal 50 3 4" xfId="4654" xr:uid="{55B09520-D827-4B05-81CB-3BAA8E6C219C}"/>
    <cellStyle name="Normal 50 3 4 2" xfId="8034" xr:uid="{18C152E1-177B-4AB9-9A72-81D4616CB9AA}"/>
    <cellStyle name="Normal 50 3 5" xfId="6334" xr:uid="{666BD01E-7C32-4F54-A18E-331FD965CDFE}"/>
    <cellStyle name="Normal 50 3_DEO ADIT Unprotected" xfId="3506" xr:uid="{2F57CBE6-B019-4140-88FF-3A6149FD4A43}"/>
    <cellStyle name="Normal 50 4" xfId="1329" xr:uid="{00000000-0005-0000-0000-000080060000}"/>
    <cellStyle name="Normal 50 4 2" xfId="2243" xr:uid="{00000000-0005-0000-0000-000081060000}"/>
    <cellStyle name="Normal 50 4 2 2" xfId="5493" xr:uid="{0ABAF232-56FF-47F7-BEDA-4EC1DCD9B5A9}"/>
    <cellStyle name="Normal 50 4 2 2 2" xfId="8873" xr:uid="{BC169A3E-880B-4D11-BF0E-9371FE35416B}"/>
    <cellStyle name="Normal 50 4 2 3" xfId="7173" xr:uid="{1990FC83-D040-4C42-91B1-76F81928798D}"/>
    <cellStyle name="Normal 50 4 2_DEO ADIT Unprotected" xfId="3511" xr:uid="{247B86A8-1D27-4391-A926-BE03E041D296}"/>
    <cellStyle name="Normal 50 4 3" xfId="4656" xr:uid="{E611ED01-069E-4A24-9AFD-E9F4D41C0DC5}"/>
    <cellStyle name="Normal 50 4 3 2" xfId="8036" xr:uid="{99586BC3-6867-44D2-8BD1-4C08A2E99E21}"/>
    <cellStyle name="Normal 50 4 4" xfId="6336" xr:uid="{D215D3DD-C90F-41BF-B1A5-2BDDB9E22088}"/>
    <cellStyle name="Normal 50 4_DEO ADIT Unprotected" xfId="3510" xr:uid="{179E7390-94D1-4C6C-95AF-711631D1AD6B}"/>
    <cellStyle name="Normal 50 5" xfId="2236" xr:uid="{00000000-0005-0000-0000-000082060000}"/>
    <cellStyle name="Normal 50 5 2" xfId="5486" xr:uid="{6D622A53-8E0D-4AAF-A327-CEC6B1490D3C}"/>
    <cellStyle name="Normal 50 5 2 2" xfId="8866" xr:uid="{E676D532-4DF1-46BD-99A8-19C3F10F1165}"/>
    <cellStyle name="Normal 50 5 3" xfId="7166" xr:uid="{7B2EC04E-0FFC-4A43-8C32-8140EA19C432}"/>
    <cellStyle name="Normal 50 5_DEO ADIT Unprotected" xfId="3512" xr:uid="{51BCCF17-2F7D-4973-AD9A-332723BA1879}"/>
    <cellStyle name="Normal 50 6" xfId="4649" xr:uid="{C2BCCCB6-8795-4689-A36C-57C4D254D8E0}"/>
    <cellStyle name="Normal 50 6 2" xfId="8029" xr:uid="{82EED4C1-69EB-4360-AEE9-812FE9DEDE1F}"/>
    <cellStyle name="Normal 50 7" xfId="6329" xr:uid="{8E8A9957-BF1C-4E87-8B2F-B2794A6DF7C6}"/>
    <cellStyle name="Normal 50_DEO ADIT Unprotected" xfId="3497" xr:uid="{7F398F68-45CF-4E90-833D-686B520468F0}"/>
    <cellStyle name="Normal 51" xfId="1330" xr:uid="{00000000-0005-0000-0000-000083060000}"/>
    <cellStyle name="Normal 51 2" xfId="1331" xr:uid="{00000000-0005-0000-0000-000084060000}"/>
    <cellStyle name="Normal 51 2 2" xfId="1332" xr:uid="{00000000-0005-0000-0000-000085060000}"/>
    <cellStyle name="Normal 51 2 2 2" xfId="1333" xr:uid="{00000000-0005-0000-0000-000086060000}"/>
    <cellStyle name="Normal 51 2 2 2 2" xfId="2247" xr:uid="{00000000-0005-0000-0000-000087060000}"/>
    <cellStyle name="Normal 51 2 2 2 2 2" xfId="5497" xr:uid="{BF46C7DC-A4DA-4C68-BF6D-E1C1B4D86C03}"/>
    <cellStyle name="Normal 51 2 2 2 2 2 2" xfId="8877" xr:uid="{665C42D9-A397-4488-893E-6DA0962ACF4B}"/>
    <cellStyle name="Normal 51 2 2 2 2 3" xfId="7177" xr:uid="{A8222027-D05B-4A20-9124-71CBDF9176AF}"/>
    <cellStyle name="Normal 51 2 2 2 2_DEO ADIT Unprotected" xfId="3517" xr:uid="{94AFC143-FDCA-4ECC-A3CA-B7009D6E4D3C}"/>
    <cellStyle name="Normal 51 2 2 2 3" xfId="4660" xr:uid="{0291C530-FABE-47E0-B092-E9B92C29B3A2}"/>
    <cellStyle name="Normal 51 2 2 2 3 2" xfId="8040" xr:uid="{1198834E-4335-4C26-BF2C-1D2E10306D9C}"/>
    <cellStyle name="Normal 51 2 2 2 4" xfId="6340" xr:uid="{B98F2974-7398-45BC-B5B7-64925726EC3F}"/>
    <cellStyle name="Normal 51 2 2 2_DEO ADIT Unprotected" xfId="3516" xr:uid="{E7110213-1603-4A46-8A47-6BFC9032418C}"/>
    <cellStyle name="Normal 51 2 2 3" xfId="2246" xr:uid="{00000000-0005-0000-0000-000088060000}"/>
    <cellStyle name="Normal 51 2 2 3 2" xfId="5496" xr:uid="{D8B8B436-D7D3-4B81-A044-5E1C6A250A75}"/>
    <cellStyle name="Normal 51 2 2 3 2 2" xfId="8876" xr:uid="{865D5D13-65C5-47FE-AC72-305D6F3017C8}"/>
    <cellStyle name="Normal 51 2 2 3 3" xfId="7176" xr:uid="{0D8AE97C-BC71-40A3-AAAF-0A14193E9246}"/>
    <cellStyle name="Normal 51 2 2 3_DEO ADIT Unprotected" xfId="3518" xr:uid="{85FEE7EA-B2F2-41D9-8A6E-C1CBF4938AD2}"/>
    <cellStyle name="Normal 51 2 2 4" xfId="4659" xr:uid="{E131A405-07DD-41D1-B52B-FE510114F2F4}"/>
    <cellStyle name="Normal 51 2 2 4 2" xfId="8039" xr:uid="{500AE1EF-90B4-41C5-AA18-4BD235B4ABD8}"/>
    <cellStyle name="Normal 51 2 2 5" xfId="6339" xr:uid="{456BC5F7-B973-4812-9E02-1919537881A5}"/>
    <cellStyle name="Normal 51 2 2_DEO ADIT Unprotected" xfId="3515" xr:uid="{8F84C10C-EE06-4C41-B92F-D1D719FA6BAD}"/>
    <cellStyle name="Normal 51 2 3" xfId="1334" xr:uid="{00000000-0005-0000-0000-000089060000}"/>
    <cellStyle name="Normal 51 2 3 2" xfId="2248" xr:uid="{00000000-0005-0000-0000-00008A060000}"/>
    <cellStyle name="Normal 51 2 3 2 2" xfId="5498" xr:uid="{A4FBA8D9-41ED-463E-A744-C46F6BA46DD0}"/>
    <cellStyle name="Normal 51 2 3 2 2 2" xfId="8878" xr:uid="{079B059C-76BF-49BD-9FDA-4E239866C278}"/>
    <cellStyle name="Normal 51 2 3 2 3" xfId="7178" xr:uid="{22D98147-2ACC-42F2-B387-15952117A9C5}"/>
    <cellStyle name="Normal 51 2 3 2_DEO ADIT Unprotected" xfId="3520" xr:uid="{19D955DE-8F92-4142-981E-017F934BFE76}"/>
    <cellStyle name="Normal 51 2 3 3" xfId="4661" xr:uid="{EC57D34A-0611-4C8A-97F7-7DADBBFA15B0}"/>
    <cellStyle name="Normal 51 2 3 3 2" xfId="8041" xr:uid="{9B025879-43A8-4B1E-A341-DC9F664B302A}"/>
    <cellStyle name="Normal 51 2 3 4" xfId="6341" xr:uid="{AA0E1A55-5202-4667-9486-8488D7EEADC1}"/>
    <cellStyle name="Normal 51 2 3_DEO ADIT Unprotected" xfId="3519" xr:uid="{2F1F669B-40B5-4742-B420-D484DC87B6A8}"/>
    <cellStyle name="Normal 51 2 4" xfId="2245" xr:uid="{00000000-0005-0000-0000-00008B060000}"/>
    <cellStyle name="Normal 51 2 4 2" xfId="5495" xr:uid="{B065A726-09BB-45A7-874C-14A12E42588A}"/>
    <cellStyle name="Normal 51 2 4 2 2" xfId="8875" xr:uid="{799DEDFF-DC4F-46AE-944D-0373E36C820C}"/>
    <cellStyle name="Normal 51 2 4 3" xfId="7175" xr:uid="{BCEC25AC-3B01-4189-896C-76C50235133E}"/>
    <cellStyle name="Normal 51 2 4_DEO ADIT Unprotected" xfId="3521" xr:uid="{8153BF27-4E9E-4ACA-A40E-52AC7AF75378}"/>
    <cellStyle name="Normal 51 2 5" xfId="4658" xr:uid="{D99CECDB-51EC-460E-AAFC-EAA0EAD56A30}"/>
    <cellStyle name="Normal 51 2 5 2" xfId="8038" xr:uid="{51082280-C76E-478E-8006-F132A91995F4}"/>
    <cellStyle name="Normal 51 2 6" xfId="6338" xr:uid="{7C1268B9-9B1E-407C-AC2D-60D5A30C0328}"/>
    <cellStyle name="Normal 51 2_DEO ADIT Unprotected" xfId="3514" xr:uid="{7EC94FE3-AA83-4114-BD30-0A32D1B1E537}"/>
    <cellStyle name="Normal 51 3" xfId="1335" xr:uid="{00000000-0005-0000-0000-00008C060000}"/>
    <cellStyle name="Normal 51 3 2" xfId="1336" xr:uid="{00000000-0005-0000-0000-00008D060000}"/>
    <cellStyle name="Normal 51 3 2 2" xfId="2250" xr:uid="{00000000-0005-0000-0000-00008E060000}"/>
    <cellStyle name="Normal 51 3 2 2 2" xfId="5500" xr:uid="{0B1E3ED1-8DB0-487E-B436-D1B27DA1A25A}"/>
    <cellStyle name="Normal 51 3 2 2 2 2" xfId="8880" xr:uid="{145569FE-AAC8-4DF1-AC89-BAB123EB1A96}"/>
    <cellStyle name="Normal 51 3 2 2 3" xfId="7180" xr:uid="{BD7EDA47-41D2-4852-8A8E-F520EA000145}"/>
    <cellStyle name="Normal 51 3 2 2_DEO ADIT Unprotected" xfId="3524" xr:uid="{0A18AE4F-9702-4FF0-9F8C-15E994D5CC1E}"/>
    <cellStyle name="Normal 51 3 2 3" xfId="4663" xr:uid="{B221C57B-8618-4A9D-8809-466D90365BEA}"/>
    <cellStyle name="Normal 51 3 2 3 2" xfId="8043" xr:uid="{B9416E3B-06B0-4392-9AC3-1D9FD78D179A}"/>
    <cellStyle name="Normal 51 3 2 4" xfId="6343" xr:uid="{0228300F-1725-41B1-BF06-17199C41B8C4}"/>
    <cellStyle name="Normal 51 3 2_DEO ADIT Unprotected" xfId="3523" xr:uid="{283283F7-C0FB-4DA5-86C8-99F70816AC12}"/>
    <cellStyle name="Normal 51 3 3" xfId="2249" xr:uid="{00000000-0005-0000-0000-00008F060000}"/>
    <cellStyle name="Normal 51 3 3 2" xfId="5499" xr:uid="{13B99E2E-AA45-4E44-A83B-EC9FD7D3B249}"/>
    <cellStyle name="Normal 51 3 3 2 2" xfId="8879" xr:uid="{E2C447DB-7CB5-4925-9E11-5DC87EE39CF1}"/>
    <cellStyle name="Normal 51 3 3 3" xfId="7179" xr:uid="{0834CDAF-656C-4F3C-B9AE-2536C79229BC}"/>
    <cellStyle name="Normal 51 3 3_DEO ADIT Unprotected" xfId="3525" xr:uid="{29890C65-5552-43A6-B6F7-A496DF069390}"/>
    <cellStyle name="Normal 51 3 4" xfId="4662" xr:uid="{0C5922DD-A0F2-467A-BD4B-FCF7D24EFCA3}"/>
    <cellStyle name="Normal 51 3 4 2" xfId="8042" xr:uid="{E5C1B4E9-8E28-4B26-88C5-87BC1B150A98}"/>
    <cellStyle name="Normal 51 3 5" xfId="6342" xr:uid="{5734EB6B-E30D-47E6-8BE3-F901F1D38A52}"/>
    <cellStyle name="Normal 51 3_DEO ADIT Unprotected" xfId="3522" xr:uid="{61D24B10-E097-4B9B-843D-49F0CF1D38E3}"/>
    <cellStyle name="Normal 51 4" xfId="1337" xr:uid="{00000000-0005-0000-0000-000090060000}"/>
    <cellStyle name="Normal 51 4 2" xfId="2251" xr:uid="{00000000-0005-0000-0000-000091060000}"/>
    <cellStyle name="Normal 51 4 2 2" xfId="5501" xr:uid="{E1EC724C-5819-4109-B5A2-946F390505EA}"/>
    <cellStyle name="Normal 51 4 2 2 2" xfId="8881" xr:uid="{D098C961-3AFD-4ED4-AB34-DFCEDDF9F4C2}"/>
    <cellStyle name="Normal 51 4 2 3" xfId="7181" xr:uid="{33C4E9D3-2113-46E4-81D5-5539275765F3}"/>
    <cellStyle name="Normal 51 4 2_DEO ADIT Unprotected" xfId="3527" xr:uid="{808CE667-C334-42F1-AA5F-76E08FC16234}"/>
    <cellStyle name="Normal 51 4 3" xfId="4664" xr:uid="{18438BE9-2B98-428E-BE07-C52C2A5A28BF}"/>
    <cellStyle name="Normal 51 4 3 2" xfId="8044" xr:uid="{BAD43570-0A4F-438A-8F59-BEEFDBB442B5}"/>
    <cellStyle name="Normal 51 4 4" xfId="6344" xr:uid="{FA406461-C688-4A7B-951F-320A6DBB276D}"/>
    <cellStyle name="Normal 51 4_DEO ADIT Unprotected" xfId="3526" xr:uid="{476F1B54-4882-413F-BE0A-C367D8C92FBB}"/>
    <cellStyle name="Normal 51 5" xfId="2244" xr:uid="{00000000-0005-0000-0000-000092060000}"/>
    <cellStyle name="Normal 51 5 2" xfId="5494" xr:uid="{61BBDE59-345F-41BA-88C9-1DC73A85509E}"/>
    <cellStyle name="Normal 51 5 2 2" xfId="8874" xr:uid="{2C15A18B-D987-43E5-BAEC-6D3435E1672D}"/>
    <cellStyle name="Normal 51 5 3" xfId="7174" xr:uid="{3469D1B2-3F32-4692-8523-DFC33BD81562}"/>
    <cellStyle name="Normal 51 5_DEO ADIT Unprotected" xfId="3528" xr:uid="{700C46D7-9A79-4FE6-A4D9-669F12F7D160}"/>
    <cellStyle name="Normal 51 6" xfId="4657" xr:uid="{F08E70DC-C55A-4788-83FA-E0AA1F9ADAFC}"/>
    <cellStyle name="Normal 51 6 2" xfId="8037" xr:uid="{601AF335-A8F3-4098-84E9-E17C773069D8}"/>
    <cellStyle name="Normal 51 7" xfId="6337" xr:uid="{0F79BBBD-9A0A-48B1-BBF8-CB6543809C9B}"/>
    <cellStyle name="Normal 51_DEO ADIT Unprotected" xfId="3513" xr:uid="{EF3812E3-9956-458F-BE50-6C9365A2723A}"/>
    <cellStyle name="Normal 52" xfId="1338" xr:uid="{00000000-0005-0000-0000-000093060000}"/>
    <cellStyle name="Normal 52 2" xfId="1339" xr:uid="{00000000-0005-0000-0000-000094060000}"/>
    <cellStyle name="Normal 52 2 2" xfId="1340" xr:uid="{00000000-0005-0000-0000-000095060000}"/>
    <cellStyle name="Normal 52 2 2 2" xfId="1341" xr:uid="{00000000-0005-0000-0000-000096060000}"/>
    <cellStyle name="Normal 52 2 2 2 2" xfId="2255" xr:uid="{00000000-0005-0000-0000-000097060000}"/>
    <cellStyle name="Normal 52 2 2 2 2 2" xfId="5505" xr:uid="{90D0FEEC-CFBA-472C-8047-942E61D635EC}"/>
    <cellStyle name="Normal 52 2 2 2 2 2 2" xfId="8885" xr:uid="{0B9BD17F-1EE6-4864-9D3A-85679C6D8957}"/>
    <cellStyle name="Normal 52 2 2 2 2 3" xfId="7185" xr:uid="{AF3E666D-8F1A-4B1D-A0C8-0BD8B652F659}"/>
    <cellStyle name="Normal 52 2 2 2 2_DEO ADIT Unprotected" xfId="3533" xr:uid="{416B166C-3B79-4138-8DAB-34B9AC297206}"/>
    <cellStyle name="Normal 52 2 2 2 3" xfId="4668" xr:uid="{24F17CC7-E521-4B94-BCE3-A936F9A66C87}"/>
    <cellStyle name="Normal 52 2 2 2 3 2" xfId="8048" xr:uid="{4E0B8992-12F5-4FDE-A902-5F211EF46BF8}"/>
    <cellStyle name="Normal 52 2 2 2 4" xfId="6348" xr:uid="{00601DA1-6077-4D0F-B334-CC716A3AC079}"/>
    <cellStyle name="Normal 52 2 2 2_DEO ADIT Unprotected" xfId="3532" xr:uid="{B8D57A0A-D94D-462A-8617-243B5771EFAF}"/>
    <cellStyle name="Normal 52 2 2 3" xfId="2254" xr:uid="{00000000-0005-0000-0000-000098060000}"/>
    <cellStyle name="Normal 52 2 2 3 2" xfId="5504" xr:uid="{01CA1823-9AA5-4525-90D6-6BF5AF81A7FC}"/>
    <cellStyle name="Normal 52 2 2 3 2 2" xfId="8884" xr:uid="{FDBB4227-247A-418F-9EA4-42979C8AA72D}"/>
    <cellStyle name="Normal 52 2 2 3 3" xfId="7184" xr:uid="{483BC85E-FB42-490C-B9F6-6BB09049E8E1}"/>
    <cellStyle name="Normal 52 2 2 3_DEO ADIT Unprotected" xfId="3534" xr:uid="{52DA178E-0396-4D6E-BC63-AF8C678F2E68}"/>
    <cellStyle name="Normal 52 2 2 4" xfId="4667" xr:uid="{EB4F5F17-3E56-4DCF-BF01-657C02E80345}"/>
    <cellStyle name="Normal 52 2 2 4 2" xfId="8047" xr:uid="{0F57A9F3-23E9-441E-96CB-766FD859A8E4}"/>
    <cellStyle name="Normal 52 2 2 5" xfId="6347" xr:uid="{CE962CC2-4C1A-48F2-9C43-BEE5A4A52B5E}"/>
    <cellStyle name="Normal 52 2 2_DEO ADIT Unprotected" xfId="3531" xr:uid="{ED35ADAE-71A9-4A2D-AC80-C5F845805A94}"/>
    <cellStyle name="Normal 52 2 3" xfId="1342" xr:uid="{00000000-0005-0000-0000-000099060000}"/>
    <cellStyle name="Normal 52 2 3 2" xfId="2256" xr:uid="{00000000-0005-0000-0000-00009A060000}"/>
    <cellStyle name="Normal 52 2 3 2 2" xfId="5506" xr:uid="{F9628452-2B6E-4C0E-BDFD-0E3BFE66EF8B}"/>
    <cellStyle name="Normal 52 2 3 2 2 2" xfId="8886" xr:uid="{8DE6071C-88FB-4097-B895-9E8074C02B81}"/>
    <cellStyle name="Normal 52 2 3 2 3" xfId="7186" xr:uid="{39D4277E-8CAC-4478-A6B7-531B9C375CD8}"/>
    <cellStyle name="Normal 52 2 3 2_DEO ADIT Unprotected" xfId="3536" xr:uid="{223DFBB3-AA29-4549-B331-D34EA675D93D}"/>
    <cellStyle name="Normal 52 2 3 3" xfId="4669" xr:uid="{E3DBC0CA-6E93-4CC3-87C9-8355A2936A3D}"/>
    <cellStyle name="Normal 52 2 3 3 2" xfId="8049" xr:uid="{9AF79794-1B67-4C80-81FF-70580848EDB0}"/>
    <cellStyle name="Normal 52 2 3 4" xfId="6349" xr:uid="{A4661C32-8406-4BCD-9B58-A7857916D1FE}"/>
    <cellStyle name="Normal 52 2 3_DEO ADIT Unprotected" xfId="3535" xr:uid="{DF735C41-EF7D-4557-9121-63719A46BD45}"/>
    <cellStyle name="Normal 52 2 4" xfId="2253" xr:uid="{00000000-0005-0000-0000-00009B060000}"/>
    <cellStyle name="Normal 52 2 4 2" xfId="5503" xr:uid="{3C2B63CE-5B2E-43CF-9980-D2A927835D93}"/>
    <cellStyle name="Normal 52 2 4 2 2" xfId="8883" xr:uid="{C59F4729-ACF8-486C-B381-61023D7D0717}"/>
    <cellStyle name="Normal 52 2 4 3" xfId="7183" xr:uid="{E7E0F732-7583-42B1-A56E-A5818B9B5FCF}"/>
    <cellStyle name="Normal 52 2 4_DEO ADIT Unprotected" xfId="3537" xr:uid="{0119BF1E-0593-4699-8F6A-ADF7964EED31}"/>
    <cellStyle name="Normal 52 2 5" xfId="4666" xr:uid="{CB8AB32F-EFF4-4FB9-941C-93AF21FD6609}"/>
    <cellStyle name="Normal 52 2 5 2" xfId="8046" xr:uid="{26360D7F-7DE7-441F-9C82-1898DEC09F3A}"/>
    <cellStyle name="Normal 52 2 6" xfId="6346" xr:uid="{5B7A724B-5FB8-4959-A1E9-96C8C06117EA}"/>
    <cellStyle name="Normal 52 2_DEO ADIT Unprotected" xfId="3530" xr:uid="{219A1472-0BE2-44BA-A0FF-2B675CE44930}"/>
    <cellStyle name="Normal 52 3" xfId="1343" xr:uid="{00000000-0005-0000-0000-00009C060000}"/>
    <cellStyle name="Normal 52 3 2" xfId="1344" xr:uid="{00000000-0005-0000-0000-00009D060000}"/>
    <cellStyle name="Normal 52 3 2 2" xfId="2258" xr:uid="{00000000-0005-0000-0000-00009E060000}"/>
    <cellStyle name="Normal 52 3 2 2 2" xfId="5508" xr:uid="{B8599F16-1463-4B72-8563-CD2217F6FA47}"/>
    <cellStyle name="Normal 52 3 2 2 2 2" xfId="8888" xr:uid="{1722C433-FAC2-4A4B-A145-5A69DCB0DA2D}"/>
    <cellStyle name="Normal 52 3 2 2 3" xfId="7188" xr:uid="{0E192D39-1FF4-449F-9C4C-5D58B849290F}"/>
    <cellStyle name="Normal 52 3 2 2_DEO ADIT Unprotected" xfId="3540" xr:uid="{664AC5E0-E4A2-4DDF-BB16-00C13AE2EC62}"/>
    <cellStyle name="Normal 52 3 2 3" xfId="4671" xr:uid="{8D124198-89D5-431C-B1E6-8A725278D455}"/>
    <cellStyle name="Normal 52 3 2 3 2" xfId="8051" xr:uid="{436527DB-5111-4BD3-9153-8CF5682A3C15}"/>
    <cellStyle name="Normal 52 3 2 4" xfId="6351" xr:uid="{98AFD916-67D3-4385-8787-A04D997E55E9}"/>
    <cellStyle name="Normal 52 3 2_DEO ADIT Unprotected" xfId="3539" xr:uid="{C711C54E-1D36-485D-927B-826B216B3112}"/>
    <cellStyle name="Normal 52 3 3" xfId="2257" xr:uid="{00000000-0005-0000-0000-00009F060000}"/>
    <cellStyle name="Normal 52 3 3 2" xfId="5507" xr:uid="{2198723E-F560-4184-AD5E-BCC717C55C30}"/>
    <cellStyle name="Normal 52 3 3 2 2" xfId="8887" xr:uid="{67444965-9839-46D3-A05C-BA064BDEDC52}"/>
    <cellStyle name="Normal 52 3 3 3" xfId="7187" xr:uid="{A2B234D6-6ED0-487E-873E-473E65F899C7}"/>
    <cellStyle name="Normal 52 3 3_DEO ADIT Unprotected" xfId="3541" xr:uid="{EF992E85-C7C7-43B5-9DCC-EC9110493904}"/>
    <cellStyle name="Normal 52 3 4" xfId="4670" xr:uid="{F96515EF-2A63-4BD3-B31B-00D6BC117130}"/>
    <cellStyle name="Normal 52 3 4 2" xfId="8050" xr:uid="{940104EF-81C7-4912-BD66-B655F86BF268}"/>
    <cellStyle name="Normal 52 3 5" xfId="6350" xr:uid="{1D5D5081-A90B-42A1-A4B2-E85FBB1EF2A8}"/>
    <cellStyle name="Normal 52 3_DEO ADIT Unprotected" xfId="3538" xr:uid="{C6FB4428-678E-419D-8DEA-5A5E95088421}"/>
    <cellStyle name="Normal 52 4" xfId="1345" xr:uid="{00000000-0005-0000-0000-0000A0060000}"/>
    <cellStyle name="Normal 52 4 2" xfId="2259" xr:uid="{00000000-0005-0000-0000-0000A1060000}"/>
    <cellStyle name="Normal 52 4 2 2" xfId="5509" xr:uid="{D70AE604-915D-4BA5-AF2D-E9AD753E4424}"/>
    <cellStyle name="Normal 52 4 2 2 2" xfId="8889" xr:uid="{F74F7E06-4BC7-4AC0-BE9F-B5A1A5E2E5EE}"/>
    <cellStyle name="Normal 52 4 2 3" xfId="7189" xr:uid="{124DD2B4-5A7F-46AB-8FAB-5A90076F5D8B}"/>
    <cellStyle name="Normal 52 4 2_DEO ADIT Unprotected" xfId="3543" xr:uid="{2C597152-3F5F-4D81-95C3-DDB289A988E2}"/>
    <cellStyle name="Normal 52 4 3" xfId="4672" xr:uid="{91C61CCD-FAFF-4670-995C-2DE3559AF305}"/>
    <cellStyle name="Normal 52 4 3 2" xfId="8052" xr:uid="{DE94BEC8-1092-4B32-A005-01D561125BA1}"/>
    <cellStyle name="Normal 52 4 4" xfId="6352" xr:uid="{41C67D04-1181-4CBB-A852-3CD120424A05}"/>
    <cellStyle name="Normal 52 4_DEO ADIT Unprotected" xfId="3542" xr:uid="{D9AECF82-CFD9-483E-8BB4-DC46286D04C4}"/>
    <cellStyle name="Normal 52 5" xfId="2252" xr:uid="{00000000-0005-0000-0000-0000A2060000}"/>
    <cellStyle name="Normal 52 5 2" xfId="5502" xr:uid="{07C0A0E9-2955-4470-AF5E-ED7116AAF426}"/>
    <cellStyle name="Normal 52 5 2 2" xfId="8882" xr:uid="{08EBE46D-52ED-4F06-BD8E-F17F03B58CC0}"/>
    <cellStyle name="Normal 52 5 3" xfId="7182" xr:uid="{BDCE55C1-F428-41BB-85AA-22B74CEB4C35}"/>
    <cellStyle name="Normal 52 5_DEO ADIT Unprotected" xfId="3544" xr:uid="{12EE938F-58A9-4F95-82B7-5F673C7FDAB6}"/>
    <cellStyle name="Normal 52 6" xfId="4665" xr:uid="{15CEF1B0-2516-47A3-B4FC-466638F82C87}"/>
    <cellStyle name="Normal 52 6 2" xfId="8045" xr:uid="{C981F792-C161-400E-9F45-9D5985CDC88B}"/>
    <cellStyle name="Normal 52 7" xfId="6345" xr:uid="{F5F142C6-713A-452B-AF80-9795A63A6138}"/>
    <cellStyle name="Normal 52_DEO ADIT Unprotected" xfId="3529" xr:uid="{28E0426D-5F35-4773-86C8-1A1E2FB536F1}"/>
    <cellStyle name="Normal 53" xfId="1346" xr:uid="{00000000-0005-0000-0000-0000A3060000}"/>
    <cellStyle name="Normal 53 2" xfId="1347" xr:uid="{00000000-0005-0000-0000-0000A4060000}"/>
    <cellStyle name="Normal 53 2 2" xfId="1348" xr:uid="{00000000-0005-0000-0000-0000A5060000}"/>
    <cellStyle name="Normal 53 2 2 2" xfId="1349" xr:uid="{00000000-0005-0000-0000-0000A6060000}"/>
    <cellStyle name="Normal 53 2 2 2 2" xfId="2263" xr:uid="{00000000-0005-0000-0000-0000A7060000}"/>
    <cellStyle name="Normal 53 2 2 2 2 2" xfId="5513" xr:uid="{9E622956-5AD4-43BB-B926-66C52C1689F4}"/>
    <cellStyle name="Normal 53 2 2 2 2 2 2" xfId="8893" xr:uid="{082E8105-B147-46E7-9152-A7E7D6976710}"/>
    <cellStyle name="Normal 53 2 2 2 2 3" xfId="7193" xr:uid="{7B60DDE8-535E-4EF6-A45D-945B4A31CE98}"/>
    <cellStyle name="Normal 53 2 2 2 2_DEO ADIT Unprotected" xfId="3549" xr:uid="{12EB17BE-D872-4A67-9472-6B0CED6F8E24}"/>
    <cellStyle name="Normal 53 2 2 2 3" xfId="4676" xr:uid="{27D703CE-86E8-41FC-A73A-7148579754A8}"/>
    <cellStyle name="Normal 53 2 2 2 3 2" xfId="8056" xr:uid="{D2344558-9068-4645-A55E-AF26F5E19FAB}"/>
    <cellStyle name="Normal 53 2 2 2 4" xfId="6356" xr:uid="{8D9A8348-0745-4D4A-9495-88839CD8883B}"/>
    <cellStyle name="Normal 53 2 2 2_DEO ADIT Unprotected" xfId="3548" xr:uid="{890C4709-B98F-49AF-BA2B-217D0CEEC13F}"/>
    <cellStyle name="Normal 53 2 2 3" xfId="2262" xr:uid="{00000000-0005-0000-0000-0000A8060000}"/>
    <cellStyle name="Normal 53 2 2 3 2" xfId="5512" xr:uid="{C2156D4F-E824-4895-AB8B-5CF0DF550C3D}"/>
    <cellStyle name="Normal 53 2 2 3 2 2" xfId="8892" xr:uid="{68DA540D-CC48-486E-9BB6-0AF92726EDBE}"/>
    <cellStyle name="Normal 53 2 2 3 3" xfId="7192" xr:uid="{A547E686-4642-42FF-8490-505C8950955F}"/>
    <cellStyle name="Normal 53 2 2 3_DEO ADIT Unprotected" xfId="3550" xr:uid="{BDB6B5DD-BC49-412B-9C67-C90A2FBDEF01}"/>
    <cellStyle name="Normal 53 2 2 4" xfId="4675" xr:uid="{95943725-97CB-4948-8510-BC2C47D1D4A6}"/>
    <cellStyle name="Normal 53 2 2 4 2" xfId="8055" xr:uid="{59E0675E-591E-4989-A87F-4ABB2DD304ED}"/>
    <cellStyle name="Normal 53 2 2 5" xfId="6355" xr:uid="{5D9A4F5E-7D21-4BB5-BA1C-6456BF967963}"/>
    <cellStyle name="Normal 53 2 2_DEO ADIT Unprotected" xfId="3547" xr:uid="{9E03FD27-33C3-43CF-BD55-A3D71A02AD26}"/>
    <cellStyle name="Normal 53 2 3" xfId="1350" xr:uid="{00000000-0005-0000-0000-0000A9060000}"/>
    <cellStyle name="Normal 53 2 3 2" xfId="2264" xr:uid="{00000000-0005-0000-0000-0000AA060000}"/>
    <cellStyle name="Normal 53 2 3 2 2" xfId="5514" xr:uid="{37A8AE05-339B-4638-B839-725397EE76FD}"/>
    <cellStyle name="Normal 53 2 3 2 2 2" xfId="8894" xr:uid="{125475D8-5C04-4757-8B36-C6AEDEE2D4A1}"/>
    <cellStyle name="Normal 53 2 3 2 3" xfId="7194" xr:uid="{F1288447-E849-4FC7-9954-45E11A5D2EBA}"/>
    <cellStyle name="Normal 53 2 3 2_DEO ADIT Unprotected" xfId="3552" xr:uid="{AA9ECA92-4858-4E9E-8ED5-5061BB23AEFB}"/>
    <cellStyle name="Normal 53 2 3 3" xfId="4677" xr:uid="{4B5C81AE-2335-42A0-89ED-1CB061B1F1FF}"/>
    <cellStyle name="Normal 53 2 3 3 2" xfId="8057" xr:uid="{F2DE759A-DC1C-47A3-AD16-83DDC10FBA81}"/>
    <cellStyle name="Normal 53 2 3 4" xfId="6357" xr:uid="{F6ED333B-82CF-42EF-BFC4-40BBBDAA6786}"/>
    <cellStyle name="Normal 53 2 3_DEO ADIT Unprotected" xfId="3551" xr:uid="{3905FABD-21B5-4F6B-8783-6D11301C49D6}"/>
    <cellStyle name="Normal 53 2 4" xfId="2261" xr:uid="{00000000-0005-0000-0000-0000AB060000}"/>
    <cellStyle name="Normal 53 2 4 2" xfId="5511" xr:uid="{4B229C96-BCFD-4FC7-B5C4-905967FFAA3B}"/>
    <cellStyle name="Normal 53 2 4 2 2" xfId="8891" xr:uid="{3E27B4D9-0A3D-498E-8874-0B4F87DE052C}"/>
    <cellStyle name="Normal 53 2 4 3" xfId="7191" xr:uid="{F7CE349F-7C69-44DB-A604-E053C5069545}"/>
    <cellStyle name="Normal 53 2 4_DEO ADIT Unprotected" xfId="3553" xr:uid="{3B98972F-4E07-4288-8398-FC443DA9EC8F}"/>
    <cellStyle name="Normal 53 2 5" xfId="4674" xr:uid="{E99624F8-4B9F-4443-8DB6-8961B4736A6B}"/>
    <cellStyle name="Normal 53 2 5 2" xfId="8054" xr:uid="{5A721941-B29F-4948-98A8-481CEB7B9A35}"/>
    <cellStyle name="Normal 53 2 6" xfId="6354" xr:uid="{34EFC571-5A56-43F4-B81F-1558215844A1}"/>
    <cellStyle name="Normal 53 2_DEO ADIT Unprotected" xfId="3546" xr:uid="{B48D80EE-0DFF-4D77-99F6-A7153CCB6538}"/>
    <cellStyle name="Normal 53 3" xfId="1351" xr:uid="{00000000-0005-0000-0000-0000AC060000}"/>
    <cellStyle name="Normal 53 3 2" xfId="1352" xr:uid="{00000000-0005-0000-0000-0000AD060000}"/>
    <cellStyle name="Normal 53 3 2 2" xfId="2266" xr:uid="{00000000-0005-0000-0000-0000AE060000}"/>
    <cellStyle name="Normal 53 3 2 2 2" xfId="5516" xr:uid="{5E0C374A-0EBF-4FFE-AFE4-54EB9289364E}"/>
    <cellStyle name="Normal 53 3 2 2 2 2" xfId="8896" xr:uid="{24173011-9DF3-4B33-A0B7-7947DB7C8C9D}"/>
    <cellStyle name="Normal 53 3 2 2 3" xfId="7196" xr:uid="{926462C3-0443-4F23-8298-ADA381B35E81}"/>
    <cellStyle name="Normal 53 3 2 2_DEO ADIT Unprotected" xfId="3556" xr:uid="{2BC6860C-AF8C-4683-9BA4-EADCB5FC98AA}"/>
    <cellStyle name="Normal 53 3 2 3" xfId="4679" xr:uid="{32868603-1109-4243-A070-832A701EE2ED}"/>
    <cellStyle name="Normal 53 3 2 3 2" xfId="8059" xr:uid="{6E8E2FE9-B589-41D7-8A9F-D2E10E3D7951}"/>
    <cellStyle name="Normal 53 3 2 4" xfId="6359" xr:uid="{AF50B652-467A-4957-9A38-FC7C4BCB1BA8}"/>
    <cellStyle name="Normal 53 3 2_DEO ADIT Unprotected" xfId="3555" xr:uid="{4D426882-9B7B-42ED-8965-AF7E453AC1BA}"/>
    <cellStyle name="Normal 53 3 3" xfId="2265" xr:uid="{00000000-0005-0000-0000-0000AF060000}"/>
    <cellStyle name="Normal 53 3 3 2" xfId="5515" xr:uid="{235F7BB6-2EFD-498F-AD8A-7AEA6A89D94C}"/>
    <cellStyle name="Normal 53 3 3 2 2" xfId="8895" xr:uid="{32F3E3DE-FFA4-412A-8F81-1B3C954745F0}"/>
    <cellStyle name="Normal 53 3 3 3" xfId="7195" xr:uid="{05F90323-E13D-4DB8-87CA-F3C2CA8B05AD}"/>
    <cellStyle name="Normal 53 3 3_DEO ADIT Unprotected" xfId="3557" xr:uid="{F099F1AF-D6C2-4D7C-9B07-85492087D431}"/>
    <cellStyle name="Normal 53 3 4" xfId="4678" xr:uid="{A1E5F4A2-C37D-41DC-B791-2F4F1A3D2229}"/>
    <cellStyle name="Normal 53 3 4 2" xfId="8058" xr:uid="{E3B8D354-0AEB-4EE6-9BDA-DC57BF88C2A1}"/>
    <cellStyle name="Normal 53 3 5" xfId="6358" xr:uid="{4C83F1A2-8FC0-4D42-B4FB-8C7690001461}"/>
    <cellStyle name="Normal 53 3_DEO ADIT Unprotected" xfId="3554" xr:uid="{09D052DB-0615-4965-9D9A-1732ED7FB864}"/>
    <cellStyle name="Normal 53 4" xfId="1353" xr:uid="{00000000-0005-0000-0000-0000B0060000}"/>
    <cellStyle name="Normal 53 4 2" xfId="2267" xr:uid="{00000000-0005-0000-0000-0000B1060000}"/>
    <cellStyle name="Normal 53 4 2 2" xfId="5517" xr:uid="{C672844F-1982-440D-976B-AB96C6CA29A7}"/>
    <cellStyle name="Normal 53 4 2 2 2" xfId="8897" xr:uid="{24974755-D97B-46B2-819A-A89A42F22324}"/>
    <cellStyle name="Normal 53 4 2 3" xfId="7197" xr:uid="{E89E926C-35B7-463F-8561-6AB6FF456F1B}"/>
    <cellStyle name="Normal 53 4 2_DEO ADIT Unprotected" xfId="3559" xr:uid="{C31EFB94-4585-4269-90C6-B64E41BD47E3}"/>
    <cellStyle name="Normal 53 4 3" xfId="4680" xr:uid="{811197E6-1C0E-4D06-84F9-07DC3A12801B}"/>
    <cellStyle name="Normal 53 4 3 2" xfId="8060" xr:uid="{F267D219-6C13-406C-B617-BD848F5D2891}"/>
    <cellStyle name="Normal 53 4 4" xfId="6360" xr:uid="{C650B302-84CD-4D07-822B-16F89C98DBDC}"/>
    <cellStyle name="Normal 53 4_DEO ADIT Unprotected" xfId="3558" xr:uid="{3348C970-EF8E-477F-9639-D062B73C9E5D}"/>
    <cellStyle name="Normal 53 5" xfId="2260" xr:uid="{00000000-0005-0000-0000-0000B2060000}"/>
    <cellStyle name="Normal 53 5 2" xfId="5510" xr:uid="{8BF7C4D1-FD4F-4C5C-9CFB-E80787E0E736}"/>
    <cellStyle name="Normal 53 5 2 2" xfId="8890" xr:uid="{72C6CCF1-6D85-49F1-A75E-A641D38B0CF7}"/>
    <cellStyle name="Normal 53 5 3" xfId="7190" xr:uid="{6A667FFF-5D92-4433-BD7F-6B26303BBE4C}"/>
    <cellStyle name="Normal 53 5_DEO ADIT Unprotected" xfId="3560" xr:uid="{043BF131-CBB2-49E5-8BB6-1427854E9640}"/>
    <cellStyle name="Normal 53 6" xfId="4673" xr:uid="{158DEACC-DA2F-464E-A46B-54E34413AFEF}"/>
    <cellStyle name="Normal 53 6 2" xfId="8053" xr:uid="{7E4B26B5-CC0E-4AA9-AE91-38E93324DD06}"/>
    <cellStyle name="Normal 53 7" xfId="6353" xr:uid="{B490787E-DB61-46F1-958E-FF709B703C25}"/>
    <cellStyle name="Normal 53_DEO ADIT Unprotected" xfId="3545" xr:uid="{1998FB2C-98EB-4CFC-8FA6-32BA0F97C47D}"/>
    <cellStyle name="Normal 54" xfId="1354" xr:uid="{00000000-0005-0000-0000-0000B3060000}"/>
    <cellStyle name="Normal 54 2" xfId="1355" xr:uid="{00000000-0005-0000-0000-0000B4060000}"/>
    <cellStyle name="Normal 54 2 2" xfId="1356" xr:uid="{00000000-0005-0000-0000-0000B5060000}"/>
    <cellStyle name="Normal 54 2 2 2" xfId="1357" xr:uid="{00000000-0005-0000-0000-0000B6060000}"/>
    <cellStyle name="Normal 54 2 2 2 2" xfId="2271" xr:uid="{00000000-0005-0000-0000-0000B7060000}"/>
    <cellStyle name="Normal 54 2 2 2 2 2" xfId="5521" xr:uid="{C83B169A-C22C-42AD-8A88-70BD1A9756D8}"/>
    <cellStyle name="Normal 54 2 2 2 2 2 2" xfId="8901" xr:uid="{B8DEEDD6-24AF-4B61-BFE7-ACC78208567B}"/>
    <cellStyle name="Normal 54 2 2 2 2 3" xfId="7201" xr:uid="{9190E965-EA6E-45E0-AA81-F6F39FF2D659}"/>
    <cellStyle name="Normal 54 2 2 2 2_DEO ADIT Unprotected" xfId="3565" xr:uid="{7599F0D5-B3E9-4F22-AB2D-74AC9E558985}"/>
    <cellStyle name="Normal 54 2 2 2 3" xfId="4684" xr:uid="{17802577-65B0-4AD4-8BA1-B019D9D9F0BB}"/>
    <cellStyle name="Normal 54 2 2 2 3 2" xfId="8064" xr:uid="{7C752589-D483-49A1-89C3-C6E943B152D2}"/>
    <cellStyle name="Normal 54 2 2 2 4" xfId="6364" xr:uid="{664FB4B4-10D8-4BD8-B34B-955104CAFEBD}"/>
    <cellStyle name="Normal 54 2 2 2_DEO ADIT Unprotected" xfId="3564" xr:uid="{4BE7902F-A48D-480C-94CB-256BF3D7F0C4}"/>
    <cellStyle name="Normal 54 2 2 3" xfId="2270" xr:uid="{00000000-0005-0000-0000-0000B8060000}"/>
    <cellStyle name="Normal 54 2 2 3 2" xfId="5520" xr:uid="{3111FB93-37CF-4C68-88DA-3405BFEDC787}"/>
    <cellStyle name="Normal 54 2 2 3 2 2" xfId="8900" xr:uid="{EF640645-9622-4239-92A8-C08F7C83394C}"/>
    <cellStyle name="Normal 54 2 2 3 3" xfId="7200" xr:uid="{AD0761AE-2846-4B7D-ACB3-97EEE88044BC}"/>
    <cellStyle name="Normal 54 2 2 3_DEO ADIT Unprotected" xfId="3566" xr:uid="{E51D5B24-F2C6-4FA5-9AA2-9E4D80151A45}"/>
    <cellStyle name="Normal 54 2 2 4" xfId="4683" xr:uid="{FA46F2B3-5BED-4D7F-B3FD-53FEBC8958BA}"/>
    <cellStyle name="Normal 54 2 2 4 2" xfId="8063" xr:uid="{A8E407DB-5B7B-416C-98FD-A0030923C6B4}"/>
    <cellStyle name="Normal 54 2 2 5" xfId="6363" xr:uid="{AB9186A4-453B-4465-A6FF-A3B44243514F}"/>
    <cellStyle name="Normal 54 2 2_DEO ADIT Unprotected" xfId="3563" xr:uid="{0FA3DF33-0BB1-4BBF-B711-CB47C8039BD4}"/>
    <cellStyle name="Normal 54 2 3" xfId="1358" xr:uid="{00000000-0005-0000-0000-0000B9060000}"/>
    <cellStyle name="Normal 54 2 3 2" xfId="2272" xr:uid="{00000000-0005-0000-0000-0000BA060000}"/>
    <cellStyle name="Normal 54 2 3 2 2" xfId="5522" xr:uid="{E299E4A7-1A39-4295-B9D9-5FB7B488065B}"/>
    <cellStyle name="Normal 54 2 3 2 2 2" xfId="8902" xr:uid="{EC1E5F24-2944-4068-B0AD-C422FEF23E9C}"/>
    <cellStyle name="Normal 54 2 3 2 3" xfId="7202" xr:uid="{19506342-D10C-48EA-9F16-42352487E485}"/>
    <cellStyle name="Normal 54 2 3 2_DEO ADIT Unprotected" xfId="3568" xr:uid="{AA341EB4-854C-4E04-A776-9F551C03BA77}"/>
    <cellStyle name="Normal 54 2 3 3" xfId="4685" xr:uid="{DBA7FDB9-8D7E-4733-95C8-D0B543527637}"/>
    <cellStyle name="Normal 54 2 3 3 2" xfId="8065" xr:uid="{276F315F-DA00-474B-8E38-92FE5DEC2A03}"/>
    <cellStyle name="Normal 54 2 3 4" xfId="6365" xr:uid="{5C64FA00-9141-4FD5-A391-1ECF87CC7555}"/>
    <cellStyle name="Normal 54 2 3_DEO ADIT Unprotected" xfId="3567" xr:uid="{47C5A543-902C-406F-961F-33E6D0DF5AA7}"/>
    <cellStyle name="Normal 54 2 4" xfId="2269" xr:uid="{00000000-0005-0000-0000-0000BB060000}"/>
    <cellStyle name="Normal 54 2 4 2" xfId="5519" xr:uid="{14652D85-2D66-4A7D-870F-6C20DA01BE2E}"/>
    <cellStyle name="Normal 54 2 4 2 2" xfId="8899" xr:uid="{EDBFB555-C865-4EF7-BFA2-00B1A40FF240}"/>
    <cellStyle name="Normal 54 2 4 3" xfId="7199" xr:uid="{91904D2D-5D67-4F48-8D52-9BFAE66F0165}"/>
    <cellStyle name="Normal 54 2 4_DEO ADIT Unprotected" xfId="3569" xr:uid="{76A4945A-1325-4067-885E-5A1B87D92365}"/>
    <cellStyle name="Normal 54 2 5" xfId="4682" xr:uid="{37C8B667-14CB-49AB-A5EE-1603BE01EA1D}"/>
    <cellStyle name="Normal 54 2 5 2" xfId="8062" xr:uid="{93D34A27-4980-4E52-B2F2-01EFF1E1B9F3}"/>
    <cellStyle name="Normal 54 2 6" xfId="6362" xr:uid="{8672DE55-ED2F-4EEF-A4C3-0D185A57BC0D}"/>
    <cellStyle name="Normal 54 2_DEO ADIT Unprotected" xfId="3562" xr:uid="{1FD5374E-5501-42BE-B6FC-D7612EC8BEF6}"/>
    <cellStyle name="Normal 54 3" xfId="1359" xr:uid="{00000000-0005-0000-0000-0000BC060000}"/>
    <cellStyle name="Normal 54 3 2" xfId="1360" xr:uid="{00000000-0005-0000-0000-0000BD060000}"/>
    <cellStyle name="Normal 54 3 2 2" xfId="2274" xr:uid="{00000000-0005-0000-0000-0000BE060000}"/>
    <cellStyle name="Normal 54 3 2 2 2" xfId="5524" xr:uid="{E1510F73-5ED7-42F3-B12D-705976EB3A4D}"/>
    <cellStyle name="Normal 54 3 2 2 2 2" xfId="8904" xr:uid="{A28EB4A9-4210-4A54-AF36-A1F397B17A92}"/>
    <cellStyle name="Normal 54 3 2 2 3" xfId="7204" xr:uid="{88074096-F4E3-445F-BD41-989C30F52611}"/>
    <cellStyle name="Normal 54 3 2 2_DEO ADIT Unprotected" xfId="3572" xr:uid="{1CA7A3A3-B217-46AD-A087-2E370E1EE5B8}"/>
    <cellStyle name="Normal 54 3 2 3" xfId="4687" xr:uid="{F4C77E8D-91B4-4CDD-9051-BBA6D99A7BDC}"/>
    <cellStyle name="Normal 54 3 2 3 2" xfId="8067" xr:uid="{77CB1EF5-4F32-4A2E-8C05-6894E5841A63}"/>
    <cellStyle name="Normal 54 3 2 4" xfId="6367" xr:uid="{2DDB7BC9-6665-478F-996C-2EC70930BCEA}"/>
    <cellStyle name="Normal 54 3 2_DEO ADIT Unprotected" xfId="3571" xr:uid="{4ADE8B59-BDC9-4370-8447-4ABAA1085ABF}"/>
    <cellStyle name="Normal 54 3 3" xfId="2273" xr:uid="{00000000-0005-0000-0000-0000BF060000}"/>
    <cellStyle name="Normal 54 3 3 2" xfId="5523" xr:uid="{30C8A5AE-8A7B-4300-A51D-745D48B5C762}"/>
    <cellStyle name="Normal 54 3 3 2 2" xfId="8903" xr:uid="{E53E09C3-BAE1-41C6-A08E-4B81FCF8D5D6}"/>
    <cellStyle name="Normal 54 3 3 3" xfId="7203" xr:uid="{202B1C09-8CAE-460E-924E-709508426A82}"/>
    <cellStyle name="Normal 54 3 3_DEO ADIT Unprotected" xfId="3573" xr:uid="{27465526-E7D0-45BC-8116-40CC8DB7F7C8}"/>
    <cellStyle name="Normal 54 3 4" xfId="4686" xr:uid="{C0EAEF7E-6102-47A2-828E-F6AA50F81B70}"/>
    <cellStyle name="Normal 54 3 4 2" xfId="8066" xr:uid="{0E79B1AD-B740-45D8-8A9C-C8294BBC3EDC}"/>
    <cellStyle name="Normal 54 3 5" xfId="6366" xr:uid="{9F912BA0-8737-4B9E-97B3-B6025C407140}"/>
    <cellStyle name="Normal 54 3_DEO ADIT Unprotected" xfId="3570" xr:uid="{17ACCC39-D6D2-4C7B-801C-F1BD3E2192CD}"/>
    <cellStyle name="Normal 54 4" xfId="1361" xr:uid="{00000000-0005-0000-0000-0000C0060000}"/>
    <cellStyle name="Normal 54 4 2" xfId="2275" xr:uid="{00000000-0005-0000-0000-0000C1060000}"/>
    <cellStyle name="Normal 54 4 2 2" xfId="5525" xr:uid="{710DB599-101B-47F1-8975-DEBD167C1B46}"/>
    <cellStyle name="Normal 54 4 2 2 2" xfId="8905" xr:uid="{1CA221B5-6CB7-4F9E-9C0B-B9ED2F6C686A}"/>
    <cellStyle name="Normal 54 4 2 3" xfId="7205" xr:uid="{DBA66845-BDA8-4390-B8F8-8272CC959FFC}"/>
    <cellStyle name="Normal 54 4 2_DEO ADIT Unprotected" xfId="3575" xr:uid="{CADDD995-2672-4100-A1E5-5DBBEE793C65}"/>
    <cellStyle name="Normal 54 4 3" xfId="4688" xr:uid="{2ED436AE-BE79-4F9F-A125-E17327B48DE7}"/>
    <cellStyle name="Normal 54 4 3 2" xfId="8068" xr:uid="{B74F5E95-1B5A-4239-8A42-AFFEAF423DA2}"/>
    <cellStyle name="Normal 54 4 4" xfId="6368" xr:uid="{275D852B-0172-43C6-8C02-6E0634B35DF4}"/>
    <cellStyle name="Normal 54 4_DEO ADIT Unprotected" xfId="3574" xr:uid="{718CC9DA-65FA-4EE5-AAFA-5E8CC99E61AE}"/>
    <cellStyle name="Normal 54 5" xfId="2268" xr:uid="{00000000-0005-0000-0000-0000C2060000}"/>
    <cellStyle name="Normal 54 5 2" xfId="5518" xr:uid="{CB487BAA-7A36-4CC4-AB29-93849F954669}"/>
    <cellStyle name="Normal 54 5 2 2" xfId="8898" xr:uid="{74B64140-5305-48D2-85BB-A2B19D691FD8}"/>
    <cellStyle name="Normal 54 5 3" xfId="7198" xr:uid="{BDD7695E-965A-490A-8ADD-343B484379E3}"/>
    <cellStyle name="Normal 54 5_DEO ADIT Unprotected" xfId="3576" xr:uid="{CBAA69E9-018B-40E9-85D9-0805EFB692BF}"/>
    <cellStyle name="Normal 54 6" xfId="4681" xr:uid="{A5206058-63D4-4C60-8E33-8C9E49E27251}"/>
    <cellStyle name="Normal 54 6 2" xfId="8061" xr:uid="{6F177EB2-776D-4F65-8150-57E885E1715C}"/>
    <cellStyle name="Normal 54 7" xfId="6361" xr:uid="{2B0A4C19-29C0-45E2-9F26-C41C40F8F88B}"/>
    <cellStyle name="Normal 54_DEO ADIT Unprotected" xfId="3561" xr:uid="{C18D3CD3-F92A-4ED6-BD82-DCBD91642F81}"/>
    <cellStyle name="Normal 55" xfId="1362" xr:uid="{00000000-0005-0000-0000-0000C3060000}"/>
    <cellStyle name="Normal 55 2" xfId="1363" xr:uid="{00000000-0005-0000-0000-0000C4060000}"/>
    <cellStyle name="Normal 55 2 2" xfId="1364" xr:uid="{00000000-0005-0000-0000-0000C5060000}"/>
    <cellStyle name="Normal 55 2 2 2" xfId="1365" xr:uid="{00000000-0005-0000-0000-0000C6060000}"/>
    <cellStyle name="Normal 55 2 2 2 2" xfId="2279" xr:uid="{00000000-0005-0000-0000-0000C7060000}"/>
    <cellStyle name="Normal 55 2 2 2 2 2" xfId="5529" xr:uid="{2A4E5079-C0DE-475C-83D1-01518466E969}"/>
    <cellStyle name="Normal 55 2 2 2 2 2 2" xfId="8909" xr:uid="{3FE784DF-3155-47AC-BDA9-A585C42251C2}"/>
    <cellStyle name="Normal 55 2 2 2 2 3" xfId="7209" xr:uid="{A5D63013-EB2F-415E-9889-67E08297F9BA}"/>
    <cellStyle name="Normal 55 2 2 2 2_DEO ADIT Unprotected" xfId="3581" xr:uid="{77A9194B-774D-45D4-BFC7-BCE4447A1E50}"/>
    <cellStyle name="Normal 55 2 2 2 3" xfId="4692" xr:uid="{577CBCC9-A1E3-4BC3-BDD8-EF837F70A5D7}"/>
    <cellStyle name="Normal 55 2 2 2 3 2" xfId="8072" xr:uid="{278A90F2-B0CA-4906-A57C-F5B13C27A2A9}"/>
    <cellStyle name="Normal 55 2 2 2 4" xfId="6372" xr:uid="{C19BF178-DE31-4380-9DEC-C0977C07E7CF}"/>
    <cellStyle name="Normal 55 2 2 2_DEO ADIT Unprotected" xfId="3580" xr:uid="{C91F210A-3649-46C0-B494-685066263269}"/>
    <cellStyle name="Normal 55 2 2 3" xfId="2278" xr:uid="{00000000-0005-0000-0000-0000C8060000}"/>
    <cellStyle name="Normal 55 2 2 3 2" xfId="5528" xr:uid="{FD13F9DC-061B-40AE-AA26-A652770C4023}"/>
    <cellStyle name="Normal 55 2 2 3 2 2" xfId="8908" xr:uid="{AB67B16C-F190-4D0D-B7BB-E9370FD360A2}"/>
    <cellStyle name="Normal 55 2 2 3 3" xfId="7208" xr:uid="{87138089-D634-4593-B6F2-4177ECE13673}"/>
    <cellStyle name="Normal 55 2 2 3_DEO ADIT Unprotected" xfId="3582" xr:uid="{06FB90A8-C680-46A5-A15A-783868D3276B}"/>
    <cellStyle name="Normal 55 2 2 4" xfId="4691" xr:uid="{AF5B0440-1EDE-4885-90DE-081FB77D8AE0}"/>
    <cellStyle name="Normal 55 2 2 4 2" xfId="8071" xr:uid="{2B87F39E-1E9B-4AC7-8E0C-AED70AF0CEF0}"/>
    <cellStyle name="Normal 55 2 2 5" xfId="6371" xr:uid="{4FD9DB45-9F83-4198-8E04-7FE38D4FEB99}"/>
    <cellStyle name="Normal 55 2 2_DEO ADIT Unprotected" xfId="3579" xr:uid="{58822E5A-32A0-4FC0-B357-5E7B7A825F39}"/>
    <cellStyle name="Normal 55 2 3" xfId="1366" xr:uid="{00000000-0005-0000-0000-0000C9060000}"/>
    <cellStyle name="Normal 55 2 3 2" xfId="2280" xr:uid="{00000000-0005-0000-0000-0000CA060000}"/>
    <cellStyle name="Normal 55 2 3 2 2" xfId="5530" xr:uid="{11F73754-343E-41BB-9E0E-6341E18C5810}"/>
    <cellStyle name="Normal 55 2 3 2 2 2" xfId="8910" xr:uid="{96CEDC96-8EE8-4C77-B092-6D3DACF731D9}"/>
    <cellStyle name="Normal 55 2 3 2 3" xfId="7210" xr:uid="{292E010F-F002-436D-8D9B-BFF6D151D85E}"/>
    <cellStyle name="Normal 55 2 3 2_DEO ADIT Unprotected" xfId="3584" xr:uid="{31DAE249-7371-4830-A167-8607066192E4}"/>
    <cellStyle name="Normal 55 2 3 3" xfId="4693" xr:uid="{39860B39-7168-4313-957C-AA0F5633B77F}"/>
    <cellStyle name="Normal 55 2 3 3 2" xfId="8073" xr:uid="{90C6C4A0-325F-4168-AC25-4C00391488E8}"/>
    <cellStyle name="Normal 55 2 3 4" xfId="6373" xr:uid="{60260110-DC77-4440-9919-62882D7442E5}"/>
    <cellStyle name="Normal 55 2 3_DEO ADIT Unprotected" xfId="3583" xr:uid="{5E09DC00-EF44-416B-8E22-7158D984EF58}"/>
    <cellStyle name="Normal 55 2 4" xfId="2277" xr:uid="{00000000-0005-0000-0000-0000CB060000}"/>
    <cellStyle name="Normal 55 2 4 2" xfId="5527" xr:uid="{E11E8EB8-66A3-4210-B0E1-1247EACFC6A2}"/>
    <cellStyle name="Normal 55 2 4 2 2" xfId="8907" xr:uid="{00F139DF-56FE-440D-8674-43DABB2B6604}"/>
    <cellStyle name="Normal 55 2 4 3" xfId="7207" xr:uid="{300C68A9-8B85-48C0-889A-90534D0B1F5F}"/>
    <cellStyle name="Normal 55 2 4_DEO ADIT Unprotected" xfId="3585" xr:uid="{E2DA5F40-B588-41AB-AC5B-B5D5BBBD745E}"/>
    <cellStyle name="Normal 55 2 5" xfId="4690" xr:uid="{426E8F54-5812-42B4-80FC-1F6ED64189D9}"/>
    <cellStyle name="Normal 55 2 5 2" xfId="8070" xr:uid="{EEB76376-4A62-4442-B46B-5F7E30069BD1}"/>
    <cellStyle name="Normal 55 2 6" xfId="6370" xr:uid="{D77E9362-1408-4920-8915-5E5D9563F60D}"/>
    <cellStyle name="Normal 55 2_DEO ADIT Unprotected" xfId="3578" xr:uid="{40E73147-25FB-495C-B837-72484D01553E}"/>
    <cellStyle name="Normal 55 3" xfId="1367" xr:uid="{00000000-0005-0000-0000-0000CC060000}"/>
    <cellStyle name="Normal 55 3 2" xfId="1368" xr:uid="{00000000-0005-0000-0000-0000CD060000}"/>
    <cellStyle name="Normal 55 3 2 2" xfId="2282" xr:uid="{00000000-0005-0000-0000-0000CE060000}"/>
    <cellStyle name="Normal 55 3 2 2 2" xfId="5532" xr:uid="{704DC31F-B7C3-423A-95EF-0B284E3304FF}"/>
    <cellStyle name="Normal 55 3 2 2 2 2" xfId="8912" xr:uid="{08065816-1E96-428A-97BF-680A1204A05D}"/>
    <cellStyle name="Normal 55 3 2 2 3" xfId="7212" xr:uid="{72B779E4-88A0-4426-9626-A0715754ED6F}"/>
    <cellStyle name="Normal 55 3 2 2_DEO ADIT Unprotected" xfId="3588" xr:uid="{2B56DB20-DC20-4096-8342-F2C67A762E50}"/>
    <cellStyle name="Normal 55 3 2 3" xfId="4695" xr:uid="{8D336F3C-21F1-4A67-A1FB-EC83ECBA7371}"/>
    <cellStyle name="Normal 55 3 2 3 2" xfId="8075" xr:uid="{6BF78C46-9594-4276-AD2E-F87919D4954B}"/>
    <cellStyle name="Normal 55 3 2 4" xfId="6375" xr:uid="{2EFF0D25-55B5-4033-9FA1-278EBB06D898}"/>
    <cellStyle name="Normal 55 3 2_DEO ADIT Unprotected" xfId="3587" xr:uid="{83FA4C97-2D3D-4589-A3F3-86E0001C94FE}"/>
    <cellStyle name="Normal 55 3 3" xfId="2281" xr:uid="{00000000-0005-0000-0000-0000CF060000}"/>
    <cellStyle name="Normal 55 3 3 2" xfId="5531" xr:uid="{0A8CFE84-AB9C-4787-B6B0-72158B1CDB3B}"/>
    <cellStyle name="Normal 55 3 3 2 2" xfId="8911" xr:uid="{C1080752-4931-4055-B3CF-6C5B5B8321C2}"/>
    <cellStyle name="Normal 55 3 3 3" xfId="7211" xr:uid="{4D2DB321-3004-49AB-BCDC-475AD0200B9E}"/>
    <cellStyle name="Normal 55 3 3_DEO ADIT Unprotected" xfId="3589" xr:uid="{4D70F040-0C7F-4DB2-A661-02CF1F6A003A}"/>
    <cellStyle name="Normal 55 3 4" xfId="4694" xr:uid="{99A73B24-4DA6-46E1-BF55-7D92B665867C}"/>
    <cellStyle name="Normal 55 3 4 2" xfId="8074" xr:uid="{D34352A5-280E-42E5-8CEA-C4B6384C845F}"/>
    <cellStyle name="Normal 55 3 5" xfId="6374" xr:uid="{310A3F73-A657-451A-9801-0BDB8917BB18}"/>
    <cellStyle name="Normal 55 3_DEO ADIT Unprotected" xfId="3586" xr:uid="{C784036F-8BE7-46C2-8F36-D64EF43069BB}"/>
    <cellStyle name="Normal 55 4" xfId="1369" xr:uid="{00000000-0005-0000-0000-0000D0060000}"/>
    <cellStyle name="Normal 55 4 2" xfId="2283" xr:uid="{00000000-0005-0000-0000-0000D1060000}"/>
    <cellStyle name="Normal 55 4 2 2" xfId="5533" xr:uid="{4D7DDA42-1463-417A-861E-66204EAD4A98}"/>
    <cellStyle name="Normal 55 4 2 2 2" xfId="8913" xr:uid="{36A2B2C2-EF26-49DD-A13D-1B7C2586A90A}"/>
    <cellStyle name="Normal 55 4 2 3" xfId="7213" xr:uid="{AA2FF7D7-B1E6-4D55-B69A-5A5C47EF8863}"/>
    <cellStyle name="Normal 55 4 2_DEO ADIT Unprotected" xfId="3591" xr:uid="{49494841-5888-4EA5-9513-B1425370499A}"/>
    <cellStyle name="Normal 55 4 3" xfId="4696" xr:uid="{FCC80730-0322-44D6-85ED-A95D4CFA9130}"/>
    <cellStyle name="Normal 55 4 3 2" xfId="8076" xr:uid="{DD5542E7-A356-44ED-B9C9-8D35FFAAE7CE}"/>
    <cellStyle name="Normal 55 4 4" xfId="6376" xr:uid="{37D60226-4E0C-4638-85CA-66F38E447314}"/>
    <cellStyle name="Normal 55 4_DEO ADIT Unprotected" xfId="3590" xr:uid="{38AE03F5-34B3-4F56-A177-E52EE9409C1E}"/>
    <cellStyle name="Normal 55 5" xfId="2276" xr:uid="{00000000-0005-0000-0000-0000D2060000}"/>
    <cellStyle name="Normal 55 5 2" xfId="5526" xr:uid="{7B64167C-F34D-4368-A805-8913B84CA136}"/>
    <cellStyle name="Normal 55 5 2 2" xfId="8906" xr:uid="{2F3F893D-24B5-48FE-B5FC-193576C25433}"/>
    <cellStyle name="Normal 55 5 3" xfId="7206" xr:uid="{126D3DF5-4234-4E11-829A-11A6DE0674CF}"/>
    <cellStyle name="Normal 55 5_DEO ADIT Unprotected" xfId="3592" xr:uid="{A3F5F97C-72DE-4D3B-B699-E21D7F1772D2}"/>
    <cellStyle name="Normal 55 6" xfId="4689" xr:uid="{71DC09F2-EF73-47BD-99E9-F70142709C7C}"/>
    <cellStyle name="Normal 55 6 2" xfId="8069" xr:uid="{EC56FDEF-7FA1-4DFC-9F3B-CEE5DBFF8C39}"/>
    <cellStyle name="Normal 55 7" xfId="6369" xr:uid="{16FB2303-61E8-4767-BF2B-13D228F35C4F}"/>
    <cellStyle name="Normal 55_DEO ADIT Unprotected" xfId="3577" xr:uid="{5935B569-38EA-4CFE-9902-013315CED076}"/>
    <cellStyle name="Normal 56" xfId="1370" xr:uid="{00000000-0005-0000-0000-0000D3060000}"/>
    <cellStyle name="Normal 56 2" xfId="1371" xr:uid="{00000000-0005-0000-0000-0000D4060000}"/>
    <cellStyle name="Normal 56 2 2" xfId="1372" xr:uid="{00000000-0005-0000-0000-0000D5060000}"/>
    <cellStyle name="Normal 56 2 2 2" xfId="1373" xr:uid="{00000000-0005-0000-0000-0000D6060000}"/>
    <cellStyle name="Normal 56 2 2 2 2" xfId="2287" xr:uid="{00000000-0005-0000-0000-0000D7060000}"/>
    <cellStyle name="Normal 56 2 2 2 2 2" xfId="5537" xr:uid="{D7441BB2-0D48-4BDE-A0BB-D0DE4D5B5F03}"/>
    <cellStyle name="Normal 56 2 2 2 2 2 2" xfId="8917" xr:uid="{45964625-B6E1-43FD-9E33-0C629DE882B2}"/>
    <cellStyle name="Normal 56 2 2 2 2 3" xfId="7217" xr:uid="{F91D3ABA-7837-437F-912B-0A125E28AF8D}"/>
    <cellStyle name="Normal 56 2 2 2 2_DEO ADIT Unprotected" xfId="3597" xr:uid="{E03A8C20-4B0F-48FE-A865-81169AFC255D}"/>
    <cellStyle name="Normal 56 2 2 2 3" xfId="4700" xr:uid="{1FBD2E6A-5512-453C-B288-64864DD32EBA}"/>
    <cellStyle name="Normal 56 2 2 2 3 2" xfId="8080" xr:uid="{77B183C6-3B5C-4D92-B2C6-3B59E765FFD5}"/>
    <cellStyle name="Normal 56 2 2 2 4" xfId="6380" xr:uid="{B02EA9E4-E38E-40D4-8CB1-BA9DC50DBBFB}"/>
    <cellStyle name="Normal 56 2 2 2_DEO ADIT Unprotected" xfId="3596" xr:uid="{6E6CEF58-B712-4260-86C2-68A9098881BF}"/>
    <cellStyle name="Normal 56 2 2 3" xfId="2286" xr:uid="{00000000-0005-0000-0000-0000D8060000}"/>
    <cellStyle name="Normal 56 2 2 3 2" xfId="5536" xr:uid="{29DC9BA6-C466-4BED-AA22-029F53035AD1}"/>
    <cellStyle name="Normal 56 2 2 3 2 2" xfId="8916" xr:uid="{75672974-83D8-4C57-9B45-02B481ED4AC8}"/>
    <cellStyle name="Normal 56 2 2 3 3" xfId="7216" xr:uid="{256FBEC6-BAC9-4BF2-9038-1CF9033FCF21}"/>
    <cellStyle name="Normal 56 2 2 3_DEO ADIT Unprotected" xfId="3598" xr:uid="{20F3386F-0D46-4625-BB39-9CF70EE610E5}"/>
    <cellStyle name="Normal 56 2 2 4" xfId="4699" xr:uid="{713A7BA3-FE29-4FD4-BD14-8F6FD9304DA9}"/>
    <cellStyle name="Normal 56 2 2 4 2" xfId="8079" xr:uid="{33FD615C-26D7-44AA-9A94-7301D9CF3AE2}"/>
    <cellStyle name="Normal 56 2 2 5" xfId="6379" xr:uid="{CD4E7BB2-782F-4893-9355-3D5C30E9D9AA}"/>
    <cellStyle name="Normal 56 2 2_DEO ADIT Unprotected" xfId="3595" xr:uid="{19C988C0-BF18-48DC-B9CE-4B252502675C}"/>
    <cellStyle name="Normal 56 2 3" xfId="1374" xr:uid="{00000000-0005-0000-0000-0000D9060000}"/>
    <cellStyle name="Normal 56 2 3 2" xfId="2288" xr:uid="{00000000-0005-0000-0000-0000DA060000}"/>
    <cellStyle name="Normal 56 2 3 2 2" xfId="5538" xr:uid="{7EC3ECCD-BEC7-4472-82DE-4F2A060B0A77}"/>
    <cellStyle name="Normal 56 2 3 2 2 2" xfId="8918" xr:uid="{E54FD747-642B-43DC-907C-564B55D312D3}"/>
    <cellStyle name="Normal 56 2 3 2 3" xfId="7218" xr:uid="{ED8AB6A1-FA42-4E7F-9A57-8EE94FD70A5F}"/>
    <cellStyle name="Normal 56 2 3 2_DEO ADIT Unprotected" xfId="3600" xr:uid="{AFB82B0A-932B-459C-B7D2-45D52937E78C}"/>
    <cellStyle name="Normal 56 2 3 3" xfId="4701" xr:uid="{29010685-D193-4AC2-B129-CDF6400F6940}"/>
    <cellStyle name="Normal 56 2 3 3 2" xfId="8081" xr:uid="{B48A87AE-C783-49DB-9931-7EDF4B6D9D8F}"/>
    <cellStyle name="Normal 56 2 3 4" xfId="6381" xr:uid="{AB934B79-B14D-4647-8EAB-B9785488CC28}"/>
    <cellStyle name="Normal 56 2 3_DEO ADIT Unprotected" xfId="3599" xr:uid="{ABE92111-BDE4-466B-A546-8FDDDC5DA87E}"/>
    <cellStyle name="Normal 56 2 4" xfId="2285" xr:uid="{00000000-0005-0000-0000-0000DB060000}"/>
    <cellStyle name="Normal 56 2 4 2" xfId="5535" xr:uid="{EED652A1-CD0C-4107-AFF5-1273F113B752}"/>
    <cellStyle name="Normal 56 2 4 2 2" xfId="8915" xr:uid="{E98318FE-63CA-41DB-8E42-28896182ADB0}"/>
    <cellStyle name="Normal 56 2 4 3" xfId="7215" xr:uid="{6A4729F8-3FFF-4EDD-A2F7-0BAB8410D989}"/>
    <cellStyle name="Normal 56 2 4_DEO ADIT Unprotected" xfId="3601" xr:uid="{44DB2101-9252-435F-A93F-1397F072E69E}"/>
    <cellStyle name="Normal 56 2 5" xfId="4698" xr:uid="{AA07A08E-0B63-4465-8564-298C5F347183}"/>
    <cellStyle name="Normal 56 2 5 2" xfId="8078" xr:uid="{0306BB58-F848-4247-ABB7-B4E627B785CD}"/>
    <cellStyle name="Normal 56 2 6" xfId="6378" xr:uid="{1C50A3B7-3DA6-445B-ABFB-B60E3A0AE1D0}"/>
    <cellStyle name="Normal 56 2_DEO ADIT Unprotected" xfId="3594" xr:uid="{36746938-C517-4849-A92C-282DB03C13AC}"/>
    <cellStyle name="Normal 56 3" xfId="1375" xr:uid="{00000000-0005-0000-0000-0000DC060000}"/>
    <cellStyle name="Normal 56 3 2" xfId="1376" xr:uid="{00000000-0005-0000-0000-0000DD060000}"/>
    <cellStyle name="Normal 56 3 2 2" xfId="2290" xr:uid="{00000000-0005-0000-0000-0000DE060000}"/>
    <cellStyle name="Normal 56 3 2 2 2" xfId="5540" xr:uid="{E31B7946-BEA6-457F-AC0F-6408CABD1A6C}"/>
    <cellStyle name="Normal 56 3 2 2 2 2" xfId="8920" xr:uid="{8B9F8EAA-7069-48B3-85D0-0F3722E50303}"/>
    <cellStyle name="Normal 56 3 2 2 3" xfId="7220" xr:uid="{461622F6-8BC5-433A-A535-570097B3A73D}"/>
    <cellStyle name="Normal 56 3 2 2_DEO ADIT Unprotected" xfId="3604" xr:uid="{6F23C56B-B0BE-4FC4-8C07-011790D680FB}"/>
    <cellStyle name="Normal 56 3 2 3" xfId="4703" xr:uid="{3569941A-8306-4FF3-A0A0-5A183BFFE6FB}"/>
    <cellStyle name="Normal 56 3 2 3 2" xfId="8083" xr:uid="{AD9C46F6-82DE-4D05-B763-25A7AA195B6D}"/>
    <cellStyle name="Normal 56 3 2 4" xfId="6383" xr:uid="{2DDB9DBF-E676-45C7-A5A1-0A07E904FAF7}"/>
    <cellStyle name="Normal 56 3 2_DEO ADIT Unprotected" xfId="3603" xr:uid="{6CED2133-327C-411B-A58F-8C048724A5D2}"/>
    <cellStyle name="Normal 56 3 3" xfId="2289" xr:uid="{00000000-0005-0000-0000-0000DF060000}"/>
    <cellStyle name="Normal 56 3 3 2" xfId="5539" xr:uid="{5AC45D65-7A1F-4AEE-9CB2-1372D47ED30E}"/>
    <cellStyle name="Normal 56 3 3 2 2" xfId="8919" xr:uid="{8A658BAF-19AF-4832-94DB-264DBAA5BFBF}"/>
    <cellStyle name="Normal 56 3 3 3" xfId="7219" xr:uid="{ED08AB6E-CC86-46D0-8EE4-85AB558C3D73}"/>
    <cellStyle name="Normal 56 3 3_DEO ADIT Unprotected" xfId="3605" xr:uid="{00DD700C-DD5F-440B-99EA-3E8F782D273E}"/>
    <cellStyle name="Normal 56 3 4" xfId="4702" xr:uid="{B7AB349F-6A1D-4A6C-8AEE-80FD486E2C7A}"/>
    <cellStyle name="Normal 56 3 4 2" xfId="8082" xr:uid="{F09B3989-F67A-4165-9F59-E01096F07F16}"/>
    <cellStyle name="Normal 56 3 5" xfId="6382" xr:uid="{37A8A55C-A8F2-49EA-8874-E5B01052D311}"/>
    <cellStyle name="Normal 56 3_DEO ADIT Unprotected" xfId="3602" xr:uid="{18BD31CA-7B28-42AE-8DE7-4D00AD980289}"/>
    <cellStyle name="Normal 56 4" xfId="1377" xr:uid="{00000000-0005-0000-0000-0000E0060000}"/>
    <cellStyle name="Normal 56 4 2" xfId="2291" xr:uid="{00000000-0005-0000-0000-0000E1060000}"/>
    <cellStyle name="Normal 56 4 2 2" xfId="5541" xr:uid="{6B6F0813-D5FE-46C0-A77F-2D08FC96103A}"/>
    <cellStyle name="Normal 56 4 2 2 2" xfId="8921" xr:uid="{AF924066-EF07-4126-A505-D7F3AEF49F28}"/>
    <cellStyle name="Normal 56 4 2 3" xfId="7221" xr:uid="{62676674-79B4-4858-8FFF-9B619453A7DE}"/>
    <cellStyle name="Normal 56 4 2_DEO ADIT Unprotected" xfId="3607" xr:uid="{6A3E11E1-74F2-4BBE-98CF-7FB586410362}"/>
    <cellStyle name="Normal 56 4 3" xfId="4704" xr:uid="{3747970A-69FA-45A6-B626-79E6A2DC3542}"/>
    <cellStyle name="Normal 56 4 3 2" xfId="8084" xr:uid="{91F9E5C0-7721-4D70-8106-F23BE26170EC}"/>
    <cellStyle name="Normal 56 4 4" xfId="6384" xr:uid="{7F11EA94-A038-4C4E-A7F0-BD5E9B690AB8}"/>
    <cellStyle name="Normal 56 4_DEO ADIT Unprotected" xfId="3606" xr:uid="{D9BF20D5-851A-4C26-96A8-77694AEC88B1}"/>
    <cellStyle name="Normal 56 5" xfId="2284" xr:uid="{00000000-0005-0000-0000-0000E2060000}"/>
    <cellStyle name="Normal 56 5 2" xfId="5534" xr:uid="{6E712F68-78F8-488A-AA54-93ED9E00285A}"/>
    <cellStyle name="Normal 56 5 2 2" xfId="8914" xr:uid="{2663F850-8D87-4DD3-8D6E-4B933C9A0309}"/>
    <cellStyle name="Normal 56 5 3" xfId="7214" xr:uid="{0F43FB2B-3602-443E-BC6E-AA0D681BFD64}"/>
    <cellStyle name="Normal 56 5_DEO ADIT Unprotected" xfId="3608" xr:uid="{67ECE9A9-F6D2-4974-8972-86C739F24A74}"/>
    <cellStyle name="Normal 56 6" xfId="4697" xr:uid="{AE84A229-FEC1-4D64-A971-E8C36691FCD0}"/>
    <cellStyle name="Normal 56 6 2" xfId="8077" xr:uid="{D55E3455-B491-4438-AABF-966EDEBE3D52}"/>
    <cellStyle name="Normal 56 7" xfId="6377" xr:uid="{98E2F4FD-E515-4137-AC14-F55494B2294F}"/>
    <cellStyle name="Normal 56_DEO ADIT Unprotected" xfId="3593" xr:uid="{0E2B8E48-020A-4ED7-B06C-5337D088E8F9}"/>
    <cellStyle name="Normal 57" xfId="1378" xr:uid="{00000000-0005-0000-0000-0000E3060000}"/>
    <cellStyle name="Normal 57 2" xfId="1379" xr:uid="{00000000-0005-0000-0000-0000E4060000}"/>
    <cellStyle name="Normal 57 2 2" xfId="1380" xr:uid="{00000000-0005-0000-0000-0000E5060000}"/>
    <cellStyle name="Normal 57 2 2 2" xfId="1381" xr:uid="{00000000-0005-0000-0000-0000E6060000}"/>
    <cellStyle name="Normal 57 2 2 2 2" xfId="2295" xr:uid="{00000000-0005-0000-0000-0000E7060000}"/>
    <cellStyle name="Normal 57 2 2 2 2 2" xfId="5545" xr:uid="{DFFCB441-59B7-4724-9EC6-FB8E803B8FC0}"/>
    <cellStyle name="Normal 57 2 2 2 2 2 2" xfId="8925" xr:uid="{01454ECD-3A9E-44B1-B7DB-DD022E7D7383}"/>
    <cellStyle name="Normal 57 2 2 2 2 3" xfId="7225" xr:uid="{67F88535-D48D-4F52-9C90-12AF73C89B03}"/>
    <cellStyle name="Normal 57 2 2 2 2_DEO ADIT Unprotected" xfId="3613" xr:uid="{0088C063-9DCC-4044-9D44-FECF621DF620}"/>
    <cellStyle name="Normal 57 2 2 2 3" xfId="4708" xr:uid="{D15D79DB-6B5D-481D-AB12-356C2073E50A}"/>
    <cellStyle name="Normal 57 2 2 2 3 2" xfId="8088" xr:uid="{847E8F30-4BF4-4786-AE18-B243D118F210}"/>
    <cellStyle name="Normal 57 2 2 2 4" xfId="6388" xr:uid="{C04F0307-DFE5-4F36-BB38-6B67703BA6CE}"/>
    <cellStyle name="Normal 57 2 2 2_DEO ADIT Unprotected" xfId="3612" xr:uid="{2BE2A5AF-0E4D-43E2-86B7-0B1F3F6D8E31}"/>
    <cellStyle name="Normal 57 2 2 3" xfId="2294" xr:uid="{00000000-0005-0000-0000-0000E8060000}"/>
    <cellStyle name="Normal 57 2 2 3 2" xfId="5544" xr:uid="{6E35A35D-E56C-49EC-97A4-F377CD78A928}"/>
    <cellStyle name="Normal 57 2 2 3 2 2" xfId="8924" xr:uid="{F557B5BC-485E-4C4A-856D-FF5834A0AE4B}"/>
    <cellStyle name="Normal 57 2 2 3 3" xfId="7224" xr:uid="{E914DA36-3796-4F8C-AB2B-0A5B95162D14}"/>
    <cellStyle name="Normal 57 2 2 3_DEO ADIT Unprotected" xfId="3614" xr:uid="{3D4E70D6-E893-42AD-ACDF-29F9B34B860F}"/>
    <cellStyle name="Normal 57 2 2 4" xfId="4707" xr:uid="{012F84E3-BE54-4507-8E4C-3DBB35EA721E}"/>
    <cellStyle name="Normal 57 2 2 4 2" xfId="8087" xr:uid="{7E0C1E73-0CCD-4F8E-A4F4-FF5F7C76EC95}"/>
    <cellStyle name="Normal 57 2 2 5" xfId="6387" xr:uid="{80DB0257-4C21-48FB-BEA6-FE6D856ED8B1}"/>
    <cellStyle name="Normal 57 2 2_DEO ADIT Unprotected" xfId="3611" xr:uid="{AD1D582E-7E81-4600-B140-19A2F6E714F9}"/>
    <cellStyle name="Normal 57 2 3" xfId="1382" xr:uid="{00000000-0005-0000-0000-0000E9060000}"/>
    <cellStyle name="Normal 57 2 3 2" xfId="2296" xr:uid="{00000000-0005-0000-0000-0000EA060000}"/>
    <cellStyle name="Normal 57 2 3 2 2" xfId="5546" xr:uid="{DF2FE22A-1A7B-4402-A2ED-48D847897ECE}"/>
    <cellStyle name="Normal 57 2 3 2 2 2" xfId="8926" xr:uid="{085E40C6-B4A0-4107-969F-92198F70473F}"/>
    <cellStyle name="Normal 57 2 3 2 3" xfId="7226" xr:uid="{C0C52266-6AC5-49B6-8911-D04A4F50CA86}"/>
    <cellStyle name="Normal 57 2 3 2_DEO ADIT Unprotected" xfId="3616" xr:uid="{81FCDA6F-4924-4404-9B57-F61AE729C7CA}"/>
    <cellStyle name="Normal 57 2 3 3" xfId="4709" xr:uid="{597DF107-0085-4E4D-BF97-CA0A52A9B8A4}"/>
    <cellStyle name="Normal 57 2 3 3 2" xfId="8089" xr:uid="{8DFFA4D9-8233-4950-8424-325D2391EEA7}"/>
    <cellStyle name="Normal 57 2 3 4" xfId="6389" xr:uid="{3B43F160-9378-4847-BDBF-B1CC62C56776}"/>
    <cellStyle name="Normal 57 2 3_DEO ADIT Unprotected" xfId="3615" xr:uid="{FD651632-ED80-4CD2-A281-4C1591674CED}"/>
    <cellStyle name="Normal 57 2 4" xfId="2293" xr:uid="{00000000-0005-0000-0000-0000EB060000}"/>
    <cellStyle name="Normal 57 2 4 2" xfId="5543" xr:uid="{B9ADB041-3DB8-4B0A-8BB5-3B6141FAEAA4}"/>
    <cellStyle name="Normal 57 2 4 2 2" xfId="8923" xr:uid="{0EF0133D-EC3A-4333-80DF-C7AAEF6F87C6}"/>
    <cellStyle name="Normal 57 2 4 3" xfId="7223" xr:uid="{077EC7A6-793F-48E4-B759-206D2E33A860}"/>
    <cellStyle name="Normal 57 2 4_DEO ADIT Unprotected" xfId="3617" xr:uid="{219308B8-9F09-4E19-8DB8-F83FEE6E0DCB}"/>
    <cellStyle name="Normal 57 2 5" xfId="4706" xr:uid="{698889C2-CF4B-4877-BB33-BB7209EBFDF3}"/>
    <cellStyle name="Normal 57 2 5 2" xfId="8086" xr:uid="{0EEF0403-C9B9-4529-B41B-0DCC40A80D31}"/>
    <cellStyle name="Normal 57 2 6" xfId="6386" xr:uid="{E7D102FB-9B7D-4641-A343-FBCA82CED699}"/>
    <cellStyle name="Normal 57 2_DEO ADIT Unprotected" xfId="3610" xr:uid="{361B8CA2-70A4-4720-BB85-780307A9BD73}"/>
    <cellStyle name="Normal 57 3" xfId="1383" xr:uid="{00000000-0005-0000-0000-0000EC060000}"/>
    <cellStyle name="Normal 57 3 2" xfId="1384" xr:uid="{00000000-0005-0000-0000-0000ED060000}"/>
    <cellStyle name="Normal 57 3 2 2" xfId="2298" xr:uid="{00000000-0005-0000-0000-0000EE060000}"/>
    <cellStyle name="Normal 57 3 2 2 2" xfId="5548" xr:uid="{ACE74BAC-46A8-420E-A255-2C957E85DDFB}"/>
    <cellStyle name="Normal 57 3 2 2 2 2" xfId="8928" xr:uid="{FFFB11CE-2277-4BAA-82F3-8641886ABAE5}"/>
    <cellStyle name="Normal 57 3 2 2 3" xfId="7228" xr:uid="{2A8117A9-4EB1-41B2-B25E-F095D0BBC675}"/>
    <cellStyle name="Normal 57 3 2 2_DEO ADIT Unprotected" xfId="3620" xr:uid="{C7BD16A6-FF1A-486F-BFAD-B9128121AA69}"/>
    <cellStyle name="Normal 57 3 2 3" xfId="4711" xr:uid="{B5BA4326-12B4-4C5D-9BA2-1A33804017B9}"/>
    <cellStyle name="Normal 57 3 2 3 2" xfId="8091" xr:uid="{5CE2E95F-C518-462E-836B-B7B370EDB7AA}"/>
    <cellStyle name="Normal 57 3 2 4" xfId="6391" xr:uid="{9B7E3D40-B1E7-4D1C-93E9-4BC1D607E331}"/>
    <cellStyle name="Normal 57 3 2_DEO ADIT Unprotected" xfId="3619" xr:uid="{D451E8EE-853E-49C0-AD98-8AD83A6BF8BD}"/>
    <cellStyle name="Normal 57 3 3" xfId="2297" xr:uid="{00000000-0005-0000-0000-0000EF060000}"/>
    <cellStyle name="Normal 57 3 3 2" xfId="5547" xr:uid="{AE17F253-D5ED-4B11-AAFE-16C9E5FD72A4}"/>
    <cellStyle name="Normal 57 3 3 2 2" xfId="8927" xr:uid="{7CDFB8D9-0AC9-4BD3-95E4-68F9D5B46F5E}"/>
    <cellStyle name="Normal 57 3 3 3" xfId="7227" xr:uid="{32DF97A7-2BDD-4315-8563-683F1CBE766E}"/>
    <cellStyle name="Normal 57 3 3_DEO ADIT Unprotected" xfId="3621" xr:uid="{9ECC10B7-5473-44E2-8736-CCC01F6F3069}"/>
    <cellStyle name="Normal 57 3 4" xfId="4710" xr:uid="{0DEE8C33-4333-4EE5-91B1-AB3A973DF140}"/>
    <cellStyle name="Normal 57 3 4 2" xfId="8090" xr:uid="{20252AF1-86D4-4381-A760-FF641AE4D822}"/>
    <cellStyle name="Normal 57 3 5" xfId="6390" xr:uid="{B96F7423-542C-4AB6-B371-1700B8FAC941}"/>
    <cellStyle name="Normal 57 3_DEO ADIT Unprotected" xfId="3618" xr:uid="{4E054746-A794-49DD-B60F-6645E445B43F}"/>
    <cellStyle name="Normal 57 4" xfId="1385" xr:uid="{00000000-0005-0000-0000-0000F0060000}"/>
    <cellStyle name="Normal 57 4 2" xfId="2299" xr:uid="{00000000-0005-0000-0000-0000F1060000}"/>
    <cellStyle name="Normal 57 4 2 2" xfId="5549" xr:uid="{647C7961-30D0-4F8B-B884-6E8996DBE436}"/>
    <cellStyle name="Normal 57 4 2 2 2" xfId="8929" xr:uid="{C2A57BFB-2D12-46DC-AF81-37B397F09F7A}"/>
    <cellStyle name="Normal 57 4 2 3" xfId="7229" xr:uid="{058FEC7F-66EE-4B07-AE8A-D3ADE1DE0288}"/>
    <cellStyle name="Normal 57 4 2_DEO ADIT Unprotected" xfId="3623" xr:uid="{42AF6D2B-AF27-4BDC-8AB8-D616ABA64415}"/>
    <cellStyle name="Normal 57 4 3" xfId="4712" xr:uid="{85112130-4427-4007-8ED0-8E424B2099D1}"/>
    <cellStyle name="Normal 57 4 3 2" xfId="8092" xr:uid="{81C6762A-02B0-4A23-9E97-5D07FB33982F}"/>
    <cellStyle name="Normal 57 4 4" xfId="6392" xr:uid="{D85037C5-557F-4980-A249-175F7CC06347}"/>
    <cellStyle name="Normal 57 4_DEO ADIT Unprotected" xfId="3622" xr:uid="{0B6376E4-96DF-43BE-9F51-82B55394E6B6}"/>
    <cellStyle name="Normal 57 5" xfId="2292" xr:uid="{00000000-0005-0000-0000-0000F2060000}"/>
    <cellStyle name="Normal 57 5 2" xfId="5542" xr:uid="{015A69FE-A332-49F5-A846-9CDD67B61AC2}"/>
    <cellStyle name="Normal 57 5 2 2" xfId="8922" xr:uid="{066E0347-D434-4BDF-B282-49F9DFD6CE9D}"/>
    <cellStyle name="Normal 57 5 3" xfId="7222" xr:uid="{1E6D07F3-51ED-4D99-A0E4-CAB465DACC4A}"/>
    <cellStyle name="Normal 57 5_DEO ADIT Unprotected" xfId="3624" xr:uid="{94CDA7D9-F47C-4381-A524-73CA3BAE6FC5}"/>
    <cellStyle name="Normal 57 6" xfId="4705" xr:uid="{C2939B67-5E19-41AE-AEB8-6C37636F4AC9}"/>
    <cellStyle name="Normal 57 6 2" xfId="8085" xr:uid="{1742351A-64E3-448B-B309-49BDD7CBF6DC}"/>
    <cellStyle name="Normal 57 7" xfId="6385" xr:uid="{92A2F23C-E9CB-4D5E-94A9-04E067A32A17}"/>
    <cellStyle name="Normal 57_DEO ADIT Unprotected" xfId="3609" xr:uid="{95737727-AAC8-4868-8CA8-9CA8AE9267F1}"/>
    <cellStyle name="Normal 58" xfId="1386" xr:uid="{00000000-0005-0000-0000-0000F3060000}"/>
    <cellStyle name="Normal 58 2" xfId="1387" xr:uid="{00000000-0005-0000-0000-0000F4060000}"/>
    <cellStyle name="Normal 58 2 2" xfId="1388" xr:uid="{00000000-0005-0000-0000-0000F5060000}"/>
    <cellStyle name="Normal 58 2 2 2" xfId="1389" xr:uid="{00000000-0005-0000-0000-0000F6060000}"/>
    <cellStyle name="Normal 58 2 2 2 2" xfId="2303" xr:uid="{00000000-0005-0000-0000-0000F7060000}"/>
    <cellStyle name="Normal 58 2 2 2 2 2" xfId="5553" xr:uid="{B208C558-CD22-46ED-BE7E-98A4795634E5}"/>
    <cellStyle name="Normal 58 2 2 2 2 2 2" xfId="8933" xr:uid="{B881CEA9-4FE3-436A-B2A4-211E565C93C9}"/>
    <cellStyle name="Normal 58 2 2 2 2 3" xfId="7233" xr:uid="{1AC54981-FE89-4668-90EC-39FF63D78B8A}"/>
    <cellStyle name="Normal 58 2 2 2 2_DEO ADIT Unprotected" xfId="3629" xr:uid="{CF818078-2EC9-43D8-8584-33E00F42BEE6}"/>
    <cellStyle name="Normal 58 2 2 2 3" xfId="4716" xr:uid="{DBCDF7AC-BCB9-4B5C-8641-D47A8D4D812C}"/>
    <cellStyle name="Normal 58 2 2 2 3 2" xfId="8096" xr:uid="{1E4AD638-16DE-4C02-9C54-58E2E8A718B6}"/>
    <cellStyle name="Normal 58 2 2 2 4" xfId="6396" xr:uid="{DBF6D61D-9347-4B3E-ADBF-5588284F23B1}"/>
    <cellStyle name="Normal 58 2 2 2_DEO ADIT Unprotected" xfId="3628" xr:uid="{DB8F21B3-C73C-4C19-9B87-7E514F712AEF}"/>
    <cellStyle name="Normal 58 2 2 3" xfId="2302" xr:uid="{00000000-0005-0000-0000-0000F8060000}"/>
    <cellStyle name="Normal 58 2 2 3 2" xfId="5552" xr:uid="{8256D6E4-F66F-4057-9066-BC9EC3457B6D}"/>
    <cellStyle name="Normal 58 2 2 3 2 2" xfId="8932" xr:uid="{F2CE4B0D-09F8-4289-9D25-4BA0B55666F1}"/>
    <cellStyle name="Normal 58 2 2 3 3" xfId="7232" xr:uid="{4B8EC755-5BF4-498C-A99E-E5B2A9B50136}"/>
    <cellStyle name="Normal 58 2 2 3_DEO ADIT Unprotected" xfId="3630" xr:uid="{E8AA6916-0BC7-45A4-B5EA-926FD83945EE}"/>
    <cellStyle name="Normal 58 2 2 4" xfId="4715" xr:uid="{A0268D67-69B6-4EBB-BE7E-35544B2B44E0}"/>
    <cellStyle name="Normal 58 2 2 4 2" xfId="8095" xr:uid="{EAB8D684-F1DC-4807-AB69-EA888BD935A4}"/>
    <cellStyle name="Normal 58 2 2 5" xfId="6395" xr:uid="{5169B8A9-2CF7-48EA-90A7-1779BFD05EE1}"/>
    <cellStyle name="Normal 58 2 2_DEO ADIT Unprotected" xfId="3627" xr:uid="{EC1CDEFB-860F-4B3A-84AB-E245A540F592}"/>
    <cellStyle name="Normal 58 2 3" xfId="1390" xr:uid="{00000000-0005-0000-0000-0000F9060000}"/>
    <cellStyle name="Normal 58 2 3 2" xfId="2304" xr:uid="{00000000-0005-0000-0000-0000FA060000}"/>
    <cellStyle name="Normal 58 2 3 2 2" xfId="5554" xr:uid="{5664C397-8CE7-47A4-A9C2-37F8003088A3}"/>
    <cellStyle name="Normal 58 2 3 2 2 2" xfId="8934" xr:uid="{AED35E72-2DAA-4FF4-A3C4-49EC9B15A6AD}"/>
    <cellStyle name="Normal 58 2 3 2 3" xfId="7234" xr:uid="{BA3B2E26-6D0F-4058-830C-407FF0D5052E}"/>
    <cellStyle name="Normal 58 2 3 2_DEO ADIT Unprotected" xfId="3632" xr:uid="{18B43AD4-03D3-4C89-8B58-EB6AEBD710A3}"/>
    <cellStyle name="Normal 58 2 3 3" xfId="4717" xr:uid="{4C5F11E9-14BC-4870-B910-61B75DD13E71}"/>
    <cellStyle name="Normal 58 2 3 3 2" xfId="8097" xr:uid="{E489316C-1009-458F-AA66-C8157494CFAD}"/>
    <cellStyle name="Normal 58 2 3 4" xfId="6397" xr:uid="{719B0493-4A11-49CE-BE80-106C78C89C7D}"/>
    <cellStyle name="Normal 58 2 3_DEO ADIT Unprotected" xfId="3631" xr:uid="{FAB5FB24-D0AC-4F3F-A7CE-1051407AB611}"/>
    <cellStyle name="Normal 58 2 4" xfId="2301" xr:uid="{00000000-0005-0000-0000-0000FB060000}"/>
    <cellStyle name="Normal 58 2 4 2" xfId="5551" xr:uid="{EB794E05-8E83-4FD4-89E2-8A973DBA2B96}"/>
    <cellStyle name="Normal 58 2 4 2 2" xfId="8931" xr:uid="{4BD24967-B7AE-4C9E-8AC8-85399D999DEB}"/>
    <cellStyle name="Normal 58 2 4 3" xfId="7231" xr:uid="{2C3064D7-2F0B-4C3E-9BE6-3AA1877D93BB}"/>
    <cellStyle name="Normal 58 2 4_DEO ADIT Unprotected" xfId="3633" xr:uid="{20D14395-E177-4819-8401-8852A7D1B27A}"/>
    <cellStyle name="Normal 58 2 5" xfId="4714" xr:uid="{91EB6E10-18BE-4B9D-9A2A-4CD37E5DBABD}"/>
    <cellStyle name="Normal 58 2 5 2" xfId="8094" xr:uid="{225736A4-5CC7-4D85-B424-2D03B5E62EDF}"/>
    <cellStyle name="Normal 58 2 6" xfId="6394" xr:uid="{9BD3FB82-2FD5-43C3-AD7D-F090D75B66AE}"/>
    <cellStyle name="Normal 58 2_DEO ADIT Unprotected" xfId="3626" xr:uid="{A12811D1-F41D-4B77-B1C5-EB14975268B9}"/>
    <cellStyle name="Normal 58 3" xfId="1391" xr:uid="{00000000-0005-0000-0000-0000FC060000}"/>
    <cellStyle name="Normal 58 3 2" xfId="1392" xr:uid="{00000000-0005-0000-0000-0000FD060000}"/>
    <cellStyle name="Normal 58 3 2 2" xfId="2306" xr:uid="{00000000-0005-0000-0000-0000FE060000}"/>
    <cellStyle name="Normal 58 3 2 2 2" xfId="5556" xr:uid="{600FAFC1-97F6-4355-8516-707D9F380E3B}"/>
    <cellStyle name="Normal 58 3 2 2 2 2" xfId="8936" xr:uid="{0754D1E0-08F7-46D0-8D28-020695F31C29}"/>
    <cellStyle name="Normal 58 3 2 2 3" xfId="7236" xr:uid="{02B579FB-CA9F-4C6D-883D-2BE4F4F5F7D4}"/>
    <cellStyle name="Normal 58 3 2 2_DEO ADIT Unprotected" xfId="3636" xr:uid="{9D12159A-0705-449C-B010-9C3CB7131FEC}"/>
    <cellStyle name="Normal 58 3 2 3" xfId="4719" xr:uid="{852C748E-4236-4324-96ED-947C1A2B4C74}"/>
    <cellStyle name="Normal 58 3 2 3 2" xfId="8099" xr:uid="{D2DD4E74-0C1B-48A9-9792-D8EF01CB16A7}"/>
    <cellStyle name="Normal 58 3 2 4" xfId="6399" xr:uid="{27105DF1-1DE8-43F0-A9CB-887394AFB524}"/>
    <cellStyle name="Normal 58 3 2_DEO ADIT Unprotected" xfId="3635" xr:uid="{1C60D60C-7964-4337-B854-19EA1A91F435}"/>
    <cellStyle name="Normal 58 3 3" xfId="2305" xr:uid="{00000000-0005-0000-0000-0000FF060000}"/>
    <cellStyle name="Normal 58 3 3 2" xfId="5555" xr:uid="{4372E297-671A-4A39-9AAA-189356AC5C61}"/>
    <cellStyle name="Normal 58 3 3 2 2" xfId="8935" xr:uid="{1FB93213-B791-458E-AF35-E9B9345B0E2F}"/>
    <cellStyle name="Normal 58 3 3 3" xfId="7235" xr:uid="{8D754554-0B8D-4EA5-86AD-7E2DDA9BB7DD}"/>
    <cellStyle name="Normal 58 3 3_DEO ADIT Unprotected" xfId="3637" xr:uid="{9982AC01-D6C9-470D-9A5E-E6B6DE6FADA0}"/>
    <cellStyle name="Normal 58 3 4" xfId="4718" xr:uid="{1B48286D-531A-4817-B034-02360F7E2A68}"/>
    <cellStyle name="Normal 58 3 4 2" xfId="8098" xr:uid="{5D55808F-39C9-4FB9-9CD5-DE9BD04E846C}"/>
    <cellStyle name="Normal 58 3 5" xfId="6398" xr:uid="{FE603096-558D-4E9A-93FF-E045BB3516A5}"/>
    <cellStyle name="Normal 58 3_DEO ADIT Unprotected" xfId="3634" xr:uid="{72D2CAE4-ECD3-4F7A-9A71-A7D49FCC6733}"/>
    <cellStyle name="Normal 58 4" xfId="1393" xr:uid="{00000000-0005-0000-0000-000000070000}"/>
    <cellStyle name="Normal 58 4 2" xfId="2307" xr:uid="{00000000-0005-0000-0000-000001070000}"/>
    <cellStyle name="Normal 58 4 2 2" xfId="5557" xr:uid="{DBB91FB1-FD01-4DFE-88C5-53D5D6394D1B}"/>
    <cellStyle name="Normal 58 4 2 2 2" xfId="8937" xr:uid="{0113CC28-BBD8-4DEB-A0B5-70ADD949AB56}"/>
    <cellStyle name="Normal 58 4 2 3" xfId="7237" xr:uid="{C8AC7466-0777-4C89-B71A-92357283E0A3}"/>
    <cellStyle name="Normal 58 4 2_DEO ADIT Unprotected" xfId="3639" xr:uid="{F2990E38-5559-4A72-8C82-275001D0D98A}"/>
    <cellStyle name="Normal 58 4 3" xfId="4720" xr:uid="{5759E20D-25BA-42C6-9244-DB3146B35619}"/>
    <cellStyle name="Normal 58 4 3 2" xfId="8100" xr:uid="{F3192716-6D3B-488A-A1DA-EB2F36150697}"/>
    <cellStyle name="Normal 58 4 4" xfId="6400" xr:uid="{1A9FBDFB-9B9D-4B66-B3DB-5A90779FD4B5}"/>
    <cellStyle name="Normal 58 4_DEO ADIT Unprotected" xfId="3638" xr:uid="{58AE584C-C37F-45C7-BAC6-EAAE9F107C9F}"/>
    <cellStyle name="Normal 58 5" xfId="2300" xr:uid="{00000000-0005-0000-0000-000002070000}"/>
    <cellStyle name="Normal 58 5 2" xfId="5550" xr:uid="{1F0CF23E-6148-4A45-9A31-E62FFED724ED}"/>
    <cellStyle name="Normal 58 5 2 2" xfId="8930" xr:uid="{2626248E-F334-4DD5-9729-D1A323CC3413}"/>
    <cellStyle name="Normal 58 5 3" xfId="7230" xr:uid="{8180D041-7A47-4AAB-ADB1-65EA9FDA9456}"/>
    <cellStyle name="Normal 58 5_DEO ADIT Unprotected" xfId="3640" xr:uid="{7D9ADCAC-FAE5-4175-BB41-AF9A854C90DB}"/>
    <cellStyle name="Normal 58 6" xfId="4713" xr:uid="{2FDC0D08-CF6D-43A8-A0B9-2B24BF808B82}"/>
    <cellStyle name="Normal 58 6 2" xfId="8093" xr:uid="{68AB4F09-CE1A-42A7-8D62-8C273841AF01}"/>
    <cellStyle name="Normal 58 7" xfId="6393" xr:uid="{9B664642-4E58-4AA1-9075-6F27C08C7729}"/>
    <cellStyle name="Normal 58_DEO ADIT Unprotected" xfId="3625" xr:uid="{E91E752A-3257-4BC4-8C2E-ADF83396495A}"/>
    <cellStyle name="Normal 59" xfId="1394" xr:uid="{00000000-0005-0000-0000-000003070000}"/>
    <cellStyle name="Normal 59 2" xfId="1395" xr:uid="{00000000-0005-0000-0000-000004070000}"/>
    <cellStyle name="Normal 59 2 2" xfId="1396" xr:uid="{00000000-0005-0000-0000-000005070000}"/>
    <cellStyle name="Normal 59 2 2 2" xfId="1397" xr:uid="{00000000-0005-0000-0000-000006070000}"/>
    <cellStyle name="Normal 59 2 2 2 2" xfId="2311" xr:uid="{00000000-0005-0000-0000-000007070000}"/>
    <cellStyle name="Normal 59 2 2 2 2 2" xfId="5561" xr:uid="{E47B8DA9-388E-46B4-BD4A-7A68FD94401E}"/>
    <cellStyle name="Normal 59 2 2 2 2 2 2" xfId="8941" xr:uid="{5B4B24D4-0F4A-497A-8FCF-71D3BF0F6458}"/>
    <cellStyle name="Normal 59 2 2 2 2 3" xfId="7241" xr:uid="{35EB6A81-C8FB-4171-82BE-7739B45D5BAC}"/>
    <cellStyle name="Normal 59 2 2 2 2_DEO ADIT Unprotected" xfId="3645" xr:uid="{0CCB4045-19FE-4DC3-A38A-BD3889D35C1F}"/>
    <cellStyle name="Normal 59 2 2 2 3" xfId="4724" xr:uid="{57068D20-ABB5-4745-837C-6B29BAB1A2BC}"/>
    <cellStyle name="Normal 59 2 2 2 3 2" xfId="8104" xr:uid="{8E267A36-0660-4058-A93B-2173F66EF7C1}"/>
    <cellStyle name="Normal 59 2 2 2 4" xfId="6404" xr:uid="{BE121A00-4C6D-4DCA-88B2-D53DA6169BEE}"/>
    <cellStyle name="Normal 59 2 2 2_DEO ADIT Unprotected" xfId="3644" xr:uid="{E7687160-4BD0-424A-83EF-B7C31804E00A}"/>
    <cellStyle name="Normal 59 2 2 3" xfId="2310" xr:uid="{00000000-0005-0000-0000-000008070000}"/>
    <cellStyle name="Normal 59 2 2 3 2" xfId="5560" xr:uid="{FEAD1463-75A4-4F0E-A1BF-30EBD60FA108}"/>
    <cellStyle name="Normal 59 2 2 3 2 2" xfId="8940" xr:uid="{112CD3AE-DC0E-4381-ABA9-A86F6EE2E673}"/>
    <cellStyle name="Normal 59 2 2 3 3" xfId="7240" xr:uid="{12684F94-CE26-42A8-BD14-DA69E31846BF}"/>
    <cellStyle name="Normal 59 2 2 3_DEO ADIT Unprotected" xfId="3646" xr:uid="{9713139D-EFD9-43A0-8668-1B88A801C17A}"/>
    <cellStyle name="Normal 59 2 2 4" xfId="4723" xr:uid="{61AD6C3D-7529-40E5-AC5F-B7378319E2C6}"/>
    <cellStyle name="Normal 59 2 2 4 2" xfId="8103" xr:uid="{BAFE0138-451C-49AB-A931-99D79263F3C6}"/>
    <cellStyle name="Normal 59 2 2 5" xfId="6403" xr:uid="{08F580DB-1C34-4308-A078-BC25ED5D16DB}"/>
    <cellStyle name="Normal 59 2 2_DEO ADIT Unprotected" xfId="3643" xr:uid="{4581B983-4E3C-4FE8-A5F4-D66678CE7A7A}"/>
    <cellStyle name="Normal 59 2 3" xfId="1398" xr:uid="{00000000-0005-0000-0000-000009070000}"/>
    <cellStyle name="Normal 59 2 3 2" xfId="2312" xr:uid="{00000000-0005-0000-0000-00000A070000}"/>
    <cellStyle name="Normal 59 2 3 2 2" xfId="5562" xr:uid="{0492FBF4-74BE-4B04-A741-A18C247ADD2A}"/>
    <cellStyle name="Normal 59 2 3 2 2 2" xfId="8942" xr:uid="{C87F01A4-CF34-4B33-A21C-B4121E52A81B}"/>
    <cellStyle name="Normal 59 2 3 2 3" xfId="7242" xr:uid="{8C28848B-102E-4913-8B97-D386539C33A5}"/>
    <cellStyle name="Normal 59 2 3 2_DEO ADIT Unprotected" xfId="3648" xr:uid="{339B70A8-7E1F-4332-A0BA-8EADAEA2A616}"/>
    <cellStyle name="Normal 59 2 3 3" xfId="4725" xr:uid="{B5B8441C-088B-4971-853A-6022D29F6035}"/>
    <cellStyle name="Normal 59 2 3 3 2" xfId="8105" xr:uid="{948F1133-6E0F-4D56-8754-80390B101CCD}"/>
    <cellStyle name="Normal 59 2 3 4" xfId="6405" xr:uid="{30FFAD68-257E-4140-A4D6-8884A3D47FB1}"/>
    <cellStyle name="Normal 59 2 3_DEO ADIT Unprotected" xfId="3647" xr:uid="{E04B41AC-5F9A-4A84-A42B-83C750C51B14}"/>
    <cellStyle name="Normal 59 2 4" xfId="2309" xr:uid="{00000000-0005-0000-0000-00000B070000}"/>
    <cellStyle name="Normal 59 2 4 2" xfId="5559" xr:uid="{D8046E77-9704-4A79-B0AD-DF7D901226E9}"/>
    <cellStyle name="Normal 59 2 4 2 2" xfId="8939" xr:uid="{E73A74AE-3C48-4F37-BC82-781ECF7FE104}"/>
    <cellStyle name="Normal 59 2 4 3" xfId="7239" xr:uid="{81953BA2-82B4-47D7-9C65-6982D401FC13}"/>
    <cellStyle name="Normal 59 2 4_DEO ADIT Unprotected" xfId="3649" xr:uid="{F3188CB5-DB65-4826-82B7-EE10B9DC1DBE}"/>
    <cellStyle name="Normal 59 2 5" xfId="4722" xr:uid="{9ECF6EEF-3F87-400E-B35B-DA51AC369242}"/>
    <cellStyle name="Normal 59 2 5 2" xfId="8102" xr:uid="{F055C95A-2EEB-4178-98B5-14321A0B2FEB}"/>
    <cellStyle name="Normal 59 2 6" xfId="6402" xr:uid="{229414C0-539B-47E3-B94E-8073F5A4655D}"/>
    <cellStyle name="Normal 59 2_DEO ADIT Unprotected" xfId="3642" xr:uid="{F0E1DD1B-1D7C-4357-BFAD-5B43C216F855}"/>
    <cellStyle name="Normal 59 3" xfId="1399" xr:uid="{00000000-0005-0000-0000-00000C070000}"/>
    <cellStyle name="Normal 59 3 2" xfId="1400" xr:uid="{00000000-0005-0000-0000-00000D070000}"/>
    <cellStyle name="Normal 59 3 2 2" xfId="2314" xr:uid="{00000000-0005-0000-0000-00000E070000}"/>
    <cellStyle name="Normal 59 3 2 2 2" xfId="5564" xr:uid="{37EDF676-D453-4AC0-8931-E9E93904CDF2}"/>
    <cellStyle name="Normal 59 3 2 2 2 2" xfId="8944" xr:uid="{B931D0E8-6018-43B3-978F-9802EF627CEB}"/>
    <cellStyle name="Normal 59 3 2 2 3" xfId="7244" xr:uid="{8BDF4FC3-6B96-49FB-8189-C3487DD404B9}"/>
    <cellStyle name="Normal 59 3 2 2_DEO ADIT Unprotected" xfId="3652" xr:uid="{50B26A8E-037E-4B51-9F2A-18492748D5D1}"/>
    <cellStyle name="Normal 59 3 2 3" xfId="4727" xr:uid="{68BF0788-AF01-4AB9-92E6-58A5AFAB4B80}"/>
    <cellStyle name="Normal 59 3 2 3 2" xfId="8107" xr:uid="{611D8487-4614-4CFC-803B-968BC7C46B00}"/>
    <cellStyle name="Normal 59 3 2 4" xfId="6407" xr:uid="{52DA091C-F494-4893-A5F4-8D883650E080}"/>
    <cellStyle name="Normal 59 3 2_DEO ADIT Unprotected" xfId="3651" xr:uid="{8BB284D4-3BFA-413F-B181-94F2A476F72A}"/>
    <cellStyle name="Normal 59 3 3" xfId="2313" xr:uid="{00000000-0005-0000-0000-00000F070000}"/>
    <cellStyle name="Normal 59 3 3 2" xfId="5563" xr:uid="{CA6A0BC7-9267-499A-844B-28E208131EC5}"/>
    <cellStyle name="Normal 59 3 3 2 2" xfId="8943" xr:uid="{50A1306B-8217-4138-B398-9018E454DC47}"/>
    <cellStyle name="Normal 59 3 3 3" xfId="7243" xr:uid="{F3259A86-9A44-4CCC-88B4-4BEF175BE644}"/>
    <cellStyle name="Normal 59 3 3_DEO ADIT Unprotected" xfId="3653" xr:uid="{B1783DED-C6A7-49FC-91C6-E2219C705CA7}"/>
    <cellStyle name="Normal 59 3 4" xfId="4726" xr:uid="{3EA0CBF9-0679-47E1-A175-5B2D18F29186}"/>
    <cellStyle name="Normal 59 3 4 2" xfId="8106" xr:uid="{14496B1A-DC39-4987-AEEE-F42E3CA7869A}"/>
    <cellStyle name="Normal 59 3 5" xfId="6406" xr:uid="{BF919765-AA69-4177-B6C3-B54AEF57C118}"/>
    <cellStyle name="Normal 59 3_DEO ADIT Unprotected" xfId="3650" xr:uid="{811F8EDE-F143-4E46-9CD2-01494EE4E3C4}"/>
    <cellStyle name="Normal 59 4" xfId="1401" xr:uid="{00000000-0005-0000-0000-000010070000}"/>
    <cellStyle name="Normal 59 4 2" xfId="2315" xr:uid="{00000000-0005-0000-0000-000011070000}"/>
    <cellStyle name="Normal 59 4 2 2" xfId="5565" xr:uid="{66AFD8C4-8384-47A7-B7B8-CAF56FA7B22A}"/>
    <cellStyle name="Normal 59 4 2 2 2" xfId="8945" xr:uid="{9C89CE4B-AF2F-4976-94D0-299A736B5EFD}"/>
    <cellStyle name="Normal 59 4 2 3" xfId="7245" xr:uid="{F51C7441-3C3A-4C2A-8A7A-9A5B3683B0AC}"/>
    <cellStyle name="Normal 59 4 2_DEO ADIT Unprotected" xfId="3655" xr:uid="{9A3AA050-94CD-4D25-9F7C-23FFAF9A32F2}"/>
    <cellStyle name="Normal 59 4 3" xfId="4728" xr:uid="{2FCC0443-A524-4CDC-B59C-140D899D485F}"/>
    <cellStyle name="Normal 59 4 3 2" xfId="8108" xr:uid="{1A404D07-015B-4BDB-A584-FCE4DD3A86C2}"/>
    <cellStyle name="Normal 59 4 4" xfId="6408" xr:uid="{66DCEB43-77BF-4650-9F46-C5D0C32C5855}"/>
    <cellStyle name="Normal 59 4_DEO ADIT Unprotected" xfId="3654" xr:uid="{EC6B0A69-6A71-49C2-9478-C0B8625185C4}"/>
    <cellStyle name="Normal 59 5" xfId="2308" xr:uid="{00000000-0005-0000-0000-000012070000}"/>
    <cellStyle name="Normal 59 5 2" xfId="5558" xr:uid="{E8B04368-43D2-498A-A087-5EEA556E8F22}"/>
    <cellStyle name="Normal 59 5 2 2" xfId="8938" xr:uid="{A03EA92D-CD28-429C-86E8-C31A6A1FBDF1}"/>
    <cellStyle name="Normal 59 5 3" xfId="7238" xr:uid="{858256E6-603E-4FC2-BFCF-6CC3E09AAF10}"/>
    <cellStyle name="Normal 59 5_DEO ADIT Unprotected" xfId="3656" xr:uid="{A203786D-D6D1-49F4-9CAA-434A9670A81B}"/>
    <cellStyle name="Normal 59 6" xfId="4721" xr:uid="{1421A31F-2D19-450C-8E24-17AF0FE77FA1}"/>
    <cellStyle name="Normal 59 6 2" xfId="8101" xr:uid="{CDB3B082-8675-4B5D-BEFC-97B050CA05BE}"/>
    <cellStyle name="Normal 59 7" xfId="6401" xr:uid="{DE348321-D48F-4EFB-85F8-3C8DBE1615F9}"/>
    <cellStyle name="Normal 59_DEO ADIT Unprotected" xfId="3641" xr:uid="{51C55F7C-7DA6-40BE-962D-DE2C8FED7E70}"/>
    <cellStyle name="Normal 6" xfId="15" xr:uid="{00000000-0005-0000-0000-000013070000}"/>
    <cellStyle name="Normal 6 2" xfId="577" xr:uid="{00000000-0005-0000-0000-000014070000}"/>
    <cellStyle name="Normal 6 2 2" xfId="1402" xr:uid="{00000000-0005-0000-0000-000015070000}"/>
    <cellStyle name="Normal 6 3" xfId="1403" xr:uid="{00000000-0005-0000-0000-000016070000}"/>
    <cellStyle name="Normal 6 4" xfId="1404" xr:uid="{00000000-0005-0000-0000-000017070000}"/>
    <cellStyle name="Normal 6 4 2" xfId="1405" xr:uid="{00000000-0005-0000-0000-000018070000}"/>
    <cellStyle name="Normal 6 4 2 2" xfId="2317" xr:uid="{00000000-0005-0000-0000-000019070000}"/>
    <cellStyle name="Normal 6 4 2 2 2" xfId="5567" xr:uid="{3189E00A-174E-436F-AB5E-424639567B6D}"/>
    <cellStyle name="Normal 6 4 2 2 2 2" xfId="8947" xr:uid="{866834AF-0C9A-4F17-9166-2A58B0E7F739}"/>
    <cellStyle name="Normal 6 4 2 2 3" xfId="7247" xr:uid="{D25A6A2A-7D86-4291-B518-93A6A93CF0F1}"/>
    <cellStyle name="Normal 6 4 2 2_DEO ADIT Unprotected" xfId="3660" xr:uid="{7C0191FE-E4F5-452E-BEDB-BBAAC4D10371}"/>
    <cellStyle name="Normal 6 4 2 3" xfId="4730" xr:uid="{38F30051-C6E7-4E56-ABE7-ECD25C8872D1}"/>
    <cellStyle name="Normal 6 4 2 3 2" xfId="8110" xr:uid="{7B44AB2F-2A77-4554-9655-B2D01671B8B6}"/>
    <cellStyle name="Normal 6 4 2 4" xfId="6410" xr:uid="{6F6E01EB-A41D-47D5-BDF5-1E4C51E505A0}"/>
    <cellStyle name="Normal 6 4 2_DEO ADIT Unprotected" xfId="3659" xr:uid="{BA073D80-BF57-4EE4-B373-B49067104390}"/>
    <cellStyle name="Normal 6 4 3" xfId="2316" xr:uid="{00000000-0005-0000-0000-00001A070000}"/>
    <cellStyle name="Normal 6 4 3 2" xfId="5566" xr:uid="{D9728861-8596-412D-9092-92B0EC924CCB}"/>
    <cellStyle name="Normal 6 4 3 2 2" xfId="8946" xr:uid="{4E1CC35D-B1B8-49B9-8591-B17AF38E4289}"/>
    <cellStyle name="Normal 6 4 3 3" xfId="7246" xr:uid="{B46D80AC-F407-4E8A-9E49-3FF437E8FAFE}"/>
    <cellStyle name="Normal 6 4 3_DEO ADIT Unprotected" xfId="3661" xr:uid="{232F5168-ED8C-48F2-A2D5-C0DB4576651D}"/>
    <cellStyle name="Normal 6 4 4" xfId="4729" xr:uid="{D03060BD-A8BA-414F-8C26-C1DBB89B0DB0}"/>
    <cellStyle name="Normal 6 4 4 2" xfId="8109" xr:uid="{B1BAC134-F20A-482C-A9AB-E9978583E195}"/>
    <cellStyle name="Normal 6 4 5" xfId="6409" xr:uid="{2165DCEE-4D10-4DC3-B186-34FB3ED36B3D}"/>
    <cellStyle name="Normal 6 4_DEO ADIT Unprotected" xfId="3658" xr:uid="{6427DA40-EA3F-4EA9-9373-DA3BF1486BEA}"/>
    <cellStyle name="Normal 6_DEO ADIT Unprotected" xfId="3657" xr:uid="{E4DAF1B6-A776-4D42-B5B4-7D1441693BA6}"/>
    <cellStyle name="Normal 60" xfId="1406" xr:uid="{00000000-0005-0000-0000-00001B070000}"/>
    <cellStyle name="Normal 60 2" xfId="1407" xr:uid="{00000000-0005-0000-0000-00001C070000}"/>
    <cellStyle name="Normal 60 2 2" xfId="1408" xr:uid="{00000000-0005-0000-0000-00001D070000}"/>
    <cellStyle name="Normal 60 2 2 2" xfId="1409" xr:uid="{00000000-0005-0000-0000-00001E070000}"/>
    <cellStyle name="Normal 60 2 2 2 2" xfId="2321" xr:uid="{00000000-0005-0000-0000-00001F070000}"/>
    <cellStyle name="Normal 60 2 2 2 2 2" xfId="5571" xr:uid="{3C30CF41-F435-4EDA-805B-2BF475FEAAE8}"/>
    <cellStyle name="Normal 60 2 2 2 2 2 2" xfId="8951" xr:uid="{5157A07C-51CD-4470-816E-6F1BE28E9A80}"/>
    <cellStyle name="Normal 60 2 2 2 2 3" xfId="7251" xr:uid="{C50F7231-04CE-49B8-B733-EFCDAB9FD17F}"/>
    <cellStyle name="Normal 60 2 2 2 2_DEO ADIT Unprotected" xfId="3666" xr:uid="{FC764CF0-7485-4900-B559-1B167D1C2690}"/>
    <cellStyle name="Normal 60 2 2 2 3" xfId="4734" xr:uid="{DAF133EF-2255-4E61-A1BE-51A7A9E10890}"/>
    <cellStyle name="Normal 60 2 2 2 3 2" xfId="8114" xr:uid="{0787A19B-F4F0-4106-B68C-F25BA32D54F0}"/>
    <cellStyle name="Normal 60 2 2 2 4" xfId="6414" xr:uid="{FF421F6B-41AA-488E-A792-1E2274F05A64}"/>
    <cellStyle name="Normal 60 2 2 2_DEO ADIT Unprotected" xfId="3665" xr:uid="{56E99F91-EC22-43CF-8513-398FD235627A}"/>
    <cellStyle name="Normal 60 2 2 3" xfId="2320" xr:uid="{00000000-0005-0000-0000-000020070000}"/>
    <cellStyle name="Normal 60 2 2 3 2" xfId="5570" xr:uid="{13A800BA-A0C8-49AD-A01D-06F1731882B4}"/>
    <cellStyle name="Normal 60 2 2 3 2 2" xfId="8950" xr:uid="{D227ABDD-D976-41D3-98CF-7352617193BF}"/>
    <cellStyle name="Normal 60 2 2 3 3" xfId="7250" xr:uid="{98B0E8ED-F1CE-4921-AA69-B5D0688E4F02}"/>
    <cellStyle name="Normal 60 2 2 3_DEO ADIT Unprotected" xfId="3667" xr:uid="{32067AE5-5470-4ACB-9FB3-06C0EEEE7CAE}"/>
    <cellStyle name="Normal 60 2 2 4" xfId="4733" xr:uid="{942ECD40-1914-4FD6-A6D0-F6F0A58B1E78}"/>
    <cellStyle name="Normal 60 2 2 4 2" xfId="8113" xr:uid="{418245D2-4F93-424C-99F1-D7FCB7596EED}"/>
    <cellStyle name="Normal 60 2 2 5" xfId="6413" xr:uid="{0364F216-598C-4D00-95DF-E50CE93882D3}"/>
    <cellStyle name="Normal 60 2 2_DEO ADIT Unprotected" xfId="3664" xr:uid="{9C1A3BA7-CFEE-4199-806A-26E8E2E71F63}"/>
    <cellStyle name="Normal 60 2 3" xfId="1410" xr:uid="{00000000-0005-0000-0000-000021070000}"/>
    <cellStyle name="Normal 60 2 3 2" xfId="2322" xr:uid="{00000000-0005-0000-0000-000022070000}"/>
    <cellStyle name="Normal 60 2 3 2 2" xfId="5572" xr:uid="{229FE353-E118-4997-AE71-59AD34FB1072}"/>
    <cellStyle name="Normal 60 2 3 2 2 2" xfId="8952" xr:uid="{884562F5-1820-4BFD-B366-36A3597AA715}"/>
    <cellStyle name="Normal 60 2 3 2 3" xfId="7252" xr:uid="{23F613C7-8BA1-4B16-8511-3158AFC08471}"/>
    <cellStyle name="Normal 60 2 3 2_DEO ADIT Unprotected" xfId="3669" xr:uid="{710CCD29-7E02-43F3-8115-F9FB2FE6C17A}"/>
    <cellStyle name="Normal 60 2 3 3" xfId="4735" xr:uid="{7B1D942C-9E4D-4B9B-A765-EF2DD8318CE5}"/>
    <cellStyle name="Normal 60 2 3 3 2" xfId="8115" xr:uid="{3EC0E774-06A7-4D2B-BC51-F8CAB83B9417}"/>
    <cellStyle name="Normal 60 2 3 4" xfId="6415" xr:uid="{BFEF575E-0618-420C-B58F-F99CBD057056}"/>
    <cellStyle name="Normal 60 2 3_DEO ADIT Unprotected" xfId="3668" xr:uid="{02B7A1CE-B0DB-41E3-A4F5-9172320F0CAC}"/>
    <cellStyle name="Normal 60 2 4" xfId="2319" xr:uid="{00000000-0005-0000-0000-000023070000}"/>
    <cellStyle name="Normal 60 2 4 2" xfId="5569" xr:uid="{C75CA2B9-0FD5-4835-B5B5-EEC8A97AF72B}"/>
    <cellStyle name="Normal 60 2 4 2 2" xfId="8949" xr:uid="{8B346ED4-3120-4C94-A2D5-1EF90C7AC78A}"/>
    <cellStyle name="Normal 60 2 4 3" xfId="7249" xr:uid="{A2BA17DC-E3E7-4A00-B5A9-F1339C9BCE42}"/>
    <cellStyle name="Normal 60 2 4_DEO ADIT Unprotected" xfId="3670" xr:uid="{B9646C19-D87B-48B5-94AD-695F9A5FE396}"/>
    <cellStyle name="Normal 60 2 5" xfId="4732" xr:uid="{997A8048-3978-4A00-A1FB-4CFD045FBF53}"/>
    <cellStyle name="Normal 60 2 5 2" xfId="8112" xr:uid="{C1B714F0-76C8-4846-AEE8-D2B3644F0ACD}"/>
    <cellStyle name="Normal 60 2 6" xfId="6412" xr:uid="{A86554ED-826E-47C8-93A3-97F8B8464E1B}"/>
    <cellStyle name="Normal 60 2_DEO ADIT Unprotected" xfId="3663" xr:uid="{C77B67E3-5C63-4C4F-A524-1B142CDC334A}"/>
    <cellStyle name="Normal 60 3" xfId="1411" xr:uid="{00000000-0005-0000-0000-000024070000}"/>
    <cellStyle name="Normal 60 3 2" xfId="1412" xr:uid="{00000000-0005-0000-0000-000025070000}"/>
    <cellStyle name="Normal 60 3 2 2" xfId="2324" xr:uid="{00000000-0005-0000-0000-000026070000}"/>
    <cellStyle name="Normal 60 3 2 2 2" xfId="5574" xr:uid="{F4118F7C-82DD-4C9E-AE53-5DF5AB45EC2F}"/>
    <cellStyle name="Normal 60 3 2 2 2 2" xfId="8954" xr:uid="{976B4050-7AB0-4DA4-8966-74164A81CD8B}"/>
    <cellStyle name="Normal 60 3 2 2 3" xfId="7254" xr:uid="{864AB83D-50D1-4674-80C2-768BD74913CC}"/>
    <cellStyle name="Normal 60 3 2 2_DEO ADIT Unprotected" xfId="3673" xr:uid="{F4B0F71D-D935-4B39-A5C8-C481C02FD187}"/>
    <cellStyle name="Normal 60 3 2 3" xfId="4737" xr:uid="{01CE24EE-02EB-4FA5-9B6B-AB1E0CBE8BEC}"/>
    <cellStyle name="Normal 60 3 2 3 2" xfId="8117" xr:uid="{047CF0E3-2EFD-4626-9339-1DE2E407D5FA}"/>
    <cellStyle name="Normal 60 3 2 4" xfId="6417" xr:uid="{DB758CE1-9949-48E8-83C8-31FC9767156E}"/>
    <cellStyle name="Normal 60 3 2_DEO ADIT Unprotected" xfId="3672" xr:uid="{BA14E1AF-B9BB-408A-8113-9BB6B4475BDA}"/>
    <cellStyle name="Normal 60 3 3" xfId="2323" xr:uid="{00000000-0005-0000-0000-000027070000}"/>
    <cellStyle name="Normal 60 3 3 2" xfId="5573" xr:uid="{4E697EE9-F9B0-4B54-A7C2-3DE278AC4BEF}"/>
    <cellStyle name="Normal 60 3 3 2 2" xfId="8953" xr:uid="{353BD01E-EC03-4FB6-B1CC-48E76AA67FC5}"/>
    <cellStyle name="Normal 60 3 3 3" xfId="7253" xr:uid="{7F4491D5-0B88-4650-B66E-9C6CCC557D27}"/>
    <cellStyle name="Normal 60 3 3_DEO ADIT Unprotected" xfId="3674" xr:uid="{B33BBF7D-0799-4556-99E5-07A1DB1F4A4A}"/>
    <cellStyle name="Normal 60 3 4" xfId="4736" xr:uid="{6CF82302-00EB-4CB0-80AA-4416B89407DA}"/>
    <cellStyle name="Normal 60 3 4 2" xfId="8116" xr:uid="{22563C17-2C93-478D-9554-FDB8A4D1F9DE}"/>
    <cellStyle name="Normal 60 3 5" xfId="6416" xr:uid="{550CD3F8-451A-4508-B48B-165B656ECB94}"/>
    <cellStyle name="Normal 60 3_DEO ADIT Unprotected" xfId="3671" xr:uid="{60F77B66-E0E1-43B0-8278-286302309840}"/>
    <cellStyle name="Normal 60 4" xfId="1413" xr:uid="{00000000-0005-0000-0000-000028070000}"/>
    <cellStyle name="Normal 60 4 2" xfId="2325" xr:uid="{00000000-0005-0000-0000-000029070000}"/>
    <cellStyle name="Normal 60 4 2 2" xfId="5575" xr:uid="{30AB570A-4860-4676-A323-EAB1FE02980E}"/>
    <cellStyle name="Normal 60 4 2 2 2" xfId="8955" xr:uid="{41DE2AE5-C42C-4B57-A477-120E28A2372C}"/>
    <cellStyle name="Normal 60 4 2 3" xfId="7255" xr:uid="{A6CED744-45B4-4CDD-82FA-E4521ADEA5BA}"/>
    <cellStyle name="Normal 60 4 2_DEO ADIT Unprotected" xfId="3676" xr:uid="{BEB98D83-B201-4F2D-BCAC-FA0326CD429C}"/>
    <cellStyle name="Normal 60 4 3" xfId="4738" xr:uid="{9E30D719-9066-48D1-9DD6-6E84E4037723}"/>
    <cellStyle name="Normal 60 4 3 2" xfId="8118" xr:uid="{F203E15D-3DC0-4223-8B16-419BF47B1E9F}"/>
    <cellStyle name="Normal 60 4 4" xfId="6418" xr:uid="{90EAE308-D07C-4642-8226-D747711F7520}"/>
    <cellStyle name="Normal 60 4_DEO ADIT Unprotected" xfId="3675" xr:uid="{20EF169D-BC67-4E18-AC89-61DD90B49532}"/>
    <cellStyle name="Normal 60 5" xfId="2318" xr:uid="{00000000-0005-0000-0000-00002A070000}"/>
    <cellStyle name="Normal 60 5 2" xfId="5568" xr:uid="{BD136A87-9D1E-4674-9468-78D67A8514D5}"/>
    <cellStyle name="Normal 60 5 2 2" xfId="8948" xr:uid="{323AA6AD-C2AE-479E-9093-A83A15B1024A}"/>
    <cellStyle name="Normal 60 5 3" xfId="7248" xr:uid="{6A7CD620-985A-4AFA-BC4C-089F179D8703}"/>
    <cellStyle name="Normal 60 5_DEO ADIT Unprotected" xfId="3677" xr:uid="{7BFCB3D0-67B0-4B66-8F8A-ED04DFE3188F}"/>
    <cellStyle name="Normal 60 6" xfId="4731" xr:uid="{144C02BB-29B7-44C4-A142-1EDF18A2AB51}"/>
    <cellStyle name="Normal 60 6 2" xfId="8111" xr:uid="{333A686B-D9F4-4607-9DE2-D3AEC15B9727}"/>
    <cellStyle name="Normal 60 7" xfId="6411" xr:uid="{57AE54C1-21BD-49C9-89AC-37BABE58BF9F}"/>
    <cellStyle name="Normal 60_DEO ADIT Unprotected" xfId="3662" xr:uid="{493D639C-6916-48FC-96FE-9E456BA992CF}"/>
    <cellStyle name="Normal 61" xfId="1414" xr:uid="{00000000-0005-0000-0000-00002B070000}"/>
    <cellStyle name="Normal 61 2" xfId="1415" xr:uid="{00000000-0005-0000-0000-00002C070000}"/>
    <cellStyle name="Normal 61 2 2" xfId="1416" xr:uid="{00000000-0005-0000-0000-00002D070000}"/>
    <cellStyle name="Normal 61 2 2 2" xfId="1417" xr:uid="{00000000-0005-0000-0000-00002E070000}"/>
    <cellStyle name="Normal 61 2 2 2 2" xfId="2329" xr:uid="{00000000-0005-0000-0000-00002F070000}"/>
    <cellStyle name="Normal 61 2 2 2 2 2" xfId="5579" xr:uid="{3FEF7035-860A-483D-AA98-1AFBD2FB9148}"/>
    <cellStyle name="Normal 61 2 2 2 2 2 2" xfId="8959" xr:uid="{52A8DD56-EBF3-4091-B393-306FB47D1194}"/>
    <cellStyle name="Normal 61 2 2 2 2 3" xfId="7259" xr:uid="{97889E97-05C2-4E90-B00D-6C07C8E4E0BD}"/>
    <cellStyle name="Normal 61 2 2 2 2_DEO ADIT Unprotected" xfId="3682" xr:uid="{EA5B81D0-0A71-4FFF-A3ED-E75B859BC32B}"/>
    <cellStyle name="Normal 61 2 2 2 3" xfId="4742" xr:uid="{887C8B69-B0DE-4BCB-9BC0-D719587ED0C3}"/>
    <cellStyle name="Normal 61 2 2 2 3 2" xfId="8122" xr:uid="{98C4B8A6-6410-4F35-B41B-8CD77D0DAF63}"/>
    <cellStyle name="Normal 61 2 2 2 4" xfId="6422" xr:uid="{BC4A74E2-DCD4-4538-9F46-7F8EB36D223E}"/>
    <cellStyle name="Normal 61 2 2 2_DEO ADIT Unprotected" xfId="3681" xr:uid="{F93FE3AA-6347-48BA-96D0-767BE6AE9F3A}"/>
    <cellStyle name="Normal 61 2 2 3" xfId="2328" xr:uid="{00000000-0005-0000-0000-000030070000}"/>
    <cellStyle name="Normal 61 2 2 3 2" xfId="5578" xr:uid="{3C9AF106-4FCD-4816-9888-56BAB5B0C4FB}"/>
    <cellStyle name="Normal 61 2 2 3 2 2" xfId="8958" xr:uid="{6F31FDB1-AA42-449D-B03A-0C15990424C1}"/>
    <cellStyle name="Normal 61 2 2 3 3" xfId="7258" xr:uid="{6A63C0C1-B7F8-4AFC-B2C0-F85BE8FCA563}"/>
    <cellStyle name="Normal 61 2 2 3_DEO ADIT Unprotected" xfId="3683" xr:uid="{1EC99F62-B2EE-4025-8022-E474511CFB21}"/>
    <cellStyle name="Normal 61 2 2 4" xfId="4741" xr:uid="{EDFFAE6D-0313-403C-A458-0E1CFC7B43E8}"/>
    <cellStyle name="Normal 61 2 2 4 2" xfId="8121" xr:uid="{9FB9DC83-C100-4303-BF0D-07C9B1F15D99}"/>
    <cellStyle name="Normal 61 2 2 5" xfId="6421" xr:uid="{30F37B38-4761-4BFF-A135-CCC711F4F147}"/>
    <cellStyle name="Normal 61 2 2_DEO ADIT Unprotected" xfId="3680" xr:uid="{9F14C1FE-8030-43D2-B070-C971ECB5A1A1}"/>
    <cellStyle name="Normal 61 2 3" xfId="1418" xr:uid="{00000000-0005-0000-0000-000031070000}"/>
    <cellStyle name="Normal 61 2 3 2" xfId="2330" xr:uid="{00000000-0005-0000-0000-000032070000}"/>
    <cellStyle name="Normal 61 2 3 2 2" xfId="5580" xr:uid="{7817B233-BDB2-44F6-A493-3878B878A19D}"/>
    <cellStyle name="Normal 61 2 3 2 2 2" xfId="8960" xr:uid="{7E21BED2-D03F-45BC-A055-97DEBC2C5F92}"/>
    <cellStyle name="Normal 61 2 3 2 3" xfId="7260" xr:uid="{50E3C6AE-B7DB-4E57-8006-99F460504E65}"/>
    <cellStyle name="Normal 61 2 3 2_DEO ADIT Unprotected" xfId="3685" xr:uid="{ED6A9AC5-F0B2-445C-B766-7DA8AFBFDFAD}"/>
    <cellStyle name="Normal 61 2 3 3" xfId="4743" xr:uid="{C5DA7025-EF53-40A3-90D2-8DAD8770BD58}"/>
    <cellStyle name="Normal 61 2 3 3 2" xfId="8123" xr:uid="{839081A3-1F33-4E3D-AB40-5D1CD0CABA2D}"/>
    <cellStyle name="Normal 61 2 3 4" xfId="6423" xr:uid="{46E13103-44AF-4268-AA2C-21591BF22C21}"/>
    <cellStyle name="Normal 61 2 3_DEO ADIT Unprotected" xfId="3684" xr:uid="{8A09905A-A151-4AA8-956B-2DD539E78B0A}"/>
    <cellStyle name="Normal 61 2 4" xfId="2327" xr:uid="{00000000-0005-0000-0000-000033070000}"/>
    <cellStyle name="Normal 61 2 4 2" xfId="5577" xr:uid="{7498460B-6294-4EDA-94F0-2E7BFFAE2E30}"/>
    <cellStyle name="Normal 61 2 4 2 2" xfId="8957" xr:uid="{BBFC33F7-DC4F-474C-8DC1-956A3EE3A1F1}"/>
    <cellStyle name="Normal 61 2 4 3" xfId="7257" xr:uid="{9D7ACF9F-4216-4A55-B07E-85C69A4030A8}"/>
    <cellStyle name="Normal 61 2 4_DEO ADIT Unprotected" xfId="3686" xr:uid="{31872099-8928-4B49-9EDB-4DCF781F8087}"/>
    <cellStyle name="Normal 61 2 5" xfId="4740" xr:uid="{476A2F5E-F76B-4512-9D57-03EBF3923BAF}"/>
    <cellStyle name="Normal 61 2 5 2" xfId="8120" xr:uid="{66788BA6-4A04-4B61-9046-1059C03CC59F}"/>
    <cellStyle name="Normal 61 2 6" xfId="6420" xr:uid="{F2876B04-C484-4928-B353-3563258A3AF9}"/>
    <cellStyle name="Normal 61 2_DEO ADIT Unprotected" xfId="3679" xr:uid="{9642C9B4-3129-4F18-B9C0-B694AF6DAE7D}"/>
    <cellStyle name="Normal 61 3" xfId="1419" xr:uid="{00000000-0005-0000-0000-000034070000}"/>
    <cellStyle name="Normal 61 3 2" xfId="1420" xr:uid="{00000000-0005-0000-0000-000035070000}"/>
    <cellStyle name="Normal 61 3 2 2" xfId="2332" xr:uid="{00000000-0005-0000-0000-000036070000}"/>
    <cellStyle name="Normal 61 3 2 2 2" xfId="5582" xr:uid="{E7A0ABE1-34FC-4FE5-B062-C5E089142002}"/>
    <cellStyle name="Normal 61 3 2 2 2 2" xfId="8962" xr:uid="{A1DACFC6-FE43-41FD-926A-2F097B648A77}"/>
    <cellStyle name="Normal 61 3 2 2 3" xfId="7262" xr:uid="{34B2ADFB-01F2-4922-A48B-E6DF76E78631}"/>
    <cellStyle name="Normal 61 3 2 2_DEO ADIT Unprotected" xfId="3689" xr:uid="{6244B54E-8F12-4464-B58E-D055AA0BFBD4}"/>
    <cellStyle name="Normal 61 3 2 3" xfId="4745" xr:uid="{289D5272-E937-47DD-A9CD-1517429CC450}"/>
    <cellStyle name="Normal 61 3 2 3 2" xfId="8125" xr:uid="{CE85441A-DD50-4BE4-BD12-3F9EB0662C04}"/>
    <cellStyle name="Normal 61 3 2 4" xfId="6425" xr:uid="{C33634BC-70D9-4B7B-A91A-5D84CCC778B3}"/>
    <cellStyle name="Normal 61 3 2_DEO ADIT Unprotected" xfId="3688" xr:uid="{54D9356E-5D28-4F67-84B0-8A8B32EBB3D7}"/>
    <cellStyle name="Normal 61 3 3" xfId="2331" xr:uid="{00000000-0005-0000-0000-000037070000}"/>
    <cellStyle name="Normal 61 3 3 2" xfId="5581" xr:uid="{E9257DDB-315C-44E8-AE4E-99E62D1E02D8}"/>
    <cellStyle name="Normal 61 3 3 2 2" xfId="8961" xr:uid="{5BA1611A-C654-44D0-8123-217684DA9476}"/>
    <cellStyle name="Normal 61 3 3 3" xfId="7261" xr:uid="{E9F96ABB-8240-4462-8369-4BF7AE2BD92A}"/>
    <cellStyle name="Normal 61 3 3_DEO ADIT Unprotected" xfId="3690" xr:uid="{D40AE0FD-C37F-4858-B525-F9C58CD82389}"/>
    <cellStyle name="Normal 61 3 4" xfId="4744" xr:uid="{60F50F31-58F2-4933-B42B-759FB81A34A7}"/>
    <cellStyle name="Normal 61 3 4 2" xfId="8124" xr:uid="{C80BF99D-0AB6-4028-9606-D98DB81736A7}"/>
    <cellStyle name="Normal 61 3 5" xfId="6424" xr:uid="{27FE570A-CC0A-48D7-A23F-4C4ED7D40D17}"/>
    <cellStyle name="Normal 61 3_DEO ADIT Unprotected" xfId="3687" xr:uid="{D57D85B1-9AA6-48F1-A7EA-A623413EF014}"/>
    <cellStyle name="Normal 61 4" xfId="1421" xr:uid="{00000000-0005-0000-0000-000038070000}"/>
    <cellStyle name="Normal 61 4 2" xfId="2333" xr:uid="{00000000-0005-0000-0000-000039070000}"/>
    <cellStyle name="Normal 61 4 2 2" xfId="5583" xr:uid="{0B2DE1B0-00CA-4076-B77C-B78C6BEB7448}"/>
    <cellStyle name="Normal 61 4 2 2 2" xfId="8963" xr:uid="{F1EC22A5-560A-4475-90B6-E623928FF019}"/>
    <cellStyle name="Normal 61 4 2 3" xfId="7263" xr:uid="{F9DB1BB2-4BC6-4E39-B668-624E1E16BED9}"/>
    <cellStyle name="Normal 61 4 2_DEO ADIT Unprotected" xfId="3692" xr:uid="{8586040F-B4ED-4E91-993F-D99742937768}"/>
    <cellStyle name="Normal 61 4 3" xfId="4746" xr:uid="{DEEE0F97-969D-492C-B294-C9642DFBBC0D}"/>
    <cellStyle name="Normal 61 4 3 2" xfId="8126" xr:uid="{903B8826-0F1E-4409-BC11-25F1BE6D56F9}"/>
    <cellStyle name="Normal 61 4 4" xfId="6426" xr:uid="{9AFB5C9F-77EC-4FAA-A546-4D7E071BBEB1}"/>
    <cellStyle name="Normal 61 4_DEO ADIT Unprotected" xfId="3691" xr:uid="{5B113C5A-0932-4E62-B6A2-A8A578305D69}"/>
    <cellStyle name="Normal 61 5" xfId="2326" xr:uid="{00000000-0005-0000-0000-00003A070000}"/>
    <cellStyle name="Normal 61 5 2" xfId="5576" xr:uid="{64434084-1BB5-4666-85A7-62E818029033}"/>
    <cellStyle name="Normal 61 5 2 2" xfId="8956" xr:uid="{0C88EE49-075B-4F00-A18C-DC39C11196A8}"/>
    <cellStyle name="Normal 61 5 3" xfId="7256" xr:uid="{6C330354-34FE-4471-8E8C-E5F76464D9CD}"/>
    <cellStyle name="Normal 61 5_DEO ADIT Unprotected" xfId="3693" xr:uid="{41576322-D885-4DF5-AE94-F113D5ADBA7C}"/>
    <cellStyle name="Normal 61 6" xfId="4739" xr:uid="{8A9C5220-C052-4D6B-AEAA-7B5F8E7EE146}"/>
    <cellStyle name="Normal 61 6 2" xfId="8119" xr:uid="{30BD86E9-DE1A-4967-8A49-5C3B6BA33552}"/>
    <cellStyle name="Normal 61 7" xfId="6419" xr:uid="{A1FDAC1C-EC28-4DE9-82FA-A49327B64EC1}"/>
    <cellStyle name="Normal 61_DEO ADIT Unprotected" xfId="3678" xr:uid="{7986823B-36D5-439B-949A-E9753FBD50EB}"/>
    <cellStyle name="Normal 62" xfId="1422" xr:uid="{00000000-0005-0000-0000-00003B070000}"/>
    <cellStyle name="Normal 62 2" xfId="1423" xr:uid="{00000000-0005-0000-0000-00003C070000}"/>
    <cellStyle name="Normal 62 2 2" xfId="1424" xr:uid="{00000000-0005-0000-0000-00003D070000}"/>
    <cellStyle name="Normal 62 2 2 2" xfId="1425" xr:uid="{00000000-0005-0000-0000-00003E070000}"/>
    <cellStyle name="Normal 62 2 2 2 2" xfId="2337" xr:uid="{00000000-0005-0000-0000-00003F070000}"/>
    <cellStyle name="Normal 62 2 2 2 2 2" xfId="5587" xr:uid="{C2139EB7-FDE9-4306-B687-55D6930CE9B0}"/>
    <cellStyle name="Normal 62 2 2 2 2 2 2" xfId="8967" xr:uid="{2EC8F0C9-7FCC-4137-BEB2-6E52ED4CF2D0}"/>
    <cellStyle name="Normal 62 2 2 2 2 3" xfId="7267" xr:uid="{C2567EEC-057B-4A12-BB19-CA025CCFC0D5}"/>
    <cellStyle name="Normal 62 2 2 2 2_DEO ADIT Unprotected" xfId="3698" xr:uid="{916DF66B-7EFE-4F08-8877-91929B80977E}"/>
    <cellStyle name="Normal 62 2 2 2 3" xfId="4750" xr:uid="{B095EC99-E877-4E79-9BC6-FFB31F3674A0}"/>
    <cellStyle name="Normal 62 2 2 2 3 2" xfId="8130" xr:uid="{CF06718B-D775-458A-9BFA-69F34284A298}"/>
    <cellStyle name="Normal 62 2 2 2 4" xfId="6430" xr:uid="{66719F39-6686-4499-B36A-5F1C409003DE}"/>
    <cellStyle name="Normal 62 2 2 2_DEO ADIT Unprotected" xfId="3697" xr:uid="{D3F1D127-6BA5-4483-A12F-568EE0CA0F2A}"/>
    <cellStyle name="Normal 62 2 2 3" xfId="2336" xr:uid="{00000000-0005-0000-0000-000040070000}"/>
    <cellStyle name="Normal 62 2 2 3 2" xfId="5586" xr:uid="{8DCE2692-47E3-4028-ADFF-90B3D7BC2F71}"/>
    <cellStyle name="Normal 62 2 2 3 2 2" xfId="8966" xr:uid="{AEF82173-4C6D-4C93-9235-6AB180AEAE26}"/>
    <cellStyle name="Normal 62 2 2 3 3" xfId="7266" xr:uid="{08E24509-7061-43DC-AA02-A77336015ACD}"/>
    <cellStyle name="Normal 62 2 2 3_DEO ADIT Unprotected" xfId="3699" xr:uid="{84C9FC00-C035-47D5-9C0F-576091B8EFCC}"/>
    <cellStyle name="Normal 62 2 2 4" xfId="4749" xr:uid="{EC625ED6-69BE-4084-B7FC-FE21EB785B34}"/>
    <cellStyle name="Normal 62 2 2 4 2" xfId="8129" xr:uid="{FAC0D6DB-3523-4E6C-8FA4-CCCF3CD3FEA7}"/>
    <cellStyle name="Normal 62 2 2 5" xfId="6429" xr:uid="{68616B54-448A-4F62-87D3-024EF1C8E95C}"/>
    <cellStyle name="Normal 62 2 2_DEO ADIT Unprotected" xfId="3696" xr:uid="{7AFC61E1-C793-44E5-99C2-BAF52C0A6A9B}"/>
    <cellStyle name="Normal 62 2 3" xfId="1426" xr:uid="{00000000-0005-0000-0000-000041070000}"/>
    <cellStyle name="Normal 62 2 3 2" xfId="2338" xr:uid="{00000000-0005-0000-0000-000042070000}"/>
    <cellStyle name="Normal 62 2 3 2 2" xfId="5588" xr:uid="{D67633A8-A491-471A-B3B3-D34F92C47937}"/>
    <cellStyle name="Normal 62 2 3 2 2 2" xfId="8968" xr:uid="{415E7CE3-C0FF-4552-9806-74591B8B3D18}"/>
    <cellStyle name="Normal 62 2 3 2 3" xfId="7268" xr:uid="{1155FD79-1B1C-42A6-9656-1428A60C3EF1}"/>
    <cellStyle name="Normal 62 2 3 2_DEO ADIT Unprotected" xfId="3701" xr:uid="{8185D217-D1E3-4A41-8D71-331CEBFA3C04}"/>
    <cellStyle name="Normal 62 2 3 3" xfId="4751" xr:uid="{703D335C-7BC1-40B6-B9B0-4D68A343218B}"/>
    <cellStyle name="Normal 62 2 3 3 2" xfId="8131" xr:uid="{2F8C8854-9EED-4FE9-B6A6-97CE807F219E}"/>
    <cellStyle name="Normal 62 2 3 4" xfId="6431" xr:uid="{94C4825E-A3A9-4D85-96C4-DE238A94950B}"/>
    <cellStyle name="Normal 62 2 3_DEO ADIT Unprotected" xfId="3700" xr:uid="{68843E30-C19A-41E8-9571-3881BD80627A}"/>
    <cellStyle name="Normal 62 2 4" xfId="2335" xr:uid="{00000000-0005-0000-0000-000043070000}"/>
    <cellStyle name="Normal 62 2 4 2" xfId="5585" xr:uid="{5E706FB4-85E4-43BF-AB0A-9DD2C80D08AC}"/>
    <cellStyle name="Normal 62 2 4 2 2" xfId="8965" xr:uid="{2016C2DC-FCAB-4ECA-92B4-8C1B6F936AFC}"/>
    <cellStyle name="Normal 62 2 4 3" xfId="7265" xr:uid="{D9655072-0910-4672-96D0-0396E7D4ED9D}"/>
    <cellStyle name="Normal 62 2 4_DEO ADIT Unprotected" xfId="3702" xr:uid="{8E9F4F48-1AFA-4AB6-B2C1-5771A8149D42}"/>
    <cellStyle name="Normal 62 2 5" xfId="4748" xr:uid="{7AD21B0E-F6C8-41C7-976C-AA6B86C01EB2}"/>
    <cellStyle name="Normal 62 2 5 2" xfId="8128" xr:uid="{D6622DB3-189A-4A4D-ACE7-26A19D1D5471}"/>
    <cellStyle name="Normal 62 2 6" xfId="6428" xr:uid="{83A739FC-2230-42A1-A1E2-B1C3CEA7101F}"/>
    <cellStyle name="Normal 62 2_DEO ADIT Unprotected" xfId="3695" xr:uid="{3097FDB9-DC8E-4E23-98BE-52A82A53EDFE}"/>
    <cellStyle name="Normal 62 3" xfId="1427" xr:uid="{00000000-0005-0000-0000-000044070000}"/>
    <cellStyle name="Normal 62 3 2" xfId="1428" xr:uid="{00000000-0005-0000-0000-000045070000}"/>
    <cellStyle name="Normal 62 3 2 2" xfId="2340" xr:uid="{00000000-0005-0000-0000-000046070000}"/>
    <cellStyle name="Normal 62 3 2 2 2" xfId="5590" xr:uid="{0526A975-CBB0-4580-B2FD-0CCC3BFCBFA9}"/>
    <cellStyle name="Normal 62 3 2 2 2 2" xfId="8970" xr:uid="{B3E21013-CAD5-4912-91C8-33B1977DF800}"/>
    <cellStyle name="Normal 62 3 2 2 3" xfId="7270" xr:uid="{BFA17E11-ADFD-4EC1-B5BC-E2D092D31A5A}"/>
    <cellStyle name="Normal 62 3 2 2_DEO ADIT Unprotected" xfId="3705" xr:uid="{AA7190DD-1229-43F8-82BE-3A30E9212DA7}"/>
    <cellStyle name="Normal 62 3 2 3" xfId="4753" xr:uid="{9801C854-A68C-40E5-B05B-8E244B601AA0}"/>
    <cellStyle name="Normal 62 3 2 3 2" xfId="8133" xr:uid="{F0DD934B-5D67-4FB6-9D10-8A1AED26A449}"/>
    <cellStyle name="Normal 62 3 2 4" xfId="6433" xr:uid="{DAA45254-E6E1-4804-BF6E-75E8ECEA8F2E}"/>
    <cellStyle name="Normal 62 3 2_DEO ADIT Unprotected" xfId="3704" xr:uid="{44D72688-455E-4FAA-9125-F56B41FB8F8D}"/>
    <cellStyle name="Normal 62 3 3" xfId="2339" xr:uid="{00000000-0005-0000-0000-000047070000}"/>
    <cellStyle name="Normal 62 3 3 2" xfId="5589" xr:uid="{7EAE5402-9910-4B73-876E-AB4707AAA4C4}"/>
    <cellStyle name="Normal 62 3 3 2 2" xfId="8969" xr:uid="{A460978A-7001-4633-A5A7-56C2CD27AB71}"/>
    <cellStyle name="Normal 62 3 3 3" xfId="7269" xr:uid="{9BB67E67-FE07-4D45-B6B4-DCB66D9D857C}"/>
    <cellStyle name="Normal 62 3 3_DEO ADIT Unprotected" xfId="3706" xr:uid="{41C660F4-6F52-4F41-91C3-9AD2DFF380A0}"/>
    <cellStyle name="Normal 62 3 4" xfId="4752" xr:uid="{26AC65BD-D4D4-488E-A812-2574ED18CBA8}"/>
    <cellStyle name="Normal 62 3 4 2" xfId="8132" xr:uid="{A583F31F-FE96-4DA9-9C6E-70CB239D5E3B}"/>
    <cellStyle name="Normal 62 3 5" xfId="6432" xr:uid="{F96F55EA-1DED-4EF6-80DA-C346F69C41D4}"/>
    <cellStyle name="Normal 62 3_DEO ADIT Unprotected" xfId="3703" xr:uid="{2150065E-A3C1-4536-AA6A-8E013E4065C2}"/>
    <cellStyle name="Normal 62 4" xfId="1429" xr:uid="{00000000-0005-0000-0000-000048070000}"/>
    <cellStyle name="Normal 62 4 2" xfId="2341" xr:uid="{00000000-0005-0000-0000-000049070000}"/>
    <cellStyle name="Normal 62 4 2 2" xfId="5591" xr:uid="{62A1F2D8-A498-42E4-B8E1-3C0F7220CFAA}"/>
    <cellStyle name="Normal 62 4 2 2 2" xfId="8971" xr:uid="{FDDBB6F2-A889-4F8E-B2F4-65235F354300}"/>
    <cellStyle name="Normal 62 4 2 3" xfId="7271" xr:uid="{57ED5C06-6FA6-4BE5-8B44-D080A831E482}"/>
    <cellStyle name="Normal 62 4 2_DEO ADIT Unprotected" xfId="3708" xr:uid="{437D41C7-452D-4180-A7AB-893708C44985}"/>
    <cellStyle name="Normal 62 4 3" xfId="4754" xr:uid="{8EA6EAAC-6C1E-48AB-8655-BE22CA0F4C94}"/>
    <cellStyle name="Normal 62 4 3 2" xfId="8134" xr:uid="{8BE205C7-FF5B-48ED-B7F2-48072E649C22}"/>
    <cellStyle name="Normal 62 4 4" xfId="6434" xr:uid="{24E2D9EC-4D7E-4E8D-858C-25E1619AD44E}"/>
    <cellStyle name="Normal 62 4_DEO ADIT Unprotected" xfId="3707" xr:uid="{FD15A1B8-6816-45A3-8C8B-F6BBFF82C073}"/>
    <cellStyle name="Normal 62 5" xfId="2334" xr:uid="{00000000-0005-0000-0000-00004A070000}"/>
    <cellStyle name="Normal 62 5 2" xfId="5584" xr:uid="{19772EE2-02D5-41CB-951E-A3943F6E956D}"/>
    <cellStyle name="Normal 62 5 2 2" xfId="8964" xr:uid="{F806216A-107B-4655-A8D8-F2184CD8D1D9}"/>
    <cellStyle name="Normal 62 5 3" xfId="7264" xr:uid="{B15C4BAD-2178-4396-83D1-3A01645FA131}"/>
    <cellStyle name="Normal 62 5_DEO ADIT Unprotected" xfId="3709" xr:uid="{EE74B6FA-5723-40F5-8A9E-E49B310DF272}"/>
    <cellStyle name="Normal 62 6" xfId="4747" xr:uid="{CD895F40-F5F2-495D-989B-C5BE4256B83B}"/>
    <cellStyle name="Normal 62 6 2" xfId="8127" xr:uid="{3327C260-90CA-43DE-85A8-B481A488FD6E}"/>
    <cellStyle name="Normal 62 7" xfId="6427" xr:uid="{AB9351CB-B2CA-43E2-8B55-6FE89E0ADB9F}"/>
    <cellStyle name="Normal 62_DEO ADIT Unprotected" xfId="3694" xr:uid="{9EB7BB68-9C32-49D6-9FE7-22301EC49D86}"/>
    <cellStyle name="Normal 63" xfId="1430" xr:uid="{00000000-0005-0000-0000-00004B070000}"/>
    <cellStyle name="Normal 63 2" xfId="1431" xr:uid="{00000000-0005-0000-0000-00004C070000}"/>
    <cellStyle name="Normal 63 2 2" xfId="1432" xr:uid="{00000000-0005-0000-0000-00004D070000}"/>
    <cellStyle name="Normal 63 2 2 2" xfId="1433" xr:uid="{00000000-0005-0000-0000-00004E070000}"/>
    <cellStyle name="Normal 63 2 2 2 2" xfId="2345" xr:uid="{00000000-0005-0000-0000-00004F070000}"/>
    <cellStyle name="Normal 63 2 2 2 2 2" xfId="5595" xr:uid="{B6740E44-7933-4846-B108-1EDDE49B4578}"/>
    <cellStyle name="Normal 63 2 2 2 2 2 2" xfId="8975" xr:uid="{50880EC2-D6A8-4716-9874-484ED309C8EA}"/>
    <cellStyle name="Normal 63 2 2 2 2 3" xfId="7275" xr:uid="{61E19665-2F0B-4320-BD23-A2E97372359E}"/>
    <cellStyle name="Normal 63 2 2 2 2_DEO ADIT Unprotected" xfId="3714" xr:uid="{BDF175C9-AC87-4487-86FB-50DEF1697370}"/>
    <cellStyle name="Normal 63 2 2 2 3" xfId="4758" xr:uid="{CB70FA4C-04BB-4A7B-ADD3-DBA5D85B1F1D}"/>
    <cellStyle name="Normal 63 2 2 2 3 2" xfId="8138" xr:uid="{9AD93C47-6F1C-413B-B3C0-E7096FB5D72B}"/>
    <cellStyle name="Normal 63 2 2 2 4" xfId="6438" xr:uid="{3522B612-792A-4996-BB5D-C568F9F493CE}"/>
    <cellStyle name="Normal 63 2 2 2_DEO ADIT Unprotected" xfId="3713" xr:uid="{A407C890-A5F1-42AE-9E91-32D8FB4EAAF5}"/>
    <cellStyle name="Normal 63 2 2 3" xfId="2344" xr:uid="{00000000-0005-0000-0000-000050070000}"/>
    <cellStyle name="Normal 63 2 2 3 2" xfId="5594" xr:uid="{6B42003F-50D3-4B71-92A7-22F103A36AE0}"/>
    <cellStyle name="Normal 63 2 2 3 2 2" xfId="8974" xr:uid="{5B85ADBE-813A-4D57-9E21-5080AAFD2448}"/>
    <cellStyle name="Normal 63 2 2 3 3" xfId="7274" xr:uid="{9976F4D5-B89E-4A42-9F07-124E8546F9D9}"/>
    <cellStyle name="Normal 63 2 2 3_DEO ADIT Unprotected" xfId="3715" xr:uid="{5BE0BBAC-2A56-4112-AE9E-76AEFDB28B71}"/>
    <cellStyle name="Normal 63 2 2 4" xfId="4757" xr:uid="{0115778C-06EF-4114-BB14-58227341F6E0}"/>
    <cellStyle name="Normal 63 2 2 4 2" xfId="8137" xr:uid="{044FAE4A-D001-4C42-9E57-906D93799236}"/>
    <cellStyle name="Normal 63 2 2 5" xfId="6437" xr:uid="{6B0B01B7-D4E7-407A-A662-52767A15CADE}"/>
    <cellStyle name="Normal 63 2 2_DEO ADIT Unprotected" xfId="3712" xr:uid="{EF917F91-134F-419B-9552-B17ADBCE0693}"/>
    <cellStyle name="Normal 63 2 3" xfId="1434" xr:uid="{00000000-0005-0000-0000-000051070000}"/>
    <cellStyle name="Normal 63 2 3 2" xfId="2346" xr:uid="{00000000-0005-0000-0000-000052070000}"/>
    <cellStyle name="Normal 63 2 3 2 2" xfId="5596" xr:uid="{34E515D1-0B82-46D0-B156-55278CFD6280}"/>
    <cellStyle name="Normal 63 2 3 2 2 2" xfId="8976" xr:uid="{94B36BBE-A1DD-44A9-A05E-FB45A2F3C863}"/>
    <cellStyle name="Normal 63 2 3 2 3" xfId="7276" xr:uid="{69ADE86A-81F3-47C4-8439-F64E2F4AFF4E}"/>
    <cellStyle name="Normal 63 2 3 2_DEO ADIT Unprotected" xfId="3717" xr:uid="{F059B885-7CBD-4F4E-8A26-0964BE04C200}"/>
    <cellStyle name="Normal 63 2 3 3" xfId="4759" xr:uid="{B4DCF09D-0DAD-4C87-8909-4352B9A41982}"/>
    <cellStyle name="Normal 63 2 3 3 2" xfId="8139" xr:uid="{F55AF448-DB1B-40FE-A223-4FD04CAB1B6F}"/>
    <cellStyle name="Normal 63 2 3 4" xfId="6439" xr:uid="{2F58288D-3D99-4161-9B71-869C5CD9AC9B}"/>
    <cellStyle name="Normal 63 2 3_DEO ADIT Unprotected" xfId="3716" xr:uid="{8D538C82-AA35-411A-912F-ADF3CA7BB761}"/>
    <cellStyle name="Normal 63 2 4" xfId="2343" xr:uid="{00000000-0005-0000-0000-000053070000}"/>
    <cellStyle name="Normal 63 2 4 2" xfId="5593" xr:uid="{F3441D19-05C5-411E-8B8D-8AB35F9F16F0}"/>
    <cellStyle name="Normal 63 2 4 2 2" xfId="8973" xr:uid="{70506D06-3061-43E2-8A07-F92755406C69}"/>
    <cellStyle name="Normal 63 2 4 3" xfId="7273" xr:uid="{8D283EF8-574A-46C4-BA0C-6C1866B0F46D}"/>
    <cellStyle name="Normal 63 2 4_DEO ADIT Unprotected" xfId="3718" xr:uid="{8A73BF9F-06E0-443E-A47D-A00A81142E9F}"/>
    <cellStyle name="Normal 63 2 5" xfId="4756" xr:uid="{84AD9FBB-6EE1-4B06-ABDD-0AEC065DEBC2}"/>
    <cellStyle name="Normal 63 2 5 2" xfId="8136" xr:uid="{B9760CF4-07C0-4231-A400-47B85D278291}"/>
    <cellStyle name="Normal 63 2 6" xfId="6436" xr:uid="{B8CE1F2B-0F1C-4BF1-BAFE-449F21367807}"/>
    <cellStyle name="Normal 63 2_DEO ADIT Unprotected" xfId="3711" xr:uid="{3B8F9B4D-B7BF-4480-A0C7-477706EB14EE}"/>
    <cellStyle name="Normal 63 3" xfId="1435" xr:uid="{00000000-0005-0000-0000-000054070000}"/>
    <cellStyle name="Normal 63 3 2" xfId="1436" xr:uid="{00000000-0005-0000-0000-000055070000}"/>
    <cellStyle name="Normal 63 3 2 2" xfId="2348" xr:uid="{00000000-0005-0000-0000-000056070000}"/>
    <cellStyle name="Normal 63 3 2 2 2" xfId="5598" xr:uid="{95100089-9A0D-475D-84B8-10618E3E2C76}"/>
    <cellStyle name="Normal 63 3 2 2 2 2" xfId="8978" xr:uid="{43840417-2795-483A-9E8F-8C0D842BC4C9}"/>
    <cellStyle name="Normal 63 3 2 2 3" xfId="7278" xr:uid="{95084B0C-2F39-49C4-BF29-908F136C1440}"/>
    <cellStyle name="Normal 63 3 2 2_DEO ADIT Unprotected" xfId="3721" xr:uid="{774761A8-4334-46E3-9128-707980894A0C}"/>
    <cellStyle name="Normal 63 3 2 3" xfId="4761" xr:uid="{0F062EEF-143F-4ECA-8FC3-896D31D44AE7}"/>
    <cellStyle name="Normal 63 3 2 3 2" xfId="8141" xr:uid="{F86813C9-C4A8-4FFC-B2D9-A9EA3D02D7D8}"/>
    <cellStyle name="Normal 63 3 2 4" xfId="6441" xr:uid="{6CFD903E-F95D-4415-BFE8-7A6C34159ACE}"/>
    <cellStyle name="Normal 63 3 2_DEO ADIT Unprotected" xfId="3720" xr:uid="{93106BEB-153A-4C5E-9C79-59145A304813}"/>
    <cellStyle name="Normal 63 3 3" xfId="2347" xr:uid="{00000000-0005-0000-0000-000057070000}"/>
    <cellStyle name="Normal 63 3 3 2" xfId="5597" xr:uid="{A1E66234-694A-45AF-AE63-15ECC8B7FAC1}"/>
    <cellStyle name="Normal 63 3 3 2 2" xfId="8977" xr:uid="{A6559674-C040-4AE7-9DAA-64E8D004A9F4}"/>
    <cellStyle name="Normal 63 3 3 3" xfId="7277" xr:uid="{13F02CDB-BFEA-4E85-99C3-7181C8EC62B4}"/>
    <cellStyle name="Normal 63 3 3_DEO ADIT Unprotected" xfId="3722" xr:uid="{29DAF6DF-E3BE-4A32-8CE6-CA5A1726B006}"/>
    <cellStyle name="Normal 63 3 4" xfId="4760" xr:uid="{4D4C7AF7-3AFE-4CA2-B90F-EA488F31C0C9}"/>
    <cellStyle name="Normal 63 3 4 2" xfId="8140" xr:uid="{9AB63AB0-BF14-473B-95C5-6EB469304ED9}"/>
    <cellStyle name="Normal 63 3 5" xfId="6440" xr:uid="{899D3757-1243-4570-A75F-9034E18B6920}"/>
    <cellStyle name="Normal 63 3_DEO ADIT Unprotected" xfId="3719" xr:uid="{7D2DBC18-E8AD-4159-A29A-52FDE848CF48}"/>
    <cellStyle name="Normal 63 4" xfId="1437" xr:uid="{00000000-0005-0000-0000-000058070000}"/>
    <cellStyle name="Normal 63 4 2" xfId="2349" xr:uid="{00000000-0005-0000-0000-000059070000}"/>
    <cellStyle name="Normal 63 4 2 2" xfId="5599" xr:uid="{255F1DC5-BE55-4505-885B-47E29457BB2E}"/>
    <cellStyle name="Normal 63 4 2 2 2" xfId="8979" xr:uid="{DF937F45-1E8C-4D84-9F77-E3E44F4AF73F}"/>
    <cellStyle name="Normal 63 4 2 3" xfId="7279" xr:uid="{849344DD-244E-4751-AA5A-F832F97F465C}"/>
    <cellStyle name="Normal 63 4 2_DEO ADIT Unprotected" xfId="3724" xr:uid="{F864812E-A08D-4FA4-A5DE-F509744A7A48}"/>
    <cellStyle name="Normal 63 4 3" xfId="4762" xr:uid="{7BC399D9-833F-4113-B2FE-FC8456BAC062}"/>
    <cellStyle name="Normal 63 4 3 2" xfId="8142" xr:uid="{038BDF9E-97A7-4DD0-ADA1-B820C21C490F}"/>
    <cellStyle name="Normal 63 4 4" xfId="6442" xr:uid="{49EB549C-7AC3-4B13-827D-24199CD4D3F0}"/>
    <cellStyle name="Normal 63 4_DEO ADIT Unprotected" xfId="3723" xr:uid="{9B47082B-3E24-428B-B583-F5661F441E7C}"/>
    <cellStyle name="Normal 63 5" xfId="2342" xr:uid="{00000000-0005-0000-0000-00005A070000}"/>
    <cellStyle name="Normal 63 5 2" xfId="5592" xr:uid="{F30655A2-3176-4F40-AF68-C63A7364F0DA}"/>
    <cellStyle name="Normal 63 5 2 2" xfId="8972" xr:uid="{A9B142BC-858F-43DC-8F37-0F2928631F5E}"/>
    <cellStyle name="Normal 63 5 3" xfId="7272" xr:uid="{E7FC5321-383A-46D7-B378-F29D8667EE58}"/>
    <cellStyle name="Normal 63 5_DEO ADIT Unprotected" xfId="3725" xr:uid="{2D6AF014-837E-4A28-B2AC-B6BB7D0577C5}"/>
    <cellStyle name="Normal 63 6" xfId="4755" xr:uid="{95DCEC02-4A2A-4938-B529-126222E892EF}"/>
    <cellStyle name="Normal 63 6 2" xfId="8135" xr:uid="{7047836F-3CEC-4888-ADE8-FA9B89B37044}"/>
    <cellStyle name="Normal 63 7" xfId="6435" xr:uid="{7EAB4750-5B4F-4414-8434-90C785891CC9}"/>
    <cellStyle name="Normal 63_DEO ADIT Unprotected" xfId="3710" xr:uid="{F2C88C48-D725-4E60-A274-CD17EEF7E52B}"/>
    <cellStyle name="Normal 64" xfId="1438" xr:uid="{00000000-0005-0000-0000-00005B070000}"/>
    <cellStyle name="Normal 64 2" xfId="1439" xr:uid="{00000000-0005-0000-0000-00005C070000}"/>
    <cellStyle name="Normal 64 2 2" xfId="1440" xr:uid="{00000000-0005-0000-0000-00005D070000}"/>
    <cellStyle name="Normal 64 2 2 2" xfId="2352" xr:uid="{00000000-0005-0000-0000-00005E070000}"/>
    <cellStyle name="Normal 64 2 2 2 2" xfId="5602" xr:uid="{859C6394-6392-4F48-AB11-C39857237B61}"/>
    <cellStyle name="Normal 64 2 2 2 2 2" xfId="8982" xr:uid="{AF0BA553-42F7-4E49-9497-971B447FE614}"/>
    <cellStyle name="Normal 64 2 2 2 3" xfId="7282" xr:uid="{65E91E91-9F8D-40A6-98F8-164EA1C44C67}"/>
    <cellStyle name="Normal 64 2 2 2_DEO ADIT Unprotected" xfId="3729" xr:uid="{D7BEABC9-8467-43B7-8EE7-A0F3B47D53B6}"/>
    <cellStyle name="Normal 64 2 2 3" xfId="4765" xr:uid="{5B97A5F0-B93F-4EF5-A809-26EDE18DFB95}"/>
    <cellStyle name="Normal 64 2 2 3 2" xfId="8145" xr:uid="{9EC0EF2E-94C1-4AAA-80F8-C35F54F5E1CC}"/>
    <cellStyle name="Normal 64 2 2 4" xfId="6445" xr:uid="{0F2CC476-56A3-47F8-94C1-6D19AD3E23F3}"/>
    <cellStyle name="Normal 64 2 2_DEO ADIT Unprotected" xfId="3728" xr:uid="{B6DD46D0-391C-4779-BB12-B24C26C6C397}"/>
    <cellStyle name="Normal 64 2 3" xfId="2351" xr:uid="{00000000-0005-0000-0000-00005F070000}"/>
    <cellStyle name="Normal 64 2 3 2" xfId="5601" xr:uid="{5F437CE8-18A6-47DA-9D3D-1F8190BFB3ED}"/>
    <cellStyle name="Normal 64 2 3 2 2" xfId="8981" xr:uid="{30F7EF6D-948F-4E1A-AD1F-4A03E9EB5297}"/>
    <cellStyle name="Normal 64 2 3 3" xfId="7281" xr:uid="{DC38C3D7-8045-4873-AB58-D1DAA32AEFA7}"/>
    <cellStyle name="Normal 64 2 3_DEO ADIT Unprotected" xfId="3730" xr:uid="{F52A8F13-A251-44EB-A1D5-31D8330B4DC9}"/>
    <cellStyle name="Normal 64 2 4" xfId="4764" xr:uid="{E4EDD719-B742-424E-98B0-00A47AB2281F}"/>
    <cellStyle name="Normal 64 2 4 2" xfId="8144" xr:uid="{B7CB24B3-3EE0-4982-83F1-D3FC2CD7D785}"/>
    <cellStyle name="Normal 64 2 5" xfId="6444" xr:uid="{2F9915AA-1F4A-4C54-B234-AB3523B451CA}"/>
    <cellStyle name="Normal 64 2_DEO ADIT Unprotected" xfId="3727" xr:uid="{4D174C92-90DC-438E-802F-9FBCDF999BAB}"/>
    <cellStyle name="Normal 64 3" xfId="1441" xr:uid="{00000000-0005-0000-0000-000060070000}"/>
    <cellStyle name="Normal 64 3 2" xfId="2353" xr:uid="{00000000-0005-0000-0000-000061070000}"/>
    <cellStyle name="Normal 64 3 2 2" xfId="5603" xr:uid="{F110FAAE-D003-4D0E-90C4-9982D91CCCBD}"/>
    <cellStyle name="Normal 64 3 2 2 2" xfId="8983" xr:uid="{F1A26942-D4C2-461A-912F-BDEFC786E55E}"/>
    <cellStyle name="Normal 64 3 2 3" xfId="7283" xr:uid="{0EC4D1B8-9533-49EC-A712-674437AF54B2}"/>
    <cellStyle name="Normal 64 3 2_DEO ADIT Unprotected" xfId="3732" xr:uid="{BDF96631-24B2-41DB-9233-B325183CAEC2}"/>
    <cellStyle name="Normal 64 3 3" xfId="4766" xr:uid="{A7340E8A-4C77-48D7-B6FB-87329A414B99}"/>
    <cellStyle name="Normal 64 3 3 2" xfId="8146" xr:uid="{C83C202A-73E0-4E4E-982C-DD01E39F64F7}"/>
    <cellStyle name="Normal 64 3 4" xfId="6446" xr:uid="{7A58B0E9-AD7E-418A-8113-615DF5A7D3A6}"/>
    <cellStyle name="Normal 64 3_DEO ADIT Unprotected" xfId="3731" xr:uid="{352E5A00-C97A-492D-A21B-10F5222D9C5D}"/>
    <cellStyle name="Normal 64 4" xfId="2350" xr:uid="{00000000-0005-0000-0000-000062070000}"/>
    <cellStyle name="Normal 64 4 2" xfId="5600" xr:uid="{F04D0BAC-3FD7-488A-86B1-23B199BB2814}"/>
    <cellStyle name="Normal 64 4 2 2" xfId="8980" xr:uid="{39EBF423-9D02-47AE-85F3-F0377943D92B}"/>
    <cellStyle name="Normal 64 4 3" xfId="7280" xr:uid="{A8BC149F-4B34-4032-8353-E7DE975708EE}"/>
    <cellStyle name="Normal 64 4_DEO ADIT Unprotected" xfId="3733" xr:uid="{CBC281DA-658B-479D-9BC2-A9A9F2D4C18A}"/>
    <cellStyle name="Normal 64 5" xfId="4763" xr:uid="{EEE8DD7E-C2FF-4DEF-9445-EAD25F0C2EEE}"/>
    <cellStyle name="Normal 64 5 2" xfId="8143" xr:uid="{390FC412-2943-4948-8627-5AFF3B5F6297}"/>
    <cellStyle name="Normal 64 6" xfId="6443" xr:uid="{03B36187-2D1D-47FC-A5B6-A178BA3C2537}"/>
    <cellStyle name="Normal 64_DEO ADIT Unprotected" xfId="3726" xr:uid="{8632B8D7-789F-4499-AAE5-E9FF94DFB8FF}"/>
    <cellStyle name="Normal 65" xfId="1442" xr:uid="{00000000-0005-0000-0000-000063070000}"/>
    <cellStyle name="Normal 65 2" xfId="1443" xr:uid="{00000000-0005-0000-0000-000064070000}"/>
    <cellStyle name="Normal 65 2 2" xfId="1444" xr:uid="{00000000-0005-0000-0000-000065070000}"/>
    <cellStyle name="Normal 65 2 2 2" xfId="2356" xr:uid="{00000000-0005-0000-0000-000066070000}"/>
    <cellStyle name="Normal 65 2 2 2 2" xfId="5606" xr:uid="{59367634-55AA-4729-857F-30C108CC559C}"/>
    <cellStyle name="Normal 65 2 2 2 2 2" xfId="8986" xr:uid="{1637C23F-97C2-40E1-8BA2-FAA35B3F1BC9}"/>
    <cellStyle name="Normal 65 2 2 2 3" xfId="7286" xr:uid="{645019C6-23E8-4F59-9CCF-42A8B2BD61BA}"/>
    <cellStyle name="Normal 65 2 2 2_DEO ADIT Unprotected" xfId="3737" xr:uid="{90FC87AB-2796-4E1D-89EB-9840956F9136}"/>
    <cellStyle name="Normal 65 2 2 3" xfId="4769" xr:uid="{41D8D81D-2F69-4BE4-A1B9-9EF8A55E5938}"/>
    <cellStyle name="Normal 65 2 2 3 2" xfId="8149" xr:uid="{7A85B238-8CEB-40CE-B1A3-3E1C706FC44D}"/>
    <cellStyle name="Normal 65 2 2 4" xfId="6449" xr:uid="{4919310F-9EE1-490E-B839-4067B4A6B7EB}"/>
    <cellStyle name="Normal 65 2 2_DEO ADIT Unprotected" xfId="3736" xr:uid="{5E50B727-5330-4851-9796-B0C1AEB984B8}"/>
    <cellStyle name="Normal 65 2 3" xfId="2355" xr:uid="{00000000-0005-0000-0000-000067070000}"/>
    <cellStyle name="Normal 65 2 3 2" xfId="5605" xr:uid="{40146EEF-C6D4-42A1-B22A-12F3C3D2580D}"/>
    <cellStyle name="Normal 65 2 3 2 2" xfId="8985" xr:uid="{B672B5A5-9F24-4751-A903-C922506E9C3F}"/>
    <cellStyle name="Normal 65 2 3 3" xfId="7285" xr:uid="{54B33A48-D41A-4724-8422-62EC858E79B7}"/>
    <cellStyle name="Normal 65 2 3_DEO ADIT Unprotected" xfId="3738" xr:uid="{9832D9EB-8366-433E-8E2A-29427880A613}"/>
    <cellStyle name="Normal 65 2 4" xfId="4768" xr:uid="{6EC9264A-8395-4C00-B684-3D2043B35355}"/>
    <cellStyle name="Normal 65 2 4 2" xfId="8148" xr:uid="{E8E0B991-CF22-4B37-80CF-594F76502401}"/>
    <cellStyle name="Normal 65 2 5" xfId="6448" xr:uid="{6379E576-B85E-4DAD-AA1A-6836D3B364A0}"/>
    <cellStyle name="Normal 65 2_DEO ADIT Unprotected" xfId="3735" xr:uid="{34038A7D-C9BF-4F5E-8234-BE42D483B59C}"/>
    <cellStyle name="Normal 65 3" xfId="1445" xr:uid="{00000000-0005-0000-0000-000068070000}"/>
    <cellStyle name="Normal 65 3 2" xfId="2357" xr:uid="{00000000-0005-0000-0000-000069070000}"/>
    <cellStyle name="Normal 65 3 2 2" xfId="5607" xr:uid="{43E2B5FD-1930-4425-A906-FD98D6C55D7F}"/>
    <cellStyle name="Normal 65 3 2 2 2" xfId="8987" xr:uid="{05E37A98-433D-4478-BD81-5053D4121FBF}"/>
    <cellStyle name="Normal 65 3 2 3" xfId="7287" xr:uid="{23D968EE-7AF0-43DE-8334-EA2C9ECC5FBD}"/>
    <cellStyle name="Normal 65 3 2_DEO ADIT Unprotected" xfId="3740" xr:uid="{C7D22965-2291-464A-B29A-0FF4D61D3A6B}"/>
    <cellStyle name="Normal 65 3 3" xfId="4770" xr:uid="{29CDE5BB-AE39-4D3A-A780-3CD38E4E8397}"/>
    <cellStyle name="Normal 65 3 3 2" xfId="8150" xr:uid="{5BE6036C-97C6-4725-9599-9F1E1A1E435A}"/>
    <cellStyle name="Normal 65 3 4" xfId="6450" xr:uid="{542C3044-1E3C-4C50-836B-DF19F229748B}"/>
    <cellStyle name="Normal 65 3_DEO ADIT Unprotected" xfId="3739" xr:uid="{F9773342-539C-4217-BE4C-6A5AF9B4BFCB}"/>
    <cellStyle name="Normal 65 4" xfId="2354" xr:uid="{00000000-0005-0000-0000-00006A070000}"/>
    <cellStyle name="Normal 65 4 2" xfId="5604" xr:uid="{476CAD6F-4F68-4578-AE65-EF160C747C07}"/>
    <cellStyle name="Normal 65 4 2 2" xfId="8984" xr:uid="{00B0E494-2F07-45DC-8C5D-1637CF2A0F26}"/>
    <cellStyle name="Normal 65 4 3" xfId="7284" xr:uid="{5641C574-CB6D-41A9-9B58-C5F22B81FEAE}"/>
    <cellStyle name="Normal 65 4_DEO ADIT Unprotected" xfId="3741" xr:uid="{53639135-AC93-4EB8-B293-8D7DF69FC569}"/>
    <cellStyle name="Normal 65 5" xfId="4767" xr:uid="{A258D4C1-9D0A-4CF1-A63D-EE95703028BA}"/>
    <cellStyle name="Normal 65 5 2" xfId="8147" xr:uid="{B9C8F6B0-897D-4346-9907-3A0B3980A41D}"/>
    <cellStyle name="Normal 65 6" xfId="6447" xr:uid="{7D716337-CAF2-4E75-A4F1-6C005857FC0E}"/>
    <cellStyle name="Normal 65_DEO ADIT Unprotected" xfId="3734" xr:uid="{2B218A2C-3826-4C3B-954C-DF1D663EA9EF}"/>
    <cellStyle name="Normal 66" xfId="1446" xr:uid="{00000000-0005-0000-0000-00006B070000}"/>
    <cellStyle name="Normal 66 2" xfId="1447" xr:uid="{00000000-0005-0000-0000-00006C070000}"/>
    <cellStyle name="Normal 66 2 2" xfId="1448" xr:uid="{00000000-0005-0000-0000-00006D070000}"/>
    <cellStyle name="Normal 66 2 2 2" xfId="2360" xr:uid="{00000000-0005-0000-0000-00006E070000}"/>
    <cellStyle name="Normal 66 2 2 2 2" xfId="5610" xr:uid="{77786765-9526-4576-829B-49FACC897433}"/>
    <cellStyle name="Normal 66 2 2 2 2 2" xfId="8990" xr:uid="{F98001F8-ACB9-48E2-9FE5-B4C9C5200BE7}"/>
    <cellStyle name="Normal 66 2 2 2 3" xfId="7290" xr:uid="{96650B17-83E0-44DD-B427-F32E1DD51D6E}"/>
    <cellStyle name="Normal 66 2 2 2_DEO ADIT Unprotected" xfId="3745" xr:uid="{E50CF043-349D-4936-BBE7-83979577C18F}"/>
    <cellStyle name="Normal 66 2 2 3" xfId="4773" xr:uid="{15516D8F-223A-47FE-B7FB-57896DC8586C}"/>
    <cellStyle name="Normal 66 2 2 3 2" xfId="8153" xr:uid="{677D0FAB-EB91-4E8C-A82D-8E0D4A91D2C0}"/>
    <cellStyle name="Normal 66 2 2 4" xfId="6453" xr:uid="{C8E5BA3F-5542-405B-95C7-251A2029B3C1}"/>
    <cellStyle name="Normal 66 2 2_DEO ADIT Unprotected" xfId="3744" xr:uid="{F97E175E-5AE5-4F16-963D-FD9614D3B955}"/>
    <cellStyle name="Normal 66 2 3" xfId="2359" xr:uid="{00000000-0005-0000-0000-00006F070000}"/>
    <cellStyle name="Normal 66 2 3 2" xfId="5609" xr:uid="{26A9CCBD-50D7-427E-B56B-4EA5BBBDBCA4}"/>
    <cellStyle name="Normal 66 2 3 2 2" xfId="8989" xr:uid="{DC35EC9C-DDCC-448D-A355-2E8F96D8B5E6}"/>
    <cellStyle name="Normal 66 2 3 3" xfId="7289" xr:uid="{48869EDE-20E8-439D-8BDB-7D0792B6F291}"/>
    <cellStyle name="Normal 66 2 3_DEO ADIT Unprotected" xfId="3746" xr:uid="{42E40229-67C1-4167-A038-6A10C1B27DF4}"/>
    <cellStyle name="Normal 66 2 4" xfId="4772" xr:uid="{EE332FF6-4B6A-4BB6-8495-9E92D72ACE91}"/>
    <cellStyle name="Normal 66 2 4 2" xfId="8152" xr:uid="{7335D4B7-575A-4B3D-895E-23EE512C9216}"/>
    <cellStyle name="Normal 66 2 5" xfId="6452" xr:uid="{EE66CA5A-4CD4-4388-8576-93C466CAD630}"/>
    <cellStyle name="Normal 66 2_DEO ADIT Unprotected" xfId="3743" xr:uid="{2C4C54F4-783C-4338-9184-E4A9F1730E1A}"/>
    <cellStyle name="Normal 66 3" xfId="1449" xr:uid="{00000000-0005-0000-0000-000070070000}"/>
    <cellStyle name="Normal 66 3 2" xfId="2361" xr:uid="{00000000-0005-0000-0000-000071070000}"/>
    <cellStyle name="Normal 66 3 2 2" xfId="5611" xr:uid="{21CD2399-5EA2-4580-9094-BD8806509BFB}"/>
    <cellStyle name="Normal 66 3 2 2 2" xfId="8991" xr:uid="{B6A1EA64-CC39-4863-B05C-8407C35E6C47}"/>
    <cellStyle name="Normal 66 3 2 3" xfId="7291" xr:uid="{CC5FF599-8042-4B03-A9A9-C2E3B635CAA5}"/>
    <cellStyle name="Normal 66 3 2_DEO ADIT Unprotected" xfId="3748" xr:uid="{522E66AE-5569-4B85-A4D5-8862577611EB}"/>
    <cellStyle name="Normal 66 3 3" xfId="4774" xr:uid="{77D0826E-842F-42E8-BDB6-23F7F8EED941}"/>
    <cellStyle name="Normal 66 3 3 2" xfId="8154" xr:uid="{D8C00251-8D1F-4F02-8DBD-94CB515D9D2E}"/>
    <cellStyle name="Normal 66 3 4" xfId="6454" xr:uid="{29386A74-7D35-4F35-B057-9CE47D405AAF}"/>
    <cellStyle name="Normal 66 3_DEO ADIT Unprotected" xfId="3747" xr:uid="{81EE4C21-002C-4D64-91A7-E7F8666D27FA}"/>
    <cellStyle name="Normal 66 4" xfId="2358" xr:uid="{00000000-0005-0000-0000-000072070000}"/>
    <cellStyle name="Normal 66 4 2" xfId="5608" xr:uid="{7074CE24-7535-456A-ACC3-38B5BF9533AB}"/>
    <cellStyle name="Normal 66 4 2 2" xfId="8988" xr:uid="{E63ACF01-9F58-4008-9288-EA8A1BD588AE}"/>
    <cellStyle name="Normal 66 4 3" xfId="7288" xr:uid="{EAD93088-4802-495C-8CF0-BA1DBC51AC62}"/>
    <cellStyle name="Normal 66 4_DEO ADIT Unprotected" xfId="3749" xr:uid="{C06783FB-3EAE-411D-955D-2824479A6790}"/>
    <cellStyle name="Normal 66 5" xfId="4771" xr:uid="{3875ACCD-DAE9-4A88-B05E-45AC4C3E6A50}"/>
    <cellStyle name="Normal 66 5 2" xfId="8151" xr:uid="{41403C2B-5FFB-4361-B612-CF339F4C7F61}"/>
    <cellStyle name="Normal 66 6" xfId="6451" xr:uid="{68A9D67F-B3BD-4ECA-B8CA-36C506AC3E0A}"/>
    <cellStyle name="Normal 66_DEO ADIT Unprotected" xfId="3742" xr:uid="{1B22981D-8835-4D56-A180-FBC48C5AF5EF}"/>
    <cellStyle name="Normal 67" xfId="1450" xr:uid="{00000000-0005-0000-0000-000073070000}"/>
    <cellStyle name="Normal 67 2" xfId="1451" xr:uid="{00000000-0005-0000-0000-000074070000}"/>
    <cellStyle name="Normal 67 2 2" xfId="1452" xr:uid="{00000000-0005-0000-0000-000075070000}"/>
    <cellStyle name="Normal 67 2 2 2" xfId="2364" xr:uid="{00000000-0005-0000-0000-000076070000}"/>
    <cellStyle name="Normal 67 2 2 2 2" xfId="5614" xr:uid="{8A12398C-5FA1-448C-9DC4-E74A46511C54}"/>
    <cellStyle name="Normal 67 2 2 2 2 2" xfId="8994" xr:uid="{A17F7B0D-C834-4198-BE89-1FDDFD8C951C}"/>
    <cellStyle name="Normal 67 2 2 2 3" xfId="7294" xr:uid="{E31264C2-68D8-4D85-A2B4-77E081986C6F}"/>
    <cellStyle name="Normal 67 2 2 2_DEO ADIT Unprotected" xfId="3753" xr:uid="{7141F7A5-A96B-4F6B-A485-13F75EC0B391}"/>
    <cellStyle name="Normal 67 2 2 3" xfId="4777" xr:uid="{2DC0F3A0-2E53-4873-A8BC-30C4345BD96F}"/>
    <cellStyle name="Normal 67 2 2 3 2" xfId="8157" xr:uid="{828D3743-5C79-4070-969E-CEDB667F03A5}"/>
    <cellStyle name="Normal 67 2 2 4" xfId="6457" xr:uid="{B9EDC6CA-DC59-4F49-B978-5D71E91A17ED}"/>
    <cellStyle name="Normal 67 2 2_DEO ADIT Unprotected" xfId="3752" xr:uid="{16AABBB4-85B0-4CFF-AF38-330FA02D8A30}"/>
    <cellStyle name="Normal 67 2 3" xfId="2363" xr:uid="{00000000-0005-0000-0000-000077070000}"/>
    <cellStyle name="Normal 67 2 3 2" xfId="5613" xr:uid="{24703455-48C0-42B7-BFA0-74D22009432F}"/>
    <cellStyle name="Normal 67 2 3 2 2" xfId="8993" xr:uid="{6FA6C7FD-D106-4217-B2B4-82F9EE2BBF3D}"/>
    <cellStyle name="Normal 67 2 3 3" xfId="7293" xr:uid="{DDF796F1-80B4-42D7-B1DE-C6FD217BD4EB}"/>
    <cellStyle name="Normal 67 2 3_DEO ADIT Unprotected" xfId="3754" xr:uid="{60971615-EE94-4EDD-9516-4A505C9275A5}"/>
    <cellStyle name="Normal 67 2 4" xfId="4776" xr:uid="{3F47447D-10DD-40EA-9097-1480DD7DD29E}"/>
    <cellStyle name="Normal 67 2 4 2" xfId="8156" xr:uid="{9ACAED18-C06E-4952-BD99-5E297E132019}"/>
    <cellStyle name="Normal 67 2 5" xfId="6456" xr:uid="{FC401803-CEFD-4965-BA4F-A4351D015DF3}"/>
    <cellStyle name="Normal 67 2_DEO ADIT Unprotected" xfId="3751" xr:uid="{1FC9C945-2304-418F-B383-1B1E0402B5B0}"/>
    <cellStyle name="Normal 67 3" xfId="1453" xr:uid="{00000000-0005-0000-0000-000078070000}"/>
    <cellStyle name="Normal 67 3 2" xfId="2365" xr:uid="{00000000-0005-0000-0000-000079070000}"/>
    <cellStyle name="Normal 67 3 2 2" xfId="5615" xr:uid="{1B79C469-1014-4E00-96D1-4E5DD89FF67F}"/>
    <cellStyle name="Normal 67 3 2 2 2" xfId="8995" xr:uid="{4894600B-7AC4-4A2D-A63A-ADD8939F6BE8}"/>
    <cellStyle name="Normal 67 3 2 3" xfId="7295" xr:uid="{DB17546B-8CB9-4A07-B435-71A2F4E8C401}"/>
    <cellStyle name="Normal 67 3 2_DEO ADIT Unprotected" xfId="3756" xr:uid="{2CC1C810-4BFB-4EC9-9BCB-50EADCC7EDD0}"/>
    <cellStyle name="Normal 67 3 3" xfId="4778" xr:uid="{8686D471-94B1-4B2C-83C2-9FC57C98FD9A}"/>
    <cellStyle name="Normal 67 3 3 2" xfId="8158" xr:uid="{92A87837-26E3-4DF8-94E4-E5585FD30E86}"/>
    <cellStyle name="Normal 67 3 4" xfId="6458" xr:uid="{A57F80F6-6269-40E7-BEFE-57F24E7F9D35}"/>
    <cellStyle name="Normal 67 3_DEO ADIT Unprotected" xfId="3755" xr:uid="{2755F735-03C1-4C34-9BA4-19939DB3D2D8}"/>
    <cellStyle name="Normal 67 4" xfId="2362" xr:uid="{00000000-0005-0000-0000-00007A070000}"/>
    <cellStyle name="Normal 67 4 2" xfId="5612" xr:uid="{15DB9FF2-E6AD-411F-9651-B22F61422F21}"/>
    <cellStyle name="Normal 67 4 2 2" xfId="8992" xr:uid="{29867D2F-1D0B-496A-8BC7-D7EE7A283CB0}"/>
    <cellStyle name="Normal 67 4 3" xfId="7292" xr:uid="{158A2B97-3AFA-49DE-A3A1-13BC2ED926E6}"/>
    <cellStyle name="Normal 67 4_DEO ADIT Unprotected" xfId="3757" xr:uid="{8EE7247E-7A3C-4CDC-A83B-198C1840D94F}"/>
    <cellStyle name="Normal 67 5" xfId="4775" xr:uid="{246534E8-1C40-40A0-8ABD-5D5659D5C285}"/>
    <cellStyle name="Normal 67 5 2" xfId="8155" xr:uid="{26D0A19C-202F-454B-AC0E-968E8D50BC93}"/>
    <cellStyle name="Normal 67 6" xfId="6455" xr:uid="{08F22E86-D50A-4350-BD24-99310DC28C18}"/>
    <cellStyle name="Normal 67_DEO ADIT Unprotected" xfId="3750" xr:uid="{C7E1624D-D376-4950-A6BE-F47C4A5C46ED}"/>
    <cellStyle name="Normal 68" xfId="1454" xr:uid="{00000000-0005-0000-0000-00007B070000}"/>
    <cellStyle name="Normal 68 2" xfId="1455" xr:uid="{00000000-0005-0000-0000-00007C070000}"/>
    <cellStyle name="Normal 68 2 2" xfId="1456" xr:uid="{00000000-0005-0000-0000-00007D070000}"/>
    <cellStyle name="Normal 68 2 2 2" xfId="2368" xr:uid="{00000000-0005-0000-0000-00007E070000}"/>
    <cellStyle name="Normal 68 2 2 2 2" xfId="5618" xr:uid="{2D03E715-1DF8-4288-9B9F-75A7F033786D}"/>
    <cellStyle name="Normal 68 2 2 2 2 2" xfId="8998" xr:uid="{48A5315A-F224-4E0E-B92A-F66E8AE71DBE}"/>
    <cellStyle name="Normal 68 2 2 2 3" xfId="7298" xr:uid="{DAFC7F00-C0E3-46AC-A8D9-58EBA7B6D219}"/>
    <cellStyle name="Normal 68 2 2 2_DEO ADIT Unprotected" xfId="3761" xr:uid="{17F953CB-8EF2-4130-810C-671EC92F54A9}"/>
    <cellStyle name="Normal 68 2 2 3" xfId="4781" xr:uid="{3E11C655-EA4A-4246-A803-8A6939FD9972}"/>
    <cellStyle name="Normal 68 2 2 3 2" xfId="8161" xr:uid="{34C065EB-0241-4870-B557-C5DCB92C2AB2}"/>
    <cellStyle name="Normal 68 2 2 4" xfId="6461" xr:uid="{6FE530A3-22B9-43FD-A130-D2F8F35E610B}"/>
    <cellStyle name="Normal 68 2 2_DEO ADIT Unprotected" xfId="3760" xr:uid="{1186FEA9-BE23-4CDC-9D04-095054238EB7}"/>
    <cellStyle name="Normal 68 2 3" xfId="2367" xr:uid="{00000000-0005-0000-0000-00007F070000}"/>
    <cellStyle name="Normal 68 2 3 2" xfId="5617" xr:uid="{D0DD879D-8B24-40CC-9B15-30E07D573FD9}"/>
    <cellStyle name="Normal 68 2 3 2 2" xfId="8997" xr:uid="{E595434E-E52D-4226-BDBC-B5504BBF16A0}"/>
    <cellStyle name="Normal 68 2 3 3" xfId="7297" xr:uid="{F09E9C31-D930-4978-83FA-9A4A41CE4D05}"/>
    <cellStyle name="Normal 68 2 3_DEO ADIT Unprotected" xfId="3762" xr:uid="{99E602AE-4D15-4927-8C88-2DF57769E5DD}"/>
    <cellStyle name="Normal 68 2 4" xfId="4780" xr:uid="{2D380482-2B7E-461A-887F-9D1E22C6A707}"/>
    <cellStyle name="Normal 68 2 4 2" xfId="8160" xr:uid="{3E590316-E3CB-4CD7-8860-D0256130B5AE}"/>
    <cellStyle name="Normal 68 2 5" xfId="6460" xr:uid="{08631AB4-7363-4E77-B655-26667ECB9B29}"/>
    <cellStyle name="Normal 68 2_DEO ADIT Unprotected" xfId="3759" xr:uid="{29840B15-1686-450D-A309-E626A84D0C88}"/>
    <cellStyle name="Normal 68 3" xfId="1457" xr:uid="{00000000-0005-0000-0000-000080070000}"/>
    <cellStyle name="Normal 68 3 2" xfId="2369" xr:uid="{00000000-0005-0000-0000-000081070000}"/>
    <cellStyle name="Normal 68 3 2 2" xfId="5619" xr:uid="{850B90D1-744B-4E31-BF55-99AC23665BE9}"/>
    <cellStyle name="Normal 68 3 2 2 2" xfId="8999" xr:uid="{FE3060DD-A675-4EE4-8882-9EC2E6931DDC}"/>
    <cellStyle name="Normal 68 3 2 3" xfId="7299" xr:uid="{1D88D4DB-C7F0-4FC6-A911-DEAF8A9E91CD}"/>
    <cellStyle name="Normal 68 3 2_DEO ADIT Unprotected" xfId="3764" xr:uid="{FD5858D6-BEBE-4A91-A5B6-F8C02C2DE711}"/>
    <cellStyle name="Normal 68 3 3" xfId="4782" xr:uid="{225FA37E-CAFB-42B5-B86A-6A320289E0BB}"/>
    <cellStyle name="Normal 68 3 3 2" xfId="8162" xr:uid="{9245E9F8-CF24-4417-95B1-0EBBC9A8F7E4}"/>
    <cellStyle name="Normal 68 3 4" xfId="6462" xr:uid="{3C8711C1-21AA-41BA-B568-410390CC7EE7}"/>
    <cellStyle name="Normal 68 3_DEO ADIT Unprotected" xfId="3763" xr:uid="{08A7F0BB-7315-4226-B653-7FC4A653AAEF}"/>
    <cellStyle name="Normal 68 4" xfId="2366" xr:uid="{00000000-0005-0000-0000-000082070000}"/>
    <cellStyle name="Normal 68 4 2" xfId="5616" xr:uid="{8227D3CD-8196-412A-9278-3EC00FFD9721}"/>
    <cellStyle name="Normal 68 4 2 2" xfId="8996" xr:uid="{06CC7DAC-AFB4-4B73-A918-DCBFFB589F26}"/>
    <cellStyle name="Normal 68 4 3" xfId="7296" xr:uid="{C64110DA-1BD4-4A00-8C83-2698E297B9F4}"/>
    <cellStyle name="Normal 68 4_DEO ADIT Unprotected" xfId="3765" xr:uid="{E5EEE349-3AE0-40E6-859C-D198E5FEC670}"/>
    <cellStyle name="Normal 68 5" xfId="4779" xr:uid="{38DB6996-1FB9-4C2D-8BED-B58C16A3F6E0}"/>
    <cellStyle name="Normal 68 5 2" xfId="8159" xr:uid="{94ABCC79-2CED-4B55-89A0-54E7AF4ABE05}"/>
    <cellStyle name="Normal 68 6" xfId="6459" xr:uid="{C77907C1-41C6-4128-98C4-293585101D9B}"/>
    <cellStyle name="Normal 68_DEO ADIT Unprotected" xfId="3758" xr:uid="{631849E7-D73E-4FC5-81B5-5D9FD93B1338}"/>
    <cellStyle name="Normal 69" xfId="1458" xr:uid="{00000000-0005-0000-0000-000083070000}"/>
    <cellStyle name="Normal 69 2" xfId="1459" xr:uid="{00000000-0005-0000-0000-000084070000}"/>
    <cellStyle name="Normal 69 2 2" xfId="2371" xr:uid="{00000000-0005-0000-0000-000085070000}"/>
    <cellStyle name="Normal 69 2 2 2" xfId="5621" xr:uid="{EA9F70CA-7CD2-4842-8B6F-DB709A6C511E}"/>
    <cellStyle name="Normal 69 2 2 2 2" xfId="9001" xr:uid="{79E48729-CD1C-45AA-99BB-A85FE2E69E0A}"/>
    <cellStyle name="Normal 69 2 2 3" xfId="7301" xr:uid="{317C3D8A-B10C-471E-9A15-9F0F78B129BE}"/>
    <cellStyle name="Normal 69 2 2_DEO ADIT Unprotected" xfId="3768" xr:uid="{D9A17391-0773-484F-BB5C-E41E3A181C53}"/>
    <cellStyle name="Normal 69 2 3" xfId="4784" xr:uid="{39BE9641-623F-4927-A574-7F97DCD23F43}"/>
    <cellStyle name="Normal 69 2 3 2" xfId="8164" xr:uid="{4A1C3D69-D169-4B22-B47E-851B69AA8C59}"/>
    <cellStyle name="Normal 69 2 4" xfId="6464" xr:uid="{9080CD5D-9A83-4A45-B6F5-17F8761285D2}"/>
    <cellStyle name="Normal 69 2_DEO ADIT Unprotected" xfId="3767" xr:uid="{51D04A98-088A-4845-BC7B-FFF1B998CAE0}"/>
    <cellStyle name="Normal 69 3" xfId="2370" xr:uid="{00000000-0005-0000-0000-000086070000}"/>
    <cellStyle name="Normal 69 3 2" xfId="5620" xr:uid="{AA215BEF-1603-444C-914D-80A7AC5FBAE7}"/>
    <cellStyle name="Normal 69 3 2 2" xfId="9000" xr:uid="{62582273-92F8-4804-A2D3-0B316135C460}"/>
    <cellStyle name="Normal 69 3 3" xfId="7300" xr:uid="{52D3AEBF-8047-4ABB-9BAD-67D5EB59385F}"/>
    <cellStyle name="Normal 69 3_DEO ADIT Unprotected" xfId="3769" xr:uid="{8E69F836-356E-4343-B97D-0C2074755D1C}"/>
    <cellStyle name="Normal 69 4" xfId="4783" xr:uid="{CF5B075D-125F-4255-B6B4-FD0925415845}"/>
    <cellStyle name="Normal 69 4 2" xfId="8163" xr:uid="{BE19FF4B-9C62-46E7-B39D-58D041D102D0}"/>
    <cellStyle name="Normal 69 5" xfId="6463" xr:uid="{D5E404F9-C5D7-4A47-A56F-4355DBCDA336}"/>
    <cellStyle name="Normal 69_DEO ADIT Unprotected" xfId="3766" xr:uid="{A388A6B8-7670-47A6-BD59-9B96B417A3B9}"/>
    <cellStyle name="Normal 7" xfId="326" xr:uid="{00000000-0005-0000-0000-000087070000}"/>
    <cellStyle name="Normal 7 2" xfId="338" xr:uid="{00000000-0005-0000-0000-000088070000}"/>
    <cellStyle name="Normal 7 2 2" xfId="1460" xr:uid="{00000000-0005-0000-0000-000089070000}"/>
    <cellStyle name="Normal 7 2 2 2" xfId="1461" xr:uid="{00000000-0005-0000-0000-00008A070000}"/>
    <cellStyle name="Normal 7 2 2 2 2" xfId="2373" xr:uid="{00000000-0005-0000-0000-00008B070000}"/>
    <cellStyle name="Normal 7 2 2 2 2 2" xfId="5623" xr:uid="{7795B174-D256-45E8-B241-A335B82AA212}"/>
    <cellStyle name="Normal 7 2 2 2 2 2 2" xfId="9003" xr:uid="{7E7D7F4E-5639-47B8-B0D4-F32346F8BA0E}"/>
    <cellStyle name="Normal 7 2 2 2 2 3" xfId="7303" xr:uid="{B2D4F64B-D4CC-4971-9383-47DCE790B13A}"/>
    <cellStyle name="Normal 7 2 2 2 2_DEO ADIT Unprotected" xfId="3774" xr:uid="{60116654-D386-438A-A2EF-F24BCC081039}"/>
    <cellStyle name="Normal 7 2 2 2 3" xfId="4786" xr:uid="{32D701B0-5D69-472C-8868-7ACD33135DFD}"/>
    <cellStyle name="Normal 7 2 2 2 3 2" xfId="8166" xr:uid="{6191B989-1EE2-4BA5-AB7E-D59BFB3DF705}"/>
    <cellStyle name="Normal 7 2 2 2 4" xfId="6466" xr:uid="{58BC6DD7-5BA9-4934-A637-038841C51460}"/>
    <cellStyle name="Normal 7 2 2 2_DEO ADIT Unprotected" xfId="3773" xr:uid="{3A6B5E3E-27C6-4031-B7A5-17922DDE9836}"/>
    <cellStyle name="Normal 7 2 2 3" xfId="2372" xr:uid="{00000000-0005-0000-0000-00008C070000}"/>
    <cellStyle name="Normal 7 2 2 3 2" xfId="5622" xr:uid="{7D86FF70-14FE-4127-B571-B898F763E6ED}"/>
    <cellStyle name="Normal 7 2 2 3 2 2" xfId="9002" xr:uid="{736C8C13-3D31-42FA-88CB-962731CCE651}"/>
    <cellStyle name="Normal 7 2 2 3 3" xfId="7302" xr:uid="{5032D73A-B059-452C-9C8A-73B0ED0D008C}"/>
    <cellStyle name="Normal 7 2 2 3_DEO ADIT Unprotected" xfId="3775" xr:uid="{4A45F7CB-0257-400E-A160-129BC37CA685}"/>
    <cellStyle name="Normal 7 2 2 4" xfId="4785" xr:uid="{3B1BE518-1BA7-4255-8FE4-8D3023173382}"/>
    <cellStyle name="Normal 7 2 2 4 2" xfId="8165" xr:uid="{0D5454E4-E76E-4C05-809A-5D3B1FA4C91D}"/>
    <cellStyle name="Normal 7 2 2 5" xfId="6465" xr:uid="{C3AB07EC-DA33-49FC-80E9-6F701EA530D6}"/>
    <cellStyle name="Normal 7 2 2_DEO ADIT Unprotected" xfId="3772" xr:uid="{D4D95265-1648-4648-96F5-535EEE85ED3A}"/>
    <cellStyle name="Normal 7 2 3" xfId="1462" xr:uid="{00000000-0005-0000-0000-00008D070000}"/>
    <cellStyle name="Normal 7 2 3 2" xfId="2374" xr:uid="{00000000-0005-0000-0000-00008E070000}"/>
    <cellStyle name="Normal 7 2 3 2 2" xfId="5624" xr:uid="{DFAAE01C-50A8-4D65-ABF4-921296295180}"/>
    <cellStyle name="Normal 7 2 3 2 2 2" xfId="9004" xr:uid="{A1CF2439-812F-40AD-8794-E4230161F438}"/>
    <cellStyle name="Normal 7 2 3 2 3" xfId="7304" xr:uid="{F8975F1C-A23A-47D2-AD09-64DDF9694944}"/>
    <cellStyle name="Normal 7 2 3 2_DEO ADIT Unprotected" xfId="3777" xr:uid="{1F91A459-A6D0-4B7F-A246-235B42883591}"/>
    <cellStyle name="Normal 7 2 3 3" xfId="4787" xr:uid="{A8DA6AC9-6950-48E0-8B40-C59C507DDAC6}"/>
    <cellStyle name="Normal 7 2 3 3 2" xfId="8167" xr:uid="{12D12E47-E10E-4745-8764-B5663DC68A49}"/>
    <cellStyle name="Normal 7 2 3 4" xfId="6467" xr:uid="{F317297E-E70F-4386-A156-88C32F83AA20}"/>
    <cellStyle name="Normal 7 2 3_DEO ADIT Unprotected" xfId="3776" xr:uid="{D764EF1C-CCE8-4FD2-BBD2-B60082A1800F}"/>
    <cellStyle name="Normal 7 2_DEO ADIT Unprotected" xfId="3771" xr:uid="{FCA05436-CE94-4C2E-98B6-25A4481ACD08}"/>
    <cellStyle name="Normal 7 3" xfId="1463" xr:uid="{00000000-0005-0000-0000-00008F070000}"/>
    <cellStyle name="Normal 7 3 2" xfId="1464" xr:uid="{00000000-0005-0000-0000-000090070000}"/>
    <cellStyle name="Normal 7 3 2 2" xfId="2376" xr:uid="{00000000-0005-0000-0000-000091070000}"/>
    <cellStyle name="Normal 7 3 2 2 2" xfId="5626" xr:uid="{C66EFCFF-C4CE-4E62-B0F1-21758361AFDA}"/>
    <cellStyle name="Normal 7 3 2 2 2 2" xfId="9006" xr:uid="{088E92B5-01C1-4352-B799-D5B9C2EDC462}"/>
    <cellStyle name="Normal 7 3 2 2 3" xfId="7306" xr:uid="{12B6E73D-3B78-4B38-B411-135CE0ACD9F4}"/>
    <cellStyle name="Normal 7 3 2 2_DEO ADIT Unprotected" xfId="3780" xr:uid="{179CFBC7-80AD-438B-86DD-C898293F36C8}"/>
    <cellStyle name="Normal 7 3 2 3" xfId="4789" xr:uid="{7E98324A-F5ED-4831-A03E-40356CBF8550}"/>
    <cellStyle name="Normal 7 3 2 3 2" xfId="8169" xr:uid="{0D7713E3-2261-42EF-BFAF-690FEDB64333}"/>
    <cellStyle name="Normal 7 3 2 4" xfId="6469" xr:uid="{D2366EBB-B052-487A-B379-E32548399B1F}"/>
    <cellStyle name="Normal 7 3 2_DEO ADIT Unprotected" xfId="3779" xr:uid="{BB840593-B1E2-4DC1-82D6-E8C3ECBC3DD0}"/>
    <cellStyle name="Normal 7 3 3" xfId="2375" xr:uid="{00000000-0005-0000-0000-000092070000}"/>
    <cellStyle name="Normal 7 3 3 2" xfId="5625" xr:uid="{1663D7A9-D29E-4CA7-829B-C861E4691E08}"/>
    <cellStyle name="Normal 7 3 3 2 2" xfId="9005" xr:uid="{54E3B0B4-1442-464B-9AD2-A39E299A7B0A}"/>
    <cellStyle name="Normal 7 3 3 3" xfId="7305" xr:uid="{C1C052EB-AADA-49F1-BAFD-D140B19288D3}"/>
    <cellStyle name="Normal 7 3 3_DEO ADIT Unprotected" xfId="3781" xr:uid="{2B487BA9-461E-4A1F-8A3B-1C33F0AB08BE}"/>
    <cellStyle name="Normal 7 3 4" xfId="4788" xr:uid="{49C4F1F6-565F-432F-8DF0-25B677C0ABAB}"/>
    <cellStyle name="Normal 7 3 4 2" xfId="8168" xr:uid="{827D63B5-0876-4591-814E-1E56742C2D2A}"/>
    <cellStyle name="Normal 7 3 5" xfId="6468" xr:uid="{E0A91274-1F90-4151-9CA9-9F4D36502242}"/>
    <cellStyle name="Normal 7 3_DEO ADIT Unprotected" xfId="3778" xr:uid="{437668A1-4E77-4AE1-8BB6-09B3921329BA}"/>
    <cellStyle name="Normal 7 4" xfId="1465" xr:uid="{00000000-0005-0000-0000-000093070000}"/>
    <cellStyle name="Normal 7 4 2" xfId="1466" xr:uid="{00000000-0005-0000-0000-000094070000}"/>
    <cellStyle name="Normal 7 4 2 2" xfId="2378" xr:uid="{00000000-0005-0000-0000-000095070000}"/>
    <cellStyle name="Normal 7 4 2 2 2" xfId="5628" xr:uid="{F8247899-DA4A-4A1B-9D32-FD4E5455FFB0}"/>
    <cellStyle name="Normal 7 4 2 2 2 2" xfId="9008" xr:uid="{FF2D55BB-EB27-46A9-B536-64FDA1393AB0}"/>
    <cellStyle name="Normal 7 4 2 2 3" xfId="7308" xr:uid="{F6225F27-0169-47A4-9F85-2DDC21B35172}"/>
    <cellStyle name="Normal 7 4 2 2_DEO ADIT Unprotected" xfId="3784" xr:uid="{A18C473C-2898-4967-8C8E-44493B391B99}"/>
    <cellStyle name="Normal 7 4 2 3" xfId="4791" xr:uid="{36044580-79DB-4C7C-A966-E75A2C419F1E}"/>
    <cellStyle name="Normal 7 4 2 3 2" xfId="8171" xr:uid="{7ABC6FAA-B2A0-47CA-A19C-B9CF17CCC69B}"/>
    <cellStyle name="Normal 7 4 2 4" xfId="6471" xr:uid="{99FF0F6E-03CF-42E0-BBEA-28EB9B70EF59}"/>
    <cellStyle name="Normal 7 4 2_DEO ADIT Unprotected" xfId="3783" xr:uid="{E38E4983-EB59-4591-B280-6ED6459D1051}"/>
    <cellStyle name="Normal 7 4 3" xfId="2377" xr:uid="{00000000-0005-0000-0000-000096070000}"/>
    <cellStyle name="Normal 7 4 3 2" xfId="5627" xr:uid="{AEE76ACD-B272-4772-96F6-0340BCF1FF46}"/>
    <cellStyle name="Normal 7 4 3 2 2" xfId="9007" xr:uid="{EB87AA11-BD54-4D34-B6BF-289BD6B34F40}"/>
    <cellStyle name="Normal 7 4 3 3" xfId="7307" xr:uid="{2D235F75-ACB3-4D42-A51B-A55F6FD0DF63}"/>
    <cellStyle name="Normal 7 4 3_DEO ADIT Unprotected" xfId="3785" xr:uid="{E0C2985C-B221-4B0A-B78E-AA8F4652BF33}"/>
    <cellStyle name="Normal 7 4 4" xfId="4790" xr:uid="{9E2DF3FE-1435-49E4-9F73-DD7AF431B958}"/>
    <cellStyle name="Normal 7 4 4 2" xfId="8170" xr:uid="{A131CC1A-39E4-4112-8349-829BB4AACFEF}"/>
    <cellStyle name="Normal 7 4 5" xfId="6470" xr:uid="{6EB1E1C2-88A0-4847-9027-5A26AF30F2D7}"/>
    <cellStyle name="Normal 7 4_DEO ADIT Unprotected" xfId="3782" xr:uid="{74D8E6EA-B86F-4FAC-8723-EF1D3533A24C}"/>
    <cellStyle name="Normal 7_DEO ADIT Unprotected" xfId="3770" xr:uid="{8F20830F-3E9F-4F02-BE28-12CDDD21D771}"/>
    <cellStyle name="Normal 70" xfId="1467" xr:uid="{00000000-0005-0000-0000-000097070000}"/>
    <cellStyle name="Normal 71" xfId="1468" xr:uid="{00000000-0005-0000-0000-000098070000}"/>
    <cellStyle name="Normal 71 2" xfId="1469" xr:uid="{00000000-0005-0000-0000-000099070000}"/>
    <cellStyle name="Normal 71 2 2" xfId="2380" xr:uid="{00000000-0005-0000-0000-00009A070000}"/>
    <cellStyle name="Normal 71 2 2 2" xfId="5630" xr:uid="{37572A9B-9F67-476D-8481-911123CEEDE4}"/>
    <cellStyle name="Normal 71 2 2 2 2" xfId="9010" xr:uid="{02E5AE4D-A19F-45B9-BF5B-56E5B4D1F935}"/>
    <cellStyle name="Normal 71 2 2 3" xfId="7310" xr:uid="{3604E86D-19A2-41D3-8255-BE6AE6D93420}"/>
    <cellStyle name="Normal 71 2 2_DEO ADIT Unprotected" xfId="3788" xr:uid="{849C8E5E-F5AF-4403-80B5-D004F38EA2A2}"/>
    <cellStyle name="Normal 71 2 3" xfId="4793" xr:uid="{C4D62490-2ED9-4977-B1E6-54777C411952}"/>
    <cellStyle name="Normal 71 2 3 2" xfId="8173" xr:uid="{8AB5563C-B263-4529-8E58-1A197BD8AC4B}"/>
    <cellStyle name="Normal 71 2 4" xfId="6473" xr:uid="{22CB6554-F5E0-48F5-B780-7CD845D52292}"/>
    <cellStyle name="Normal 71 2_DEO ADIT Unprotected" xfId="3787" xr:uid="{758B05C3-498B-43BA-8EFC-EFAF7FDFEEC7}"/>
    <cellStyle name="Normal 71 3" xfId="2379" xr:uid="{00000000-0005-0000-0000-00009B070000}"/>
    <cellStyle name="Normal 71 3 2" xfId="5629" xr:uid="{2E9D4330-A828-423F-BDBD-0596C2B23DE7}"/>
    <cellStyle name="Normal 71 3 2 2" xfId="9009" xr:uid="{7E280D1F-EF4F-4210-B986-3A4DE505F1EE}"/>
    <cellStyle name="Normal 71 3 3" xfId="7309" xr:uid="{49CF375E-360D-4B8F-A736-AFFAC2D360F5}"/>
    <cellStyle name="Normal 71 3_DEO ADIT Unprotected" xfId="3789" xr:uid="{5E937CBE-0FC9-417F-9F36-CCC13B550C8A}"/>
    <cellStyle name="Normal 71 4" xfId="4792" xr:uid="{C8076627-CD11-4340-AB4B-089C0708905C}"/>
    <cellStyle name="Normal 71 4 2" xfId="8172" xr:uid="{E5AD013B-ABD9-40B4-934A-FD26F94BEB6B}"/>
    <cellStyle name="Normal 71 5" xfId="6472" xr:uid="{5C00EBEC-FDD3-4779-A507-3571750E3571}"/>
    <cellStyle name="Normal 71_DEO ADIT Unprotected" xfId="3786" xr:uid="{03D9D111-5103-47C4-BA01-3B3580B3F1BA}"/>
    <cellStyle name="Normal 72" xfId="1470" xr:uid="{00000000-0005-0000-0000-00009C070000}"/>
    <cellStyle name="Normal 73" xfId="1471" xr:uid="{00000000-0005-0000-0000-00009D070000}"/>
    <cellStyle name="Normal 73 2" xfId="1472" xr:uid="{00000000-0005-0000-0000-00009E070000}"/>
    <cellStyle name="Normal 73 2 2" xfId="2382" xr:uid="{00000000-0005-0000-0000-00009F070000}"/>
    <cellStyle name="Normal 73 2 2 2" xfId="5632" xr:uid="{36703CD4-E10A-4DFD-BE1A-83DE22833342}"/>
    <cellStyle name="Normal 73 2 2 2 2" xfId="9012" xr:uid="{AE28CDCF-2EC2-40F6-83A8-2B2D240F7A70}"/>
    <cellStyle name="Normal 73 2 2 3" xfId="7312" xr:uid="{2F0A6C08-D5FA-4C7B-9269-F959D32DB0FE}"/>
    <cellStyle name="Normal 73 2 2_DEO ADIT Unprotected" xfId="3792" xr:uid="{CC5D8A54-F5CC-4B39-BBC2-A2E489A0B59D}"/>
    <cellStyle name="Normal 73 2 3" xfId="4795" xr:uid="{A4C953F7-B27A-44CD-A5B1-7E3B5FED7B42}"/>
    <cellStyle name="Normal 73 2 3 2" xfId="8175" xr:uid="{E03857FA-BD46-4B22-BC65-2C1919D7A75A}"/>
    <cellStyle name="Normal 73 2 4" xfId="6475" xr:uid="{6ED0DBB8-AB65-4CF7-BCE6-977227C30D78}"/>
    <cellStyle name="Normal 73 2_DEO ADIT Unprotected" xfId="3791" xr:uid="{B7EF22D7-A1B6-478E-AE53-7D305889D001}"/>
    <cellStyle name="Normal 73 3" xfId="2381" xr:uid="{00000000-0005-0000-0000-0000A0070000}"/>
    <cellStyle name="Normal 73 3 2" xfId="5631" xr:uid="{6F47F292-921F-45E0-A708-5594FA4606B7}"/>
    <cellStyle name="Normal 73 3 2 2" xfId="9011" xr:uid="{38F34005-2510-41EB-B3C0-F9F1397DA913}"/>
    <cellStyle name="Normal 73 3 3" xfId="7311" xr:uid="{6A4186E8-7C92-4601-9A9B-9EB48F2FFC43}"/>
    <cellStyle name="Normal 73 3_DEO ADIT Unprotected" xfId="3793" xr:uid="{6926292A-3831-4D89-9996-745CF1D331C2}"/>
    <cellStyle name="Normal 73 4" xfId="4794" xr:uid="{04FDD95F-6DF2-4652-88DC-AFA2049C978B}"/>
    <cellStyle name="Normal 73 4 2" xfId="8174" xr:uid="{A723C869-F3E3-4CA6-A676-998B101CDC23}"/>
    <cellStyle name="Normal 73 5" xfId="6474" xr:uid="{3ADEE56F-8160-4ED5-9908-F882F42AF37B}"/>
    <cellStyle name="Normal 73_DEO ADIT Unprotected" xfId="3790" xr:uid="{ABEDE850-3240-49FD-84A1-39A8BE83CC11}"/>
    <cellStyle name="Normal 74" xfId="1473" xr:uid="{00000000-0005-0000-0000-0000A1070000}"/>
    <cellStyle name="Normal 75" xfId="1474" xr:uid="{00000000-0005-0000-0000-0000A2070000}"/>
    <cellStyle name="Normal 76" xfId="1475" xr:uid="{00000000-0005-0000-0000-0000A3070000}"/>
    <cellStyle name="Normal 76 2" xfId="1476" xr:uid="{00000000-0005-0000-0000-0000A4070000}"/>
    <cellStyle name="Normal 76 2 2" xfId="2384" xr:uid="{00000000-0005-0000-0000-0000A5070000}"/>
    <cellStyle name="Normal 76 2 2 2" xfId="5634" xr:uid="{D69FD0FE-73CF-459F-9B83-EA642AC15F9C}"/>
    <cellStyle name="Normal 76 2 2 2 2" xfId="9014" xr:uid="{4662B119-7BC0-4CF4-9F28-0DD29D7E952F}"/>
    <cellStyle name="Normal 76 2 2 3" xfId="7314" xr:uid="{636F9451-B9A5-4CA9-9987-AB7FF727536C}"/>
    <cellStyle name="Normal 76 2 2_DEO ADIT Unprotected" xfId="3796" xr:uid="{FF79ED7A-17F0-44B4-A7A5-DA650B3F4652}"/>
    <cellStyle name="Normal 76 2 3" xfId="4797" xr:uid="{15AC957D-AC57-4206-8D98-3B55EF0A4FFD}"/>
    <cellStyle name="Normal 76 2 3 2" xfId="8177" xr:uid="{FD3715CD-518D-4520-AB2A-EB777B158BEF}"/>
    <cellStyle name="Normal 76 2 4" xfId="6477" xr:uid="{288633EA-B81A-4524-9FCA-7DF93C063EAD}"/>
    <cellStyle name="Normal 76 2_DEO ADIT Unprotected" xfId="3795" xr:uid="{B6F817E7-751F-43C2-89D5-553BF6121DAB}"/>
    <cellStyle name="Normal 76 3" xfId="2383" xr:uid="{00000000-0005-0000-0000-0000A6070000}"/>
    <cellStyle name="Normal 76 3 2" xfId="5633" xr:uid="{D32F441C-8A2B-44B1-9E6F-87064038F713}"/>
    <cellStyle name="Normal 76 3 2 2" xfId="9013" xr:uid="{8E8BA9CC-5B2A-4208-BA00-1FABC13CDB7F}"/>
    <cellStyle name="Normal 76 3 3" xfId="7313" xr:uid="{71ACBA6C-061F-444C-9F5C-C5F4040E64AF}"/>
    <cellStyle name="Normal 76 3_DEO ADIT Unprotected" xfId="3797" xr:uid="{8BE36A91-F044-4B09-ADB5-D92E0BF2A026}"/>
    <cellStyle name="Normal 76 4" xfId="4796" xr:uid="{019CA88B-ED87-4E3A-A520-62CA27F3F5F1}"/>
    <cellStyle name="Normal 76 4 2" xfId="8176" xr:uid="{0EBEB63B-1491-45B7-BFBF-FBC004B4BFE6}"/>
    <cellStyle name="Normal 76 5" xfId="6476" xr:uid="{E0E2D4FB-DF88-46F3-B120-AF276CAF0EE8}"/>
    <cellStyle name="Normal 76_DEO ADIT Unprotected" xfId="3794" xr:uid="{20C19EF8-9F48-4903-B598-172D02232F51}"/>
    <cellStyle name="Normal 77" xfId="1477" xr:uid="{00000000-0005-0000-0000-0000A7070000}"/>
    <cellStyle name="Normal 77 2" xfId="1478" xr:uid="{00000000-0005-0000-0000-0000A8070000}"/>
    <cellStyle name="Normal 77 2 2" xfId="2386" xr:uid="{00000000-0005-0000-0000-0000A9070000}"/>
    <cellStyle name="Normal 77 2 2 2" xfId="5636" xr:uid="{85C9B59A-8675-43BB-8343-D01DA18E92AB}"/>
    <cellStyle name="Normal 77 2 2 2 2" xfId="9016" xr:uid="{56AA70D7-8533-4916-B385-B100DF1D43CA}"/>
    <cellStyle name="Normal 77 2 2 3" xfId="7316" xr:uid="{D9FDE497-8BF2-4D25-9242-A508DEFABEC6}"/>
    <cellStyle name="Normal 77 2 2_DEO ADIT Unprotected" xfId="3800" xr:uid="{27A50C99-A9C8-4773-BBDE-D3F9A49261C4}"/>
    <cellStyle name="Normal 77 2 3" xfId="4799" xr:uid="{C5F361EE-F568-451A-B857-842CB07CDA0F}"/>
    <cellStyle name="Normal 77 2 3 2" xfId="8179" xr:uid="{1B08D8A7-1074-4551-8368-2E872A9B5937}"/>
    <cellStyle name="Normal 77 2 4" xfId="6479" xr:uid="{6A13A8DD-401B-48BF-8C3D-A33F0BE4C61C}"/>
    <cellStyle name="Normal 77 2_DEO ADIT Unprotected" xfId="3799" xr:uid="{728E10AE-057F-44F1-81A2-2B785E6A9372}"/>
    <cellStyle name="Normal 77 3" xfId="2385" xr:uid="{00000000-0005-0000-0000-0000AA070000}"/>
    <cellStyle name="Normal 77 3 2" xfId="5635" xr:uid="{AF69D96A-738B-4E97-A9AB-BC2C25F5B37C}"/>
    <cellStyle name="Normal 77 3 2 2" xfId="9015" xr:uid="{750F90B2-90FC-4EDA-84FB-A5D0A52768C0}"/>
    <cellStyle name="Normal 77 3 3" xfId="7315" xr:uid="{F2E0CF64-BA80-4277-BB95-15DFA068A2E3}"/>
    <cellStyle name="Normal 77 3_DEO ADIT Unprotected" xfId="3801" xr:uid="{1037541D-757F-45A8-BDD2-0374EFF4163C}"/>
    <cellStyle name="Normal 77 4" xfId="4798" xr:uid="{F1912835-0F92-4166-81E3-CF51BA0B77B2}"/>
    <cellStyle name="Normal 77 4 2" xfId="8178" xr:uid="{054A9E64-1903-4924-9878-19A5BBC77B9C}"/>
    <cellStyle name="Normal 77 5" xfId="6478" xr:uid="{0011662A-9A43-45CE-B875-C19B20AB5145}"/>
    <cellStyle name="Normal 77_DEO ADIT Unprotected" xfId="3798" xr:uid="{DF6EBB58-5FFA-477B-926D-1C5B9BAFB42A}"/>
    <cellStyle name="Normal 78" xfId="1479" xr:uid="{00000000-0005-0000-0000-0000AB070000}"/>
    <cellStyle name="Normal 78 2" xfId="1480" xr:uid="{00000000-0005-0000-0000-0000AC070000}"/>
    <cellStyle name="Normal 78 2 2" xfId="2388" xr:uid="{00000000-0005-0000-0000-0000AD070000}"/>
    <cellStyle name="Normal 78 2 2 2" xfId="5638" xr:uid="{F1579352-B021-4109-939B-7D7552BB4761}"/>
    <cellStyle name="Normal 78 2 2 2 2" xfId="9018" xr:uid="{2E69A77D-0BD8-4E18-AEED-59302D1E8E69}"/>
    <cellStyle name="Normal 78 2 2 3" xfId="7318" xr:uid="{75417740-3649-49DB-92DD-5F20BFC2ECC0}"/>
    <cellStyle name="Normal 78 2 2_DEO ADIT Unprotected" xfId="3804" xr:uid="{80681DC1-5C25-4A6E-B460-DA3A19875878}"/>
    <cellStyle name="Normal 78 2 3" xfId="4801" xr:uid="{9C0DD456-7FA1-4399-B812-A48A0F8A3CA6}"/>
    <cellStyle name="Normal 78 2 3 2" xfId="8181" xr:uid="{52F8AD4B-C395-4A28-83BC-4ADAFA9E612D}"/>
    <cellStyle name="Normal 78 2 4" xfId="6481" xr:uid="{E3849BFA-056E-44D2-9CB4-FF2EEDDEB9D6}"/>
    <cellStyle name="Normal 78 2_DEO ADIT Unprotected" xfId="3803" xr:uid="{0100BAF0-38F5-4D8D-803B-3AEB4EDD93BF}"/>
    <cellStyle name="Normal 78 3" xfId="2387" xr:uid="{00000000-0005-0000-0000-0000AE070000}"/>
    <cellStyle name="Normal 78 3 2" xfId="5637" xr:uid="{A7C55947-5CC8-44B2-9C70-B4F3C48F4C84}"/>
    <cellStyle name="Normal 78 3 2 2" xfId="9017" xr:uid="{1D981125-7EFB-4989-8101-27910A656077}"/>
    <cellStyle name="Normal 78 3 3" xfId="7317" xr:uid="{866C81C7-F060-43DD-BEDC-2BF94E91FACF}"/>
    <cellStyle name="Normal 78 3_DEO ADIT Unprotected" xfId="3805" xr:uid="{EA840BCE-11D7-42AE-B942-1F62C2B4FAFC}"/>
    <cellStyle name="Normal 78 4" xfId="4800" xr:uid="{EE4B0258-BDA3-4E4A-9E31-A455F27F1BA0}"/>
    <cellStyle name="Normal 78 4 2" xfId="8180" xr:uid="{46853FD7-E567-475D-9E35-EA2E92AB0423}"/>
    <cellStyle name="Normal 78 5" xfId="6480" xr:uid="{6B0477E5-AA37-4CF7-9862-E0322F2D4C1C}"/>
    <cellStyle name="Normal 78_DEO ADIT Unprotected" xfId="3802" xr:uid="{D238473A-41D4-4518-A077-38B5DDF149D5}"/>
    <cellStyle name="Normal 79" xfId="1481" xr:uid="{00000000-0005-0000-0000-0000AF070000}"/>
    <cellStyle name="Normal 79 2" xfId="1482" xr:uid="{00000000-0005-0000-0000-0000B0070000}"/>
    <cellStyle name="Normal 79 2 2" xfId="2390" xr:uid="{00000000-0005-0000-0000-0000B1070000}"/>
    <cellStyle name="Normal 79 2 2 2" xfId="5640" xr:uid="{C86B184E-0D64-4184-A2C9-45BE30C2B59D}"/>
    <cellStyle name="Normal 79 2 2 2 2" xfId="9020" xr:uid="{39614470-FA9D-496B-A780-F6049500652B}"/>
    <cellStyle name="Normal 79 2 2 3" xfId="7320" xr:uid="{9F77E851-FE81-46FB-A66D-CD687C5A3090}"/>
    <cellStyle name="Normal 79 2 2_DEO ADIT Unprotected" xfId="3808" xr:uid="{B4B15190-17FC-4BD0-8D12-B27092D1F1A1}"/>
    <cellStyle name="Normal 79 2 3" xfId="4803" xr:uid="{922F6363-6E7C-44CC-AA1C-5CA29C4C62F1}"/>
    <cellStyle name="Normal 79 2 3 2" xfId="8183" xr:uid="{B65F17B9-6840-4F05-B134-28275685C563}"/>
    <cellStyle name="Normal 79 2 4" xfId="6483" xr:uid="{34284FB5-1CC3-4432-8C85-8B389A304B83}"/>
    <cellStyle name="Normal 79 2_DEO ADIT Unprotected" xfId="3807" xr:uid="{BA18B078-6A28-4D42-A5DD-7C054FAA2EA0}"/>
    <cellStyle name="Normal 79 3" xfId="2389" xr:uid="{00000000-0005-0000-0000-0000B2070000}"/>
    <cellStyle name="Normal 79 3 2" xfId="5639" xr:uid="{D09578A7-10A7-42DC-A3EE-EB039BC48833}"/>
    <cellStyle name="Normal 79 3 2 2" xfId="9019" xr:uid="{7DD511AC-548E-40D5-B245-24A70950B476}"/>
    <cellStyle name="Normal 79 3 3" xfId="7319" xr:uid="{E8A94665-5C72-416D-8136-014040A4E926}"/>
    <cellStyle name="Normal 79 3_DEO ADIT Unprotected" xfId="3809" xr:uid="{0093D3CE-5893-4C94-AD3C-E81D9B1BF1E0}"/>
    <cellStyle name="Normal 79 4" xfId="4802" xr:uid="{27BA9273-F395-41ED-8236-589C235E4C16}"/>
    <cellStyle name="Normal 79 4 2" xfId="8182" xr:uid="{CC23FB92-6AB9-4C40-9714-8A9C03668B2E}"/>
    <cellStyle name="Normal 79 5" xfId="6482" xr:uid="{B41C1707-F414-4AA7-B802-41A0515429DB}"/>
    <cellStyle name="Normal 79_DEO ADIT Unprotected" xfId="3806" xr:uid="{F3F03D04-1121-4C91-B8FF-691AB3C18156}"/>
    <cellStyle name="Normal 8" xfId="328" xr:uid="{00000000-0005-0000-0000-0000B3070000}"/>
    <cellStyle name="Normal 8 10" xfId="438" xr:uid="{00000000-0005-0000-0000-0000B4070000}"/>
    <cellStyle name="Normal 8 10 2" xfId="479" xr:uid="{00000000-0005-0000-0000-0000B5070000}"/>
    <cellStyle name="Normal 8 10 2 2" xfId="1672" xr:uid="{00000000-0005-0000-0000-0000B6070000}"/>
    <cellStyle name="Normal 8 10 2 2 2" xfId="4922" xr:uid="{3B84FE62-76B7-4456-B190-AD60443F6EAF}"/>
    <cellStyle name="Normal 8 10 2 2 2 2" xfId="8302" xr:uid="{3BEE3391-3525-4377-973F-B30BB8B2276E}"/>
    <cellStyle name="Normal 8 10 2 2 3" xfId="6602" xr:uid="{52ADE3FB-E7B8-48F8-93AF-1208B98CC64F}"/>
    <cellStyle name="Normal 8 10 2 2_DEO ADIT Unprotected" xfId="3813" xr:uid="{857A9A7B-6B5F-43F2-8903-DD9A83E4E4D4}"/>
    <cellStyle name="Normal 8 10 2 3" xfId="4085" xr:uid="{63D58114-25FF-4EA8-90E9-693F8E0F6856}"/>
    <cellStyle name="Normal 8 10 2 3 2" xfId="7465" xr:uid="{34055F74-9388-4528-AF52-2F3E3A262059}"/>
    <cellStyle name="Normal 8 10 2 4" xfId="5764" xr:uid="{41F09973-B0CE-48D9-9D11-C84899DCDA78}"/>
    <cellStyle name="Normal 8 10 2_DEO ADIT Unprotected" xfId="3812" xr:uid="{6C29B9B8-D6A6-47E5-95E3-ADDD99F3FB8B}"/>
    <cellStyle name="Normal 8 10 3" xfId="1640" xr:uid="{00000000-0005-0000-0000-0000B7070000}"/>
    <cellStyle name="Normal 8 10 3 2" xfId="4890" xr:uid="{0778BD56-BED0-4EB1-A4B0-50770E7C5574}"/>
    <cellStyle name="Normal 8 10 3 2 2" xfId="8270" xr:uid="{7781FA85-8922-425C-9034-CF645D71E313}"/>
    <cellStyle name="Normal 8 10 3 3" xfId="6570" xr:uid="{09361CEE-2F7C-4A9D-94E8-B389CCB41924}"/>
    <cellStyle name="Normal 8 10 3_DEO ADIT Unprotected" xfId="3814" xr:uid="{1D1F935A-9957-4E31-9821-48F59E27F4BF}"/>
    <cellStyle name="Normal 8 10 4" xfId="4053" xr:uid="{FFFAD3E7-9C54-4340-BAE8-1602BF3FBB56}"/>
    <cellStyle name="Normal 8 10 4 2" xfId="7433" xr:uid="{8D4A33C3-DF61-47FA-9A81-50E5E92B0B04}"/>
    <cellStyle name="Normal 8 10 5" xfId="5732" xr:uid="{33DD232D-9064-468E-A279-417ECF354BE9}"/>
    <cellStyle name="Normal 8 10_DEO ADIT Unprotected" xfId="3811" xr:uid="{1872D960-950F-4170-AA51-B02504EEA70D}"/>
    <cellStyle name="Normal 8 11" xfId="471" xr:uid="{00000000-0005-0000-0000-0000B8070000}"/>
    <cellStyle name="Normal 8 11 2" xfId="1664" xr:uid="{00000000-0005-0000-0000-0000B9070000}"/>
    <cellStyle name="Normal 8 11 2 2" xfId="4914" xr:uid="{2B440D03-80BC-4726-80F1-750D5AF1D1A4}"/>
    <cellStyle name="Normal 8 11 2 2 2" xfId="8294" xr:uid="{8B7C6631-5C8A-429C-91A2-79B250C14BB6}"/>
    <cellStyle name="Normal 8 11 2 3" xfId="6594" xr:uid="{ABB6C8F3-A79A-4D09-8A00-9D6AFE1EFE0F}"/>
    <cellStyle name="Normal 8 11 2_DEO ADIT Unprotected" xfId="3816" xr:uid="{4E56EF4A-AF72-4584-8929-3DE0DE072300}"/>
    <cellStyle name="Normal 8 11 3" xfId="4077" xr:uid="{67E240F1-D486-4C86-809B-5AC0BC40449F}"/>
    <cellStyle name="Normal 8 11 3 2" xfId="7457" xr:uid="{B7A3EB89-EFE2-4488-BD6D-8751D517960D}"/>
    <cellStyle name="Normal 8 11 4" xfId="5756" xr:uid="{4BCDAB1D-65A7-4103-BB0A-22EBA6F6BBC7}"/>
    <cellStyle name="Normal 8 11_DEO ADIT Unprotected" xfId="3815" xr:uid="{D5683F0D-0E9E-4032-A9D5-F0C34F807473}"/>
    <cellStyle name="Normal 8 12" xfId="504" xr:uid="{00000000-0005-0000-0000-0000BA070000}"/>
    <cellStyle name="Normal 8 12 2" xfId="1696" xr:uid="{00000000-0005-0000-0000-0000BB070000}"/>
    <cellStyle name="Normal 8 12 2 2" xfId="4946" xr:uid="{D779F96B-2E23-4E1E-B847-EAE9E5F64217}"/>
    <cellStyle name="Normal 8 12 2 2 2" xfId="8326" xr:uid="{3A567C78-DD03-4A6F-9418-F86206D0E00F}"/>
    <cellStyle name="Normal 8 12 2 3" xfId="6626" xr:uid="{39BBE19C-2452-4B86-AF6F-7A17FD932CA2}"/>
    <cellStyle name="Normal 8 12 2_DEO ADIT Unprotected" xfId="3818" xr:uid="{730B233A-4C95-42B1-B878-A645E6BA7169}"/>
    <cellStyle name="Normal 8 12 3" xfId="4109" xr:uid="{FD1E2564-57A8-4C6C-BFFC-45E66D618FE4}"/>
    <cellStyle name="Normal 8 12 3 2" xfId="7489" xr:uid="{75697DC3-EC5C-481B-BDA0-68826A346C73}"/>
    <cellStyle name="Normal 8 12 4" xfId="5788" xr:uid="{8A9F04EE-CBF7-4AF5-B99C-6073E5BE9D05}"/>
    <cellStyle name="Normal 8 12_DEO ADIT Unprotected" xfId="3817" xr:uid="{EFD4B730-7E62-4DE3-8EAA-4478778B7E42}"/>
    <cellStyle name="Normal 8 13" xfId="1626" xr:uid="{00000000-0005-0000-0000-0000BC070000}"/>
    <cellStyle name="Normal 8 13 2" xfId="4876" xr:uid="{39C33935-D7DF-4FB2-8322-418AA914E291}"/>
    <cellStyle name="Normal 8 13 2 2" xfId="8256" xr:uid="{05270FC0-3FEB-47E5-BF9B-8B2BED161372}"/>
    <cellStyle name="Normal 8 13 3" xfId="6556" xr:uid="{CF4C4E21-238C-4645-B704-DC4630E2FA0D}"/>
    <cellStyle name="Normal 8 13_DEO ADIT Unprotected" xfId="3819" xr:uid="{F3E03244-64C1-4CE1-85E1-CF26967BB4DB}"/>
    <cellStyle name="Normal 8 14" xfId="4039" xr:uid="{80A7E0CF-9088-46A3-9B3B-5951D932E211}"/>
    <cellStyle name="Normal 8 14 2" xfId="7419" xr:uid="{B2B949CF-8F26-4266-ACDA-1E0B6F030C87}"/>
    <cellStyle name="Normal 8 15" xfId="5716" xr:uid="{2143FB15-14A3-4EEA-89F3-2856206E0CE8}"/>
    <cellStyle name="Normal 8 2" xfId="339" xr:uid="{00000000-0005-0000-0000-0000BD070000}"/>
    <cellStyle name="Normal 8 2 2" xfId="448" xr:uid="{00000000-0005-0000-0000-0000BE070000}"/>
    <cellStyle name="Normal 8 2 2 2" xfId="485" xr:uid="{00000000-0005-0000-0000-0000BF070000}"/>
    <cellStyle name="Normal 8 2 2 2 2" xfId="1678" xr:uid="{00000000-0005-0000-0000-0000C0070000}"/>
    <cellStyle name="Normal 8 2 2 2 2 2" xfId="4928" xr:uid="{7BD2641C-BADF-4C96-A0CC-41B1EDA22F93}"/>
    <cellStyle name="Normal 8 2 2 2 2 2 2" xfId="8308" xr:uid="{85D83D2D-2056-465D-8132-75C066508514}"/>
    <cellStyle name="Normal 8 2 2 2 2 3" xfId="6608" xr:uid="{5D87F871-F7B8-4D03-ABF5-B66CBBE816F0}"/>
    <cellStyle name="Normal 8 2 2 2 2_DEO ADIT Unprotected" xfId="3823" xr:uid="{AB5A9D85-3103-4C8F-A2CA-A3099249851C}"/>
    <cellStyle name="Normal 8 2 2 2 3" xfId="4091" xr:uid="{EFD982AF-B79B-4355-A171-2652B2CFE60F}"/>
    <cellStyle name="Normal 8 2 2 2 3 2" xfId="7471" xr:uid="{08BCF30F-721D-4BA7-83BA-59B13935AF18}"/>
    <cellStyle name="Normal 8 2 2 2 4" xfId="5770" xr:uid="{C7DA9CF9-0339-4005-91F5-973CA53411D3}"/>
    <cellStyle name="Normal 8 2 2 2_DEO ADIT Unprotected" xfId="3822" xr:uid="{30F1FB2E-28D2-4552-B8E7-91A53341530D}"/>
    <cellStyle name="Normal 8 2 2 3" xfId="1646" xr:uid="{00000000-0005-0000-0000-0000C1070000}"/>
    <cellStyle name="Normal 8 2 2 3 2" xfId="4896" xr:uid="{A9E53EAE-B65F-4AD0-955E-DF64ECA2828E}"/>
    <cellStyle name="Normal 8 2 2 3 2 2" xfId="8276" xr:uid="{D2D40E74-9FF4-4134-BA66-6EF061308242}"/>
    <cellStyle name="Normal 8 2 2 3 3" xfId="6576" xr:uid="{ED9B67A7-E977-4036-96BA-4CB7480AFFE9}"/>
    <cellStyle name="Normal 8 2 2 3_DEO ADIT Unprotected" xfId="3824" xr:uid="{AF46DC2C-17EF-4EBF-B744-F53155869281}"/>
    <cellStyle name="Normal 8 2 2 4" xfId="4059" xr:uid="{5CBD036A-B3A9-434A-8819-DE8C36D23D78}"/>
    <cellStyle name="Normal 8 2 2 4 2" xfId="7439" xr:uid="{4E376C0E-0DE6-460F-8BAE-64AA9B00A845}"/>
    <cellStyle name="Normal 8 2 2 5" xfId="5738" xr:uid="{9405A2B1-674F-46C7-9C6C-A5DFF8A36AA5}"/>
    <cellStyle name="Normal 8 2 2_DEO ADIT Unprotected" xfId="3821" xr:uid="{C186B9F7-9C34-4766-963D-310E3A81E8CD}"/>
    <cellStyle name="Normal 8 2 3" xfId="462" xr:uid="{00000000-0005-0000-0000-0000C2070000}"/>
    <cellStyle name="Normal 8 2 3 2" xfId="496" xr:uid="{00000000-0005-0000-0000-0000C3070000}"/>
    <cellStyle name="Normal 8 2 3 2 2" xfId="1689" xr:uid="{00000000-0005-0000-0000-0000C4070000}"/>
    <cellStyle name="Normal 8 2 3 2 2 2" xfId="4939" xr:uid="{7D298B17-BBD4-43E7-A90B-FD5E0833346F}"/>
    <cellStyle name="Normal 8 2 3 2 2 2 2" xfId="8319" xr:uid="{EC3E892A-0075-4217-9567-EEDFE3567349}"/>
    <cellStyle name="Normal 8 2 3 2 2 3" xfId="6619" xr:uid="{8B428940-B93F-4DC1-AD1F-0AC4F28A2F87}"/>
    <cellStyle name="Normal 8 2 3 2 2_DEO ADIT Unprotected" xfId="3827" xr:uid="{5E8C310E-1F2B-4039-A69C-46DA176BF7E4}"/>
    <cellStyle name="Normal 8 2 3 2 3" xfId="4102" xr:uid="{83146FA4-9499-4521-8F3C-D94ED163E655}"/>
    <cellStyle name="Normal 8 2 3 2 3 2" xfId="7482" xr:uid="{BC96E7E8-23A8-4933-A1E8-51A9EE3D2662}"/>
    <cellStyle name="Normal 8 2 3 2 4" xfId="5781" xr:uid="{983BB058-17BA-4938-BF3D-4B6063119CF7}"/>
    <cellStyle name="Normal 8 2 3 2_DEO ADIT Unprotected" xfId="3826" xr:uid="{F4430C27-D05F-4993-8D0A-4C27DF818EFF}"/>
    <cellStyle name="Normal 8 2 3 3" xfId="1657" xr:uid="{00000000-0005-0000-0000-0000C5070000}"/>
    <cellStyle name="Normal 8 2 3 3 2" xfId="4907" xr:uid="{65E37A9E-5A62-46AF-88A9-27BB6B7E79CF}"/>
    <cellStyle name="Normal 8 2 3 3 2 2" xfId="8287" xr:uid="{41B38DAE-A794-4CA1-8939-62BB0B15DC7B}"/>
    <cellStyle name="Normal 8 2 3 3 3" xfId="6587" xr:uid="{B7C02DE0-F78D-4490-9EB1-E419EE3C8A58}"/>
    <cellStyle name="Normal 8 2 3 3_DEO ADIT Unprotected" xfId="3828" xr:uid="{9955C6DA-A771-4196-AEA9-E9F541AE5ACB}"/>
    <cellStyle name="Normal 8 2 3 4" xfId="4070" xr:uid="{F2859267-753B-40C7-B627-BC46362933AD}"/>
    <cellStyle name="Normal 8 2 3 4 2" xfId="7450" xr:uid="{C29C1D8F-2276-40AE-BD8B-6CF7F656F767}"/>
    <cellStyle name="Normal 8 2 3 5" xfId="5749" xr:uid="{F56F09EB-956B-401C-BFFA-7D3FE1CC40D8}"/>
    <cellStyle name="Normal 8 2 3_DEO ADIT Unprotected" xfId="3825" xr:uid="{36831298-05F3-4694-A5C7-EDAD13DB0BA1}"/>
    <cellStyle name="Normal 8 2 4" xfId="440" xr:uid="{00000000-0005-0000-0000-0000C6070000}"/>
    <cellStyle name="Normal 8 2 4 2" xfId="480" xr:uid="{00000000-0005-0000-0000-0000C7070000}"/>
    <cellStyle name="Normal 8 2 4 2 2" xfId="1673" xr:uid="{00000000-0005-0000-0000-0000C8070000}"/>
    <cellStyle name="Normal 8 2 4 2 2 2" xfId="4923" xr:uid="{A0DBD1EE-9B36-4F12-86E2-3997BC218691}"/>
    <cellStyle name="Normal 8 2 4 2 2 2 2" xfId="8303" xr:uid="{BDBF276D-D31A-4750-8EB6-436BE84CC60B}"/>
    <cellStyle name="Normal 8 2 4 2 2 3" xfId="6603" xr:uid="{5F49DDF0-894B-4A29-8487-DD1C3BE5FD6F}"/>
    <cellStyle name="Normal 8 2 4 2 2_DEO ADIT Unprotected" xfId="3831" xr:uid="{BD7D2EFA-2A45-4F12-A4E2-5EB5D37D818C}"/>
    <cellStyle name="Normal 8 2 4 2 3" xfId="4086" xr:uid="{500BEC51-3863-474B-AFCF-B009B28B5AC3}"/>
    <cellStyle name="Normal 8 2 4 2 3 2" xfId="7466" xr:uid="{5B619CF3-6F4B-4EF8-ABF0-836D166AA61D}"/>
    <cellStyle name="Normal 8 2 4 2 4" xfId="5765" xr:uid="{5D0BD894-A322-4B90-8A12-14E4EB1E5CA0}"/>
    <cellStyle name="Normal 8 2 4 2_DEO ADIT Unprotected" xfId="3830" xr:uid="{91BB11AB-5F45-4EF5-9BA9-266A23575CFE}"/>
    <cellStyle name="Normal 8 2 4 3" xfId="1641" xr:uid="{00000000-0005-0000-0000-0000C9070000}"/>
    <cellStyle name="Normal 8 2 4 3 2" xfId="4891" xr:uid="{EE835EF4-479C-480F-9B29-B7D3E23EFA77}"/>
    <cellStyle name="Normal 8 2 4 3 2 2" xfId="8271" xr:uid="{EC676007-E923-430A-9BF4-ECA593C83E1E}"/>
    <cellStyle name="Normal 8 2 4 3 3" xfId="6571" xr:uid="{70A3A0AA-FE9E-45EA-9743-EF851F6EBEFC}"/>
    <cellStyle name="Normal 8 2 4 3_DEO ADIT Unprotected" xfId="3832" xr:uid="{8797D5B6-1AC2-4D41-8E08-78772A938AFC}"/>
    <cellStyle name="Normal 8 2 4 4" xfId="4054" xr:uid="{5BD1CEBC-D695-4483-8820-0484C86236D0}"/>
    <cellStyle name="Normal 8 2 4 4 2" xfId="7434" xr:uid="{ABF1941A-6AF4-4C8A-8F9A-B9E98BFAA6FD}"/>
    <cellStyle name="Normal 8 2 4 5" xfId="5733" xr:uid="{192F1D4F-239D-45F8-B75B-C3C7D163C2FB}"/>
    <cellStyle name="Normal 8 2 4_DEO ADIT Unprotected" xfId="3829" xr:uid="{CB45F584-4766-4913-8588-2C0262F327AC}"/>
    <cellStyle name="Normal 8 2 5" xfId="472" xr:uid="{00000000-0005-0000-0000-0000CA070000}"/>
    <cellStyle name="Normal 8 2 5 2" xfId="1665" xr:uid="{00000000-0005-0000-0000-0000CB070000}"/>
    <cellStyle name="Normal 8 2 5 2 2" xfId="4915" xr:uid="{FC2F53B8-D630-47BB-840A-B45EFD2695D6}"/>
    <cellStyle name="Normal 8 2 5 2 2 2" xfId="8295" xr:uid="{A49D5143-7D98-4277-8C8C-38933F401BCA}"/>
    <cellStyle name="Normal 8 2 5 2 3" xfId="6595" xr:uid="{EA6DBE5F-5B11-44F9-9532-D14A24C10AEB}"/>
    <cellStyle name="Normal 8 2 5 2_DEO ADIT Unprotected" xfId="3834" xr:uid="{B11689D0-CCF6-426D-80FE-26B21E787CF2}"/>
    <cellStyle name="Normal 8 2 5 3" xfId="4078" xr:uid="{E01D8C32-15A2-4DE2-9CF1-252B2B6E7336}"/>
    <cellStyle name="Normal 8 2 5 3 2" xfId="7458" xr:uid="{4F251438-A6AB-48CF-AEE9-8F7C50C67C2D}"/>
    <cellStyle name="Normal 8 2 5 4" xfId="5757" xr:uid="{824EB0D9-4ABB-41B2-9B38-7DA477654E56}"/>
    <cellStyle name="Normal 8 2 5_DEO ADIT Unprotected" xfId="3833" xr:uid="{F58EAEE8-0B1F-41A4-AE26-CE5465D22A07}"/>
    <cellStyle name="Normal 8 2 6" xfId="505" xr:uid="{00000000-0005-0000-0000-0000CC070000}"/>
    <cellStyle name="Normal 8 2 6 2" xfId="1697" xr:uid="{00000000-0005-0000-0000-0000CD070000}"/>
    <cellStyle name="Normal 8 2 6 2 2" xfId="4947" xr:uid="{38622920-E9D4-4D9D-9357-51103E0F398B}"/>
    <cellStyle name="Normal 8 2 6 2 2 2" xfId="8327" xr:uid="{2F93A887-E5DC-4E97-85AE-3472603BA226}"/>
    <cellStyle name="Normal 8 2 6 2 3" xfId="6627" xr:uid="{F79EDCEA-2CE9-49A9-8F51-17E85A2E14C1}"/>
    <cellStyle name="Normal 8 2 6 2_DEO ADIT Unprotected" xfId="3836" xr:uid="{44830AF6-DABB-4A1F-A893-A582160042EF}"/>
    <cellStyle name="Normal 8 2 6 3" xfId="4110" xr:uid="{97E1BBD5-C4F2-4BEE-B3BC-E82F51335961}"/>
    <cellStyle name="Normal 8 2 6 3 2" xfId="7490" xr:uid="{655070AF-381C-437F-8BE9-4FFB80BFF3D9}"/>
    <cellStyle name="Normal 8 2 6 4" xfId="5789" xr:uid="{BC43FDD8-1D0C-474A-8414-357FF4EF9F40}"/>
    <cellStyle name="Normal 8 2 6_DEO ADIT Unprotected" xfId="3835" xr:uid="{7F8C3F77-5D2F-4FE1-A27B-1566F4C5390A}"/>
    <cellStyle name="Normal 8 2 7" xfId="1628" xr:uid="{00000000-0005-0000-0000-0000CE070000}"/>
    <cellStyle name="Normal 8 2 7 2" xfId="4878" xr:uid="{88C08748-B2B8-4CEF-9729-6DFC8D2FA859}"/>
    <cellStyle name="Normal 8 2 7 2 2" xfId="8258" xr:uid="{9B366846-23B4-4DE9-87CD-1B576552EDE5}"/>
    <cellStyle name="Normal 8 2 7 3" xfId="6558" xr:uid="{8AE6D785-31C8-4568-B2FB-A6B319D26844}"/>
    <cellStyle name="Normal 8 2 7_DEO ADIT Unprotected" xfId="3837" xr:uid="{A4730C6E-6570-47D3-88BA-C11AE58AD322}"/>
    <cellStyle name="Normal 8 2 8" xfId="4041" xr:uid="{70F3131E-7FD0-4B62-8953-0802FF2F1646}"/>
    <cellStyle name="Normal 8 2 8 2" xfId="7421" xr:uid="{92589DC2-7D62-476D-B100-A190AFB223DA}"/>
    <cellStyle name="Normal 8 2 9" xfId="5718" xr:uid="{85561651-D190-43D0-83AE-7E22337FF95B}"/>
    <cellStyle name="Normal 8 2_DEO ADIT Unprotected" xfId="3820" xr:uid="{A21E3543-BEDD-4F8A-BA7E-418FA29302FA}"/>
    <cellStyle name="Normal 8 3" xfId="357" xr:uid="{00000000-0005-0000-0000-0000CF070000}"/>
    <cellStyle name="Normal 8 3 2" xfId="449" xr:uid="{00000000-0005-0000-0000-0000D0070000}"/>
    <cellStyle name="Normal 8 3 2 2" xfId="486" xr:uid="{00000000-0005-0000-0000-0000D1070000}"/>
    <cellStyle name="Normal 8 3 2 2 2" xfId="1679" xr:uid="{00000000-0005-0000-0000-0000D2070000}"/>
    <cellStyle name="Normal 8 3 2 2 2 2" xfId="4929" xr:uid="{ACB306D5-3330-487B-B253-FCCADDD2B104}"/>
    <cellStyle name="Normal 8 3 2 2 2 2 2" xfId="8309" xr:uid="{D51C97CE-6A68-47E8-8B90-4DF6ED6EC522}"/>
    <cellStyle name="Normal 8 3 2 2 2 3" xfId="6609" xr:uid="{BADB7059-9B5D-4814-AC57-3A2EF56BCCB6}"/>
    <cellStyle name="Normal 8 3 2 2 2_DEO ADIT Unprotected" xfId="3841" xr:uid="{62DDA836-2A77-4CB6-ACCD-5BFAB1D33F92}"/>
    <cellStyle name="Normal 8 3 2 2 3" xfId="4092" xr:uid="{E67E57E4-EB74-4A0A-B12E-3C0F5D414476}"/>
    <cellStyle name="Normal 8 3 2 2 3 2" xfId="7472" xr:uid="{A87A0878-3C0D-4308-83D5-A2641DA5152A}"/>
    <cellStyle name="Normal 8 3 2 2 4" xfId="5771" xr:uid="{40708E92-1F79-45A0-A7D6-3F23D27D831B}"/>
    <cellStyle name="Normal 8 3 2 2_DEO ADIT Unprotected" xfId="3840" xr:uid="{4615D8AB-9449-413B-9F71-B699CD769105}"/>
    <cellStyle name="Normal 8 3 2 3" xfId="1647" xr:uid="{00000000-0005-0000-0000-0000D3070000}"/>
    <cellStyle name="Normal 8 3 2 3 2" xfId="4897" xr:uid="{EB1991D9-8E5B-40FB-B067-46D3AD386135}"/>
    <cellStyle name="Normal 8 3 2 3 2 2" xfId="8277" xr:uid="{F613769F-EA27-4EB9-9F54-C334738380CC}"/>
    <cellStyle name="Normal 8 3 2 3 3" xfId="6577" xr:uid="{33650F16-5188-433B-B647-4041E7C7A128}"/>
    <cellStyle name="Normal 8 3 2 3_DEO ADIT Unprotected" xfId="3842" xr:uid="{BD696BA8-303A-46DC-AA67-7B3930B3BE51}"/>
    <cellStyle name="Normal 8 3 2 4" xfId="4060" xr:uid="{40AD89B9-0AA1-40B1-A4D6-91EE1BB7E484}"/>
    <cellStyle name="Normal 8 3 2 4 2" xfId="7440" xr:uid="{7EBE8F0A-1889-434A-81DC-A23DD14D2CE0}"/>
    <cellStyle name="Normal 8 3 2 5" xfId="5739" xr:uid="{62E64D2A-4AA3-448E-AD3A-8D72F1D6D43A}"/>
    <cellStyle name="Normal 8 3 2_DEO ADIT Unprotected" xfId="3839" xr:uid="{37FEC5E1-0A9B-4D31-9D8B-F0A71B6F659F}"/>
    <cellStyle name="Normal 8 3 3" xfId="463" xr:uid="{00000000-0005-0000-0000-0000D4070000}"/>
    <cellStyle name="Normal 8 3 3 2" xfId="497" xr:uid="{00000000-0005-0000-0000-0000D5070000}"/>
    <cellStyle name="Normal 8 3 3 2 2" xfId="1690" xr:uid="{00000000-0005-0000-0000-0000D6070000}"/>
    <cellStyle name="Normal 8 3 3 2 2 2" xfId="4940" xr:uid="{64D570C4-0110-4104-B144-1BE6693DCAF2}"/>
    <cellStyle name="Normal 8 3 3 2 2 2 2" xfId="8320" xr:uid="{B4100B99-F710-46CA-81CE-B4047489704A}"/>
    <cellStyle name="Normal 8 3 3 2 2 3" xfId="6620" xr:uid="{A2640431-DD17-4807-8929-CA2D726BEDD0}"/>
    <cellStyle name="Normal 8 3 3 2 2_DEO ADIT Unprotected" xfId="3845" xr:uid="{B80782E6-49EB-4163-A879-F05382F89389}"/>
    <cellStyle name="Normal 8 3 3 2 3" xfId="4103" xr:uid="{87B55012-AA86-4E6F-91B6-DBCA32EE1838}"/>
    <cellStyle name="Normal 8 3 3 2 3 2" xfId="7483" xr:uid="{36D78493-ED9E-4B94-A912-46D5286AA615}"/>
    <cellStyle name="Normal 8 3 3 2 4" xfId="5782" xr:uid="{77192AD2-2713-47B5-B75B-F12C43C2E20F}"/>
    <cellStyle name="Normal 8 3 3 2_DEO ADIT Unprotected" xfId="3844" xr:uid="{B7F16C84-F9BF-47CA-8F72-39FE06023DFD}"/>
    <cellStyle name="Normal 8 3 3 3" xfId="1658" xr:uid="{00000000-0005-0000-0000-0000D7070000}"/>
    <cellStyle name="Normal 8 3 3 3 2" xfId="4908" xr:uid="{462451A7-B845-4D17-B9E8-6963F75C6F71}"/>
    <cellStyle name="Normal 8 3 3 3 2 2" xfId="8288" xr:uid="{5585DA4B-0603-4DB7-9F79-A03D780C1091}"/>
    <cellStyle name="Normal 8 3 3 3 3" xfId="6588" xr:uid="{00B14C40-AEED-4B08-90B5-23E649C5EF52}"/>
    <cellStyle name="Normal 8 3 3 3_DEO ADIT Unprotected" xfId="3846" xr:uid="{244D1A5E-AE67-4317-A2C0-F8C121328D80}"/>
    <cellStyle name="Normal 8 3 3 4" xfId="4071" xr:uid="{84AC3EA3-C38A-4C35-8628-4E0ACB957ECE}"/>
    <cellStyle name="Normal 8 3 3 4 2" xfId="7451" xr:uid="{D954D27F-6CFE-4F11-9D4B-4C0128BDA6F5}"/>
    <cellStyle name="Normal 8 3 3 5" xfId="5750" xr:uid="{58C8F2DD-F840-4C65-86AF-DE200B6A0C6F}"/>
    <cellStyle name="Normal 8 3 3_DEO ADIT Unprotected" xfId="3843" xr:uid="{98B855BE-2EE7-4E15-85F2-577BBA103DA6}"/>
    <cellStyle name="Normal 8 3 4" xfId="442" xr:uid="{00000000-0005-0000-0000-0000D8070000}"/>
    <cellStyle name="Normal 8 3 4 2" xfId="481" xr:uid="{00000000-0005-0000-0000-0000D9070000}"/>
    <cellStyle name="Normal 8 3 4 2 2" xfId="1674" xr:uid="{00000000-0005-0000-0000-0000DA070000}"/>
    <cellStyle name="Normal 8 3 4 2 2 2" xfId="4924" xr:uid="{A59A3674-ACC4-42ED-B297-C3E625081531}"/>
    <cellStyle name="Normal 8 3 4 2 2 2 2" xfId="8304" xr:uid="{DAFB29AE-BC0B-4BC9-8277-8C620306E67A}"/>
    <cellStyle name="Normal 8 3 4 2 2 3" xfId="6604" xr:uid="{7D1E21C7-7559-446D-A6A8-A98E101DE6D6}"/>
    <cellStyle name="Normal 8 3 4 2 2_DEO ADIT Unprotected" xfId="3849" xr:uid="{7A7527C4-AD22-4C4C-819D-213BD6414690}"/>
    <cellStyle name="Normal 8 3 4 2 3" xfId="4087" xr:uid="{B5714B87-ED13-4EF9-AE51-DEE63F016061}"/>
    <cellStyle name="Normal 8 3 4 2 3 2" xfId="7467" xr:uid="{09E69FBC-40FA-4953-A91A-85D8A481FBFF}"/>
    <cellStyle name="Normal 8 3 4 2 4" xfId="5766" xr:uid="{CC59CB78-3C94-4B54-A259-A3A72FF5CE5C}"/>
    <cellStyle name="Normal 8 3 4 2_DEO ADIT Unprotected" xfId="3848" xr:uid="{C7F34358-3C9F-4FD6-A360-5C97D8F9A224}"/>
    <cellStyle name="Normal 8 3 4 3" xfId="1642" xr:uid="{00000000-0005-0000-0000-0000DB070000}"/>
    <cellStyle name="Normal 8 3 4 3 2" xfId="4892" xr:uid="{B6FCCD43-3CF9-4792-B156-A17C067DE2D7}"/>
    <cellStyle name="Normal 8 3 4 3 2 2" xfId="8272" xr:uid="{B5340575-E2CC-45F0-B385-5FE45E36DD34}"/>
    <cellStyle name="Normal 8 3 4 3 3" xfId="6572" xr:uid="{9E3FECF6-0413-4328-A8AE-3AEF5E7BB9AF}"/>
    <cellStyle name="Normal 8 3 4 3_DEO ADIT Unprotected" xfId="3850" xr:uid="{CC3414F6-50EC-4D39-96A6-A14B5B213E8A}"/>
    <cellStyle name="Normal 8 3 4 4" xfId="4055" xr:uid="{51ECB9D5-3147-44D1-9949-4DD67C3E3DA4}"/>
    <cellStyle name="Normal 8 3 4 4 2" xfId="7435" xr:uid="{CB0D6B64-15A9-4657-B4CA-83D3F47EEE26}"/>
    <cellStyle name="Normal 8 3 4 5" xfId="5734" xr:uid="{38A17F3B-59BC-4238-8FFE-002F3FE8A4A9}"/>
    <cellStyle name="Normal 8 3 4_DEO ADIT Unprotected" xfId="3847" xr:uid="{A3270FC9-1D04-42C3-997F-D7D64173357A}"/>
    <cellStyle name="Normal 8 3 5" xfId="473" xr:uid="{00000000-0005-0000-0000-0000DC070000}"/>
    <cellStyle name="Normal 8 3 5 2" xfId="1666" xr:uid="{00000000-0005-0000-0000-0000DD070000}"/>
    <cellStyle name="Normal 8 3 5 2 2" xfId="4916" xr:uid="{C13B39AB-7FA4-43F4-A69C-1F834DE12013}"/>
    <cellStyle name="Normal 8 3 5 2 2 2" xfId="8296" xr:uid="{4E851F5A-2541-4D62-B32C-2A7D39488FED}"/>
    <cellStyle name="Normal 8 3 5 2 3" xfId="6596" xr:uid="{5B16CD4E-ACE6-4B07-99DF-4A87CDD105F3}"/>
    <cellStyle name="Normal 8 3 5 2_DEO ADIT Unprotected" xfId="3852" xr:uid="{D0390E21-62EA-4EFA-9E9D-77FD8B5BDDC9}"/>
    <cellStyle name="Normal 8 3 5 3" xfId="4079" xr:uid="{3EA25056-2067-44A5-A587-554EB2E58996}"/>
    <cellStyle name="Normal 8 3 5 3 2" xfId="7459" xr:uid="{4CFA1C14-22A9-481A-BDB3-C7672AD7A257}"/>
    <cellStyle name="Normal 8 3 5 4" xfId="5758" xr:uid="{B7C2572E-80EA-4A01-BA25-0E45789B338A}"/>
    <cellStyle name="Normal 8 3 5_DEO ADIT Unprotected" xfId="3851" xr:uid="{8F8520D6-459E-48E3-9074-D2250D409D91}"/>
    <cellStyle name="Normal 8 3 6" xfId="506" xr:uid="{00000000-0005-0000-0000-0000DE070000}"/>
    <cellStyle name="Normal 8 3 6 2" xfId="1698" xr:uid="{00000000-0005-0000-0000-0000DF070000}"/>
    <cellStyle name="Normal 8 3 6 2 2" xfId="4948" xr:uid="{E49B92D7-FEEE-4E2E-A22B-38CF0633C836}"/>
    <cellStyle name="Normal 8 3 6 2 2 2" xfId="8328" xr:uid="{205E81FE-04BA-403B-AB70-560204660B7C}"/>
    <cellStyle name="Normal 8 3 6 2 3" xfId="6628" xr:uid="{C83996BD-FAC9-4299-8D60-5DA1AE6A4AD2}"/>
    <cellStyle name="Normal 8 3 6 2_DEO ADIT Unprotected" xfId="3854" xr:uid="{80F5A598-B0C1-422F-A2BD-459080197844}"/>
    <cellStyle name="Normal 8 3 6 3" xfId="4111" xr:uid="{36A0E0F4-D4D7-4BE4-9858-6A9DD53C10A9}"/>
    <cellStyle name="Normal 8 3 6 3 2" xfId="7491" xr:uid="{2822BFD7-3966-4DBC-8B1B-A26EE9F54AE4}"/>
    <cellStyle name="Normal 8 3 6 4" xfId="5790" xr:uid="{C9FD1F42-DC1E-48A1-81B3-BC35B66768C9}"/>
    <cellStyle name="Normal 8 3 6_DEO ADIT Unprotected" xfId="3853" xr:uid="{3B27F0C3-B627-475D-99EF-B7013F0D6BD9}"/>
    <cellStyle name="Normal 8 3 7" xfId="1631" xr:uid="{00000000-0005-0000-0000-0000E0070000}"/>
    <cellStyle name="Normal 8 3 7 2" xfId="4881" xr:uid="{852F50CD-C15C-431A-9CFC-9727AE29533D}"/>
    <cellStyle name="Normal 8 3 7 2 2" xfId="8261" xr:uid="{81A27BAC-3831-43EA-9C1D-1D816708A69E}"/>
    <cellStyle name="Normal 8 3 7 3" xfId="6561" xr:uid="{47843694-FA9E-4CE6-9937-7882A0198F26}"/>
    <cellStyle name="Normal 8 3 7_DEO ADIT Unprotected" xfId="3855" xr:uid="{F60E75A0-1708-45A4-A5B5-5F410C88AD5C}"/>
    <cellStyle name="Normal 8 3 8" xfId="4044" xr:uid="{4F1D412F-A897-49DE-8C02-273383DAD4E3}"/>
    <cellStyle name="Normal 8 3 8 2" xfId="7424" xr:uid="{E35BE391-E557-43D4-A870-D2CD95EA4E81}"/>
    <cellStyle name="Normal 8 3 9" xfId="5723" xr:uid="{A2BF02BA-C208-43BB-806F-1FCFE583C1BB}"/>
    <cellStyle name="Normal 8 3_DEO ADIT Unprotected" xfId="3838" xr:uid="{5480101B-483E-45B4-90A7-FD9BDAF17354}"/>
    <cellStyle name="Normal 8 4" xfId="367" xr:uid="{00000000-0005-0000-0000-0000E1070000}"/>
    <cellStyle name="Normal 8 4 2" xfId="451" xr:uid="{00000000-0005-0000-0000-0000E2070000}"/>
    <cellStyle name="Normal 8 4 2 2" xfId="488" xr:uid="{00000000-0005-0000-0000-0000E3070000}"/>
    <cellStyle name="Normal 8 4 2 2 2" xfId="1681" xr:uid="{00000000-0005-0000-0000-0000E4070000}"/>
    <cellStyle name="Normal 8 4 2 2 2 2" xfId="4931" xr:uid="{4FA890C9-944D-4077-97B2-935834DECCE7}"/>
    <cellStyle name="Normal 8 4 2 2 2 2 2" xfId="8311" xr:uid="{9B7A783E-4E4F-4F9B-8ADA-F7DB797915DA}"/>
    <cellStyle name="Normal 8 4 2 2 2 3" xfId="6611" xr:uid="{D96C5392-DBB0-4A69-8AF2-6A342423E0E0}"/>
    <cellStyle name="Normal 8 4 2 2 2_DEO ADIT Unprotected" xfId="3859" xr:uid="{15A96985-F258-4FBA-BE19-AAAECAEFFC83}"/>
    <cellStyle name="Normal 8 4 2 2 3" xfId="4094" xr:uid="{404230D9-AEDE-4BD8-B5FE-133CB622225B}"/>
    <cellStyle name="Normal 8 4 2 2 3 2" xfId="7474" xr:uid="{A60E6644-08C1-4E2A-AD9C-183BE7BA1EDD}"/>
    <cellStyle name="Normal 8 4 2 2 4" xfId="5773" xr:uid="{2E1110D6-5F5B-432B-B909-F7B77C783293}"/>
    <cellStyle name="Normal 8 4 2 2_DEO ADIT Unprotected" xfId="3858" xr:uid="{56280DE1-0707-48AE-BF81-C9F522400658}"/>
    <cellStyle name="Normal 8 4 2 3" xfId="1649" xr:uid="{00000000-0005-0000-0000-0000E5070000}"/>
    <cellStyle name="Normal 8 4 2 3 2" xfId="4899" xr:uid="{70A6B139-5A08-48BA-A5B5-46D01B024998}"/>
    <cellStyle name="Normal 8 4 2 3 2 2" xfId="8279" xr:uid="{20377682-2C99-451B-B9AB-4EF84009B386}"/>
    <cellStyle name="Normal 8 4 2 3 3" xfId="6579" xr:uid="{6F2C8240-9A63-49AE-BD96-E38855112FA7}"/>
    <cellStyle name="Normal 8 4 2 3_DEO ADIT Unprotected" xfId="3860" xr:uid="{CD3F2582-2138-4FFF-8D57-ECDD634DD0B1}"/>
    <cellStyle name="Normal 8 4 2 4" xfId="4062" xr:uid="{7A50C002-4BD1-45D3-B047-5C2278B57449}"/>
    <cellStyle name="Normal 8 4 2 4 2" xfId="7442" xr:uid="{B777FFE4-AC44-4B72-9C0E-F52AD267DFFA}"/>
    <cellStyle name="Normal 8 4 2 5" xfId="5741" xr:uid="{4D9EC777-B055-4D19-8A95-C52A71ECDD31}"/>
    <cellStyle name="Normal 8 4 2_DEO ADIT Unprotected" xfId="3857" xr:uid="{128CFF6E-2A1B-4150-A8AE-094D8743E716}"/>
    <cellStyle name="Normal 8 4 3" xfId="465" xr:uid="{00000000-0005-0000-0000-0000E6070000}"/>
    <cellStyle name="Normal 8 4 3 2" xfId="499" xr:uid="{00000000-0005-0000-0000-0000E7070000}"/>
    <cellStyle name="Normal 8 4 3 2 2" xfId="1692" xr:uid="{00000000-0005-0000-0000-0000E8070000}"/>
    <cellStyle name="Normal 8 4 3 2 2 2" xfId="4942" xr:uid="{7A12A9DB-74F5-4A6B-B5D8-544F5EDB676F}"/>
    <cellStyle name="Normal 8 4 3 2 2 2 2" xfId="8322" xr:uid="{048A59A4-D12F-4F4F-BC5F-C27A1CB5545D}"/>
    <cellStyle name="Normal 8 4 3 2 2 3" xfId="6622" xr:uid="{BD021DA2-821A-4BB8-9F7E-134AFEFFE055}"/>
    <cellStyle name="Normal 8 4 3 2 2_DEO ADIT Unprotected" xfId="3863" xr:uid="{932E0C2E-26AE-444D-80C4-018277B1BDAA}"/>
    <cellStyle name="Normal 8 4 3 2 3" xfId="4105" xr:uid="{4ECC4CC2-91D1-47A7-9D90-6C1092F09328}"/>
    <cellStyle name="Normal 8 4 3 2 3 2" xfId="7485" xr:uid="{5CE624F1-DBE4-4CA9-B71E-79A9EDA8525C}"/>
    <cellStyle name="Normal 8 4 3 2 4" xfId="5784" xr:uid="{796C6970-4970-41CA-9843-EA8EB5028282}"/>
    <cellStyle name="Normal 8 4 3 2_DEO ADIT Unprotected" xfId="3862" xr:uid="{24E627C7-46C7-4CC8-8BDD-54D3CD5BD909}"/>
    <cellStyle name="Normal 8 4 3 3" xfId="1660" xr:uid="{00000000-0005-0000-0000-0000E9070000}"/>
    <cellStyle name="Normal 8 4 3 3 2" xfId="4910" xr:uid="{F06635D5-E26D-4169-B893-18CDBBDF7C9E}"/>
    <cellStyle name="Normal 8 4 3 3 2 2" xfId="8290" xr:uid="{76E6F729-F87A-4A27-80B2-60BAA5D6CBE5}"/>
    <cellStyle name="Normal 8 4 3 3 3" xfId="6590" xr:uid="{B9D5D59F-C069-4E4D-8AD5-DD68354E94A6}"/>
    <cellStyle name="Normal 8 4 3 3_DEO ADIT Unprotected" xfId="3864" xr:uid="{0A5F0C78-9259-4D91-8DDB-3C3F96219D69}"/>
    <cellStyle name="Normal 8 4 3 4" xfId="4073" xr:uid="{3FFC9439-0B29-4E56-B776-F676CC4F5CD0}"/>
    <cellStyle name="Normal 8 4 3 4 2" xfId="7453" xr:uid="{9FCEA1EC-DA95-4C86-9F47-9E81D3CA5A54}"/>
    <cellStyle name="Normal 8 4 3 5" xfId="5752" xr:uid="{5EBA64EA-9B86-45A1-9B20-B338D472CE82}"/>
    <cellStyle name="Normal 8 4 3_DEO ADIT Unprotected" xfId="3861" xr:uid="{51C52A42-43F4-452E-BF7C-818CB329DAC6}"/>
    <cellStyle name="Normal 8 4 4" xfId="445" xr:uid="{00000000-0005-0000-0000-0000EA070000}"/>
    <cellStyle name="Normal 8 4 4 2" xfId="483" xr:uid="{00000000-0005-0000-0000-0000EB070000}"/>
    <cellStyle name="Normal 8 4 4 2 2" xfId="1676" xr:uid="{00000000-0005-0000-0000-0000EC070000}"/>
    <cellStyle name="Normal 8 4 4 2 2 2" xfId="4926" xr:uid="{4E44A200-BCCE-4BA1-AC0C-1F6D7EDB832C}"/>
    <cellStyle name="Normal 8 4 4 2 2 2 2" xfId="8306" xr:uid="{66D07036-6B3E-44EF-A951-F9EDF545CD5A}"/>
    <cellStyle name="Normal 8 4 4 2 2 3" xfId="6606" xr:uid="{82499D18-AC50-4858-B175-59117EEB32F3}"/>
    <cellStyle name="Normal 8 4 4 2 2_DEO ADIT Unprotected" xfId="3867" xr:uid="{8160D1B9-470D-4914-80E9-39C017A277E6}"/>
    <cellStyle name="Normal 8 4 4 2 3" xfId="4089" xr:uid="{DF25A6C7-1FDC-4FD3-A132-91B79005A8FF}"/>
    <cellStyle name="Normal 8 4 4 2 3 2" xfId="7469" xr:uid="{74F16F4F-AA85-4BC5-810D-8ABA431B75D7}"/>
    <cellStyle name="Normal 8 4 4 2 4" xfId="5768" xr:uid="{6F8E5E9B-E477-4653-AFE2-F04166B5A4AA}"/>
    <cellStyle name="Normal 8 4 4 2_DEO ADIT Unprotected" xfId="3866" xr:uid="{CB376F55-37B9-428A-935B-5F18E121A33D}"/>
    <cellStyle name="Normal 8 4 4 3" xfId="1644" xr:uid="{00000000-0005-0000-0000-0000ED070000}"/>
    <cellStyle name="Normal 8 4 4 3 2" xfId="4894" xr:uid="{667E62D4-6F6B-4497-A790-0185242E500A}"/>
    <cellStyle name="Normal 8 4 4 3 2 2" xfId="8274" xr:uid="{9B572311-1682-4AC6-8784-80E5CF44A258}"/>
    <cellStyle name="Normal 8 4 4 3 3" xfId="6574" xr:uid="{8045C736-16B6-4C6E-B62F-BD66F8D62A5C}"/>
    <cellStyle name="Normal 8 4 4 3_DEO ADIT Unprotected" xfId="3868" xr:uid="{8D9BD0F3-EE84-45EF-B825-DCFFE96E3B51}"/>
    <cellStyle name="Normal 8 4 4 4" xfId="4057" xr:uid="{E8194BBC-41EE-43B5-9B88-65696F79E6B2}"/>
    <cellStyle name="Normal 8 4 4 4 2" xfId="7437" xr:uid="{EDB00ED6-1010-48F7-A433-0AAE3E485003}"/>
    <cellStyle name="Normal 8 4 4 5" xfId="5736" xr:uid="{524C36DA-E871-4B28-A588-FA73E37572B5}"/>
    <cellStyle name="Normal 8 4 4_DEO ADIT Unprotected" xfId="3865" xr:uid="{7E3B5127-8B0B-4078-A372-F8D353088466}"/>
    <cellStyle name="Normal 8 4 5" xfId="475" xr:uid="{00000000-0005-0000-0000-0000EE070000}"/>
    <cellStyle name="Normal 8 4 5 2" xfId="1668" xr:uid="{00000000-0005-0000-0000-0000EF070000}"/>
    <cellStyle name="Normal 8 4 5 2 2" xfId="4918" xr:uid="{C06D9550-90B3-4BFD-B164-F4970E04969F}"/>
    <cellStyle name="Normal 8 4 5 2 2 2" xfId="8298" xr:uid="{44D99DC0-2094-411C-8AC1-9B30432B87CC}"/>
    <cellStyle name="Normal 8 4 5 2 3" xfId="6598" xr:uid="{D0E9B92C-ADCF-44C9-AF50-6E3EAE6D7465}"/>
    <cellStyle name="Normal 8 4 5 2_DEO ADIT Unprotected" xfId="3870" xr:uid="{940B5C3B-2828-470E-B3FA-8FCCC1C99C1D}"/>
    <cellStyle name="Normal 8 4 5 3" xfId="4081" xr:uid="{8FCE15CA-9A9C-471C-AB9B-3DA79D8F343F}"/>
    <cellStyle name="Normal 8 4 5 3 2" xfId="7461" xr:uid="{8BFB6ED0-3346-4ACB-A9AE-05783A6F7D5E}"/>
    <cellStyle name="Normal 8 4 5 4" xfId="5760" xr:uid="{15D8BA86-02F5-4F16-94FF-B6C7960DF856}"/>
    <cellStyle name="Normal 8 4 5_DEO ADIT Unprotected" xfId="3869" xr:uid="{6FB703E4-29B3-446E-8C9F-DFC977D43C43}"/>
    <cellStyle name="Normal 8 4 6" xfId="508" xr:uid="{00000000-0005-0000-0000-0000F0070000}"/>
    <cellStyle name="Normal 8 4 6 2" xfId="1700" xr:uid="{00000000-0005-0000-0000-0000F1070000}"/>
    <cellStyle name="Normal 8 4 6 2 2" xfId="4950" xr:uid="{7C75A2BB-AF43-4A10-B169-0F25597256E9}"/>
    <cellStyle name="Normal 8 4 6 2 2 2" xfId="8330" xr:uid="{88AB18CE-059E-4B40-9448-14E057C07E88}"/>
    <cellStyle name="Normal 8 4 6 2 3" xfId="6630" xr:uid="{E61FFC8E-F176-466A-83AD-B138C0EF075C}"/>
    <cellStyle name="Normal 8 4 6 2_DEO ADIT Unprotected" xfId="3872" xr:uid="{64691C80-7CC4-4063-9E6A-B1D984802E84}"/>
    <cellStyle name="Normal 8 4 6 3" xfId="4113" xr:uid="{878232E0-5326-465A-B61E-B2B04CE521CF}"/>
    <cellStyle name="Normal 8 4 6 3 2" xfId="7493" xr:uid="{D8DD6854-6350-43FD-9061-C0B52BB7BFCA}"/>
    <cellStyle name="Normal 8 4 6 4" xfId="5792" xr:uid="{E1BF30CF-333C-4F85-8D2F-AC03FF94B3D7}"/>
    <cellStyle name="Normal 8 4 6_DEO ADIT Unprotected" xfId="3871" xr:uid="{2471DA89-4501-4C32-BE7C-BB4091F5359E}"/>
    <cellStyle name="Normal 8 4 7" xfId="1635" xr:uid="{00000000-0005-0000-0000-0000F2070000}"/>
    <cellStyle name="Normal 8 4 7 2" xfId="4885" xr:uid="{B418574F-5CCB-4AA6-91ED-F672892D7C9D}"/>
    <cellStyle name="Normal 8 4 7 2 2" xfId="8265" xr:uid="{863CC0A9-8928-4710-B290-F2CFE6EA58AB}"/>
    <cellStyle name="Normal 8 4 7 3" xfId="6565" xr:uid="{CEEC7D6B-AE12-4A90-91E5-8697898081DA}"/>
    <cellStyle name="Normal 8 4 7_DEO ADIT Unprotected" xfId="3873" xr:uid="{9392A5EB-8B83-448A-938C-FCFA0563DD09}"/>
    <cellStyle name="Normal 8 4 8" xfId="4048" xr:uid="{09F9F65B-4863-477C-BF82-0324CC8E338B}"/>
    <cellStyle name="Normal 8 4 8 2" xfId="7428" xr:uid="{F0765701-27F0-4541-ADEB-2FE4FBFC7F50}"/>
    <cellStyle name="Normal 8 4 9" xfId="5727" xr:uid="{88FA1D65-9F5C-4AFB-8AA5-DE03C88D4B61}"/>
    <cellStyle name="Normal 8 4_DEO ADIT Unprotected" xfId="3856" xr:uid="{BC991E44-38F5-4331-93B8-9239B878E4BD}"/>
    <cellStyle name="Normal 8 5" xfId="415" xr:uid="{00000000-0005-0000-0000-0000F3070000}"/>
    <cellStyle name="Normal 8 5 2" xfId="466" xr:uid="{00000000-0005-0000-0000-0000F4070000}"/>
    <cellStyle name="Normal 8 5 2 2" xfId="500" xr:uid="{00000000-0005-0000-0000-0000F5070000}"/>
    <cellStyle name="Normal 8 5 2 2 2" xfId="1693" xr:uid="{00000000-0005-0000-0000-0000F6070000}"/>
    <cellStyle name="Normal 8 5 2 2 2 2" xfId="4943" xr:uid="{F6E493E7-0DC0-4454-AFF1-ECD68E4AE886}"/>
    <cellStyle name="Normal 8 5 2 2 2 2 2" xfId="8323" xr:uid="{338A6A79-4AA2-477A-B117-25F5AF1860F3}"/>
    <cellStyle name="Normal 8 5 2 2 2 3" xfId="6623" xr:uid="{9A41592F-BF1C-430A-83B0-172A25B20E7F}"/>
    <cellStyle name="Normal 8 5 2 2 2_DEO ADIT Unprotected" xfId="3877" xr:uid="{DCE3A646-C68C-41AB-9C2C-C6EFD85278FA}"/>
    <cellStyle name="Normal 8 5 2 2 3" xfId="4106" xr:uid="{C269558D-8BCF-41A2-8462-316438772D81}"/>
    <cellStyle name="Normal 8 5 2 2 3 2" xfId="7486" xr:uid="{494F8A44-5D2C-4F15-8DBB-1F5437AFD9AE}"/>
    <cellStyle name="Normal 8 5 2 2 4" xfId="5785" xr:uid="{068DDE2C-96E4-4ECD-9E88-BF008D2A2424}"/>
    <cellStyle name="Normal 8 5 2 2_DEO ADIT Unprotected" xfId="3876" xr:uid="{7D37D7D9-8BDA-4FE3-ADC5-EF4B7B3AB6D4}"/>
    <cellStyle name="Normal 8 5 2 3" xfId="1661" xr:uid="{00000000-0005-0000-0000-0000F7070000}"/>
    <cellStyle name="Normal 8 5 2 3 2" xfId="4911" xr:uid="{7A761AD8-EAFA-48E2-BD9D-80F7672F1786}"/>
    <cellStyle name="Normal 8 5 2 3 2 2" xfId="8291" xr:uid="{F4D0546C-216B-4C22-BAFD-9E97DD61C89C}"/>
    <cellStyle name="Normal 8 5 2 3 3" xfId="6591" xr:uid="{67530020-9B4C-4103-A755-D3B9B4CD70F5}"/>
    <cellStyle name="Normal 8 5 2 3_DEO ADIT Unprotected" xfId="3878" xr:uid="{F8B20010-3FAE-4570-BF13-9A1ACD6F7F33}"/>
    <cellStyle name="Normal 8 5 2 4" xfId="4074" xr:uid="{B9B8EA64-A157-4720-A397-4AA316AE2EDC}"/>
    <cellStyle name="Normal 8 5 2 4 2" xfId="7454" xr:uid="{3137F7EA-8CB8-4FCD-B095-BDB97579B679}"/>
    <cellStyle name="Normal 8 5 2 5" xfId="5753" xr:uid="{7E206ADF-8B67-45E8-9F87-15FE34AE3E5D}"/>
    <cellStyle name="Normal 8 5 2_DEO ADIT Unprotected" xfId="3875" xr:uid="{AE9B15DF-68EE-4132-AE55-9B6839CD692F}"/>
    <cellStyle name="Normal 8 5 3" xfId="457" xr:uid="{00000000-0005-0000-0000-0000F8070000}"/>
    <cellStyle name="Normal 8 5 3 2" xfId="492" xr:uid="{00000000-0005-0000-0000-0000F9070000}"/>
    <cellStyle name="Normal 8 5 3 2 2" xfId="1685" xr:uid="{00000000-0005-0000-0000-0000FA070000}"/>
    <cellStyle name="Normal 8 5 3 2 2 2" xfId="4935" xr:uid="{75B1A0DE-8C2C-42AF-828D-A051A7F6817C}"/>
    <cellStyle name="Normal 8 5 3 2 2 2 2" xfId="8315" xr:uid="{8AA52572-89AA-4879-81F2-5144C79DCC49}"/>
    <cellStyle name="Normal 8 5 3 2 2 3" xfId="6615" xr:uid="{F57004F8-1EA3-4AB0-B1B3-91C3ACF9D695}"/>
    <cellStyle name="Normal 8 5 3 2 2_DEO ADIT Unprotected" xfId="3881" xr:uid="{51C09360-028C-4944-925A-80CB686614F8}"/>
    <cellStyle name="Normal 8 5 3 2 3" xfId="4098" xr:uid="{660105B7-9580-4249-88D5-083BCFA9FD39}"/>
    <cellStyle name="Normal 8 5 3 2 3 2" xfId="7478" xr:uid="{13D91E7D-49A7-44E0-8941-9216547D6281}"/>
    <cellStyle name="Normal 8 5 3 2 4" xfId="5777" xr:uid="{0AFA87A0-BC6D-4DA1-A14D-902D1A8B4C2E}"/>
    <cellStyle name="Normal 8 5 3 2_DEO ADIT Unprotected" xfId="3880" xr:uid="{3BCEF28C-E8C0-4503-BF69-8C5E0550D00B}"/>
    <cellStyle name="Normal 8 5 3 3" xfId="1653" xr:uid="{00000000-0005-0000-0000-0000FB070000}"/>
    <cellStyle name="Normal 8 5 3 3 2" xfId="4903" xr:uid="{FEDD7C30-211B-425A-975D-CDC1698FBB69}"/>
    <cellStyle name="Normal 8 5 3 3 2 2" xfId="8283" xr:uid="{AA1CF6F0-A25A-4965-9E6E-BF72B9F11C92}"/>
    <cellStyle name="Normal 8 5 3 3 3" xfId="6583" xr:uid="{A626FF39-618E-44E1-AD09-5F165240DCCF}"/>
    <cellStyle name="Normal 8 5 3 3_DEO ADIT Unprotected" xfId="3882" xr:uid="{FE231CC1-E0ED-4C5C-A27C-4C8A1DDBB341}"/>
    <cellStyle name="Normal 8 5 3 4" xfId="4066" xr:uid="{409B3099-490C-4B93-8704-16B2CB620252}"/>
    <cellStyle name="Normal 8 5 3 4 2" xfId="7446" xr:uid="{5E8A2666-8CF5-4303-BAD5-3A8C2BE23D81}"/>
    <cellStyle name="Normal 8 5 3 5" xfId="5745" xr:uid="{907C66C8-B509-4E1B-915C-A5D681B8BF15}"/>
    <cellStyle name="Normal 8 5 3_DEO ADIT Unprotected" xfId="3879" xr:uid="{CDF88751-1D22-4BD1-99D0-E14B5F67BA58}"/>
    <cellStyle name="Normal 8 5 4" xfId="476" xr:uid="{00000000-0005-0000-0000-0000FC070000}"/>
    <cellStyle name="Normal 8 5 4 2" xfId="1669" xr:uid="{00000000-0005-0000-0000-0000FD070000}"/>
    <cellStyle name="Normal 8 5 4 2 2" xfId="4919" xr:uid="{78A10A4D-44AC-4A48-9591-FB01EB90D709}"/>
    <cellStyle name="Normal 8 5 4 2 2 2" xfId="8299" xr:uid="{EDC760DA-A109-4622-B88F-F19D3097DBBE}"/>
    <cellStyle name="Normal 8 5 4 2 3" xfId="6599" xr:uid="{15523B3C-CFE2-4588-8AB5-05502BC2F26E}"/>
    <cellStyle name="Normal 8 5 4 2_DEO ADIT Unprotected" xfId="3884" xr:uid="{46970A82-9EF9-44CA-A639-A7D3FBBBC44D}"/>
    <cellStyle name="Normal 8 5 4 3" xfId="4082" xr:uid="{4BCAA027-8DC6-414C-A2A9-E119ED020805}"/>
    <cellStyle name="Normal 8 5 4 3 2" xfId="7462" xr:uid="{570B373A-B509-4B1C-A267-750C0753F483}"/>
    <cellStyle name="Normal 8 5 4 4" xfId="5761" xr:uid="{56FFA8DA-4423-4C39-A696-2E466D4E6C50}"/>
    <cellStyle name="Normal 8 5 4_DEO ADIT Unprotected" xfId="3883" xr:uid="{F7F79661-32C2-4404-A5BD-CB3DADAAC874}"/>
    <cellStyle name="Normal 8 5 5" xfId="509" xr:uid="{00000000-0005-0000-0000-0000FE070000}"/>
    <cellStyle name="Normal 8 5 5 2" xfId="1701" xr:uid="{00000000-0005-0000-0000-0000FF070000}"/>
    <cellStyle name="Normal 8 5 5 2 2" xfId="4951" xr:uid="{259ED9D4-6EB7-4BD8-B666-30A362655514}"/>
    <cellStyle name="Normal 8 5 5 2 2 2" xfId="8331" xr:uid="{3847F182-0FDC-4644-9AA0-ACB29708EAF7}"/>
    <cellStyle name="Normal 8 5 5 2 3" xfId="6631" xr:uid="{8A775A1D-0771-4A60-9CEC-06E8F59A2336}"/>
    <cellStyle name="Normal 8 5 5 2_DEO ADIT Unprotected" xfId="3886" xr:uid="{B7C32A60-8526-44F8-807A-24452707A9B4}"/>
    <cellStyle name="Normal 8 5 5 3" xfId="4114" xr:uid="{54942285-EEB4-4485-A9CB-831AE9DBB1BA}"/>
    <cellStyle name="Normal 8 5 5 3 2" xfId="7494" xr:uid="{3C8BB3C6-7A6C-432B-9627-64F957E5A528}"/>
    <cellStyle name="Normal 8 5 5 4" xfId="5793" xr:uid="{4764C1C1-38D6-417D-A4A9-AD435BA2FA16}"/>
    <cellStyle name="Normal 8 5 5_DEO ADIT Unprotected" xfId="3885" xr:uid="{F02D84D2-75C4-4EA7-8EFF-2BBDFFCE1265}"/>
    <cellStyle name="Normal 8 5 6" xfId="1636" xr:uid="{00000000-0005-0000-0000-000000080000}"/>
    <cellStyle name="Normal 8 5 6 2" xfId="4886" xr:uid="{39B356EF-6FB0-41B9-B9D0-BA7FE8202440}"/>
    <cellStyle name="Normal 8 5 6 2 2" xfId="8266" xr:uid="{6711AE6F-A8A1-4964-B367-24CE4E9BBBE2}"/>
    <cellStyle name="Normal 8 5 6 3" xfId="6566" xr:uid="{3C1E658D-3F94-41A3-A128-31D810E90025}"/>
    <cellStyle name="Normal 8 5 6_DEO ADIT Unprotected" xfId="3887" xr:uid="{E84BB5D2-69BC-4096-914C-BA2A897FDFE8}"/>
    <cellStyle name="Normal 8 5 7" xfId="4049" xr:uid="{3323196D-0A46-46DF-8E24-92F85DC07C9D}"/>
    <cellStyle name="Normal 8 5 7 2" xfId="7429" xr:uid="{620A2BE3-5688-4407-8CBD-4042A8C7C079}"/>
    <cellStyle name="Normal 8 5 8" xfId="5728" xr:uid="{635B1B76-FA6F-4E6E-919F-4AA695CD46D6}"/>
    <cellStyle name="Normal 8 5_DEO ADIT Unprotected" xfId="3874" xr:uid="{633C4D06-C1BC-4F72-9C3F-720FD8FB2035}"/>
    <cellStyle name="Normal 8 6" xfId="419" xr:uid="{00000000-0005-0000-0000-000001080000}"/>
    <cellStyle name="Normal 8 6 2" xfId="467" xr:uid="{00000000-0005-0000-0000-000002080000}"/>
    <cellStyle name="Normal 8 6 2 2" xfId="501" xr:uid="{00000000-0005-0000-0000-000003080000}"/>
    <cellStyle name="Normal 8 6 2 2 2" xfId="1694" xr:uid="{00000000-0005-0000-0000-000004080000}"/>
    <cellStyle name="Normal 8 6 2 2 2 2" xfId="4944" xr:uid="{A65945E0-4531-4BF3-B431-6E1F80F4E9A2}"/>
    <cellStyle name="Normal 8 6 2 2 2 2 2" xfId="8324" xr:uid="{9E5E1E3A-35A6-4CF6-BEDA-D32FCBE8AB5F}"/>
    <cellStyle name="Normal 8 6 2 2 2 3" xfId="6624" xr:uid="{237FBCCE-A452-4485-B13A-6AEC34FF3A91}"/>
    <cellStyle name="Normal 8 6 2 2 2_DEO ADIT Unprotected" xfId="3891" xr:uid="{87AE6404-5159-4D43-9D43-918E5C14A9C7}"/>
    <cellStyle name="Normal 8 6 2 2 3" xfId="4107" xr:uid="{0BA10847-B679-4BC8-86E3-542D5B477AE4}"/>
    <cellStyle name="Normal 8 6 2 2 3 2" xfId="7487" xr:uid="{EB7B5D42-445B-42FB-A7BF-4F937FEC41CA}"/>
    <cellStyle name="Normal 8 6 2 2 4" xfId="5786" xr:uid="{D335F3F8-07DF-4DFB-AD5F-94ECEEB5BD3B}"/>
    <cellStyle name="Normal 8 6 2 2_DEO ADIT Unprotected" xfId="3890" xr:uid="{DE54B1ED-61CE-46DC-AAFB-E88EC4F80BC5}"/>
    <cellStyle name="Normal 8 6 2 3" xfId="1662" xr:uid="{00000000-0005-0000-0000-000005080000}"/>
    <cellStyle name="Normal 8 6 2 3 2" xfId="4912" xr:uid="{7490087B-8146-4D34-9381-6FF9B202EBCF}"/>
    <cellStyle name="Normal 8 6 2 3 2 2" xfId="8292" xr:uid="{9649EE12-85F4-4E8A-BB2E-0ECB1D9A78B8}"/>
    <cellStyle name="Normal 8 6 2 3 3" xfId="6592" xr:uid="{CB534847-8075-4B65-A612-6595E7BDAED9}"/>
    <cellStyle name="Normal 8 6 2 3_DEO ADIT Unprotected" xfId="3892" xr:uid="{BD477F02-9B17-47D1-9CB4-450EDA9848DB}"/>
    <cellStyle name="Normal 8 6 2 4" xfId="4075" xr:uid="{274D8BF2-33BE-4550-8E97-3E721E4B4CA5}"/>
    <cellStyle name="Normal 8 6 2 4 2" xfId="7455" xr:uid="{92C9112B-918B-43F0-A990-2B0B537F3974}"/>
    <cellStyle name="Normal 8 6 2 5" xfId="5754" xr:uid="{75AC4357-69C6-402D-B0B9-B37A18E58E57}"/>
    <cellStyle name="Normal 8 6 2_DEO ADIT Unprotected" xfId="3889" xr:uid="{3C333D85-0CAC-45C7-9777-2E912090C250}"/>
    <cellStyle name="Normal 8 6 3" xfId="458" xr:uid="{00000000-0005-0000-0000-000006080000}"/>
    <cellStyle name="Normal 8 6 3 2" xfId="493" xr:uid="{00000000-0005-0000-0000-000007080000}"/>
    <cellStyle name="Normal 8 6 3 2 2" xfId="1686" xr:uid="{00000000-0005-0000-0000-000008080000}"/>
    <cellStyle name="Normal 8 6 3 2 2 2" xfId="4936" xr:uid="{034DE616-5261-4704-95AB-EF00DB029C27}"/>
    <cellStyle name="Normal 8 6 3 2 2 2 2" xfId="8316" xr:uid="{C5CAA617-CD85-433B-8A97-058B965D79B3}"/>
    <cellStyle name="Normal 8 6 3 2 2 3" xfId="6616" xr:uid="{E14EF758-AC81-45AD-BB9B-0B25CD1BFDB9}"/>
    <cellStyle name="Normal 8 6 3 2 2_DEO ADIT Unprotected" xfId="3895" xr:uid="{E733B382-A79F-4D32-B115-9A8F94DCFF29}"/>
    <cellStyle name="Normal 8 6 3 2 3" xfId="4099" xr:uid="{E8CDCE4C-22FE-4A2E-B88B-8555FA6061F8}"/>
    <cellStyle name="Normal 8 6 3 2 3 2" xfId="7479" xr:uid="{9F03941B-2058-4A72-95D5-679DE3D7B255}"/>
    <cellStyle name="Normal 8 6 3 2 4" xfId="5778" xr:uid="{EFFB537E-FACD-4EDB-AC8C-58C989AFDEC0}"/>
    <cellStyle name="Normal 8 6 3 2_DEO ADIT Unprotected" xfId="3894" xr:uid="{C158CC38-23EB-46D5-A525-E1601561FB02}"/>
    <cellStyle name="Normal 8 6 3 3" xfId="1654" xr:uid="{00000000-0005-0000-0000-000009080000}"/>
    <cellStyle name="Normal 8 6 3 3 2" xfId="4904" xr:uid="{2C7BC580-E64F-4C2B-A55C-D2E02FD2CAC7}"/>
    <cellStyle name="Normal 8 6 3 3 2 2" xfId="8284" xr:uid="{6B990E5A-86F3-4019-B649-9AD73A735B57}"/>
    <cellStyle name="Normal 8 6 3 3 3" xfId="6584" xr:uid="{C0D10433-4751-4841-B731-BAFC6E429A9D}"/>
    <cellStyle name="Normal 8 6 3 3_DEO ADIT Unprotected" xfId="3896" xr:uid="{440308A0-796B-4CFC-9CDA-8957BFE557ED}"/>
    <cellStyle name="Normal 8 6 3 4" xfId="4067" xr:uid="{D29A383D-6354-43D3-9D85-C5D377237A19}"/>
    <cellStyle name="Normal 8 6 3 4 2" xfId="7447" xr:uid="{41BEDFC0-CDD1-4C4D-BAD1-162D31C170CE}"/>
    <cellStyle name="Normal 8 6 3 5" xfId="5746" xr:uid="{7D59505F-CBEA-4B87-A41D-FC0E0081DFDC}"/>
    <cellStyle name="Normal 8 6 3_DEO ADIT Unprotected" xfId="3893" xr:uid="{5EEAB27C-931D-4AC9-BC0C-4A966AF2B8D7}"/>
    <cellStyle name="Normal 8 6 4" xfId="477" xr:uid="{00000000-0005-0000-0000-00000A080000}"/>
    <cellStyle name="Normal 8 6 4 2" xfId="1670" xr:uid="{00000000-0005-0000-0000-00000B080000}"/>
    <cellStyle name="Normal 8 6 4 2 2" xfId="4920" xr:uid="{0758DBC8-B87F-4B1B-AAF4-FEC5FAF2514A}"/>
    <cellStyle name="Normal 8 6 4 2 2 2" xfId="8300" xr:uid="{A4DF1268-04C6-4E2B-B44B-671B64700027}"/>
    <cellStyle name="Normal 8 6 4 2 3" xfId="6600" xr:uid="{6C5B7124-0042-410E-91E9-593D1033D668}"/>
    <cellStyle name="Normal 8 6 4 2_DEO ADIT Unprotected" xfId="3898" xr:uid="{EADC2CDA-DE30-4158-8229-E43087254809}"/>
    <cellStyle name="Normal 8 6 4 3" xfId="4083" xr:uid="{31D08259-67B7-46A6-ABC0-38E632A4552E}"/>
    <cellStyle name="Normal 8 6 4 3 2" xfId="7463" xr:uid="{81E38843-25FA-45B7-AECB-F3D411ABDB39}"/>
    <cellStyle name="Normal 8 6 4 4" xfId="5762" xr:uid="{E8A4127C-61C7-45B3-8D80-333947C17AC0}"/>
    <cellStyle name="Normal 8 6 4_DEO ADIT Unprotected" xfId="3897" xr:uid="{9ADCB1D8-42F9-4EB8-ABB5-74D144FDE978}"/>
    <cellStyle name="Normal 8 6 5" xfId="510" xr:uid="{00000000-0005-0000-0000-00000C080000}"/>
    <cellStyle name="Normal 8 6 5 2" xfId="1702" xr:uid="{00000000-0005-0000-0000-00000D080000}"/>
    <cellStyle name="Normal 8 6 5 2 2" xfId="4952" xr:uid="{A356F934-BAA9-43C7-94ED-E4EDEA15F80D}"/>
    <cellStyle name="Normal 8 6 5 2 2 2" xfId="8332" xr:uid="{68EE9C01-7BB0-4594-B19A-52430505DE9A}"/>
    <cellStyle name="Normal 8 6 5 2 3" xfId="6632" xr:uid="{383831E5-2E26-4D99-9D8B-6E760C5A0BF8}"/>
    <cellStyle name="Normal 8 6 5 2_DEO ADIT Unprotected" xfId="3900" xr:uid="{DF0F1FE2-A62B-49AE-A7D1-D97892945405}"/>
    <cellStyle name="Normal 8 6 5 3" xfId="4115" xr:uid="{B0EFBD04-897D-451D-9855-3075DB5040B5}"/>
    <cellStyle name="Normal 8 6 5 3 2" xfId="7495" xr:uid="{CB7EBCC1-5EC4-4CC3-98AD-A7891AB7F92B}"/>
    <cellStyle name="Normal 8 6 5 4" xfId="5794" xr:uid="{4F2E5F1A-0152-40E1-8B59-94C3D02A1F06}"/>
    <cellStyle name="Normal 8 6 5_DEO ADIT Unprotected" xfId="3899" xr:uid="{9D4B469A-8402-411F-8E86-1B71615373F7}"/>
    <cellStyle name="Normal 8 6 6" xfId="1637" xr:uid="{00000000-0005-0000-0000-00000E080000}"/>
    <cellStyle name="Normal 8 6 6 2" xfId="4887" xr:uid="{96A4EEFB-7A28-4129-B2BC-82D12DD19EC8}"/>
    <cellStyle name="Normal 8 6 6 2 2" xfId="8267" xr:uid="{4E9113E0-30CA-4345-9F3D-0268608F1170}"/>
    <cellStyle name="Normal 8 6 6 3" xfId="6567" xr:uid="{EA72DF62-6105-4085-B5A7-DB7CE84A9659}"/>
    <cellStyle name="Normal 8 6 6_DEO ADIT Unprotected" xfId="3901" xr:uid="{7BB1D1BC-CA00-4FA3-BE18-48FDD355DBBB}"/>
    <cellStyle name="Normal 8 6 7" xfId="4050" xr:uid="{FCE2C739-658D-4DCD-86F3-093F3CA81068}"/>
    <cellStyle name="Normal 8 6 7 2" xfId="7430" xr:uid="{AF59D01A-B8D6-4C34-AC83-5CD7E96DE57C}"/>
    <cellStyle name="Normal 8 6 8" xfId="5729" xr:uid="{E5BBEF7A-E3D9-4226-BC13-A4B490555EDB}"/>
    <cellStyle name="Normal 8 6_DEO ADIT Unprotected" xfId="3888" xr:uid="{68693F13-29C0-4467-90A2-FED792D5830D}"/>
    <cellStyle name="Normal 8 7" xfId="421" xr:uid="{00000000-0005-0000-0000-00000F080000}"/>
    <cellStyle name="Normal 8 7 2" xfId="468" xr:uid="{00000000-0005-0000-0000-000010080000}"/>
    <cellStyle name="Normal 8 7 2 2" xfId="502" xr:uid="{00000000-0005-0000-0000-000011080000}"/>
    <cellStyle name="Normal 8 7 2 2 2" xfId="1695" xr:uid="{00000000-0005-0000-0000-000012080000}"/>
    <cellStyle name="Normal 8 7 2 2 2 2" xfId="4945" xr:uid="{4BFC2373-FC4C-4689-8A28-7DFD421463C7}"/>
    <cellStyle name="Normal 8 7 2 2 2 2 2" xfId="8325" xr:uid="{B4082286-04EE-4A27-A17D-1EBFC8A83B00}"/>
    <cellStyle name="Normal 8 7 2 2 2 3" xfId="6625" xr:uid="{FC695C80-AE5A-4E0D-951A-F545B1A5D4E3}"/>
    <cellStyle name="Normal 8 7 2 2 2_DEO ADIT Unprotected" xfId="3905" xr:uid="{8330C149-F41A-4C64-BFE0-E78BDF989187}"/>
    <cellStyle name="Normal 8 7 2 2 3" xfId="4108" xr:uid="{A8A1A2F7-926B-4616-8FE6-40A6A838D92E}"/>
    <cellStyle name="Normal 8 7 2 2 3 2" xfId="7488" xr:uid="{1A3B2464-85BA-46A2-A383-6764627622D2}"/>
    <cellStyle name="Normal 8 7 2 2 4" xfId="5787" xr:uid="{2FA4AA40-7E27-4596-9FE5-976A4644590E}"/>
    <cellStyle name="Normal 8 7 2 2_DEO ADIT Unprotected" xfId="3904" xr:uid="{79BF57B7-F9F4-4F65-A680-FFA9BFD7D792}"/>
    <cellStyle name="Normal 8 7 2 3" xfId="1663" xr:uid="{00000000-0005-0000-0000-000013080000}"/>
    <cellStyle name="Normal 8 7 2 3 2" xfId="4913" xr:uid="{8B01AD46-7FC2-461E-8AE9-1F957A3F75F5}"/>
    <cellStyle name="Normal 8 7 2 3 2 2" xfId="8293" xr:uid="{3F2B711A-FBBA-4B57-BB5E-8C68EBA74674}"/>
    <cellStyle name="Normal 8 7 2 3 3" xfId="6593" xr:uid="{7191871C-FF67-4EDC-9191-59DFC0CF16D4}"/>
    <cellStyle name="Normal 8 7 2 3_DEO ADIT Unprotected" xfId="3906" xr:uid="{C02A4B95-56C2-48EB-AECE-55745A11DA5E}"/>
    <cellStyle name="Normal 8 7 2 4" xfId="4076" xr:uid="{B6B4E8D7-AF87-42FD-B23C-D6B1E49B0ADA}"/>
    <cellStyle name="Normal 8 7 2 4 2" xfId="7456" xr:uid="{8339D555-760A-438F-AA99-99DAFBC5F7F0}"/>
    <cellStyle name="Normal 8 7 2 5" xfId="5755" xr:uid="{56C7F14D-ABCF-4D79-96A6-9CA6B6209006}"/>
    <cellStyle name="Normal 8 7 2_DEO ADIT Unprotected" xfId="3903" xr:uid="{D963E757-8C03-4C3A-91F2-DF693B994386}"/>
    <cellStyle name="Normal 8 7 3" xfId="459" xr:uid="{00000000-0005-0000-0000-000014080000}"/>
    <cellStyle name="Normal 8 7 3 2" xfId="494" xr:uid="{00000000-0005-0000-0000-000015080000}"/>
    <cellStyle name="Normal 8 7 3 2 2" xfId="1687" xr:uid="{00000000-0005-0000-0000-000016080000}"/>
    <cellStyle name="Normal 8 7 3 2 2 2" xfId="4937" xr:uid="{D85B21D0-063F-4D6E-87C6-1C611DD2819D}"/>
    <cellStyle name="Normal 8 7 3 2 2 2 2" xfId="8317" xr:uid="{515304D6-079C-4F74-B37A-EAAC2EAFEAF7}"/>
    <cellStyle name="Normal 8 7 3 2 2 3" xfId="6617" xr:uid="{AEF74059-6334-48D9-9B5B-9287A150686D}"/>
    <cellStyle name="Normal 8 7 3 2 2_DEO ADIT Unprotected" xfId="3909" xr:uid="{E4328938-4EDD-4DB1-92AC-C4BBF36BDEAE}"/>
    <cellStyle name="Normal 8 7 3 2 3" xfId="4100" xr:uid="{FFB8A454-D205-4EF4-930E-8EF971488BFB}"/>
    <cellStyle name="Normal 8 7 3 2 3 2" xfId="7480" xr:uid="{C17770BE-9963-4A6F-B0BD-0BF6F4A5C539}"/>
    <cellStyle name="Normal 8 7 3 2 4" xfId="5779" xr:uid="{E1B62667-40E7-4998-AE52-8220C5314A0E}"/>
    <cellStyle name="Normal 8 7 3 2_DEO ADIT Unprotected" xfId="3908" xr:uid="{3EED3619-A1EC-40F5-B26D-D02BBDD3E351}"/>
    <cellStyle name="Normal 8 7 3 3" xfId="1655" xr:uid="{00000000-0005-0000-0000-000017080000}"/>
    <cellStyle name="Normal 8 7 3 3 2" xfId="4905" xr:uid="{26B721B1-AF4A-4863-ABE0-EB8D54CCCA9C}"/>
    <cellStyle name="Normal 8 7 3 3 2 2" xfId="8285" xr:uid="{F293C63F-88C3-45BE-84D6-F2D0906D18AE}"/>
    <cellStyle name="Normal 8 7 3 3 3" xfId="6585" xr:uid="{9B847C20-85A2-4DC8-9C30-1E842A8439DB}"/>
    <cellStyle name="Normal 8 7 3 3_DEO ADIT Unprotected" xfId="3910" xr:uid="{2C89D9E5-8838-4DFA-9ABA-56BB72521356}"/>
    <cellStyle name="Normal 8 7 3 4" xfId="4068" xr:uid="{D803DCEB-8677-4D7A-AF7A-3E1A142744F4}"/>
    <cellStyle name="Normal 8 7 3 4 2" xfId="7448" xr:uid="{98522F57-76E7-4F8D-A423-AC281ED431B0}"/>
    <cellStyle name="Normal 8 7 3 5" xfId="5747" xr:uid="{392BC821-DC97-41AB-80DC-56A92784C0BA}"/>
    <cellStyle name="Normal 8 7 3_DEO ADIT Unprotected" xfId="3907" xr:uid="{A2CB0066-F577-4BED-824C-A9B6CFEDBF95}"/>
    <cellStyle name="Normal 8 7 4" xfId="478" xr:uid="{00000000-0005-0000-0000-000018080000}"/>
    <cellStyle name="Normal 8 7 4 2" xfId="1671" xr:uid="{00000000-0005-0000-0000-000019080000}"/>
    <cellStyle name="Normal 8 7 4 2 2" xfId="4921" xr:uid="{F501CB65-CB02-4FFA-96E4-5AAF6A264CC0}"/>
    <cellStyle name="Normal 8 7 4 2 2 2" xfId="8301" xr:uid="{C0240EFE-505F-4A6C-8F59-C526C15D1E45}"/>
    <cellStyle name="Normal 8 7 4 2 3" xfId="6601" xr:uid="{2B884939-166D-42B1-B10A-588EB3379D6F}"/>
    <cellStyle name="Normal 8 7 4 2_DEO ADIT Unprotected" xfId="3912" xr:uid="{69A334A4-BD94-4289-AB8E-CDCAF7044495}"/>
    <cellStyle name="Normal 8 7 4 3" xfId="4084" xr:uid="{E6E93C4A-488E-4982-A8AF-F7C19368291F}"/>
    <cellStyle name="Normal 8 7 4 3 2" xfId="7464" xr:uid="{112E0551-64A8-40C9-A76E-82DAA541429A}"/>
    <cellStyle name="Normal 8 7 4 4" xfId="5763" xr:uid="{A6009211-F1D7-4070-9FC9-7E4E9B25BDDB}"/>
    <cellStyle name="Normal 8 7 4_DEO ADIT Unprotected" xfId="3911" xr:uid="{5C0B4B9E-B19E-4F9D-BEC8-02792AE8DCD0}"/>
    <cellStyle name="Normal 8 7 5" xfId="511" xr:uid="{00000000-0005-0000-0000-00001A080000}"/>
    <cellStyle name="Normal 8 7 5 2" xfId="1703" xr:uid="{00000000-0005-0000-0000-00001B080000}"/>
    <cellStyle name="Normal 8 7 5 2 2" xfId="4953" xr:uid="{72127C5C-1A4F-4F68-B7DD-9A916A6DAE19}"/>
    <cellStyle name="Normal 8 7 5 2 2 2" xfId="8333" xr:uid="{5937C702-AF65-4415-B8B1-749106BFE7B1}"/>
    <cellStyle name="Normal 8 7 5 2 3" xfId="6633" xr:uid="{BB642E8F-F0BA-4306-B529-173B2163CBE9}"/>
    <cellStyle name="Normal 8 7 5 2_DEO ADIT Unprotected" xfId="3914" xr:uid="{C9F23618-2E89-4BD2-9C9F-813E89F8D47A}"/>
    <cellStyle name="Normal 8 7 5 3" xfId="4116" xr:uid="{D12DC665-0970-4DB2-B9CE-0585CBD4E0FF}"/>
    <cellStyle name="Normal 8 7 5 3 2" xfId="7496" xr:uid="{43471782-F04D-4FDD-A11B-6DC592088A5D}"/>
    <cellStyle name="Normal 8 7 5 4" xfId="5795" xr:uid="{93044842-239B-47D5-90FC-0EB5E55331AC}"/>
    <cellStyle name="Normal 8 7 5_DEO ADIT Unprotected" xfId="3913" xr:uid="{9EB2CFFF-BA18-4435-8A83-4E35339F33D8}"/>
    <cellStyle name="Normal 8 7 6" xfId="1638" xr:uid="{00000000-0005-0000-0000-00001C080000}"/>
    <cellStyle name="Normal 8 7 6 2" xfId="4888" xr:uid="{156B606B-F435-46DE-92A3-ADCEB77FEBA4}"/>
    <cellStyle name="Normal 8 7 6 2 2" xfId="8268" xr:uid="{735F61E1-999D-4086-AAE9-FFDD044241A0}"/>
    <cellStyle name="Normal 8 7 6 3" xfId="6568" xr:uid="{4E32BE16-9939-4C66-9484-FB8E72B7493A}"/>
    <cellStyle name="Normal 8 7 6_DEO ADIT Unprotected" xfId="3915" xr:uid="{24464064-591C-4D8E-BEA8-5E1AF725F857}"/>
    <cellStyle name="Normal 8 7 7" xfId="4051" xr:uid="{52BA9646-051C-4721-A84F-9482FC94DEDE}"/>
    <cellStyle name="Normal 8 7 7 2" xfId="7431" xr:uid="{F841DB0C-7BA4-4B50-B988-8277F59855F4}"/>
    <cellStyle name="Normal 8 7 8" xfId="5730" xr:uid="{05BA65B4-053D-4E49-985F-24E8B3D8A1CC}"/>
    <cellStyle name="Normal 8 7_DEO ADIT Unprotected" xfId="3902" xr:uid="{1A043490-6E33-41F3-B4D8-DDD2E07CA701}"/>
    <cellStyle name="Normal 8 8" xfId="447" xr:uid="{00000000-0005-0000-0000-00001D080000}"/>
    <cellStyle name="Normal 8 8 2" xfId="484" xr:uid="{00000000-0005-0000-0000-00001E080000}"/>
    <cellStyle name="Normal 8 8 2 2" xfId="1677" xr:uid="{00000000-0005-0000-0000-00001F080000}"/>
    <cellStyle name="Normal 8 8 2 2 2" xfId="4927" xr:uid="{19B556A1-7A4B-4343-A1EA-C5D2E6CBA41E}"/>
    <cellStyle name="Normal 8 8 2 2 2 2" xfId="8307" xr:uid="{76C55457-1EF7-4F07-B159-3A866E0CFCAA}"/>
    <cellStyle name="Normal 8 8 2 2 3" xfId="6607" xr:uid="{12C1757B-C184-4638-95C1-6DF30962AE3C}"/>
    <cellStyle name="Normal 8 8 2 2_DEO ADIT Unprotected" xfId="3918" xr:uid="{5DFF0507-2627-40DD-A659-F92CEA1369B7}"/>
    <cellStyle name="Normal 8 8 2 3" xfId="4090" xr:uid="{E61C311A-2FFB-4C1E-8141-8BA00DE1142D}"/>
    <cellStyle name="Normal 8 8 2 3 2" xfId="7470" xr:uid="{8026AE3A-AB12-46C5-8E88-76EE17FFFF67}"/>
    <cellStyle name="Normal 8 8 2 4" xfId="5769" xr:uid="{F119242A-70CA-4E2E-B92F-96F9F1AB64AC}"/>
    <cellStyle name="Normal 8 8 2_DEO ADIT Unprotected" xfId="3917" xr:uid="{67B027F9-AE57-4FC6-8DE4-1BEF055C7EB9}"/>
    <cellStyle name="Normal 8 8 3" xfId="1645" xr:uid="{00000000-0005-0000-0000-000020080000}"/>
    <cellStyle name="Normal 8 8 3 2" xfId="4895" xr:uid="{E4F594AC-B319-4902-9516-85AF83A4D287}"/>
    <cellStyle name="Normal 8 8 3 2 2" xfId="8275" xr:uid="{CDCC75A0-0C4D-4D63-BD55-063C4CA8BBFD}"/>
    <cellStyle name="Normal 8 8 3 3" xfId="6575" xr:uid="{93691CB9-CBA4-4F9D-810A-18BC344CDA82}"/>
    <cellStyle name="Normal 8 8 3_DEO ADIT Unprotected" xfId="3919" xr:uid="{F382986E-C8F6-477C-BF2A-C4198FD6528E}"/>
    <cellStyle name="Normal 8 8 4" xfId="4058" xr:uid="{7522C330-09F9-4E5D-A268-205AAF9CA752}"/>
    <cellStyle name="Normal 8 8 4 2" xfId="7438" xr:uid="{D0F02152-3EFA-4871-BC50-4D10D8CC7AFE}"/>
    <cellStyle name="Normal 8 8 5" xfId="5737" xr:uid="{2A366390-CA78-424A-88EC-CBA6B855F5D9}"/>
    <cellStyle name="Normal 8 8_DEO ADIT Unprotected" xfId="3916" xr:uid="{9E0E087F-DA0E-4287-BCE9-88BFC00BC171}"/>
    <cellStyle name="Normal 8 9" xfId="461" xr:uid="{00000000-0005-0000-0000-000021080000}"/>
    <cellStyle name="Normal 8 9 2" xfId="495" xr:uid="{00000000-0005-0000-0000-000022080000}"/>
    <cellStyle name="Normal 8 9 2 2" xfId="1688" xr:uid="{00000000-0005-0000-0000-000023080000}"/>
    <cellStyle name="Normal 8 9 2 2 2" xfId="4938" xr:uid="{16015BA0-2ABD-487E-8D53-DF267A251520}"/>
    <cellStyle name="Normal 8 9 2 2 2 2" xfId="8318" xr:uid="{54EFABE9-3D9E-4FC7-9157-1B13607407DE}"/>
    <cellStyle name="Normal 8 9 2 2 3" xfId="6618" xr:uid="{03001BF8-0AA3-49FE-9916-9CF7A465E392}"/>
    <cellStyle name="Normal 8 9 2 2_DEO ADIT Unprotected" xfId="3922" xr:uid="{920E8B8B-41E5-4AC4-ADDC-BDDD43E5EE16}"/>
    <cellStyle name="Normal 8 9 2 3" xfId="4101" xr:uid="{01605035-8391-4C59-B48B-A80EA83BA416}"/>
    <cellStyle name="Normal 8 9 2 3 2" xfId="7481" xr:uid="{AE1336C4-A974-49B1-96AB-79834DC251A5}"/>
    <cellStyle name="Normal 8 9 2 4" xfId="5780" xr:uid="{95786507-7437-4AD1-9565-D11850CAE517}"/>
    <cellStyle name="Normal 8 9 2_DEO ADIT Unprotected" xfId="3921" xr:uid="{E228CC90-908C-4D01-98DC-0A642187B74C}"/>
    <cellStyle name="Normal 8 9 3" xfId="1656" xr:uid="{00000000-0005-0000-0000-000024080000}"/>
    <cellStyle name="Normal 8 9 3 2" xfId="4906" xr:uid="{BF35BE8A-ECFF-4CA8-B945-EB9582E72F0D}"/>
    <cellStyle name="Normal 8 9 3 2 2" xfId="8286" xr:uid="{563EF40B-3808-40B9-AB69-23A6D0BB91B2}"/>
    <cellStyle name="Normal 8 9 3 3" xfId="6586" xr:uid="{069D7915-84EE-4BEC-9009-733CA88D94CA}"/>
    <cellStyle name="Normal 8 9 3_DEO ADIT Unprotected" xfId="3923" xr:uid="{6C472B1E-356E-42BA-A6D1-4FC0FCCC7BF1}"/>
    <cellStyle name="Normal 8 9 4" xfId="4069" xr:uid="{E10F4875-8671-4755-9B6D-B26C8F78BEBE}"/>
    <cellStyle name="Normal 8 9 4 2" xfId="7449" xr:uid="{DAFC3C30-9B92-444A-A076-32CD8D246A4D}"/>
    <cellStyle name="Normal 8 9 5" xfId="5748" xr:uid="{4B380C38-7364-4C29-99BA-FBF3341E6964}"/>
    <cellStyle name="Normal 8 9_DEO ADIT Unprotected" xfId="3920" xr:uid="{3DB8D826-6455-4682-8DD5-67EE92E4E8C6}"/>
    <cellStyle name="Normal 8_DEO ADIT Unprotected" xfId="3810" xr:uid="{845FC38E-A0DE-4F40-95A9-5CFCCE22DB96}"/>
    <cellStyle name="Normal 80" xfId="1483" xr:uid="{00000000-0005-0000-0000-000025080000}"/>
    <cellStyle name="Normal 80 2" xfId="1484" xr:uid="{00000000-0005-0000-0000-000026080000}"/>
    <cellStyle name="Normal 80 2 2" xfId="2392" xr:uid="{00000000-0005-0000-0000-000027080000}"/>
    <cellStyle name="Normal 80 2 2 2" xfId="5642" xr:uid="{B602F273-0EAC-4337-9011-7C52BB491D8A}"/>
    <cellStyle name="Normal 80 2 2 2 2" xfId="9022" xr:uid="{3F1762B2-CDEE-4E68-9649-01F2F18B56F5}"/>
    <cellStyle name="Normal 80 2 2 3" xfId="7322" xr:uid="{5671CE7D-6CBA-4AE8-BE8F-F47CA0C9C421}"/>
    <cellStyle name="Normal 80 2 2_DEO ADIT Unprotected" xfId="3926" xr:uid="{3AE32D1B-D82C-45C4-BC63-65CA82908B1C}"/>
    <cellStyle name="Normal 80 2 3" xfId="4805" xr:uid="{F84A15BE-5670-4AEC-AF34-B4D4A41D1D05}"/>
    <cellStyle name="Normal 80 2 3 2" xfId="8185" xr:uid="{0DEC3D52-2464-45E6-991B-EEE2E10DEFD5}"/>
    <cellStyle name="Normal 80 2 4" xfId="6485" xr:uid="{C92532D6-46A7-4EA5-BD73-87825DE151DA}"/>
    <cellStyle name="Normal 80 2_DEO ADIT Unprotected" xfId="3925" xr:uid="{AD148C21-4FE1-4D4F-AE7E-4F1524504847}"/>
    <cellStyle name="Normal 80 3" xfId="2391" xr:uid="{00000000-0005-0000-0000-000028080000}"/>
    <cellStyle name="Normal 80 3 2" xfId="5641" xr:uid="{F9A14EAC-F159-4291-BB00-374F99FD2FD4}"/>
    <cellStyle name="Normal 80 3 2 2" xfId="9021" xr:uid="{8001AF4D-FBD5-4E2D-949E-E1F8F780FAF7}"/>
    <cellStyle name="Normal 80 3 3" xfId="7321" xr:uid="{0981777C-0114-40F7-B638-0BABBDA84BBD}"/>
    <cellStyle name="Normal 80 3_DEO ADIT Unprotected" xfId="3927" xr:uid="{871D382C-7F24-4F0D-8886-81C8650F62F4}"/>
    <cellStyle name="Normal 80 4" xfId="4804" xr:uid="{F0622244-221E-46C4-BAB7-00D62F548F75}"/>
    <cellStyle name="Normal 80 4 2" xfId="8184" xr:uid="{1C681099-8E67-4856-BA39-54807F489BD6}"/>
    <cellStyle name="Normal 80 5" xfId="6484" xr:uid="{74CC5E5D-9157-4296-A7AB-24ACA770434A}"/>
    <cellStyle name="Normal 80_DEO ADIT Unprotected" xfId="3924" xr:uid="{88CF82B7-2BFF-477C-A973-6211669AC8D2}"/>
    <cellStyle name="Normal 81" xfId="1485" xr:uid="{00000000-0005-0000-0000-000029080000}"/>
    <cellStyle name="Normal 81 2" xfId="1486" xr:uid="{00000000-0005-0000-0000-00002A080000}"/>
    <cellStyle name="Normal 81 2 2" xfId="2394" xr:uid="{00000000-0005-0000-0000-00002B080000}"/>
    <cellStyle name="Normal 81 2 2 2" xfId="5644" xr:uid="{49023011-7BDE-4795-9165-8D34B8ADED87}"/>
    <cellStyle name="Normal 81 2 2 2 2" xfId="9024" xr:uid="{5A3A20DF-64AF-43FE-A7C5-EBADDC96054E}"/>
    <cellStyle name="Normal 81 2 2 3" xfId="7324" xr:uid="{0EFA8EC5-0B03-4098-A4AA-8A961AEE4225}"/>
    <cellStyle name="Normal 81 2 2_DEO ADIT Unprotected" xfId="3930" xr:uid="{8F4BA7F7-555F-4AA2-8CC2-0BEC8ED7D0C5}"/>
    <cellStyle name="Normal 81 2 3" xfId="4807" xr:uid="{F6D8BBF8-1436-4982-9CDB-D6BBDFDF761B}"/>
    <cellStyle name="Normal 81 2 3 2" xfId="8187" xr:uid="{96288D57-C780-4133-B916-3336827DBA1F}"/>
    <cellStyle name="Normal 81 2 4" xfId="6487" xr:uid="{30D9415B-7EC0-4AD1-BD61-05F0D3214052}"/>
    <cellStyle name="Normal 81 2_DEO ADIT Unprotected" xfId="3929" xr:uid="{1B720E9F-4A32-48F0-86EC-1C613326D459}"/>
    <cellStyle name="Normal 81 3" xfId="2393" xr:uid="{00000000-0005-0000-0000-00002C080000}"/>
    <cellStyle name="Normal 81 3 2" xfId="5643" xr:uid="{D82A965C-B067-4C78-A0B8-3204BAC6D77D}"/>
    <cellStyle name="Normal 81 3 2 2" xfId="9023" xr:uid="{B026BDEF-F67C-462D-B3DB-EC6038C33B07}"/>
    <cellStyle name="Normal 81 3 3" xfId="7323" xr:uid="{394F6203-113E-4528-BF9D-57EA26A07BC3}"/>
    <cellStyle name="Normal 81 3_DEO ADIT Unprotected" xfId="3931" xr:uid="{47305D2A-AA9F-48CA-B516-7A215D84ED00}"/>
    <cellStyle name="Normal 81 4" xfId="4806" xr:uid="{86A332F1-92CC-4E75-A927-73942AC99A35}"/>
    <cellStyle name="Normal 81 4 2" xfId="8186" xr:uid="{AD678E53-216C-4FBC-B070-433F62853660}"/>
    <cellStyle name="Normal 81 5" xfId="6486" xr:uid="{4A3CC871-744C-47B5-A9E7-F44035E8E485}"/>
    <cellStyle name="Normal 81_DEO ADIT Unprotected" xfId="3928" xr:uid="{48B939F7-73F4-4652-A4F4-CF56A87DBCD3}"/>
    <cellStyle name="Normal 82" xfId="1487" xr:uid="{00000000-0005-0000-0000-00002D080000}"/>
    <cellStyle name="Normal 82 2" xfId="1488" xr:uid="{00000000-0005-0000-0000-00002E080000}"/>
    <cellStyle name="Normal 82 2 2" xfId="2396" xr:uid="{00000000-0005-0000-0000-00002F080000}"/>
    <cellStyle name="Normal 82 2 2 2" xfId="5646" xr:uid="{D1F68E4D-533D-4760-A748-0D309B814F91}"/>
    <cellStyle name="Normal 82 2 2 2 2" xfId="9026" xr:uid="{A83180B4-8EC3-4D40-8A10-1BDCCD3AD02F}"/>
    <cellStyle name="Normal 82 2 2 3" xfId="7326" xr:uid="{72B72F22-4694-48BD-991F-3A0DFD21E838}"/>
    <cellStyle name="Normal 82 2 2_DEO ADIT Unprotected" xfId="3934" xr:uid="{FED61525-040F-44F8-BAF5-1ACD1520921C}"/>
    <cellStyle name="Normal 82 2 3" xfId="4809" xr:uid="{A75E6CF7-BBD1-4AE6-BA44-55FADF90D25F}"/>
    <cellStyle name="Normal 82 2 3 2" xfId="8189" xr:uid="{ED4DB097-4E16-48F5-A6BE-36C1F6F24CDA}"/>
    <cellStyle name="Normal 82 2 4" xfId="6489" xr:uid="{9F9748E2-3F0F-4F68-81AA-25043756AEEC}"/>
    <cellStyle name="Normal 82 2_DEO ADIT Unprotected" xfId="3933" xr:uid="{ACE43472-258C-47DF-9052-1ABD400F159D}"/>
    <cellStyle name="Normal 82 3" xfId="2395" xr:uid="{00000000-0005-0000-0000-000030080000}"/>
    <cellStyle name="Normal 82 3 2" xfId="5645" xr:uid="{1CD60999-D4B6-40DA-AE91-1D112BDE2744}"/>
    <cellStyle name="Normal 82 3 2 2" xfId="9025" xr:uid="{42876B3C-44CB-4696-B0D7-10420B59C36B}"/>
    <cellStyle name="Normal 82 3 3" xfId="7325" xr:uid="{90D437A3-592B-41EF-9C31-0DB844C55C0E}"/>
    <cellStyle name="Normal 82 3_DEO ADIT Unprotected" xfId="3935" xr:uid="{94F6CAE2-46CF-47F0-9C24-9066ABCF15BB}"/>
    <cellStyle name="Normal 82 4" xfId="4808" xr:uid="{CF6FA5C8-9445-4F12-81A2-388681EA4868}"/>
    <cellStyle name="Normal 82 4 2" xfId="8188" xr:uid="{AF2859CE-7B6B-4146-B4AC-BEB6C6434C97}"/>
    <cellStyle name="Normal 82 5" xfId="6488" xr:uid="{75498CA7-0CD5-46B4-A651-A78B17EB4E54}"/>
    <cellStyle name="Normal 82_DEO ADIT Unprotected" xfId="3932" xr:uid="{A54221F3-84AE-4715-AF81-7F3A358EE515}"/>
    <cellStyle name="Normal 83" xfId="1489" xr:uid="{00000000-0005-0000-0000-000031080000}"/>
    <cellStyle name="Normal 83 2" xfId="1490" xr:uid="{00000000-0005-0000-0000-000032080000}"/>
    <cellStyle name="Normal 83 2 2" xfId="2398" xr:uid="{00000000-0005-0000-0000-000033080000}"/>
    <cellStyle name="Normal 83 2 2 2" xfId="5648" xr:uid="{FF5BBE5A-FC53-4C27-B875-675C2051B946}"/>
    <cellStyle name="Normal 83 2 2 2 2" xfId="9028" xr:uid="{258163F5-9B95-4D41-B5F4-7FE981C078B2}"/>
    <cellStyle name="Normal 83 2 2 3" xfId="7328" xr:uid="{953F08BA-D128-4178-B93F-1AE0783B851A}"/>
    <cellStyle name="Normal 83 2 2_DEO ADIT Unprotected" xfId="3938" xr:uid="{BD34AE1D-0B03-4620-BCDE-3927C6C4A5C7}"/>
    <cellStyle name="Normal 83 2 3" xfId="4811" xr:uid="{B52ECFAB-1484-44B5-B866-9F47FD48CC74}"/>
    <cellStyle name="Normal 83 2 3 2" xfId="8191" xr:uid="{5169C81D-0D68-4FFC-81CE-970E37A524B2}"/>
    <cellStyle name="Normal 83 2 4" xfId="6491" xr:uid="{1215AC1B-8A22-4227-939B-79E6FBB87C6A}"/>
    <cellStyle name="Normal 83 2_DEO ADIT Unprotected" xfId="3937" xr:uid="{9CA2656C-EF6A-4136-9B79-A723F441F2A0}"/>
    <cellStyle name="Normal 83 3" xfId="2397" xr:uid="{00000000-0005-0000-0000-000034080000}"/>
    <cellStyle name="Normal 83 3 2" xfId="5647" xr:uid="{52AB6DEE-E00B-47C9-9466-712883ABB43E}"/>
    <cellStyle name="Normal 83 3 2 2" xfId="9027" xr:uid="{0484DD50-28BA-4292-8752-B49E501395B2}"/>
    <cellStyle name="Normal 83 3 3" xfId="7327" xr:uid="{403CB7F5-1B03-4E9C-946C-1F7515BD6BEB}"/>
    <cellStyle name="Normal 83 3_DEO ADIT Unprotected" xfId="3939" xr:uid="{FACA85B8-2FC8-43DD-80EE-A12139656D64}"/>
    <cellStyle name="Normal 83 4" xfId="4810" xr:uid="{9EC37A56-94A6-4DFA-A638-398B83E16387}"/>
    <cellStyle name="Normal 83 4 2" xfId="8190" xr:uid="{5B5FECFA-FE99-4E28-BD60-B10420C4083D}"/>
    <cellStyle name="Normal 83 5" xfId="6490" xr:uid="{BB521C68-96D4-4A4F-A13E-DEBB490CD7DB}"/>
    <cellStyle name="Normal 83_DEO ADIT Unprotected" xfId="3936" xr:uid="{9F0E92B9-47F2-4E62-AAB3-F2FF0DB4B2FE}"/>
    <cellStyle name="Normal 84" xfId="1491" xr:uid="{00000000-0005-0000-0000-000035080000}"/>
    <cellStyle name="Normal 84 2" xfId="1492" xr:uid="{00000000-0005-0000-0000-000036080000}"/>
    <cellStyle name="Normal 84 2 2" xfId="2400" xr:uid="{00000000-0005-0000-0000-000037080000}"/>
    <cellStyle name="Normal 84 2 2 2" xfId="5650" xr:uid="{076502A8-F57D-4C09-B6AC-0DF154926A46}"/>
    <cellStyle name="Normal 84 2 2 2 2" xfId="9030" xr:uid="{5B31BA76-C84D-415F-B8EB-7B965423CB4E}"/>
    <cellStyle name="Normal 84 2 2 3" xfId="7330" xr:uid="{C10B7AF5-A197-48CC-B98B-EA901DCA2A2E}"/>
    <cellStyle name="Normal 84 2 2_DEO ADIT Unprotected" xfId="3942" xr:uid="{3E2C7F84-0806-4B7E-925C-64E2DDE041BA}"/>
    <cellStyle name="Normal 84 2 3" xfId="4813" xr:uid="{BAC82E2D-2008-446C-940F-8ACEEECAB651}"/>
    <cellStyle name="Normal 84 2 3 2" xfId="8193" xr:uid="{EEE21385-1D5D-458E-B205-334D63D07C10}"/>
    <cellStyle name="Normal 84 2 4" xfId="6493" xr:uid="{5B7EB38F-C8EE-4B94-8724-6930478CD786}"/>
    <cellStyle name="Normal 84 2_DEO ADIT Unprotected" xfId="3941" xr:uid="{2FA856FC-4B68-4CD3-9E0B-E148A80D1A28}"/>
    <cellStyle name="Normal 84 3" xfId="2399" xr:uid="{00000000-0005-0000-0000-000038080000}"/>
    <cellStyle name="Normal 84 3 2" xfId="5649" xr:uid="{DC950F39-696A-42B0-9741-DD1948DB67E9}"/>
    <cellStyle name="Normal 84 3 2 2" xfId="9029" xr:uid="{DCEE9DD2-333B-4EF7-8EB2-1A96CB28EBDE}"/>
    <cellStyle name="Normal 84 3 3" xfId="7329" xr:uid="{F074E429-402B-41F1-A765-8BBC4B0C3363}"/>
    <cellStyle name="Normal 84 3_DEO ADIT Unprotected" xfId="3943" xr:uid="{142C977C-C248-4EE2-9588-6011CE49DA01}"/>
    <cellStyle name="Normal 84 4" xfId="4812" xr:uid="{39FB7E60-F174-4A43-8D73-71EE5E0F9C6A}"/>
    <cellStyle name="Normal 84 4 2" xfId="8192" xr:uid="{C7381F96-E3B1-42C3-A6D4-ACD27213A6C9}"/>
    <cellStyle name="Normal 84 5" xfId="6492" xr:uid="{C8C0E73D-0ABA-41B5-AC5B-2B93EC9B2901}"/>
    <cellStyle name="Normal 84_DEO ADIT Unprotected" xfId="3940" xr:uid="{3726284F-97DF-49AA-B3ED-07EB679C56E0}"/>
    <cellStyle name="Normal 85" xfId="1493" xr:uid="{00000000-0005-0000-0000-000039080000}"/>
    <cellStyle name="Normal 85 2" xfId="1494" xr:uid="{00000000-0005-0000-0000-00003A080000}"/>
    <cellStyle name="Normal 85 2 2" xfId="2402" xr:uid="{00000000-0005-0000-0000-00003B080000}"/>
    <cellStyle name="Normal 85 2 2 2" xfId="5652" xr:uid="{18A8E9EB-C94D-417C-879E-E0845E4E08F5}"/>
    <cellStyle name="Normal 85 2 2 2 2" xfId="9032" xr:uid="{6BA09424-B3DC-4452-85FC-6E81BD49350D}"/>
    <cellStyle name="Normal 85 2 2 3" xfId="7332" xr:uid="{5F629495-2689-4672-9ACF-176D2FE0A122}"/>
    <cellStyle name="Normal 85 2 2_DEO ADIT Unprotected" xfId="3946" xr:uid="{66C75D35-226F-4EE8-8999-34B5FFE3E393}"/>
    <cellStyle name="Normal 85 2 3" xfId="4815" xr:uid="{2207B9BB-CF2D-4F6B-B28A-B2AC3B34E1D4}"/>
    <cellStyle name="Normal 85 2 3 2" xfId="8195" xr:uid="{C36EB810-B64B-4AB9-AED5-AED89C9617FB}"/>
    <cellStyle name="Normal 85 2 4" xfId="6495" xr:uid="{014DD4D6-09D9-4FCA-846A-7FD2F2758EE6}"/>
    <cellStyle name="Normal 85 2_DEO ADIT Unprotected" xfId="3945" xr:uid="{816ED735-48D0-41F8-8655-04A5559CC939}"/>
    <cellStyle name="Normal 85 3" xfId="2401" xr:uid="{00000000-0005-0000-0000-00003C080000}"/>
    <cellStyle name="Normal 85 3 2" xfId="5651" xr:uid="{A0E60CF0-5210-44B7-96B3-215A6BAE6F75}"/>
    <cellStyle name="Normal 85 3 2 2" xfId="9031" xr:uid="{7D808CC3-68AD-4709-B20D-183E14734E13}"/>
    <cellStyle name="Normal 85 3 3" xfId="7331" xr:uid="{A58E84DF-77E5-4B69-84D3-5C4A938024FC}"/>
    <cellStyle name="Normal 85 3_DEO ADIT Unprotected" xfId="3947" xr:uid="{3A3DF251-23CF-4F6F-8620-47BD2C1778A8}"/>
    <cellStyle name="Normal 85 4" xfId="4814" xr:uid="{92D503B2-1E84-4286-83CE-36B3662D62D9}"/>
    <cellStyle name="Normal 85 4 2" xfId="8194" xr:uid="{18D223EE-DA9B-4826-85B5-B7BE79BF38F4}"/>
    <cellStyle name="Normal 85 5" xfId="6494" xr:uid="{589B943A-FD0D-40E7-A816-0E3FBAF11289}"/>
    <cellStyle name="Normal 85_DEO ADIT Unprotected" xfId="3944" xr:uid="{50FBAB65-08E3-4DD8-BA6B-C3E87E455C32}"/>
    <cellStyle name="Normal 86" xfId="1495" xr:uid="{00000000-0005-0000-0000-00003D080000}"/>
    <cellStyle name="Normal 86 2" xfId="1496" xr:uid="{00000000-0005-0000-0000-00003E080000}"/>
    <cellStyle name="Normal 86 2 2" xfId="2404" xr:uid="{00000000-0005-0000-0000-00003F080000}"/>
    <cellStyle name="Normal 86 2 2 2" xfId="5654" xr:uid="{64C167F8-A6A9-467F-A5EB-D6D89A89A33A}"/>
    <cellStyle name="Normal 86 2 2 2 2" xfId="9034" xr:uid="{0293B775-90FB-43E4-A2B1-4FB4868BC6AD}"/>
    <cellStyle name="Normal 86 2 2 3" xfId="7334" xr:uid="{A3F98F51-EAFF-40CA-B807-8C3DC910E715}"/>
    <cellStyle name="Normal 86 2 2_DEO ADIT Unprotected" xfId="3950" xr:uid="{7B18E304-A745-4BF9-AC02-C462345B9FF8}"/>
    <cellStyle name="Normal 86 2 3" xfId="4817" xr:uid="{AC73A2A0-18D1-4195-9DC7-E7BD62E8FAA9}"/>
    <cellStyle name="Normal 86 2 3 2" xfId="8197" xr:uid="{DD4F4F0F-2FA5-4AAD-9DA8-D5229BEBB1D6}"/>
    <cellStyle name="Normal 86 2 4" xfId="6497" xr:uid="{3FDAC443-08A6-4F51-AFDD-B57F5F080902}"/>
    <cellStyle name="Normal 86 2_DEO ADIT Unprotected" xfId="3949" xr:uid="{A3224BB6-871C-42F8-A073-B823B2C66C4A}"/>
    <cellStyle name="Normal 86 3" xfId="2403" xr:uid="{00000000-0005-0000-0000-000040080000}"/>
    <cellStyle name="Normal 86 3 2" xfId="5653" xr:uid="{7F853549-9C32-4829-BD26-41DF3DDBA7DB}"/>
    <cellStyle name="Normal 86 3 2 2" xfId="9033" xr:uid="{F6065B9C-18AC-4495-A943-1D4A3A06F64C}"/>
    <cellStyle name="Normal 86 3 3" xfId="7333" xr:uid="{477333C0-BA05-44C8-8320-C080D8E66312}"/>
    <cellStyle name="Normal 86 3_DEO ADIT Unprotected" xfId="3951" xr:uid="{753CFFF5-4E21-4D28-BF92-6EE0BF38B3E9}"/>
    <cellStyle name="Normal 86 4" xfId="4816" xr:uid="{DA3D9763-A6D2-4284-BF83-1E761C2980EB}"/>
    <cellStyle name="Normal 86 4 2" xfId="8196" xr:uid="{2382EC5C-5CB1-4E96-95F3-9BA19F7F8428}"/>
    <cellStyle name="Normal 86 5" xfId="6496" xr:uid="{04E59569-E952-4A6B-B646-E11740AB2092}"/>
    <cellStyle name="Normal 86_DEO ADIT Unprotected" xfId="3948" xr:uid="{52199A8D-420C-49E5-B4BA-3D1981AA4D85}"/>
    <cellStyle name="Normal 87" xfId="1497" xr:uid="{00000000-0005-0000-0000-000041080000}"/>
    <cellStyle name="Normal 87 2" xfId="1498" xr:uid="{00000000-0005-0000-0000-000042080000}"/>
    <cellStyle name="Normal 87 2 2" xfId="2406" xr:uid="{00000000-0005-0000-0000-000043080000}"/>
    <cellStyle name="Normal 87 2 2 2" xfId="5656" xr:uid="{D5F7AEE4-BDD8-45FC-AEC3-75DABDA0E7FB}"/>
    <cellStyle name="Normal 87 2 2 2 2" xfId="9036" xr:uid="{A3E247F7-988A-4FDA-BE03-2A8A591CB708}"/>
    <cellStyle name="Normal 87 2 2 3" xfId="7336" xr:uid="{58C95B4A-5B25-4F5F-9D92-A5809C29BF01}"/>
    <cellStyle name="Normal 87 2 2_DEO ADIT Unprotected" xfId="3954" xr:uid="{8E2EC547-C5F1-47E1-B772-7FB6E3BDCC9D}"/>
    <cellStyle name="Normal 87 2 3" xfId="4819" xr:uid="{8C7E3334-F348-4E08-9BEF-9FDD11F98E7F}"/>
    <cellStyle name="Normal 87 2 3 2" xfId="8199" xr:uid="{4548D3BC-850B-4A5C-AD69-02F2794E6D35}"/>
    <cellStyle name="Normal 87 2 4" xfId="6499" xr:uid="{7313CCB3-D451-4654-925E-433D71E37939}"/>
    <cellStyle name="Normal 87 2_DEO ADIT Unprotected" xfId="3953" xr:uid="{164735BE-D85B-443C-A8EE-E0B9E448F888}"/>
    <cellStyle name="Normal 87 3" xfId="2405" xr:uid="{00000000-0005-0000-0000-000044080000}"/>
    <cellStyle name="Normal 87 3 2" xfId="5655" xr:uid="{5FAB7B47-331D-481E-BFDC-00644AB8066B}"/>
    <cellStyle name="Normal 87 3 2 2" xfId="9035" xr:uid="{E126D755-05C0-4E62-9D59-BF9B3190B5B1}"/>
    <cellStyle name="Normal 87 3 3" xfId="7335" xr:uid="{6AAD17AC-5B11-4B39-AADA-2043AC6C1829}"/>
    <cellStyle name="Normal 87 3_DEO ADIT Unprotected" xfId="3955" xr:uid="{41A6B249-CC98-4625-8AC2-95340843C78C}"/>
    <cellStyle name="Normal 87 4" xfId="4818" xr:uid="{C3D6C307-810E-4E80-822F-D87FF19E0BBF}"/>
    <cellStyle name="Normal 87 4 2" xfId="8198" xr:uid="{92C0E606-D310-4939-A5F3-A2EDFE55CFA5}"/>
    <cellStyle name="Normal 87 5" xfId="6498" xr:uid="{0C7F3A6C-14B0-428A-9DEE-5B82DC1801FE}"/>
    <cellStyle name="Normal 87_DEO ADIT Unprotected" xfId="3952" xr:uid="{98966A9D-56C7-49E2-B93D-B7687EF522A7}"/>
    <cellStyle name="Normal 88" xfId="1499" xr:uid="{00000000-0005-0000-0000-000045080000}"/>
    <cellStyle name="Normal 88 2" xfId="1500" xr:uid="{00000000-0005-0000-0000-000046080000}"/>
    <cellStyle name="Normal 88 2 2" xfId="2408" xr:uid="{00000000-0005-0000-0000-000047080000}"/>
    <cellStyle name="Normal 88 2 2 2" xfId="5658" xr:uid="{3AE1BB19-0F3E-4CCE-B642-E37B0946A13E}"/>
    <cellStyle name="Normal 88 2 2 2 2" xfId="9038" xr:uid="{CF9C95C0-6F4A-479C-A18B-3583A74CC933}"/>
    <cellStyle name="Normal 88 2 2 3" xfId="7338" xr:uid="{2460B414-437D-41FD-8DF2-B2ABB1D55385}"/>
    <cellStyle name="Normal 88 2 2_DEO ADIT Unprotected" xfId="3958" xr:uid="{66D951D5-0273-4D08-B861-F13B74EC0219}"/>
    <cellStyle name="Normal 88 2 3" xfId="4821" xr:uid="{64F028FE-8AD6-440B-ACFB-4AD29AA9AAB4}"/>
    <cellStyle name="Normal 88 2 3 2" xfId="8201" xr:uid="{8E78C900-5CB6-4F80-82BB-CE6150E8A949}"/>
    <cellStyle name="Normal 88 2 4" xfId="6501" xr:uid="{D897E56B-B037-4907-88F4-CFB54D7F8362}"/>
    <cellStyle name="Normal 88 2_DEO ADIT Unprotected" xfId="3957" xr:uid="{E7B12E13-E338-4B16-A89A-7C8EFAF1401A}"/>
    <cellStyle name="Normal 88 3" xfId="2407" xr:uid="{00000000-0005-0000-0000-000048080000}"/>
    <cellStyle name="Normal 88 3 2" xfId="5657" xr:uid="{C381173C-80C5-4AB3-9874-DD4BD012E0DB}"/>
    <cellStyle name="Normal 88 3 2 2" xfId="9037" xr:uid="{F9BF32F6-610B-413B-B0D3-55F77689B411}"/>
    <cellStyle name="Normal 88 3 3" xfId="7337" xr:uid="{494B93B3-7B07-40E1-B3DC-70BB1FCFDE7E}"/>
    <cellStyle name="Normal 88 3_DEO ADIT Unprotected" xfId="3959" xr:uid="{06028727-D01E-43B2-8EDA-A3E5347637E4}"/>
    <cellStyle name="Normal 88 4" xfId="4820" xr:uid="{8C696477-3BB2-4A9F-8F9E-7A281E070844}"/>
    <cellStyle name="Normal 88 4 2" xfId="8200" xr:uid="{4B3DF848-7F72-4933-ADFD-439F1B791242}"/>
    <cellStyle name="Normal 88 5" xfId="6500" xr:uid="{78482018-8B0B-4C1A-A889-0CFD4D894BF2}"/>
    <cellStyle name="Normal 88_DEO ADIT Unprotected" xfId="3956" xr:uid="{E6C0C7F9-819A-4509-91FC-912605F06FA4}"/>
    <cellStyle name="Normal 89" xfId="1501" xr:uid="{00000000-0005-0000-0000-000049080000}"/>
    <cellStyle name="Normal 89 2" xfId="1502" xr:uid="{00000000-0005-0000-0000-00004A080000}"/>
    <cellStyle name="Normal 89 2 2" xfId="2410" xr:uid="{00000000-0005-0000-0000-00004B080000}"/>
    <cellStyle name="Normal 89 2 2 2" xfId="5660" xr:uid="{547CD139-D692-4DC4-B0D4-46D15A2F81CB}"/>
    <cellStyle name="Normal 89 2 2 2 2" xfId="9040" xr:uid="{0E2A9AFA-7B7A-45BE-8F54-C513F404E368}"/>
    <cellStyle name="Normal 89 2 2 3" xfId="7340" xr:uid="{29AA8914-2501-409F-AA6F-42E24C9564EE}"/>
    <cellStyle name="Normal 89 2 2_DEO ADIT Unprotected" xfId="3962" xr:uid="{22B3F94C-00AB-4BB5-A9CE-C7200CD65EF5}"/>
    <cellStyle name="Normal 89 2 3" xfId="4823" xr:uid="{674D9D81-5B12-4F05-AF5F-57309B97C5B7}"/>
    <cellStyle name="Normal 89 2 3 2" xfId="8203" xr:uid="{25DC1B48-D0B5-43D8-BB84-064DE5055CDA}"/>
    <cellStyle name="Normal 89 2 4" xfId="6503" xr:uid="{9033623B-8160-4FC5-9B3D-8E3B46F24527}"/>
    <cellStyle name="Normal 89 2_DEO ADIT Unprotected" xfId="3961" xr:uid="{677B6AFA-F18F-42EE-B7A2-3C752EFE75D9}"/>
    <cellStyle name="Normal 89 3" xfId="2409" xr:uid="{00000000-0005-0000-0000-00004C080000}"/>
    <cellStyle name="Normal 89 3 2" xfId="5659" xr:uid="{9389F6D7-2D9C-43A9-9C3E-9304AB4917D8}"/>
    <cellStyle name="Normal 89 3 2 2" xfId="9039" xr:uid="{23318F31-D1EA-468F-B7C7-5350E63B5719}"/>
    <cellStyle name="Normal 89 3 3" xfId="7339" xr:uid="{348E24DF-F0FE-467B-8E0D-128848AA606D}"/>
    <cellStyle name="Normal 89 3_DEO ADIT Unprotected" xfId="3963" xr:uid="{4B46CA5B-656F-4540-833B-2F9449936E82}"/>
    <cellStyle name="Normal 89 4" xfId="4822" xr:uid="{D131B91C-C424-42BE-ACA9-55A7508DA685}"/>
    <cellStyle name="Normal 89 4 2" xfId="8202" xr:uid="{D2232513-C483-4F5D-B3F0-70B2517F7C8F}"/>
    <cellStyle name="Normal 89 5" xfId="6502" xr:uid="{B80A4C95-DFEB-4F57-8E9E-FD1C8B3177C7}"/>
    <cellStyle name="Normal 89_DEO ADIT Unprotected" xfId="3960" xr:uid="{BD014F74-AAEA-44B8-81B3-F04562B9AABF}"/>
    <cellStyle name="Normal 9" xfId="330" xr:uid="{00000000-0005-0000-0000-00004D080000}"/>
    <cellStyle name="Normal 9 10" xfId="9114" xr:uid="{29E1F007-9F3E-418B-B788-2F482C1D3150}"/>
    <cellStyle name="Normal 9 2" xfId="1503" xr:uid="{00000000-0005-0000-0000-00004E080000}"/>
    <cellStyle name="Normal 9 2 2 2" xfId="9120" xr:uid="{5855E562-D259-485F-9A88-D2D829C46952}"/>
    <cellStyle name="Normal 9 3" xfId="1504" xr:uid="{00000000-0005-0000-0000-00004F080000}"/>
    <cellStyle name="Normal 9 3 2" xfId="2411" xr:uid="{00000000-0005-0000-0000-000050080000}"/>
    <cellStyle name="Normal 9 3 2 2" xfId="5661" xr:uid="{2FA1D5BC-4B9A-46BF-BAF5-F071B6471E96}"/>
    <cellStyle name="Normal 9 3 2 2 2" xfId="9041" xr:uid="{60825242-14D1-48CA-8E68-3E8441ABF88A}"/>
    <cellStyle name="Normal 9 3 2 3" xfId="7341" xr:uid="{FCAD079D-514C-4A20-AD88-FB5B82A6EE2A}"/>
    <cellStyle name="Normal 9 3 2_DEO ADIT Unprotected" xfId="3966" xr:uid="{FABF78E5-A318-4113-BE7F-41B55066597E}"/>
    <cellStyle name="Normal 9 3 3" xfId="4824" xr:uid="{4C7B383B-0247-4DC2-980E-72B654FF585C}"/>
    <cellStyle name="Normal 9 3 3 2" xfId="8204" xr:uid="{B58944DC-C8CA-4916-8D5B-5F9C10253DCE}"/>
    <cellStyle name="Normal 9 3 4" xfId="6504" xr:uid="{68D218E2-ACA8-48DD-9ABA-F958BE00CF23}"/>
    <cellStyle name="Normal 9 3_DEO ADIT Unprotected" xfId="3965" xr:uid="{5C92916C-C5D0-4130-AB1D-2C3476DAD830}"/>
    <cellStyle name="Normal 9 4" xfId="1627" xr:uid="{00000000-0005-0000-0000-000051080000}"/>
    <cellStyle name="Normal 9 4 2" xfId="4877" xr:uid="{5C7716D6-04D5-4067-9BF2-F20744B245D3}"/>
    <cellStyle name="Normal 9 4 2 2" xfId="8257" xr:uid="{9CE1EF97-178B-462D-A09F-7D3D89BAA2DD}"/>
    <cellStyle name="Normal 9 4 3" xfId="6557" xr:uid="{F014CF93-5EE0-4CA6-BE87-EC08A08E5D76}"/>
    <cellStyle name="Normal 9 4_DEO ADIT Unprotected" xfId="3967" xr:uid="{68AA2A4F-6D8A-4831-80CE-325364956F11}"/>
    <cellStyle name="Normal 9 5" xfId="4040" xr:uid="{138AD0B9-B25A-4AA0-8A99-4298C7DEA727}"/>
    <cellStyle name="Normal 9 5 2" xfId="7420" xr:uid="{F9D18037-8A24-4A65-A316-96E9051165AE}"/>
    <cellStyle name="Normal 9 6" xfId="5717" xr:uid="{48EA25B8-0624-4670-B065-D3FEFF61B4D1}"/>
    <cellStyle name="Normal 9 7" xfId="7417" xr:uid="{CB01110C-EA6B-4F8F-8A66-3B5F6A20859D}"/>
    <cellStyle name="Normal 9 8" xfId="9107" xr:uid="{510F2E35-4A60-4D30-A93B-FB363CC26054}"/>
    <cellStyle name="Normal 9 9" xfId="5722" xr:uid="{97837C3E-2A3A-4B3D-9B32-1763EC4A0E6E}"/>
    <cellStyle name="Normal 9_DEO ADIT Unprotected" xfId="3964" xr:uid="{3241083F-0F7B-4509-8379-AC40A664A8F0}"/>
    <cellStyle name="Normal 90" xfId="1505" xr:uid="{00000000-0005-0000-0000-000052080000}"/>
    <cellStyle name="Normal 90 2" xfId="1506" xr:uid="{00000000-0005-0000-0000-000053080000}"/>
    <cellStyle name="Normal 90 2 2" xfId="2413" xr:uid="{00000000-0005-0000-0000-000054080000}"/>
    <cellStyle name="Normal 90 2 2 2" xfId="5663" xr:uid="{5CB0A274-79BB-4608-A7D7-DF3227ED911C}"/>
    <cellStyle name="Normal 90 2 2 2 2" xfId="9043" xr:uid="{B362234F-639A-4F09-BE0D-6398EF9AB774}"/>
    <cellStyle name="Normal 90 2 2 3" xfId="7343" xr:uid="{0B5EC735-970C-4F22-A26E-FC02B3DDA666}"/>
    <cellStyle name="Normal 90 2 2_DEO ADIT Unprotected" xfId="3970" xr:uid="{9F13F731-E7E3-47CC-8A46-2BF06564F438}"/>
    <cellStyle name="Normal 90 2 3" xfId="4826" xr:uid="{57A81579-8D70-4223-BB0E-3FCFF425680C}"/>
    <cellStyle name="Normal 90 2 3 2" xfId="8206" xr:uid="{5B637910-94B6-42A5-8D26-48DAFE4C3E0D}"/>
    <cellStyle name="Normal 90 2 4" xfId="6506" xr:uid="{1249D308-B347-4C6E-8581-DED4AD7CACC0}"/>
    <cellStyle name="Normal 90 2_DEO ADIT Unprotected" xfId="3969" xr:uid="{44786BA8-D16A-44DD-804A-EDF1B9EDBEDA}"/>
    <cellStyle name="Normal 90 3" xfId="2412" xr:uid="{00000000-0005-0000-0000-000055080000}"/>
    <cellStyle name="Normal 90 3 2" xfId="5662" xr:uid="{9EAFF3FB-897E-43DF-B330-3A373E166F2E}"/>
    <cellStyle name="Normal 90 3 2 2" xfId="9042" xr:uid="{3FED0A75-C7D6-484A-A3E0-231EC4063BD0}"/>
    <cellStyle name="Normal 90 3 3" xfId="7342" xr:uid="{BD2AC291-A90D-42E7-A56C-9DF1191A03D7}"/>
    <cellStyle name="Normal 90 3_DEO ADIT Unprotected" xfId="3971" xr:uid="{128240DD-14CD-416A-BD3D-AE396798778F}"/>
    <cellStyle name="Normal 90 4" xfId="4825" xr:uid="{FD51EBB4-1186-474D-951F-588FDFFB6985}"/>
    <cellStyle name="Normal 90 4 2" xfId="8205" xr:uid="{310D2BA5-AEB9-4BBF-A120-D3194C2AAEFA}"/>
    <cellStyle name="Normal 90 5" xfId="6505" xr:uid="{DBC00868-BE50-49FF-A756-0E826C91CB1B}"/>
    <cellStyle name="Normal 90_DEO ADIT Unprotected" xfId="3968" xr:uid="{2CE8B021-2167-4176-932E-8CE11E3610B7}"/>
    <cellStyle name="Normal 91" xfId="1507" xr:uid="{00000000-0005-0000-0000-000056080000}"/>
    <cellStyle name="Normal 91 2" xfId="1508" xr:uid="{00000000-0005-0000-0000-000057080000}"/>
    <cellStyle name="Normal 91 2 2" xfId="2415" xr:uid="{00000000-0005-0000-0000-000058080000}"/>
    <cellStyle name="Normal 91 2 2 2" xfId="5665" xr:uid="{38BB5FB0-B286-4085-8624-A024E6F00927}"/>
    <cellStyle name="Normal 91 2 2 2 2" xfId="9045" xr:uid="{B8A81042-F425-4D50-9973-AA400463EF50}"/>
    <cellStyle name="Normal 91 2 2 3" xfId="7345" xr:uid="{E7EC9151-200A-44B4-8462-577FAE6A91F7}"/>
    <cellStyle name="Normal 91 2 2_DEO ADIT Unprotected" xfId="3974" xr:uid="{03EA9D13-9A4B-4A96-8A5B-B9E37A6E1599}"/>
    <cellStyle name="Normal 91 2 3" xfId="4828" xr:uid="{08C6034C-AB75-4C3D-A7F5-5AFA04FB5F4A}"/>
    <cellStyle name="Normal 91 2 3 2" xfId="8208" xr:uid="{BCEA4DD9-608E-4669-8647-A57544E3A1AA}"/>
    <cellStyle name="Normal 91 2 4" xfId="6508" xr:uid="{0E75F590-33E0-495F-8C63-BE6F57533558}"/>
    <cellStyle name="Normal 91 2_DEO ADIT Unprotected" xfId="3973" xr:uid="{2F7C59D0-87A4-479C-BF59-F0F3DF85A53A}"/>
    <cellStyle name="Normal 91 3" xfId="2414" xr:uid="{00000000-0005-0000-0000-000059080000}"/>
    <cellStyle name="Normal 91 3 2" xfId="5664" xr:uid="{6A6FD8B4-CCF7-4DE3-B3EF-4991C69F69C2}"/>
    <cellStyle name="Normal 91 3 2 2" xfId="9044" xr:uid="{07A56F77-37BC-485F-B2DA-F3BA031E86F7}"/>
    <cellStyle name="Normal 91 3 3" xfId="7344" xr:uid="{F3A99E63-28A0-41F0-BDFF-F84DB4C81B90}"/>
    <cellStyle name="Normal 91 3_DEO ADIT Unprotected" xfId="3975" xr:uid="{2022C3DD-FFD6-4E82-A91E-32EC133997CC}"/>
    <cellStyle name="Normal 91 4" xfId="4827" xr:uid="{E99F7A2F-0F9F-4AF5-B1D5-39F713076B8C}"/>
    <cellStyle name="Normal 91 4 2" xfId="8207" xr:uid="{A03901B9-1D06-4FCF-B1D6-AE7DF175AA44}"/>
    <cellStyle name="Normal 91 5" xfId="6507" xr:uid="{12A33F11-BC5A-4261-9630-2734CA33BDB0}"/>
    <cellStyle name="Normal 91_DEO ADIT Unprotected" xfId="3972" xr:uid="{2DD61C4E-2E77-4249-9492-98AB46363661}"/>
    <cellStyle name="Normal 92" xfId="1509" xr:uid="{00000000-0005-0000-0000-00005A080000}"/>
    <cellStyle name="Normal 92 2" xfId="1510" xr:uid="{00000000-0005-0000-0000-00005B080000}"/>
    <cellStyle name="Normal 92 2 2" xfId="2417" xr:uid="{00000000-0005-0000-0000-00005C080000}"/>
    <cellStyle name="Normal 92 2 2 2" xfId="5667" xr:uid="{15F64CFA-3D45-4701-AE75-FE2B86763145}"/>
    <cellStyle name="Normal 92 2 2 2 2" xfId="9047" xr:uid="{CC9E5418-C2B8-4251-8152-F14D541EF17F}"/>
    <cellStyle name="Normal 92 2 2 3" xfId="7347" xr:uid="{55295DE3-0330-4CBC-BFBA-64FC7228A0B4}"/>
    <cellStyle name="Normal 92 2 2_DEO ADIT Unprotected" xfId="3978" xr:uid="{1DCDA742-C749-4A43-8BCF-6C7D12C2E17F}"/>
    <cellStyle name="Normal 92 2 3" xfId="4830" xr:uid="{E27DA1C6-5C2C-4D11-A5A4-EBC15690CABD}"/>
    <cellStyle name="Normal 92 2 3 2" xfId="8210" xr:uid="{815A264C-4604-4C37-A679-4264D5B17614}"/>
    <cellStyle name="Normal 92 2 4" xfId="6510" xr:uid="{DA3D9173-2EB4-46B5-9FD2-D92F93F8B019}"/>
    <cellStyle name="Normal 92 2_DEO ADIT Unprotected" xfId="3977" xr:uid="{176E6487-68CB-4CAE-8D05-8D3A1C2E3924}"/>
    <cellStyle name="Normal 92 3" xfId="2416" xr:uid="{00000000-0005-0000-0000-00005D080000}"/>
    <cellStyle name="Normal 92 3 2" xfId="5666" xr:uid="{CC088D33-F66C-45BB-AD71-B372833F0A73}"/>
    <cellStyle name="Normal 92 3 2 2" xfId="9046" xr:uid="{C1C1B700-DECA-49BE-84F2-4430A362926D}"/>
    <cellStyle name="Normal 92 3 3" xfId="7346" xr:uid="{4A2C7E55-2D78-4EE0-80FF-FCBA8FB8DEE0}"/>
    <cellStyle name="Normal 92 3_DEO ADIT Unprotected" xfId="3979" xr:uid="{B04B1A4B-5BE1-4A1A-B8E7-FB50753106AC}"/>
    <cellStyle name="Normal 92 4" xfId="4829" xr:uid="{BCFB5405-50C5-4693-9EE3-9F41D6F8DEFE}"/>
    <cellStyle name="Normal 92 4 2" xfId="8209" xr:uid="{2F74AFC2-F113-4452-8C88-2AF733A5EC47}"/>
    <cellStyle name="Normal 92 5" xfId="6509" xr:uid="{3AB187F9-4693-431E-936D-2384D161504D}"/>
    <cellStyle name="Normal 92_DEO ADIT Unprotected" xfId="3976" xr:uid="{44175042-E996-4476-A071-AC455B5A77C9}"/>
    <cellStyle name="Normal 93" xfId="1511" xr:uid="{00000000-0005-0000-0000-00005E080000}"/>
    <cellStyle name="Normal 93 2" xfId="1512" xr:uid="{00000000-0005-0000-0000-00005F080000}"/>
    <cellStyle name="Normal 93 2 2" xfId="2419" xr:uid="{00000000-0005-0000-0000-000060080000}"/>
    <cellStyle name="Normal 93 2 2 2" xfId="5669" xr:uid="{800C56D5-8D7A-4C44-B967-969BC6B5F710}"/>
    <cellStyle name="Normal 93 2 2 2 2" xfId="9049" xr:uid="{8770D90B-A6E5-4F1C-A70A-67DDD4F65611}"/>
    <cellStyle name="Normal 93 2 2 3" xfId="7349" xr:uid="{A795A1A2-8A78-486C-A269-5E8364ECFA1A}"/>
    <cellStyle name="Normal 93 2 2_DEO ADIT Unprotected" xfId="3982" xr:uid="{DFAA2C61-C9FC-441A-BB5D-D2A38E0272D6}"/>
    <cellStyle name="Normal 93 2 3" xfId="4832" xr:uid="{5BF3D5D8-EB5C-4779-8A7B-9CEEE257F2CB}"/>
    <cellStyle name="Normal 93 2 3 2" xfId="8212" xr:uid="{1A703ECF-3DE9-44A1-883D-71528DA87C98}"/>
    <cellStyle name="Normal 93 2 4" xfId="6512" xr:uid="{8DE44D9C-08AC-475D-AD2D-D41EE74681A0}"/>
    <cellStyle name="Normal 93 2_DEO ADIT Unprotected" xfId="3981" xr:uid="{0D3352DC-3DB1-4C9E-8116-4C1E617B7680}"/>
    <cellStyle name="Normal 93 3" xfId="2418" xr:uid="{00000000-0005-0000-0000-000061080000}"/>
    <cellStyle name="Normal 93 3 2" xfId="5668" xr:uid="{54843EB5-BB5A-4E5F-9DA4-74610EAC2A70}"/>
    <cellStyle name="Normal 93 3 2 2" xfId="9048" xr:uid="{9A77BC00-762E-4374-9F59-23B254299DC1}"/>
    <cellStyle name="Normal 93 3 3" xfId="7348" xr:uid="{EE33F300-3808-4DEA-AFFA-CAFDEAE2F1A6}"/>
    <cellStyle name="Normal 93 3_DEO ADIT Unprotected" xfId="3983" xr:uid="{AA65A2AA-EFE9-41E3-B975-09B87BAC7D0D}"/>
    <cellStyle name="Normal 93 4" xfId="4831" xr:uid="{E479D928-252D-443F-B1ED-D4DD89BC8866}"/>
    <cellStyle name="Normal 93 4 2" xfId="8211" xr:uid="{EAFD3779-E16D-46E0-BAA6-178D097BEC83}"/>
    <cellStyle name="Normal 93 5" xfId="6511" xr:uid="{12361283-88F2-4EB4-A9CA-ECE57448D74F}"/>
    <cellStyle name="Normal 93_DEO ADIT Unprotected" xfId="3980" xr:uid="{D183F0A6-5D92-4CC1-B3E8-5F7640D91C6D}"/>
    <cellStyle name="Normal 94" xfId="1513" xr:uid="{00000000-0005-0000-0000-000062080000}"/>
    <cellStyle name="Normal 94 2" xfId="1514" xr:uid="{00000000-0005-0000-0000-000063080000}"/>
    <cellStyle name="Normal 94 2 2" xfId="2421" xr:uid="{00000000-0005-0000-0000-000064080000}"/>
    <cellStyle name="Normal 94 2 2 2" xfId="5671" xr:uid="{4001598F-2943-4592-9451-F866C39AC10E}"/>
    <cellStyle name="Normal 94 2 2 2 2" xfId="9051" xr:uid="{C696D6EB-D8EE-49B3-83A3-200E60D0F7B9}"/>
    <cellStyle name="Normal 94 2 2 3" xfId="7351" xr:uid="{623A6A87-E1E1-43E0-A311-6772D4D0840B}"/>
    <cellStyle name="Normal 94 2 2_DEO ADIT Unprotected" xfId="3986" xr:uid="{A6A5B0DA-218F-4930-8DF6-900735CFAF8F}"/>
    <cellStyle name="Normal 94 2 3" xfId="4834" xr:uid="{7B11649F-0868-4E69-AEE9-9589E5D1C6AA}"/>
    <cellStyle name="Normal 94 2 3 2" xfId="8214" xr:uid="{F60C3B57-C369-47E5-9280-DD4251797002}"/>
    <cellStyle name="Normal 94 2 4" xfId="6514" xr:uid="{5CE39C40-48AB-422C-BCB0-EAA509AA05BE}"/>
    <cellStyle name="Normal 94 2_DEO ADIT Unprotected" xfId="3985" xr:uid="{BEBA17AA-EE19-41B0-BEBD-CDE2A39AC8B1}"/>
    <cellStyle name="Normal 94 3" xfId="2420" xr:uid="{00000000-0005-0000-0000-000065080000}"/>
    <cellStyle name="Normal 94 3 2" xfId="5670" xr:uid="{F15E0646-DE1A-4CBB-9CCD-DFA301DDD202}"/>
    <cellStyle name="Normal 94 3 2 2" xfId="9050" xr:uid="{146DB537-015E-4BB3-AE71-EBC61B9F29AD}"/>
    <cellStyle name="Normal 94 3 3" xfId="7350" xr:uid="{1002A4A8-2675-471F-9964-FBBC6B634B09}"/>
    <cellStyle name="Normal 94 3_DEO ADIT Unprotected" xfId="3987" xr:uid="{8A0CA991-908A-40E3-B9C1-F6C7EF1C5FCA}"/>
    <cellStyle name="Normal 94 4" xfId="4833" xr:uid="{F698BC42-C723-4760-856F-2D948E03A634}"/>
    <cellStyle name="Normal 94 4 2" xfId="8213" xr:uid="{AD1E5197-67E6-46CC-9591-AB7CF468917F}"/>
    <cellStyle name="Normal 94 5" xfId="6513" xr:uid="{276D0902-501B-4F5C-BCFF-713AF9D1959C}"/>
    <cellStyle name="Normal 94_DEO ADIT Unprotected" xfId="3984" xr:uid="{F0712F44-00ED-4B56-85DD-6116538E5D12}"/>
    <cellStyle name="Normal 95" xfId="1515" xr:uid="{00000000-0005-0000-0000-000066080000}"/>
    <cellStyle name="Normal 95 2" xfId="1516" xr:uid="{00000000-0005-0000-0000-000067080000}"/>
    <cellStyle name="Normal 95 2 2" xfId="2423" xr:uid="{00000000-0005-0000-0000-000068080000}"/>
    <cellStyle name="Normal 95 2 2 2" xfId="5673" xr:uid="{AF4438B7-002E-4817-82F6-F0AE27A30DC0}"/>
    <cellStyle name="Normal 95 2 2 2 2" xfId="9053" xr:uid="{A8771447-F1D9-43F3-9DD2-BF463651FBE9}"/>
    <cellStyle name="Normal 95 2 2 3" xfId="7353" xr:uid="{651910AE-AE65-4691-944A-EF3B4F2B7A6B}"/>
    <cellStyle name="Normal 95 2 2_DEO ADIT Unprotected" xfId="3990" xr:uid="{048D5CEC-1148-4C5F-BF37-E0DC8ECEFF8E}"/>
    <cellStyle name="Normal 95 2 3" xfId="4836" xr:uid="{EEFEBFE3-2D15-4FBA-B49E-707A4B050B68}"/>
    <cellStyle name="Normal 95 2 3 2" xfId="8216" xr:uid="{B67B1FE3-5929-4F7A-BAA5-A86598EA369F}"/>
    <cellStyle name="Normal 95 2 4" xfId="6516" xr:uid="{75F57450-CC34-48A3-814A-559913D0FE0E}"/>
    <cellStyle name="Normal 95 2_DEO ADIT Unprotected" xfId="3989" xr:uid="{F1A2FC2F-A358-4E0D-8194-DF3EB7E8AB29}"/>
    <cellStyle name="Normal 95 3" xfId="2422" xr:uid="{00000000-0005-0000-0000-000069080000}"/>
    <cellStyle name="Normal 95 3 2" xfId="5672" xr:uid="{ABC328D7-5EA4-4B33-9E0D-9272C05DC27D}"/>
    <cellStyle name="Normal 95 3 2 2" xfId="9052" xr:uid="{6F984BAC-316C-43A7-92BB-E227DB3585D7}"/>
    <cellStyle name="Normal 95 3 3" xfId="7352" xr:uid="{8EA5AD79-C3C6-4E2B-BB3B-0290CEA2E941}"/>
    <cellStyle name="Normal 95 3_DEO ADIT Unprotected" xfId="3991" xr:uid="{6F9E7B59-2984-468D-880C-3E1CB4EDB531}"/>
    <cellStyle name="Normal 95 4" xfId="4835" xr:uid="{F5E62BE9-1BB9-4D5A-91DD-1A27452EB637}"/>
    <cellStyle name="Normal 95 4 2" xfId="8215" xr:uid="{B7ABD0A3-7131-4918-BA25-33E34D975A73}"/>
    <cellStyle name="Normal 95 5" xfId="6515" xr:uid="{6EC443D0-91AF-4F86-A178-0420FBCC3A67}"/>
    <cellStyle name="Normal 95_DEO ADIT Unprotected" xfId="3988" xr:uid="{EA24766B-3EE3-4E96-B719-C56A06BED2FD}"/>
    <cellStyle name="Normal 96" xfId="1517" xr:uid="{00000000-0005-0000-0000-00006A080000}"/>
    <cellStyle name="Normal 96 2" xfId="1518" xr:uid="{00000000-0005-0000-0000-00006B080000}"/>
    <cellStyle name="Normal 96 2 2" xfId="2425" xr:uid="{00000000-0005-0000-0000-00006C080000}"/>
    <cellStyle name="Normal 96 2 2 2" xfId="5675" xr:uid="{24087EAC-8F99-439C-8F36-2ECC1532923A}"/>
    <cellStyle name="Normal 96 2 2 2 2" xfId="9055" xr:uid="{7FE9292F-6AE6-4649-83B9-46F93CEBE476}"/>
    <cellStyle name="Normal 96 2 2 3" xfId="7355" xr:uid="{78F07DEC-9BF9-4DF8-965E-599F5007C980}"/>
    <cellStyle name="Normal 96 2 2_DEO ADIT Unprotected" xfId="3994" xr:uid="{8E0203F5-2FDA-45ED-B7EE-CAEBE7DC9B87}"/>
    <cellStyle name="Normal 96 2 3" xfId="4838" xr:uid="{090898BF-776F-47A3-89E5-2F1831D6A9DD}"/>
    <cellStyle name="Normal 96 2 3 2" xfId="8218" xr:uid="{BAD49918-77D1-410F-A6A5-DA8BA17F74B8}"/>
    <cellStyle name="Normal 96 2 4" xfId="6518" xr:uid="{B6B829F1-E4A6-4C22-BFFB-C5B14AE169DA}"/>
    <cellStyle name="Normal 96 2_DEO ADIT Unprotected" xfId="3993" xr:uid="{29B19599-5DB2-4A25-9834-6D79CCFB4EAD}"/>
    <cellStyle name="Normal 96 3" xfId="2424" xr:uid="{00000000-0005-0000-0000-00006D080000}"/>
    <cellStyle name="Normal 96 3 2" xfId="5674" xr:uid="{F0ABB60E-114F-4032-8127-BB65AE30B719}"/>
    <cellStyle name="Normal 96 3 2 2" xfId="9054" xr:uid="{A1CD3F0B-920B-4C27-AC89-B305DE775894}"/>
    <cellStyle name="Normal 96 3 3" xfId="7354" xr:uid="{C05A70FF-F893-4C9E-B88C-CAB4265A1E6B}"/>
    <cellStyle name="Normal 96 3_DEO ADIT Unprotected" xfId="3995" xr:uid="{D77C9071-42ED-47FE-AEC4-953BD747FD93}"/>
    <cellStyle name="Normal 96 4" xfId="4837" xr:uid="{234A005D-E336-437C-830B-F97CD2D47586}"/>
    <cellStyle name="Normal 96 4 2" xfId="8217" xr:uid="{181C4E1A-281D-465B-B835-A9165BBC384C}"/>
    <cellStyle name="Normal 96 5" xfId="6517" xr:uid="{8B93B813-6EBB-4F07-BBDE-24FAAAF7B686}"/>
    <cellStyle name="Normal 96_DEO ADIT Unprotected" xfId="3992" xr:uid="{CE6590C0-3A84-458C-8C73-2425A17D50FB}"/>
    <cellStyle name="Normal 97" xfId="1519" xr:uid="{00000000-0005-0000-0000-00006E080000}"/>
    <cellStyle name="Normal 97 2" xfId="1520" xr:uid="{00000000-0005-0000-0000-00006F080000}"/>
    <cellStyle name="Normal 97 2 2" xfId="2427" xr:uid="{00000000-0005-0000-0000-000070080000}"/>
    <cellStyle name="Normal 97 2 2 2" xfId="5677" xr:uid="{977E36F4-035E-4812-8DD7-BC7C985F5B02}"/>
    <cellStyle name="Normal 97 2 2 2 2" xfId="9057" xr:uid="{08CA224B-A33D-4550-8038-82065BA20F9C}"/>
    <cellStyle name="Normal 97 2 2 3" xfId="7357" xr:uid="{35ED00DC-ED11-4370-BEF0-5D96827E67ED}"/>
    <cellStyle name="Normal 97 2 2_DEO ADIT Unprotected" xfId="3998" xr:uid="{0759039B-B5A9-42C0-8330-73EAD2259885}"/>
    <cellStyle name="Normal 97 2 3" xfId="4840" xr:uid="{D74822DA-261A-40D1-BB6D-E4FC1CDC524D}"/>
    <cellStyle name="Normal 97 2 3 2" xfId="8220" xr:uid="{F4167AE4-983E-423D-84C8-4E858FBA5301}"/>
    <cellStyle name="Normal 97 2 4" xfId="6520" xr:uid="{5CE617ED-E0C4-4C33-9140-1A9179CCB9C6}"/>
    <cellStyle name="Normal 97 2_DEO ADIT Unprotected" xfId="3997" xr:uid="{397528C5-AE1B-4D2C-86BF-632237E7064E}"/>
    <cellStyle name="Normal 97 3" xfId="2426" xr:uid="{00000000-0005-0000-0000-000071080000}"/>
    <cellStyle name="Normal 97 3 2" xfId="5676" xr:uid="{42408516-0B3F-44B3-A6C6-FD74548F9470}"/>
    <cellStyle name="Normal 97 3 2 2" xfId="9056" xr:uid="{7B297179-BA37-44D4-A4D8-F6AADA97BBB7}"/>
    <cellStyle name="Normal 97 3 3" xfId="7356" xr:uid="{997CC84B-A733-4E39-954A-2C7B4691F56D}"/>
    <cellStyle name="Normal 97 3_DEO ADIT Unprotected" xfId="3999" xr:uid="{A20A0F58-6A79-4AE0-8EA6-84E1A63D9AB7}"/>
    <cellStyle name="Normal 97 4" xfId="4839" xr:uid="{1FD02C82-AF97-430E-960B-8C0EC13265E0}"/>
    <cellStyle name="Normal 97 4 2" xfId="8219" xr:uid="{CEFFE0AB-8BB7-4082-98D3-7CB7F924F6CB}"/>
    <cellStyle name="Normal 97 5" xfId="6519" xr:uid="{7C487A1D-E8CB-492F-9EDE-60C46ED29586}"/>
    <cellStyle name="Normal 97_DEO ADIT Unprotected" xfId="3996" xr:uid="{A6111BA4-88ED-4B4B-8DBA-8E700853D79C}"/>
    <cellStyle name="Normal 98" xfId="1521" xr:uid="{00000000-0005-0000-0000-000072080000}"/>
    <cellStyle name="Normal 98 2" xfId="1522" xr:uid="{00000000-0005-0000-0000-000073080000}"/>
    <cellStyle name="Normal 98 2 2" xfId="2429" xr:uid="{00000000-0005-0000-0000-000074080000}"/>
    <cellStyle name="Normal 98 2 2 2" xfId="5679" xr:uid="{8D70A2CA-5E27-441B-A0EB-541C5BD0DDCC}"/>
    <cellStyle name="Normal 98 2 2 2 2" xfId="9059" xr:uid="{324C6E87-4485-498A-8787-76173FA9770A}"/>
    <cellStyle name="Normal 98 2 2 3" xfId="7359" xr:uid="{F5618DB5-2915-4911-BC60-A37C2ACC983B}"/>
    <cellStyle name="Normal 98 2 2_DEO ADIT Unprotected" xfId="4002" xr:uid="{2A32008C-2237-4239-A429-E7A9ED34633D}"/>
    <cellStyle name="Normal 98 2 3" xfId="4842" xr:uid="{435CE006-0ACE-4148-8A9B-D53A89411A09}"/>
    <cellStyle name="Normal 98 2 3 2" xfId="8222" xr:uid="{B1A062B8-2EF3-40AF-9FDD-798A1C602EC1}"/>
    <cellStyle name="Normal 98 2 4" xfId="6522" xr:uid="{FEF0B443-27A7-468F-91D3-E30A82D45F01}"/>
    <cellStyle name="Normal 98 2_DEO ADIT Unprotected" xfId="4001" xr:uid="{031A16F4-32C4-435D-BF52-4C2C5ECE16B5}"/>
    <cellStyle name="Normal 98 3" xfId="2428" xr:uid="{00000000-0005-0000-0000-000075080000}"/>
    <cellStyle name="Normal 98 3 2" xfId="5678" xr:uid="{D9BED17C-5099-4496-84E5-7414E18F4EC8}"/>
    <cellStyle name="Normal 98 3 2 2" xfId="9058" xr:uid="{06A35D52-1945-4C45-83E9-5BA0674F51DA}"/>
    <cellStyle name="Normal 98 3 3" xfId="7358" xr:uid="{FE1BD770-D94D-4842-AC4F-00055B2429EF}"/>
    <cellStyle name="Normal 98 3_DEO ADIT Unprotected" xfId="4003" xr:uid="{7C4A8D54-45BE-4312-B90C-86235DF8B6A2}"/>
    <cellStyle name="Normal 98 4" xfId="4841" xr:uid="{D7E2954B-3039-4AB1-B53F-6FEA8A2D64ED}"/>
    <cellStyle name="Normal 98 4 2" xfId="8221" xr:uid="{8348B550-1E95-4E1A-82F4-152D73BE09C0}"/>
    <cellStyle name="Normal 98 5" xfId="6521" xr:uid="{177FF534-F6AF-46C5-A624-B9980AA72AAA}"/>
    <cellStyle name="Normal 98_DEO ADIT Unprotected" xfId="4000" xr:uid="{F60FFE64-B7FB-4185-8100-6851A84E50FB}"/>
    <cellStyle name="Normal 99" xfId="1523" xr:uid="{00000000-0005-0000-0000-000076080000}"/>
    <cellStyle name="Normal 99 2" xfId="1524" xr:uid="{00000000-0005-0000-0000-000077080000}"/>
    <cellStyle name="Normal 99 2 2" xfId="2431" xr:uid="{00000000-0005-0000-0000-000078080000}"/>
    <cellStyle name="Normal 99 2 2 2" xfId="5681" xr:uid="{2F087598-EBF6-431F-AF8B-1D945CC93198}"/>
    <cellStyle name="Normal 99 2 2 2 2" xfId="9061" xr:uid="{8C231D0A-EE31-4075-BEE3-45EFC804512B}"/>
    <cellStyle name="Normal 99 2 2 3" xfId="7361" xr:uid="{B6CBC274-08D2-42FA-8221-CB7B3A7BD5C3}"/>
    <cellStyle name="Normal 99 2 2_DEO ADIT Unprotected" xfId="4006" xr:uid="{D8DB3E36-1E47-4B9D-A3AB-2D9428B2893B}"/>
    <cellStyle name="Normal 99 2 3" xfId="4844" xr:uid="{06FABCED-27F3-4F81-866C-BA3A487B67D8}"/>
    <cellStyle name="Normal 99 2 3 2" xfId="8224" xr:uid="{788F87D2-A48C-4B45-83D9-E45A428BE6B5}"/>
    <cellStyle name="Normal 99 2 4" xfId="6524" xr:uid="{E90328DC-545B-4969-9FEB-DF50C35C719F}"/>
    <cellStyle name="Normal 99 2_DEO ADIT Unprotected" xfId="4005" xr:uid="{B1A79F02-E8C1-4377-BE95-C26CC219C9B6}"/>
    <cellStyle name="Normal 99 3" xfId="2430" xr:uid="{00000000-0005-0000-0000-000079080000}"/>
    <cellStyle name="Normal 99 3 2" xfId="5680" xr:uid="{B786C6E1-6D8D-4E3A-988F-64500789FE10}"/>
    <cellStyle name="Normal 99 3 2 2" xfId="9060" xr:uid="{39DD145C-44B1-47D6-B51F-9D47426097B1}"/>
    <cellStyle name="Normal 99 3 3" xfId="7360" xr:uid="{0F7C91BD-13D6-4E68-9E12-D0C64885B18C}"/>
    <cellStyle name="Normal 99 3_DEO ADIT Unprotected" xfId="4007" xr:uid="{74ADE502-7A4F-4DFC-80BB-7F0973FEED05}"/>
    <cellStyle name="Normal 99 4" xfId="4843" xr:uid="{314623E8-E33E-4508-93FD-8C7756C33F7F}"/>
    <cellStyle name="Normal 99 4 2" xfId="8223" xr:uid="{CB07EA90-AFA7-46FE-86CE-74550FB18948}"/>
    <cellStyle name="Normal 99 5" xfId="6523" xr:uid="{9D739120-C3C4-4E26-9C08-E6AE68670417}"/>
    <cellStyle name="Normal 99_DEO ADIT Unprotected" xfId="4004" xr:uid="{76FF203B-F1DD-49B7-8324-B751C3A56987}"/>
    <cellStyle name="Normal_2002 A to BK TLF Recon WVPA" xfId="5" xr:uid="{00000000-0005-0000-0000-00007A080000}"/>
    <cellStyle name="Normal_2002 A to BK TLF Recon WVPA 2" xfId="369" xr:uid="{00000000-0005-0000-0000-00007B080000}"/>
    <cellStyle name="Normal_Advertising expense query - 3.29.07" xfId="6" xr:uid="{00000000-0005-0000-0000-00007C080000}"/>
    <cellStyle name="Normal_Advertising expense query - 3.29.07 2" xfId="370" xr:uid="{00000000-0005-0000-0000-00007D080000}"/>
    <cellStyle name="Normal_Cinergy Revenue Credits by Operating Company" xfId="7" xr:uid="{00000000-0005-0000-0000-00007E080000}"/>
    <cellStyle name="Normal_Cinergy Revenue Credits by Operating Company 2" xfId="355" xr:uid="{00000000-0005-0000-0000-00007F080000}"/>
    <cellStyle name="Normal_FERC Functional M&amp;S All Cos" xfId="8" xr:uid="{00000000-0005-0000-0000-000080080000}"/>
    <cellStyle name="Normal_FERC Functional M&amp;S All Cos 2" xfId="423" xr:uid="{00000000-0005-0000-0000-000081080000}"/>
    <cellStyle name="Normal_FN1 Ratebase Draft SPP template (6-11-04) v2" xfId="325" xr:uid="{00000000-0005-0000-0000-000082080000}"/>
    <cellStyle name="Normal_MISO DEO Cap Structure 2007 " xfId="9" xr:uid="{00000000-0005-0000-0000-000083080000}"/>
    <cellStyle name="Normal_Schedule B-2" xfId="329" xr:uid="{00000000-0005-0000-0000-000084080000}"/>
    <cellStyle name="Normal_Support 2003 PSI Peak Demand excluding Joint Owners" xfId="10" xr:uid="{00000000-0005-0000-0000-000085080000}"/>
    <cellStyle name="Normal_Support 2003 PSI Peak Demand excluding Joint Owners 2" xfId="371" xr:uid="{00000000-0005-0000-0000-000086080000}"/>
    <cellStyle name="Normal_Support 2003 PSI Peak Demand excluding Joint Owners 2 2" xfId="9119" xr:uid="{4A234BC1-3D1B-4029-9CCD-5220BB323311}"/>
    <cellStyle name="Note 10" xfId="1525" xr:uid="{00000000-0005-0000-0000-000087080000}"/>
    <cellStyle name="Note 11" xfId="1526" xr:uid="{00000000-0005-0000-0000-000088080000}"/>
    <cellStyle name="Note 12" xfId="1527" xr:uid="{00000000-0005-0000-0000-000089080000}"/>
    <cellStyle name="Note 13" xfId="1528" xr:uid="{00000000-0005-0000-0000-00008A080000}"/>
    <cellStyle name="Note 14" xfId="1529" xr:uid="{00000000-0005-0000-0000-00008B080000}"/>
    <cellStyle name="Note 15" xfId="1530" xr:uid="{00000000-0005-0000-0000-00008C080000}"/>
    <cellStyle name="Note 16" xfId="1531" xr:uid="{00000000-0005-0000-0000-00008D080000}"/>
    <cellStyle name="Note 17" xfId="1532" xr:uid="{00000000-0005-0000-0000-00008E080000}"/>
    <cellStyle name="Note 18" xfId="1533" xr:uid="{00000000-0005-0000-0000-00008F080000}"/>
    <cellStyle name="Note 19" xfId="1534" xr:uid="{00000000-0005-0000-0000-000090080000}"/>
    <cellStyle name="Note 2" xfId="556" xr:uid="{00000000-0005-0000-0000-000091080000}"/>
    <cellStyle name="Note 2 10" xfId="9112" xr:uid="{1E9CEDC0-8235-4465-A1F9-1C9D610B9254}"/>
    <cellStyle name="Note 2 2" xfId="1535" xr:uid="{00000000-0005-0000-0000-000092080000}"/>
    <cellStyle name="Note 2 2 2" xfId="1536" xr:uid="{00000000-0005-0000-0000-000093080000}"/>
    <cellStyle name="Note 2 2 2 2" xfId="1537" xr:uid="{00000000-0005-0000-0000-000094080000}"/>
    <cellStyle name="Note 2 2 2 2 2" xfId="2433" xr:uid="{00000000-0005-0000-0000-000095080000}"/>
    <cellStyle name="Note 2 2 2 2 2 2" xfId="5683" xr:uid="{158704F2-2B92-4718-BF60-6ABA10C85427}"/>
    <cellStyle name="Note 2 2 2 2 2 2 2" xfId="9063" xr:uid="{9D0E6A26-92F8-4D0C-A83B-6A77B6142E44}"/>
    <cellStyle name="Note 2 2 2 2 2 3" xfId="7363" xr:uid="{3C732706-8923-42BB-BEF2-D8A0D53A2237}"/>
    <cellStyle name="Note 2 2 2 2 2_DEO ADIT Unprotected" xfId="4011" xr:uid="{43B8880A-35A3-4657-8120-6E91A8530D30}"/>
    <cellStyle name="Note 2 2 2 2 3" xfId="4846" xr:uid="{00DA0151-BA51-4EF2-9238-0650D600EB15}"/>
    <cellStyle name="Note 2 2 2 2 3 2" xfId="8226" xr:uid="{28F8D6BE-0297-4931-8A59-754FD26CE921}"/>
    <cellStyle name="Note 2 2 2 2 4" xfId="6526" xr:uid="{BA794D72-C6A2-4F22-9A49-FA084C27EA02}"/>
    <cellStyle name="Note 2 2 2 2_DEO ADIT Unprotected" xfId="4010" xr:uid="{2E4A1A5E-1132-4480-BF7D-8D9CA1C04B0B}"/>
    <cellStyle name="Note 2 2 2 3" xfId="2432" xr:uid="{00000000-0005-0000-0000-000096080000}"/>
    <cellStyle name="Note 2 2 2 3 2" xfId="5682" xr:uid="{38E3049E-0A29-4B28-BAD2-F0161FB3D43D}"/>
    <cellStyle name="Note 2 2 2 3 2 2" xfId="9062" xr:uid="{F8D44572-541E-44CD-A2A1-452AFDDA424F}"/>
    <cellStyle name="Note 2 2 2 3 3" xfId="7362" xr:uid="{CC25500D-5750-4B2D-A628-3CF9F7EF47E0}"/>
    <cellStyle name="Note 2 2 2 3_DEO ADIT Unprotected" xfId="4012" xr:uid="{95144C45-8ABD-43BB-BDD5-28D10E72E36B}"/>
    <cellStyle name="Note 2 2 2 4" xfId="4845" xr:uid="{FFF5663A-7B3A-4ECE-881C-FC442B4E229C}"/>
    <cellStyle name="Note 2 2 2 4 2" xfId="8225" xr:uid="{A4ACBB87-0E55-4D64-971E-639359F2550F}"/>
    <cellStyle name="Note 2 2 2 5" xfId="6525" xr:uid="{A9E110A7-1B9F-4C64-A8A3-85F59AB45A0B}"/>
    <cellStyle name="Note 2 2 2_DEO ADIT Unprotected" xfId="4009" xr:uid="{5932DCCF-BE2E-42C5-8ABF-B3910F211D60}"/>
    <cellStyle name="Note 2 3" xfId="1538" xr:uid="{00000000-0005-0000-0000-000097080000}"/>
    <cellStyle name="Note 2 4" xfId="1720" xr:uid="{00000000-0005-0000-0000-000098080000}"/>
    <cellStyle name="Note 2 4 2" xfId="4970" xr:uid="{68A82F05-985A-48F6-AF6A-08A65C1A14DE}"/>
    <cellStyle name="Note 2 4 2 2" xfId="8350" xr:uid="{45FB1BCB-C82D-453A-9597-0CDC04C7E14A}"/>
    <cellStyle name="Note 2 4 3" xfId="6650" xr:uid="{DC8A58BD-4D00-4A39-B6D1-0C20281B6249}"/>
    <cellStyle name="Note 2 4_DEO ADIT Unprotected" xfId="4013" xr:uid="{3AB9C6B6-FC74-4017-855C-FF4FBF6E543A}"/>
    <cellStyle name="Note 2 5" xfId="4133" xr:uid="{A9C8ECAA-0EE8-4367-AA01-350410F11D85}"/>
    <cellStyle name="Note 2 5 2" xfId="7513" xr:uid="{5522BFA1-8110-4B9E-875A-C9E57693A82A}"/>
    <cellStyle name="Note 2 6" xfId="5812" xr:uid="{5C71D80B-6447-4B2F-BDA4-A374261F4599}"/>
    <cellStyle name="Note 2 7" xfId="7403" xr:uid="{E2A1E9CE-A992-4DB4-8389-3A79613EF0D2}"/>
    <cellStyle name="Note 2 8" xfId="7398" xr:uid="{23491D92-6D84-41B0-A31F-0717454ABEA0}"/>
    <cellStyle name="Note 2 9" xfId="9115" xr:uid="{FB143711-75EB-4C49-8FBF-BA1E480C58C6}"/>
    <cellStyle name="Note 2_DEO ADIT Unprotected" xfId="4008" xr:uid="{2A967C1F-7CCD-4002-9092-8A1832D12C70}"/>
    <cellStyle name="Note 20" xfId="1539" xr:uid="{00000000-0005-0000-0000-000099080000}"/>
    <cellStyle name="Note 20 2" xfId="1540" xr:uid="{00000000-0005-0000-0000-00009A080000}"/>
    <cellStyle name="Note 21" xfId="1541" xr:uid="{00000000-0005-0000-0000-00009B080000}"/>
    <cellStyle name="Note 22" xfId="1542" xr:uid="{00000000-0005-0000-0000-00009C080000}"/>
    <cellStyle name="Note 23" xfId="1543" xr:uid="{00000000-0005-0000-0000-00009D080000}"/>
    <cellStyle name="Note 24" xfId="1544" xr:uid="{00000000-0005-0000-0000-00009E080000}"/>
    <cellStyle name="Note 25" xfId="1545" xr:uid="{00000000-0005-0000-0000-00009F080000}"/>
    <cellStyle name="Note 25 2" xfId="2434" xr:uid="{00000000-0005-0000-0000-0000A0080000}"/>
    <cellStyle name="Note 25 2 2" xfId="5684" xr:uid="{5BE1CD22-60AA-4093-AC32-BAEA6AED44CB}"/>
    <cellStyle name="Note 25 2 2 2" xfId="9064" xr:uid="{A795B59D-F945-467E-8EAF-9704FFAEE694}"/>
    <cellStyle name="Note 25 2 3" xfId="7364" xr:uid="{553DFECD-DA47-4D66-9883-E577DBD0284F}"/>
    <cellStyle name="Note 25 2_DEO ADIT Unprotected" xfId="4015" xr:uid="{8C2B784E-7ED8-47C9-9165-983B53703D9C}"/>
    <cellStyle name="Note 25 3" xfId="4847" xr:uid="{1B93AF80-66FD-4CFC-A9C2-0F8A8524A5A6}"/>
    <cellStyle name="Note 25 3 2" xfId="8227" xr:uid="{AF414117-44E1-4BEC-B5AD-B858E0384A17}"/>
    <cellStyle name="Note 25 4" xfId="6527" xr:uid="{7E74EB22-C5E2-4F07-92AF-5F0AF2718E4A}"/>
    <cellStyle name="Note 25_DEO ADIT Unprotected" xfId="4014" xr:uid="{D571F41D-27E5-4E22-B22A-F9450700356E}"/>
    <cellStyle name="Note 26" xfId="1546" xr:uid="{00000000-0005-0000-0000-0000A1080000}"/>
    <cellStyle name="Note 26 2" xfId="2435" xr:uid="{00000000-0005-0000-0000-0000A2080000}"/>
    <cellStyle name="Note 26 2 2" xfId="5685" xr:uid="{06C1B4B7-103E-496F-86B6-72171B2F67AB}"/>
    <cellStyle name="Note 26 2 2 2" xfId="9065" xr:uid="{010C57D4-C709-4CF2-8A3A-79EF454F8844}"/>
    <cellStyle name="Note 26 2 3" xfId="7365" xr:uid="{CE57AF4C-86AF-4174-B13F-9E93ED152A83}"/>
    <cellStyle name="Note 26 2_DEO ADIT Unprotected" xfId="4017" xr:uid="{349C0A06-E26A-4AE6-A3CB-8365C6F92D7C}"/>
    <cellStyle name="Note 26 3" xfId="4848" xr:uid="{38F8871B-FE6F-4B98-8646-4F3C5862F260}"/>
    <cellStyle name="Note 26 3 2" xfId="8228" xr:uid="{B6D39EBB-09DD-4645-A13B-3EE0EAC6A498}"/>
    <cellStyle name="Note 26 4" xfId="6528" xr:uid="{611CD3F4-A7F2-4825-B223-9E0F851D8092}"/>
    <cellStyle name="Note 26_DEO ADIT Unprotected" xfId="4016" xr:uid="{A0B10562-1AF8-4169-8D0A-E3BC6AD98B0E}"/>
    <cellStyle name="Note 27" xfId="1547" xr:uid="{00000000-0005-0000-0000-0000A3080000}"/>
    <cellStyle name="Note 3" xfId="1548" xr:uid="{00000000-0005-0000-0000-0000A4080000}"/>
    <cellStyle name="Note 3 2" xfId="1549" xr:uid="{00000000-0005-0000-0000-0000A5080000}"/>
    <cellStyle name="Note 3 2 2" xfId="1550" xr:uid="{00000000-0005-0000-0000-0000A6080000}"/>
    <cellStyle name="Note 3 2 2 2" xfId="1551" xr:uid="{00000000-0005-0000-0000-0000A7080000}"/>
    <cellStyle name="Note 3 2 2 2 2" xfId="2438" xr:uid="{00000000-0005-0000-0000-0000A8080000}"/>
    <cellStyle name="Note 3 2 2 2 2 2" xfId="5688" xr:uid="{BC94D9E1-AD98-4556-AF7A-F7D4A4DE5E4E}"/>
    <cellStyle name="Note 3 2 2 2 2 2 2" xfId="9068" xr:uid="{8DE60F84-E46A-4A34-83AE-A5EBE68B64E8}"/>
    <cellStyle name="Note 3 2 2 2 2 3" xfId="7368" xr:uid="{E333B383-869F-47CB-9596-05322CFAB507}"/>
    <cellStyle name="Note 3 2 2 2 2_DEO ADIT Unprotected" xfId="4021" xr:uid="{E4857FF4-BC70-48F9-B318-A8F48EE62EBB}"/>
    <cellStyle name="Note 3 2 2 2 3" xfId="4851" xr:uid="{D87A26C5-9D0C-4EDD-8450-E3D77C7398D4}"/>
    <cellStyle name="Note 3 2 2 2 3 2" xfId="8231" xr:uid="{D274F1EF-AAD4-4DAB-AC12-A1BBB6968EB5}"/>
    <cellStyle name="Note 3 2 2 2 4" xfId="6531" xr:uid="{F445F5D8-06C3-457B-92A8-67A99F5DB329}"/>
    <cellStyle name="Note 3 2 2 2_DEO ADIT Unprotected" xfId="4020" xr:uid="{586C8810-7D97-4D97-8D83-AEDB05B751C4}"/>
    <cellStyle name="Note 3 2 2 3" xfId="2437" xr:uid="{00000000-0005-0000-0000-0000A9080000}"/>
    <cellStyle name="Note 3 2 2 3 2" xfId="5687" xr:uid="{4785CEDB-0FDB-43A8-8F55-5D7DA556D7F5}"/>
    <cellStyle name="Note 3 2 2 3 2 2" xfId="9067" xr:uid="{DC3918B8-B4A5-4614-A927-AAC274AA6F64}"/>
    <cellStyle name="Note 3 2 2 3 3" xfId="7367" xr:uid="{167B5F7D-64A0-466B-8B7A-E20CCCED6041}"/>
    <cellStyle name="Note 3 2 2 3_DEO ADIT Unprotected" xfId="4022" xr:uid="{A2151628-448B-4CF5-B07F-D9CF449B742D}"/>
    <cellStyle name="Note 3 2 2 4" xfId="4850" xr:uid="{DCC2B8DD-5F9E-48BA-AB7C-82D930D96038}"/>
    <cellStyle name="Note 3 2 2 4 2" xfId="8230" xr:uid="{FB746FEE-2B8C-4BA5-8EB8-6C949C9AF6AF}"/>
    <cellStyle name="Note 3 2 2 5" xfId="6530" xr:uid="{906623B0-1A9E-4FCA-918E-06F64857BF43}"/>
    <cellStyle name="Note 3 2 2_DEO ADIT Unprotected" xfId="4019" xr:uid="{534525CD-E09D-4197-B529-06B7AFD7915E}"/>
    <cellStyle name="Note 3 2 3" xfId="1552" xr:uid="{00000000-0005-0000-0000-0000AA080000}"/>
    <cellStyle name="Note 3 2 3 2" xfId="2439" xr:uid="{00000000-0005-0000-0000-0000AB080000}"/>
    <cellStyle name="Note 3 2 3 2 2" xfId="5689" xr:uid="{23ACCABD-2A25-4522-8B53-589AD5131E02}"/>
    <cellStyle name="Note 3 2 3 2 2 2" xfId="9069" xr:uid="{A9EF2E8D-F7B8-45D4-AB37-57B87FFE0B79}"/>
    <cellStyle name="Note 3 2 3 2 3" xfId="7369" xr:uid="{2886378B-E06E-434C-9BF2-036C59C9DD78}"/>
    <cellStyle name="Note 3 2 3 2_DEO ADIT Unprotected" xfId="4024" xr:uid="{5DFC1353-C952-402F-9017-D8572E4D7683}"/>
    <cellStyle name="Note 3 2 3 3" xfId="4852" xr:uid="{BF13CC0C-62A5-42DC-A9D5-6EFA432675C5}"/>
    <cellStyle name="Note 3 2 3 3 2" xfId="8232" xr:uid="{FA4D3737-78D8-4CD2-B02A-DD9CC6721AF6}"/>
    <cellStyle name="Note 3 2 3 4" xfId="6532" xr:uid="{251E21C6-9A16-4E65-9632-6B224C295FE6}"/>
    <cellStyle name="Note 3 2 3_DEO ADIT Unprotected" xfId="4023" xr:uid="{F5DEEEB8-1424-4C4C-8406-ADFE4A67BD34}"/>
    <cellStyle name="Note 3 2 4" xfId="2436" xr:uid="{00000000-0005-0000-0000-0000AC080000}"/>
    <cellStyle name="Note 3 2 4 2" xfId="5686" xr:uid="{BAB8A864-558B-4CE4-8F2C-B83ECF6B518A}"/>
    <cellStyle name="Note 3 2 4 2 2" xfId="9066" xr:uid="{47943B89-CB94-48D2-82D5-FC4A7AD80B61}"/>
    <cellStyle name="Note 3 2 4 3" xfId="7366" xr:uid="{0BFAF2EA-2D39-4C9E-A7B6-09831F916CE2}"/>
    <cellStyle name="Note 3 2 4_DEO ADIT Unprotected" xfId="4025" xr:uid="{43D8506D-B747-4CEE-AD7F-C674C64E0AC9}"/>
    <cellStyle name="Note 3 2 5" xfId="4849" xr:uid="{AEF839B9-8CFD-4773-B58D-9E7AA0DBCB28}"/>
    <cellStyle name="Note 3 2 5 2" xfId="8229" xr:uid="{C8E0B5DD-9BE4-429C-A15E-CB6622EC8596}"/>
    <cellStyle name="Note 3 2 6" xfId="6529" xr:uid="{D2BA7940-F9DF-47F0-BB29-82CD4D5E431C}"/>
    <cellStyle name="Note 3 2_DEO ADIT Unprotected" xfId="4018" xr:uid="{80D3CAE8-8EA4-425A-BD53-04229033377B}"/>
    <cellStyle name="Note 3 3" xfId="1553" xr:uid="{00000000-0005-0000-0000-0000AD080000}"/>
    <cellStyle name="Note 3 3 2" xfId="1554" xr:uid="{00000000-0005-0000-0000-0000AE080000}"/>
    <cellStyle name="Note 3 3 2 2" xfId="2441" xr:uid="{00000000-0005-0000-0000-0000AF080000}"/>
    <cellStyle name="Note 3 3 2 2 2" xfId="5691" xr:uid="{9D2FB3E5-81BF-4F92-BEF4-549A54A8AEA5}"/>
    <cellStyle name="Note 3 3 2 2 2 2" xfId="9071" xr:uid="{2D1E59BD-9E09-4C03-822F-5A5E828E6232}"/>
    <cellStyle name="Note 3 3 2 2 3" xfId="7371" xr:uid="{335D5075-02AA-4448-AD54-CD0B394D3787}"/>
    <cellStyle name="Note 3 3 2 2_DEO ADIT Unprotected" xfId="4028" xr:uid="{3A5A88F2-04DD-40B9-B9BB-85AE3D96DF67}"/>
    <cellStyle name="Note 3 3 2 3" xfId="4854" xr:uid="{B3A64047-A0E5-405A-A4CD-B55B6CBC7121}"/>
    <cellStyle name="Note 3 3 2 3 2" xfId="8234" xr:uid="{C833F973-3F11-4D1D-AF66-EECB5613A47C}"/>
    <cellStyle name="Note 3 3 2 4" xfId="6534" xr:uid="{D43C804C-AB85-426D-8C34-F908F02BB8C0}"/>
    <cellStyle name="Note 3 3 2_DEO ADIT Unprotected" xfId="4027" xr:uid="{1D5A351E-B8A2-48F3-AFAC-33A548A135C0}"/>
    <cellStyle name="Note 3 3 3" xfId="2440" xr:uid="{00000000-0005-0000-0000-0000B0080000}"/>
    <cellStyle name="Note 3 3 3 2" xfId="5690" xr:uid="{C5326F08-5E92-4315-92BD-570931ADD210}"/>
    <cellStyle name="Note 3 3 3 2 2" xfId="9070" xr:uid="{2D522545-D9A3-4A4D-B2E2-66BA4B9E96A2}"/>
    <cellStyle name="Note 3 3 3 3" xfId="7370" xr:uid="{AE979F66-6379-4198-9176-4D032A7303F2}"/>
    <cellStyle name="Note 3 3 3_DEO ADIT Unprotected" xfId="4029" xr:uid="{6B196B17-E68D-4D5C-9310-E462AA1E1A7C}"/>
    <cellStyle name="Note 3 3 4" xfId="4853" xr:uid="{793D5AB7-B49A-4C5C-B024-3A1F5E2C232B}"/>
    <cellStyle name="Note 3 3 4 2" xfId="8233" xr:uid="{7216363E-2908-4ACF-8BC7-5171AD469147}"/>
    <cellStyle name="Note 3 3 5" xfId="6533" xr:uid="{59577829-9A38-46A0-B4B6-00415586165E}"/>
    <cellStyle name="Note 3 3_DEO ADIT Unprotected" xfId="4026" xr:uid="{CA95CA9E-4A59-4D67-99BB-1A5DE338E7BF}"/>
    <cellStyle name="Note 4" xfId="1555" xr:uid="{00000000-0005-0000-0000-0000B1080000}"/>
    <cellStyle name="Note 5" xfId="1556" xr:uid="{00000000-0005-0000-0000-0000B2080000}"/>
    <cellStyle name="Note 6" xfId="1557" xr:uid="{00000000-0005-0000-0000-0000B3080000}"/>
    <cellStyle name="Note 7" xfId="1558" xr:uid="{00000000-0005-0000-0000-0000B4080000}"/>
    <cellStyle name="Note 7 2" xfId="1559" xr:uid="{00000000-0005-0000-0000-0000B5080000}"/>
    <cellStyle name="Note 8" xfId="1560" xr:uid="{00000000-0005-0000-0000-0000B6080000}"/>
    <cellStyle name="Note 9" xfId="1561" xr:uid="{00000000-0005-0000-0000-0000B7080000}"/>
    <cellStyle name="Output" xfId="521" builtinId="21" customBuiltin="1"/>
    <cellStyle name="Output 2" xfId="1562" xr:uid="{00000000-0005-0000-0000-0000B9080000}"/>
    <cellStyle name="Output 2 2" xfId="1563" xr:uid="{00000000-0005-0000-0000-0000BA080000}"/>
    <cellStyle name="Output 2 3" xfId="1564" xr:uid="{00000000-0005-0000-0000-0000BB080000}"/>
    <cellStyle name="Output 2_DEO ADIT Unprotected" xfId="4030" xr:uid="{7CF24382-DE1F-4DAC-82BE-BEF3F87A0424}"/>
    <cellStyle name="Output 3" xfId="1565" xr:uid="{00000000-0005-0000-0000-0000BC080000}"/>
    <cellStyle name="Output 4" xfId="1566" xr:uid="{00000000-0005-0000-0000-0000BD080000}"/>
    <cellStyle name="Output Report Heading_C_BS5_D_C_YTD_CONSG_ALL_U" xfId="1567" xr:uid="{00000000-0005-0000-0000-0000BE080000}"/>
    <cellStyle name="Output1_Back" xfId="183" xr:uid="{00000000-0005-0000-0000-0000BF080000}"/>
    <cellStyle name="p" xfId="184" xr:uid="{00000000-0005-0000-0000-0000C0080000}"/>
    <cellStyle name="p_2010 Attachment O  GG_082709" xfId="185" xr:uid="{00000000-0005-0000-0000-0000C1080000}"/>
    <cellStyle name="p_2010 Attachment O Template Supporting Work Papers_ITC Midwest" xfId="186" xr:uid="{00000000-0005-0000-0000-0000C2080000}"/>
    <cellStyle name="p_2010 Attachment O Template Supporting Work Papers_ITCTransmission" xfId="187" xr:uid="{00000000-0005-0000-0000-0000C3080000}"/>
    <cellStyle name="p_2010 Attachment O Template Supporting Work Papers_METC" xfId="188" xr:uid="{00000000-0005-0000-0000-0000C4080000}"/>
    <cellStyle name="p_2Mod11" xfId="189" xr:uid="{00000000-0005-0000-0000-0000C5080000}"/>
    <cellStyle name="p_aavidmod11.xls Chart 1" xfId="190" xr:uid="{00000000-0005-0000-0000-0000C6080000}"/>
    <cellStyle name="p_aavidmod11.xls Chart 2" xfId="191" xr:uid="{00000000-0005-0000-0000-0000C7080000}"/>
    <cellStyle name="p_Attachment O &amp; GG" xfId="192" xr:uid="{00000000-0005-0000-0000-0000C8080000}"/>
    <cellStyle name="p_charts for capm" xfId="193" xr:uid="{00000000-0005-0000-0000-0000C9080000}"/>
    <cellStyle name="p_charts for capm_DEO ADIT Unprotected" xfId="4031" xr:uid="{891F89F2-16B3-4EB1-B69E-75EA438F8956}"/>
    <cellStyle name="p_DCF" xfId="194" xr:uid="{00000000-0005-0000-0000-0000CA080000}"/>
    <cellStyle name="p_DCF_2Mod11" xfId="195" xr:uid="{00000000-0005-0000-0000-0000CB080000}"/>
    <cellStyle name="p_DCF_aavidmod11.xls Chart 1" xfId="196" xr:uid="{00000000-0005-0000-0000-0000CC080000}"/>
    <cellStyle name="p_DCF_aavidmod11.xls Chart 2" xfId="197" xr:uid="{00000000-0005-0000-0000-0000CD080000}"/>
    <cellStyle name="p_DCF_charts for capm" xfId="198" xr:uid="{00000000-0005-0000-0000-0000CE080000}"/>
    <cellStyle name="p_DCF_charts for capm_DEO ADIT Unprotected" xfId="4032" xr:uid="{64FEB6ED-64FC-4EA7-8289-C6E06E5AB301}"/>
    <cellStyle name="p_DCF_DCF5" xfId="199" xr:uid="{00000000-0005-0000-0000-0000CF080000}"/>
    <cellStyle name="p_DCF_DCF5_DEO ADIT Unprotected" xfId="4033" xr:uid="{94538224-25C4-4183-B16B-67BCDD03F61F}"/>
    <cellStyle name="p_DCF_Template2" xfId="200" xr:uid="{00000000-0005-0000-0000-0000D0080000}"/>
    <cellStyle name="p_DCF_Template2_1" xfId="201" xr:uid="{00000000-0005-0000-0000-0000D1080000}"/>
    <cellStyle name="p_DCF_VERA" xfId="202" xr:uid="{00000000-0005-0000-0000-0000D2080000}"/>
    <cellStyle name="p_DCF_VERA_1" xfId="203" xr:uid="{00000000-0005-0000-0000-0000D3080000}"/>
    <cellStyle name="p_DCF_VERA_1_Template2" xfId="204" xr:uid="{00000000-0005-0000-0000-0000D4080000}"/>
    <cellStyle name="p_DCF_VERA_aavidmod11.xls Chart 2" xfId="205" xr:uid="{00000000-0005-0000-0000-0000D5080000}"/>
    <cellStyle name="p_DCF_VERA_Model02" xfId="206" xr:uid="{00000000-0005-0000-0000-0000D6080000}"/>
    <cellStyle name="p_DCF_VERA_Template2" xfId="207" xr:uid="{00000000-0005-0000-0000-0000D7080000}"/>
    <cellStyle name="p_DCF_VERA_VERA" xfId="208" xr:uid="{00000000-0005-0000-0000-0000D8080000}"/>
    <cellStyle name="p_DCF_VERA_VERA_1" xfId="209" xr:uid="{00000000-0005-0000-0000-0000D9080000}"/>
    <cellStyle name="p_DCF_VERA_VERA_2" xfId="210" xr:uid="{00000000-0005-0000-0000-0000DA080000}"/>
    <cellStyle name="p_DCF_VERA_VERA_Template2" xfId="211" xr:uid="{00000000-0005-0000-0000-0000DB080000}"/>
    <cellStyle name="p_DCF5" xfId="212" xr:uid="{00000000-0005-0000-0000-0000DC080000}"/>
    <cellStyle name="p_DCF5_DEO ADIT Unprotected" xfId="4034" xr:uid="{DA1959A3-6659-4ADD-A0A4-9788320A93AC}"/>
    <cellStyle name="p_ITC Great Plains Formula 1-12-09a" xfId="213" xr:uid="{00000000-0005-0000-0000-0000DD080000}"/>
    <cellStyle name="p_ITCM 2010 Template" xfId="214" xr:uid="{00000000-0005-0000-0000-0000DE080000}"/>
    <cellStyle name="p_ITCMW 2009 Rate" xfId="215" xr:uid="{00000000-0005-0000-0000-0000DF080000}"/>
    <cellStyle name="p_ITCMW 2010 Rate_083109" xfId="216" xr:uid="{00000000-0005-0000-0000-0000E0080000}"/>
    <cellStyle name="p_ITCOP 2010 Rate_083109" xfId="217" xr:uid="{00000000-0005-0000-0000-0000E1080000}"/>
    <cellStyle name="p_ITCT 2009 Rate" xfId="218" xr:uid="{00000000-0005-0000-0000-0000E2080000}"/>
    <cellStyle name="p_ITCT New 2010 Attachment O &amp; GG_111209NL" xfId="219" xr:uid="{00000000-0005-0000-0000-0000E3080000}"/>
    <cellStyle name="p_METC 2010 Rate_083109" xfId="220" xr:uid="{00000000-0005-0000-0000-0000E4080000}"/>
    <cellStyle name="p_Template2" xfId="221" xr:uid="{00000000-0005-0000-0000-0000E5080000}"/>
    <cellStyle name="p_Template2_1" xfId="222" xr:uid="{00000000-0005-0000-0000-0000E6080000}"/>
    <cellStyle name="p_VERA" xfId="223" xr:uid="{00000000-0005-0000-0000-0000E7080000}"/>
    <cellStyle name="p_VERA_1" xfId="224" xr:uid="{00000000-0005-0000-0000-0000E8080000}"/>
    <cellStyle name="p_VERA_1_Template2" xfId="225" xr:uid="{00000000-0005-0000-0000-0000E9080000}"/>
    <cellStyle name="p_VERA_aavidmod11.xls Chart 2" xfId="226" xr:uid="{00000000-0005-0000-0000-0000EA080000}"/>
    <cellStyle name="p_VERA_Model02" xfId="227" xr:uid="{00000000-0005-0000-0000-0000EB080000}"/>
    <cellStyle name="p_VERA_Template2" xfId="228" xr:uid="{00000000-0005-0000-0000-0000EC080000}"/>
    <cellStyle name="p_VERA_VERA" xfId="229" xr:uid="{00000000-0005-0000-0000-0000ED080000}"/>
    <cellStyle name="p_VERA_VERA_1" xfId="230" xr:uid="{00000000-0005-0000-0000-0000EE080000}"/>
    <cellStyle name="p_VERA_VERA_2" xfId="231" xr:uid="{00000000-0005-0000-0000-0000EF080000}"/>
    <cellStyle name="p_VERA_VERA_Template2" xfId="232" xr:uid="{00000000-0005-0000-0000-0000F0080000}"/>
    <cellStyle name="p1" xfId="233" xr:uid="{00000000-0005-0000-0000-0000F1080000}"/>
    <cellStyle name="p2" xfId="234" xr:uid="{00000000-0005-0000-0000-0000F2080000}"/>
    <cellStyle name="p3" xfId="235" xr:uid="{00000000-0005-0000-0000-0000F3080000}"/>
    <cellStyle name="Percent" xfId="2463" builtinId="5"/>
    <cellStyle name="Percent %" xfId="236" xr:uid="{00000000-0005-0000-0000-0000F4080000}"/>
    <cellStyle name="Percent % Long Underline" xfId="237" xr:uid="{00000000-0005-0000-0000-0000F5080000}"/>
    <cellStyle name="Percent (0)" xfId="238" xr:uid="{00000000-0005-0000-0000-0000F6080000}"/>
    <cellStyle name="Percent [0]" xfId="239" xr:uid="{00000000-0005-0000-0000-0000F7080000}"/>
    <cellStyle name="Percent [1]" xfId="240" xr:uid="{00000000-0005-0000-0000-0000F8080000}"/>
    <cellStyle name="Percent [2]" xfId="241" xr:uid="{00000000-0005-0000-0000-0000F9080000}"/>
    <cellStyle name="Percent [3]" xfId="242" xr:uid="{00000000-0005-0000-0000-0000FA080000}"/>
    <cellStyle name="Percent 0.0%" xfId="243" xr:uid="{00000000-0005-0000-0000-0000FB080000}"/>
    <cellStyle name="Percent 0.0% Long Underline" xfId="244" xr:uid="{00000000-0005-0000-0000-0000FC080000}"/>
    <cellStyle name="Percent 0.00%" xfId="245" xr:uid="{00000000-0005-0000-0000-0000FD080000}"/>
    <cellStyle name="Percent 0.00% Long Underline" xfId="246" xr:uid="{00000000-0005-0000-0000-0000FE080000}"/>
    <cellStyle name="Percent 0.000%" xfId="247" xr:uid="{00000000-0005-0000-0000-0000FF080000}"/>
    <cellStyle name="Percent 0.000% Long Underline" xfId="248" xr:uid="{00000000-0005-0000-0000-000000090000}"/>
    <cellStyle name="Percent 0.0000%" xfId="249" xr:uid="{00000000-0005-0000-0000-000001090000}"/>
    <cellStyle name="Percent 0.0000% Long Underline" xfId="250" xr:uid="{00000000-0005-0000-0000-000002090000}"/>
    <cellStyle name="Percent 10" xfId="1568" xr:uid="{00000000-0005-0000-0000-000003090000}"/>
    <cellStyle name="Percent 10 2" xfId="1569" xr:uid="{00000000-0005-0000-0000-000004090000}"/>
    <cellStyle name="Percent 10 2 2" xfId="2443" xr:uid="{00000000-0005-0000-0000-000005090000}"/>
    <cellStyle name="Percent 10 2 2 2" xfId="5693" xr:uid="{BFD31C0F-0FFC-49A5-A0B7-0EC2795F9A5B}"/>
    <cellStyle name="Percent 10 2 2 2 2" xfId="9073" xr:uid="{2DAEDBD9-50C1-4E1D-8B55-0D2BD62E2BE2}"/>
    <cellStyle name="Percent 10 2 2 3" xfId="7373" xr:uid="{AE6F49C5-8537-4C79-AA91-966A01C9085C}"/>
    <cellStyle name="Percent 10 2 3" xfId="4856" xr:uid="{4344850C-4EE6-4837-85A7-136675E00AF5}"/>
    <cellStyle name="Percent 10 2 3 2" xfId="8236" xr:uid="{D9BAD835-3E2B-411C-8914-FD8960F7BF1F}"/>
    <cellStyle name="Percent 10 2 4" xfId="6536" xr:uid="{24BE0626-62DC-4526-8E3F-4F811471DB33}"/>
    <cellStyle name="Percent 10 3" xfId="2442" xr:uid="{00000000-0005-0000-0000-000006090000}"/>
    <cellStyle name="Percent 10 3 2" xfId="5692" xr:uid="{14E1FE89-F813-44C3-B8E9-0B40337D76AD}"/>
    <cellStyle name="Percent 10 3 2 2" xfId="9072" xr:uid="{88217372-09AD-4F46-8D84-E3F6236E0459}"/>
    <cellStyle name="Percent 10 3 3" xfId="7372" xr:uid="{B2C3960D-090C-4990-B43C-3449F6DD199B}"/>
    <cellStyle name="Percent 10 4" xfId="4855" xr:uid="{99C5A769-C4B1-420A-A1B1-67352E913313}"/>
    <cellStyle name="Percent 10 4 2" xfId="8235" xr:uid="{82447D15-42C9-43E0-846C-E51740FBF6E1}"/>
    <cellStyle name="Percent 10 5" xfId="6535" xr:uid="{1C599A75-B291-4C8E-B9EC-8F7CA12C4DD9}"/>
    <cellStyle name="Percent 11" xfId="1570" xr:uid="{00000000-0005-0000-0000-000007090000}"/>
    <cellStyle name="Percent 12" xfId="1571" xr:uid="{00000000-0005-0000-0000-000008090000}"/>
    <cellStyle name="Percent 19" xfId="9122" xr:uid="{1FE540D3-435F-427C-B818-413DF916238A}"/>
    <cellStyle name="Percent 2" xfId="11" xr:uid="{00000000-0005-0000-0000-000009090000}"/>
    <cellStyle name="Percent 2 2" xfId="251" xr:uid="{00000000-0005-0000-0000-00000A090000}"/>
    <cellStyle name="Percent 2 2 2" xfId="1572" xr:uid="{00000000-0005-0000-0000-00000B090000}"/>
    <cellStyle name="Percent 2 2 2 10" xfId="4857" xr:uid="{EA936EF3-DDCC-43A4-A3B7-89D08EF5148E}"/>
    <cellStyle name="Percent 2 2 2 10 2" xfId="8237" xr:uid="{30786AD4-3EFE-4E51-B5AA-073C01C1C796}"/>
    <cellStyle name="Percent 2 2 2 11" xfId="6537" xr:uid="{99F9430D-8A30-4F7C-BC11-3AB2FE8E20CA}"/>
    <cellStyle name="Percent 2 2 2 2" xfId="1573" xr:uid="{00000000-0005-0000-0000-00000C090000}"/>
    <cellStyle name="Percent 2 2 2 2 2" xfId="2445" xr:uid="{00000000-0005-0000-0000-00000D090000}"/>
    <cellStyle name="Percent 2 2 2 2 2 2" xfId="5695" xr:uid="{E8145558-D57F-4A66-B8AE-C886470C60B9}"/>
    <cellStyle name="Percent 2 2 2 2 2 2 2" xfId="9075" xr:uid="{42304D74-0FDC-4BF2-B7E0-734B2F1FF4CE}"/>
    <cellStyle name="Percent 2 2 2 2 2 3" xfId="7375" xr:uid="{20DF3252-4209-4293-883F-1566084D6F3A}"/>
    <cellStyle name="Percent 2 2 2 2 3" xfId="4858" xr:uid="{AC3516BB-6B79-41D3-B50D-8D7595019110}"/>
    <cellStyle name="Percent 2 2 2 2 3 2" xfId="8238" xr:uid="{316345DB-6C45-4349-B74D-76DAD097224B}"/>
    <cellStyle name="Percent 2 2 2 2 4" xfId="6538" xr:uid="{D2BD957E-5326-45DE-B053-CE90C06E4FD6}"/>
    <cellStyle name="Percent 2 2 2 3" xfId="1574" xr:uid="{00000000-0005-0000-0000-00000E090000}"/>
    <cellStyle name="Percent 2 2 2 3 2" xfId="2446" xr:uid="{00000000-0005-0000-0000-00000F090000}"/>
    <cellStyle name="Percent 2 2 2 3 2 2" xfId="5696" xr:uid="{88DDDFAD-6999-41F8-9DC9-A0AF8A8E7D7D}"/>
    <cellStyle name="Percent 2 2 2 3 2 2 2" xfId="9076" xr:uid="{ABA6B66F-C7F2-4497-830F-F306A98EAA5A}"/>
    <cellStyle name="Percent 2 2 2 3 2 3" xfId="7376" xr:uid="{EF0BD1CF-21D5-4F3C-884A-F56E25036CCD}"/>
    <cellStyle name="Percent 2 2 2 3 3" xfId="4859" xr:uid="{0BCD97EA-D5BC-4993-B2D6-5FACD62ED3B8}"/>
    <cellStyle name="Percent 2 2 2 3 3 2" xfId="8239" xr:uid="{C79E3F20-1E72-43B7-B5B3-C8DF501CCBE9}"/>
    <cellStyle name="Percent 2 2 2 3 4" xfId="6539" xr:uid="{C88F58C9-A05E-4FB6-80F0-3B704C5FF2DD}"/>
    <cellStyle name="Percent 2 2 2 4" xfId="1575" xr:uid="{00000000-0005-0000-0000-000010090000}"/>
    <cellStyle name="Percent 2 2 2 4 2" xfId="2447" xr:uid="{00000000-0005-0000-0000-000011090000}"/>
    <cellStyle name="Percent 2 2 2 4 2 2" xfId="5697" xr:uid="{A2864D5D-3FCA-4C9D-A8A7-BF720E37173F}"/>
    <cellStyle name="Percent 2 2 2 4 2 2 2" xfId="9077" xr:uid="{8798D1C1-07E6-4547-A169-EB5A58705C3E}"/>
    <cellStyle name="Percent 2 2 2 4 2 3" xfId="7377" xr:uid="{968FEC89-B5C7-492F-8995-177F720C5186}"/>
    <cellStyle name="Percent 2 2 2 4 3" xfId="4860" xr:uid="{C8B19160-D51C-4D55-BA90-FDAE1F3C5133}"/>
    <cellStyle name="Percent 2 2 2 4 3 2" xfId="8240" xr:uid="{16B6BDD6-74D4-4F42-B787-EF4F6AFE09E4}"/>
    <cellStyle name="Percent 2 2 2 4 4" xfId="6540" xr:uid="{DE0F8834-9F81-478D-AAA8-1241B833567D}"/>
    <cellStyle name="Percent 2 2 2 5" xfId="1576" xr:uid="{00000000-0005-0000-0000-000012090000}"/>
    <cellStyle name="Percent 2 2 2 5 2" xfId="2448" xr:uid="{00000000-0005-0000-0000-000013090000}"/>
    <cellStyle name="Percent 2 2 2 5 2 2" xfId="5698" xr:uid="{E6427A4B-0351-46D0-B731-B40E53128622}"/>
    <cellStyle name="Percent 2 2 2 5 2 2 2" xfId="9078" xr:uid="{6152A937-4C3E-4FE4-BA9F-D3CBA7C90061}"/>
    <cellStyle name="Percent 2 2 2 5 2 3" xfId="7378" xr:uid="{B952AB9B-4766-435B-BED0-47C98FBC4122}"/>
    <cellStyle name="Percent 2 2 2 5 3" xfId="4861" xr:uid="{9FE856E2-A4FB-4B55-8B94-922B4489EFEB}"/>
    <cellStyle name="Percent 2 2 2 5 3 2" xfId="8241" xr:uid="{3E11DB1D-0C4C-42C6-9349-4022CA39B47D}"/>
    <cellStyle name="Percent 2 2 2 5 4" xfId="6541" xr:uid="{A6DEBCAC-5A29-48D7-B340-C46862D41145}"/>
    <cellStyle name="Percent 2 2 2 6" xfId="1577" xr:uid="{00000000-0005-0000-0000-000014090000}"/>
    <cellStyle name="Percent 2 2 2 6 2" xfId="2449" xr:uid="{00000000-0005-0000-0000-000015090000}"/>
    <cellStyle name="Percent 2 2 2 6 2 2" xfId="5699" xr:uid="{F559194C-29A3-4CD6-874C-C6FDFB4ADFD3}"/>
    <cellStyle name="Percent 2 2 2 6 2 2 2" xfId="9079" xr:uid="{297F87E4-9C11-44D8-B830-4EBC5C69216A}"/>
    <cellStyle name="Percent 2 2 2 6 2 3" xfId="7379" xr:uid="{A4FA2B18-C41D-436A-9CE1-0AB5FDFBD38E}"/>
    <cellStyle name="Percent 2 2 2 6 3" xfId="4862" xr:uid="{DEA0628B-1B54-43D3-8566-8EFF3585546C}"/>
    <cellStyle name="Percent 2 2 2 6 3 2" xfId="8242" xr:uid="{340A32F9-C6C5-46E3-BD94-6580A3DC15A7}"/>
    <cellStyle name="Percent 2 2 2 6 4" xfId="6542" xr:uid="{C1D77008-CF6F-4664-9336-4CAE0F46DF01}"/>
    <cellStyle name="Percent 2 2 2 7" xfId="1578" xr:uid="{00000000-0005-0000-0000-000016090000}"/>
    <cellStyle name="Percent 2 2 2 7 2" xfId="2450" xr:uid="{00000000-0005-0000-0000-000017090000}"/>
    <cellStyle name="Percent 2 2 2 7 2 2" xfId="5700" xr:uid="{6B31EACD-A67F-4966-8F19-20B2CEEDB44F}"/>
    <cellStyle name="Percent 2 2 2 7 2 2 2" xfId="9080" xr:uid="{E7BDA28D-DD30-4B89-96E3-10740B5029B2}"/>
    <cellStyle name="Percent 2 2 2 7 2 3" xfId="7380" xr:uid="{D274A0C4-F0E1-48E3-80C4-EF8BB6867B2C}"/>
    <cellStyle name="Percent 2 2 2 7 3" xfId="4863" xr:uid="{5B38A6D0-A141-4372-BBE1-901A9BF56372}"/>
    <cellStyle name="Percent 2 2 2 7 3 2" xfId="8243" xr:uid="{3715A773-E33D-4EDE-AEAA-BF7E86F35218}"/>
    <cellStyle name="Percent 2 2 2 7 4" xfId="6543" xr:uid="{DD9FFB17-A15C-4328-82AF-0D26FC52D5E0}"/>
    <cellStyle name="Percent 2 2 2 8" xfId="1579" xr:uid="{00000000-0005-0000-0000-000018090000}"/>
    <cellStyle name="Percent 2 2 2 8 2" xfId="2451" xr:uid="{00000000-0005-0000-0000-000019090000}"/>
    <cellStyle name="Percent 2 2 2 8 2 2" xfId="5701" xr:uid="{285629A6-8681-4B5D-9D11-6AA65461A469}"/>
    <cellStyle name="Percent 2 2 2 8 2 2 2" xfId="9081" xr:uid="{A6DD9E1F-110E-4447-8276-86BA11DA6907}"/>
    <cellStyle name="Percent 2 2 2 8 2 3" xfId="7381" xr:uid="{CE2243CC-9F46-431E-97E6-84E5E0F8E362}"/>
    <cellStyle name="Percent 2 2 2 8 3" xfId="4864" xr:uid="{37952376-6172-4B26-838D-DA9DFF12453F}"/>
    <cellStyle name="Percent 2 2 2 8 3 2" xfId="8244" xr:uid="{0662B246-9325-4838-A4D9-A504E4A6AE9F}"/>
    <cellStyle name="Percent 2 2 2 8 4" xfId="6544" xr:uid="{0169C6E9-F893-4CBD-9E48-CD4F917FFDBF}"/>
    <cellStyle name="Percent 2 2 2 9" xfId="2444" xr:uid="{00000000-0005-0000-0000-00001A090000}"/>
    <cellStyle name="Percent 2 2 2 9 2" xfId="5694" xr:uid="{3F026D45-B7D7-464F-8300-AF7DF6FDF916}"/>
    <cellStyle name="Percent 2 2 2 9 2 2" xfId="9074" xr:uid="{0F7FF1B6-B6D6-4643-82CF-1B11633F557C}"/>
    <cellStyle name="Percent 2 2 2 9 3" xfId="7374" xr:uid="{388D026E-754D-4143-81FA-02B197EB91A4}"/>
    <cellStyle name="Percent 2 3" xfId="1580" xr:uid="{00000000-0005-0000-0000-00001B090000}"/>
    <cellStyle name="Percent 2 3 2" xfId="1581" xr:uid="{00000000-0005-0000-0000-00001C090000}"/>
    <cellStyle name="Percent 2 3 2 2" xfId="2453" xr:uid="{00000000-0005-0000-0000-00001D090000}"/>
    <cellStyle name="Percent 2 3 2 2 2" xfId="5703" xr:uid="{D77A2843-C7AC-4454-83D6-B63C24942DF5}"/>
    <cellStyle name="Percent 2 3 2 2 2 2" xfId="9083" xr:uid="{48ADE623-9B0A-4071-AAD7-CB1E81D31246}"/>
    <cellStyle name="Percent 2 3 2 2 3" xfId="7383" xr:uid="{8FFE3F66-0931-4E46-9CE7-A65EF559E46D}"/>
    <cellStyle name="Percent 2 3 2 3" xfId="4866" xr:uid="{A9F30814-DC2E-4CF7-BAD5-191912D95F98}"/>
    <cellStyle name="Percent 2 3 2 3 2" xfId="8246" xr:uid="{E47CF8CD-33BB-4330-9D89-7536C34C470A}"/>
    <cellStyle name="Percent 2 3 2 4" xfId="6546" xr:uid="{4596844A-5F74-427A-A831-54A51DA1E3A2}"/>
    <cellStyle name="Percent 2 3 3" xfId="2452" xr:uid="{00000000-0005-0000-0000-00001E090000}"/>
    <cellStyle name="Percent 2 3 3 2" xfId="5702" xr:uid="{1858C40C-ECA4-491F-9B93-8A1C9323342B}"/>
    <cellStyle name="Percent 2 3 3 2 2" xfId="9082" xr:uid="{E3005B90-DD26-472E-B766-D9E8FC1BD226}"/>
    <cellStyle name="Percent 2 3 3 3" xfId="7382" xr:uid="{0B634CB7-8D3D-436C-88C6-090B533EEE19}"/>
    <cellStyle name="Percent 2 3 4" xfId="4865" xr:uid="{2BE039C9-7AF9-41E2-8019-820D12A72A79}"/>
    <cellStyle name="Percent 2 3 4 2" xfId="8245" xr:uid="{5B4BEB2C-CEB2-421D-BD1E-14FA9FC75853}"/>
    <cellStyle name="Percent 2 3 5" xfId="6545" xr:uid="{6603CB46-7A7D-4642-BBE4-E9CBE86C4C9B}"/>
    <cellStyle name="Percent 2 4" xfId="1582" xr:uid="{00000000-0005-0000-0000-00001F090000}"/>
    <cellStyle name="Percent 2 4 2" xfId="1583" xr:uid="{00000000-0005-0000-0000-000020090000}"/>
    <cellStyle name="Percent 2 4 2 2" xfId="2455" xr:uid="{00000000-0005-0000-0000-000021090000}"/>
    <cellStyle name="Percent 2 4 2 2 2" xfId="5705" xr:uid="{87B9C64D-0558-496E-B227-D45E0D8AFAE8}"/>
    <cellStyle name="Percent 2 4 2 2 2 2" xfId="9085" xr:uid="{3AFFBA22-2089-4497-B4D7-6ED19FADF376}"/>
    <cellStyle name="Percent 2 4 2 2 3" xfId="7385" xr:uid="{3DCB39AA-AC37-4706-9EB6-A55C123F47E2}"/>
    <cellStyle name="Percent 2 4 2 3" xfId="4868" xr:uid="{CE3CB64F-A21D-4042-963E-22B89C497FE6}"/>
    <cellStyle name="Percent 2 4 2 3 2" xfId="8248" xr:uid="{C6A65BBF-6B50-4694-9536-BAED76F2D192}"/>
    <cellStyle name="Percent 2 4 2 4" xfId="6548" xr:uid="{6C29E6E2-D033-4D40-A565-70550596AC81}"/>
    <cellStyle name="Percent 2 4 3" xfId="2454" xr:uid="{00000000-0005-0000-0000-000022090000}"/>
    <cellStyle name="Percent 2 4 3 2" xfId="5704" xr:uid="{7C3E6A53-F4B5-464A-A23B-83AD37039781}"/>
    <cellStyle name="Percent 2 4 3 2 2" xfId="9084" xr:uid="{23CC77E1-CF25-453B-8725-CDB36836DED6}"/>
    <cellStyle name="Percent 2 4 3 3" xfId="7384" xr:uid="{9F641712-6A76-4ADD-A8CC-529DE8FB3152}"/>
    <cellStyle name="Percent 2 4 4" xfId="4867" xr:uid="{5892360A-7466-4399-A68C-C9876B601A47}"/>
    <cellStyle name="Percent 2 4 4 2" xfId="8247" xr:uid="{DD32F71E-CC9D-454C-BCED-E4411A7A526C}"/>
    <cellStyle name="Percent 2 4 5" xfId="6547" xr:uid="{7057FBE2-E1BF-4460-B169-4E7914250C2D}"/>
    <cellStyle name="Percent 3" xfId="252" xr:uid="{00000000-0005-0000-0000-000023090000}"/>
    <cellStyle name="Percent 3 2" xfId="253" xr:uid="{00000000-0005-0000-0000-000024090000}"/>
    <cellStyle name="Percent 3 3" xfId="1584" xr:uid="{00000000-0005-0000-0000-000025090000}"/>
    <cellStyle name="Percent 3 3 2" xfId="2456" xr:uid="{00000000-0005-0000-0000-000026090000}"/>
    <cellStyle name="Percent 3 3 2 2" xfId="5706" xr:uid="{35A94D6D-6D66-432A-8F16-E0A0BD219FCA}"/>
    <cellStyle name="Percent 3 3 2 2 2" xfId="9086" xr:uid="{E2B3DCD1-18A6-4E9C-A8A7-C9173EF8223B}"/>
    <cellStyle name="Percent 3 3 2 3" xfId="7386" xr:uid="{1B0076F9-95A9-48E4-B827-642CAD6915A7}"/>
    <cellStyle name="Percent 3 3 3" xfId="4869" xr:uid="{4C36D6EE-64DD-4D7B-A480-86BCED17DEFE}"/>
    <cellStyle name="Percent 3 3 3 2" xfId="8249" xr:uid="{B293BB66-A016-413B-B973-94F09816A0E1}"/>
    <cellStyle name="Percent 3 3 4" xfId="6549" xr:uid="{594A567E-42AA-4424-AC5C-4503AD3A7F52}"/>
    <cellStyle name="Percent 4" xfId="333" xr:uid="{00000000-0005-0000-0000-000027090000}"/>
    <cellStyle name="Percent 4 2" xfId="1585" xr:uid="{00000000-0005-0000-0000-000028090000}"/>
    <cellStyle name="Percent 4 2 2" xfId="2457" xr:uid="{00000000-0005-0000-0000-000029090000}"/>
    <cellStyle name="Percent 4 2 2 2" xfId="5707" xr:uid="{83E54688-B4F7-4056-86F8-612592291FED}"/>
    <cellStyle name="Percent 4 2 2 2 2" xfId="9087" xr:uid="{484E9263-8196-44EB-A279-3A51968EB0AD}"/>
    <cellStyle name="Percent 4 2 2 3" xfId="7387" xr:uid="{A09449E9-6924-43A3-A48F-0392690F4B7F}"/>
    <cellStyle name="Percent 4 2 3" xfId="4870" xr:uid="{3C9B6AE1-798A-4F4B-932B-9002CDD33AF3}"/>
    <cellStyle name="Percent 4 2 3 2" xfId="8250" xr:uid="{6B476623-FF81-4A16-9304-5D08B8B6529E}"/>
    <cellStyle name="Percent 4 2 4" xfId="6550" xr:uid="{840DE454-BB14-47FB-AD58-BDBD803C6FF7}"/>
    <cellStyle name="Percent 5" xfId="335" xr:uid="{00000000-0005-0000-0000-00002A090000}"/>
    <cellStyle name="Percent 5 2" xfId="1586" xr:uid="{00000000-0005-0000-0000-00002B090000}"/>
    <cellStyle name="Percent 5 3" xfId="1587" xr:uid="{00000000-0005-0000-0000-00002C090000}"/>
    <cellStyle name="Percent 5 3 2" xfId="2458" xr:uid="{00000000-0005-0000-0000-00002D090000}"/>
    <cellStyle name="Percent 5 3 2 2" xfId="5708" xr:uid="{5706AE0C-0B0F-4639-820E-16B4C1CA21E2}"/>
    <cellStyle name="Percent 5 3 2 2 2" xfId="9088" xr:uid="{EEA90F8A-FA4C-4CEA-8E5B-C5ACFD4466ED}"/>
    <cellStyle name="Percent 5 3 2 3" xfId="7388" xr:uid="{6BDF4EB2-ECA6-4B77-8BCE-7D00EC7B996F}"/>
    <cellStyle name="Percent 5 3 3" xfId="4871" xr:uid="{97DEF6B3-8FE8-427E-AC6E-D7E9BAF52010}"/>
    <cellStyle name="Percent 5 3 3 2" xfId="8251" xr:uid="{7FA6C9DB-4B90-4084-AB9B-715A98FB2AD6}"/>
    <cellStyle name="Percent 5 3 4" xfId="6551" xr:uid="{F1A8A25B-9D72-4F1D-A381-4A9BF634C81F}"/>
    <cellStyle name="Percent 6" xfId="579" xr:uid="{00000000-0005-0000-0000-00002E090000}"/>
    <cellStyle name="Percent 6 2" xfId="1742" xr:uid="{00000000-0005-0000-0000-00002F090000}"/>
    <cellStyle name="Percent 6 2 2" xfId="4992" xr:uid="{C4A7B123-8A25-4B7F-9A26-9CE547AA1A14}"/>
    <cellStyle name="Percent 6 2 2 2" xfId="8372" xr:uid="{0F68C3EB-C0F8-4DD8-99A7-4FC8292366FC}"/>
    <cellStyle name="Percent 6 2 3" xfId="6672" xr:uid="{C64B06FB-4B6C-4028-8536-609CD21C018B}"/>
    <cellStyle name="Percent 6 3" xfId="4155" xr:uid="{72A09EDD-D9FD-45A4-87FA-CCB431DEF8A5}"/>
    <cellStyle name="Percent 6 3 2" xfId="7535" xr:uid="{B6CCD888-BE31-43D9-A159-BB91DD3AFF7C}"/>
    <cellStyle name="Percent 6 4" xfId="5834" xr:uid="{8FCDE36A-337B-4BFB-9BD6-0326B57E1E87}"/>
    <cellStyle name="Percent 7" xfId="1588" xr:uid="{00000000-0005-0000-0000-000030090000}"/>
    <cellStyle name="Percent 7 2" xfId="2459" xr:uid="{00000000-0005-0000-0000-000031090000}"/>
    <cellStyle name="Percent 7 2 2" xfId="5709" xr:uid="{9DD354D2-CAC5-41C0-BBF8-122FDD7447C5}"/>
    <cellStyle name="Percent 7 2 2 2" xfId="9089" xr:uid="{24D16470-2050-4B2B-988A-3E951F37D194}"/>
    <cellStyle name="Percent 7 2 3" xfId="7389" xr:uid="{620BCCC6-3839-4962-ACBE-3130BE6D3120}"/>
    <cellStyle name="Percent 7 3" xfId="4872" xr:uid="{956B0633-6831-4C9A-91EF-010D4B58D71E}"/>
    <cellStyle name="Percent 7 3 2" xfId="8252" xr:uid="{58F7CFB0-98DA-4561-83EB-85A7CCF2198A}"/>
    <cellStyle name="Percent 7 4" xfId="6552" xr:uid="{45855605-0BF4-4501-BE42-9A02A189031B}"/>
    <cellStyle name="Percent 8" xfId="1589" xr:uid="{00000000-0005-0000-0000-000032090000}"/>
    <cellStyle name="Percent 8 2" xfId="1590" xr:uid="{00000000-0005-0000-0000-000033090000}"/>
    <cellStyle name="Percent 8 2 2" xfId="2461" xr:uid="{00000000-0005-0000-0000-000034090000}"/>
    <cellStyle name="Percent 8 2 2 2" xfId="5711" xr:uid="{8A780B3C-9FC3-476F-A4D0-2290045DDF38}"/>
    <cellStyle name="Percent 8 2 2 2 2" xfId="9091" xr:uid="{B5EEADCE-0BB2-4CEA-A6B6-85A38871C7D8}"/>
    <cellStyle name="Percent 8 2 2 3" xfId="7391" xr:uid="{955D0A99-E3DC-42A2-8CAE-5FB5BDA07B17}"/>
    <cellStyle name="Percent 8 2 3" xfId="4874" xr:uid="{09FD863A-39A3-4D82-B65E-5C7A23A366BE}"/>
    <cellStyle name="Percent 8 2 3 2" xfId="8254" xr:uid="{E2B4C88E-F3C0-4A71-95B0-C8B13C4492A2}"/>
    <cellStyle name="Percent 8 2 4" xfId="6554" xr:uid="{DFB150C3-ABD1-49EB-A296-556556DA465A}"/>
    <cellStyle name="Percent 8 3" xfId="2460" xr:uid="{00000000-0005-0000-0000-000035090000}"/>
    <cellStyle name="Percent 8 3 2" xfId="5710" xr:uid="{A7AC0366-2F93-4ABD-A566-6EF756B80572}"/>
    <cellStyle name="Percent 8 3 2 2" xfId="9090" xr:uid="{19BFA715-732B-484E-A843-5293C90F113A}"/>
    <cellStyle name="Percent 8 3 3" xfId="7390" xr:uid="{F2C9CDC8-2CD2-4A6A-A5B4-C32E8D296C50}"/>
    <cellStyle name="Percent 8 4" xfId="4873" xr:uid="{6A2BBA90-6B75-4881-B957-A29C0B5E5D24}"/>
    <cellStyle name="Percent 8 4 2" xfId="8253" xr:uid="{76503C68-3810-4F6A-AA3B-656556802062}"/>
    <cellStyle name="Percent 8 5" xfId="6553" xr:uid="{28D1A890-94B0-421F-AF01-75C9650035BA}"/>
    <cellStyle name="Percent 9" xfId="1591" xr:uid="{00000000-0005-0000-0000-000036090000}"/>
    <cellStyle name="Percent Input" xfId="254" xr:uid="{00000000-0005-0000-0000-000037090000}"/>
    <cellStyle name="Percent0" xfId="255" xr:uid="{00000000-0005-0000-0000-000038090000}"/>
    <cellStyle name="Percent1" xfId="256" xr:uid="{00000000-0005-0000-0000-000039090000}"/>
    <cellStyle name="Percent2" xfId="257" xr:uid="{00000000-0005-0000-0000-00003A090000}"/>
    <cellStyle name="PSChar" xfId="258" xr:uid="{00000000-0005-0000-0000-00003B090000}"/>
    <cellStyle name="PSDate" xfId="259" xr:uid="{00000000-0005-0000-0000-00003C090000}"/>
    <cellStyle name="PSDec" xfId="260" xr:uid="{00000000-0005-0000-0000-00003D090000}"/>
    <cellStyle name="PSdesc" xfId="261" xr:uid="{00000000-0005-0000-0000-00003E090000}"/>
    <cellStyle name="PSDetail" xfId="1592" xr:uid="{00000000-0005-0000-0000-00003F090000}"/>
    <cellStyle name="PSHeading" xfId="262" xr:uid="{00000000-0005-0000-0000-000040090000}"/>
    <cellStyle name="PSInt" xfId="263" xr:uid="{00000000-0005-0000-0000-000041090000}"/>
    <cellStyle name="PSSpacer" xfId="264" xr:uid="{00000000-0005-0000-0000-000042090000}"/>
    <cellStyle name="PStest" xfId="265" xr:uid="{00000000-0005-0000-0000-000043090000}"/>
    <cellStyle name="R00A" xfId="266" xr:uid="{00000000-0005-0000-0000-000044090000}"/>
    <cellStyle name="R00B" xfId="267" xr:uid="{00000000-0005-0000-0000-000045090000}"/>
    <cellStyle name="R00L" xfId="268" xr:uid="{00000000-0005-0000-0000-000046090000}"/>
    <cellStyle name="R01A" xfId="269" xr:uid="{00000000-0005-0000-0000-000047090000}"/>
    <cellStyle name="R01B" xfId="270" xr:uid="{00000000-0005-0000-0000-000048090000}"/>
    <cellStyle name="R01H" xfId="271" xr:uid="{00000000-0005-0000-0000-000049090000}"/>
    <cellStyle name="R01L" xfId="272" xr:uid="{00000000-0005-0000-0000-00004A090000}"/>
    <cellStyle name="R02A" xfId="273" xr:uid="{00000000-0005-0000-0000-00004B090000}"/>
    <cellStyle name="R02B" xfId="274" xr:uid="{00000000-0005-0000-0000-00004C090000}"/>
    <cellStyle name="R02H" xfId="275" xr:uid="{00000000-0005-0000-0000-00004D090000}"/>
    <cellStyle name="R02L" xfId="276" xr:uid="{00000000-0005-0000-0000-00004E090000}"/>
    <cellStyle name="R03A" xfId="277" xr:uid="{00000000-0005-0000-0000-00004F090000}"/>
    <cellStyle name="R03B" xfId="278" xr:uid="{00000000-0005-0000-0000-000050090000}"/>
    <cellStyle name="R03H" xfId="279" xr:uid="{00000000-0005-0000-0000-000051090000}"/>
    <cellStyle name="R03L" xfId="280" xr:uid="{00000000-0005-0000-0000-000052090000}"/>
    <cellStyle name="R04A" xfId="281" xr:uid="{00000000-0005-0000-0000-000053090000}"/>
    <cellStyle name="R04B" xfId="282" xr:uid="{00000000-0005-0000-0000-000054090000}"/>
    <cellStyle name="R04H" xfId="283" xr:uid="{00000000-0005-0000-0000-000055090000}"/>
    <cellStyle name="R04L" xfId="284" xr:uid="{00000000-0005-0000-0000-000056090000}"/>
    <cellStyle name="R05A" xfId="285" xr:uid="{00000000-0005-0000-0000-000057090000}"/>
    <cellStyle name="R05B" xfId="286" xr:uid="{00000000-0005-0000-0000-000058090000}"/>
    <cellStyle name="R05H" xfId="287" xr:uid="{00000000-0005-0000-0000-000059090000}"/>
    <cellStyle name="R05L" xfId="288" xr:uid="{00000000-0005-0000-0000-00005A090000}"/>
    <cellStyle name="R06A" xfId="289" xr:uid="{00000000-0005-0000-0000-00005B090000}"/>
    <cellStyle name="R06B" xfId="290" xr:uid="{00000000-0005-0000-0000-00005C090000}"/>
    <cellStyle name="R06H" xfId="291" xr:uid="{00000000-0005-0000-0000-00005D090000}"/>
    <cellStyle name="R06L" xfId="292" xr:uid="{00000000-0005-0000-0000-00005E090000}"/>
    <cellStyle name="R07A" xfId="293" xr:uid="{00000000-0005-0000-0000-00005F090000}"/>
    <cellStyle name="R07B" xfId="294" xr:uid="{00000000-0005-0000-0000-000060090000}"/>
    <cellStyle name="R07H" xfId="295" xr:uid="{00000000-0005-0000-0000-000061090000}"/>
    <cellStyle name="R07L" xfId="296" xr:uid="{00000000-0005-0000-0000-000062090000}"/>
    <cellStyle name="rborder" xfId="297" xr:uid="{00000000-0005-0000-0000-000063090000}"/>
    <cellStyle name="red" xfId="298" xr:uid="{00000000-0005-0000-0000-000064090000}"/>
    <cellStyle name="robyn" xfId="1593" xr:uid="{00000000-0005-0000-0000-000065090000}"/>
    <cellStyle name="s_HardInc " xfId="299" xr:uid="{00000000-0005-0000-0000-000066090000}"/>
    <cellStyle name="s_HardInc _DEO ADIT Unprotected" xfId="4035" xr:uid="{480D81FF-79BF-4A3F-B091-438797F7E366}"/>
    <cellStyle name="s_HardInc _ITC Great Plains Formula 1-12-09a" xfId="300" xr:uid="{00000000-0005-0000-0000-000067090000}"/>
    <cellStyle name="s_HardInc _ITC Great Plains Formula 1-12-09a_DEO ADIT Unprotected" xfId="4036" xr:uid="{8F4E8B5C-3FC8-42BA-AE85-D763F8C52F9F}"/>
    <cellStyle name="scenario" xfId="301" xr:uid="{00000000-0005-0000-0000-000068090000}"/>
    <cellStyle name="SectionHeaderNormal" xfId="1594" xr:uid="{00000000-0005-0000-0000-000069090000}"/>
    <cellStyle name="Sheetmult" xfId="302" xr:uid="{00000000-0005-0000-0000-00006A090000}"/>
    <cellStyle name="Short Date" xfId="1595" xr:uid="{00000000-0005-0000-0000-00006B090000}"/>
    <cellStyle name="Short Date 2" xfId="1596" xr:uid="{00000000-0005-0000-0000-00006C090000}"/>
    <cellStyle name="Shtmultx" xfId="303" xr:uid="{00000000-0005-0000-0000-00006D090000}"/>
    <cellStyle name="Smart General" xfId="1597" xr:uid="{00000000-0005-0000-0000-00006E090000}"/>
    <cellStyle name="Style 1" xfId="304" xr:uid="{00000000-0005-0000-0000-00006F090000}"/>
    <cellStyle name="STYLE1" xfId="305" xr:uid="{00000000-0005-0000-0000-000070090000}"/>
    <cellStyle name="STYLE2" xfId="306" xr:uid="{00000000-0005-0000-0000-000071090000}"/>
    <cellStyle name="SubScript" xfId="1598" xr:uid="{00000000-0005-0000-0000-000072090000}"/>
    <cellStyle name="SuperScript" xfId="1599" xr:uid="{00000000-0005-0000-0000-000073090000}"/>
    <cellStyle name="TableHeading" xfId="307" xr:uid="{00000000-0005-0000-0000-000074090000}"/>
    <cellStyle name="tb" xfId="308" xr:uid="{00000000-0005-0000-0000-000075090000}"/>
    <cellStyle name="TextBold" xfId="1600" xr:uid="{00000000-0005-0000-0000-000076090000}"/>
    <cellStyle name="TextItalic" xfId="1601" xr:uid="{00000000-0005-0000-0000-000077090000}"/>
    <cellStyle name="TextNormal" xfId="1602" xr:uid="{00000000-0005-0000-0000-000078090000}"/>
    <cellStyle name="TextNumber" xfId="9118" xr:uid="{7C902D53-EB93-447A-9D02-E4A9D12F58C6}"/>
    <cellStyle name="Tickmark" xfId="309" xr:uid="{00000000-0005-0000-0000-000079090000}"/>
    <cellStyle name="Title" xfId="512" builtinId="15" customBuiltin="1"/>
    <cellStyle name="Title 2" xfId="1603" xr:uid="{00000000-0005-0000-0000-00007B090000}"/>
    <cellStyle name="Title 2 2" xfId="1604" xr:uid="{00000000-0005-0000-0000-00007C090000}"/>
    <cellStyle name="Title 2 3" xfId="1605" xr:uid="{00000000-0005-0000-0000-00007D090000}"/>
    <cellStyle name="Title 2_DEO ADIT Unprotected" xfId="4037" xr:uid="{B24F661C-9795-468A-B329-1934A31668AC}"/>
    <cellStyle name="Title 3" xfId="1606" xr:uid="{00000000-0005-0000-0000-00007E090000}"/>
    <cellStyle name="Title 4" xfId="1607" xr:uid="{00000000-0005-0000-0000-00007F090000}"/>
    <cellStyle name="Title1" xfId="310" xr:uid="{00000000-0005-0000-0000-000080090000}"/>
    <cellStyle name="TitleNormal" xfId="1608" xr:uid="{00000000-0005-0000-0000-000081090000}"/>
    <cellStyle name="top" xfId="311" xr:uid="{00000000-0005-0000-0000-000082090000}"/>
    <cellStyle name="top 2" xfId="1625" xr:uid="{00000000-0005-0000-0000-000083090000}"/>
    <cellStyle name="Total" xfId="527" builtinId="25" customBuiltin="1"/>
    <cellStyle name="Total 2" xfId="1609" xr:uid="{00000000-0005-0000-0000-000085090000}"/>
    <cellStyle name="Total 2 2" xfId="1610" xr:uid="{00000000-0005-0000-0000-000086090000}"/>
    <cellStyle name="Total 2 3" xfId="1611" xr:uid="{00000000-0005-0000-0000-000087090000}"/>
    <cellStyle name="Total 3" xfId="1612" xr:uid="{00000000-0005-0000-0000-000088090000}"/>
    <cellStyle name="Total 4" xfId="1613" xr:uid="{00000000-0005-0000-0000-000089090000}"/>
    <cellStyle name="Undefined" xfId="1614" xr:uid="{00000000-0005-0000-0000-00008A090000}"/>
    <cellStyle name="Unprot" xfId="1615" xr:uid="{00000000-0005-0000-0000-00008B090000}"/>
    <cellStyle name="Unprot$" xfId="1616" xr:uid="{00000000-0005-0000-0000-00008C090000}"/>
    <cellStyle name="Unprotect" xfId="1617" xr:uid="{00000000-0005-0000-0000-00008D090000}"/>
    <cellStyle name="w" xfId="312" xr:uid="{00000000-0005-0000-0000-00008E090000}"/>
    <cellStyle name="Warning Text" xfId="525" builtinId="11" customBuiltin="1"/>
    <cellStyle name="Warning Text 2" xfId="1618" xr:uid="{00000000-0005-0000-0000-000090090000}"/>
    <cellStyle name="Warning Text 2 2" xfId="1619" xr:uid="{00000000-0005-0000-0000-000091090000}"/>
    <cellStyle name="Warning Text 2 3" xfId="1620" xr:uid="{00000000-0005-0000-0000-000092090000}"/>
    <cellStyle name="Warning Text 3" xfId="1621" xr:uid="{00000000-0005-0000-0000-000093090000}"/>
    <cellStyle name="XComma" xfId="313" xr:uid="{00000000-0005-0000-0000-000094090000}"/>
    <cellStyle name="XComma 0.0" xfId="314" xr:uid="{00000000-0005-0000-0000-000095090000}"/>
    <cellStyle name="XComma 0.00" xfId="315" xr:uid="{00000000-0005-0000-0000-000096090000}"/>
    <cellStyle name="XComma 0.000" xfId="316" xr:uid="{00000000-0005-0000-0000-000097090000}"/>
    <cellStyle name="XCurrency" xfId="317" xr:uid="{00000000-0005-0000-0000-000098090000}"/>
    <cellStyle name="XCurrency 0.0" xfId="318" xr:uid="{00000000-0005-0000-0000-000099090000}"/>
    <cellStyle name="XCurrency 0.00" xfId="319" xr:uid="{00000000-0005-0000-0000-00009A090000}"/>
    <cellStyle name="XCurrency 0.000" xfId="320" xr:uid="{00000000-0005-0000-0000-00009B090000}"/>
    <cellStyle name="yra" xfId="321" xr:uid="{00000000-0005-0000-0000-00009C090000}"/>
    <cellStyle name="yrActual" xfId="322" xr:uid="{00000000-0005-0000-0000-00009D090000}"/>
    <cellStyle name="yre" xfId="323" xr:uid="{00000000-0005-0000-0000-00009E090000}"/>
    <cellStyle name="yrExpect" xfId="324" xr:uid="{00000000-0005-0000-0000-00009F090000}"/>
  </cellStyles>
  <dxfs count="0"/>
  <tableStyles count="0" defaultTableStyle="TableStyleMedium9" defaultPivotStyle="PivotStyleLight16"/>
  <colors>
    <mruColors>
      <color rgb="FF00FF00"/>
      <color rgb="FF66FFFF"/>
      <color rgb="FF0000FF"/>
      <color rgb="FFFF3399"/>
      <color rgb="FF0099FF"/>
      <color rgb="FFFFFF99"/>
      <color rgb="FF0033CC"/>
      <color rgb="FFFF3300"/>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haredStrings" Target="sharedString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27</xdr:col>
      <xdr:colOff>190500</xdr:colOff>
      <xdr:row>3</xdr:row>
      <xdr:rowOff>34895</xdr:rowOff>
    </xdr:from>
    <xdr:to>
      <xdr:col>32</xdr:col>
      <xdr:colOff>941510</xdr:colOff>
      <xdr:row>29</xdr:row>
      <xdr:rowOff>8470</xdr:rowOff>
    </xdr:to>
    <xdr:pic>
      <xdr:nvPicPr>
        <xdr:cNvPr id="6" name="Picture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1"/>
        <a:stretch>
          <a:fillRect/>
        </a:stretch>
      </xdr:blipFill>
      <xdr:spPr>
        <a:xfrm>
          <a:off x="35204400" y="692120"/>
          <a:ext cx="7513760" cy="5412350"/>
        </a:xfrm>
        <a:prstGeom prst="rect">
          <a:avLst/>
        </a:prstGeom>
      </xdr:spPr>
    </xdr:pic>
    <xdr:clientData/>
  </xdr:twoCellAnchor>
  <xdr:twoCellAnchor editAs="oneCell">
    <xdr:from>
      <xdr:col>27</xdr:col>
      <xdr:colOff>242152</xdr:colOff>
      <xdr:row>30</xdr:row>
      <xdr:rowOff>76199</xdr:rowOff>
    </xdr:from>
    <xdr:to>
      <xdr:col>31</xdr:col>
      <xdr:colOff>704849</xdr:colOff>
      <xdr:row>50</xdr:row>
      <xdr:rowOff>24764</xdr:rowOff>
    </xdr:to>
    <xdr:pic>
      <xdr:nvPicPr>
        <xdr:cNvPr id="8" name="Picture 7">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56052" y="6362699"/>
          <a:ext cx="5872897" cy="4044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TRPT\FinRpt\Needs%20-%20%20Data%20Request\Quarterly%20Data%20Request\Energy%20Services\EnSer_Q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nergy%20Port%20Strat%20&amp;%20Mgmt\Asset%20Valuation\Market\Models\DOCUME~1\santamej\LOCALS~1\Temp\RatingAgencyBU12-05%20Cin%20Curve%20Base%20C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1\NVSiehr\LOCALS~1\Temp\Temporary%20Directory%201%20for%20Pro%20forma%20financials%20-%20March%2031%202011_v2%201_xlsx.zip\Progress_reclassed_financials%203.3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_EQUITY_Field Serv"/>
      <sheetName val="Needs Dates"/>
      <sheetName val="EnSer_QData"/>
    </sheetNames>
    <sheetDataSet>
      <sheetData sheetId="0" refreshError="1">
        <row r="10">
          <cell r="A10" t="str">
            <v>0001</v>
          </cell>
          <cell r="C10" t="str">
            <v>TETCO</v>
          </cell>
          <cell r="D10" t="str">
            <v>Regena Larson/Robert Bugaj</v>
          </cell>
        </row>
        <row r="11">
          <cell r="A11" t="str">
            <v>0008</v>
          </cell>
          <cell r="C11" t="str">
            <v>T.E. Cryogenics</v>
          </cell>
          <cell r="D11" t="str">
            <v>Regena Larson/Robert Bugaj</v>
          </cell>
        </row>
        <row r="12">
          <cell r="A12" t="str">
            <v>0015</v>
          </cell>
          <cell r="C12" t="str">
            <v>T.E. New England</v>
          </cell>
          <cell r="D12" t="str">
            <v>Regena Larson/Robert Bugaj</v>
          </cell>
        </row>
        <row r="13">
          <cell r="A13" t="str">
            <v>0023</v>
          </cell>
          <cell r="C13" t="str">
            <v>Algonquin Energy, Inc</v>
          </cell>
          <cell r="D13" t="str">
            <v>Regena Larson/Sunanda Seval</v>
          </cell>
        </row>
        <row r="14">
          <cell r="A14" t="str">
            <v>0036</v>
          </cell>
          <cell r="C14" t="str">
            <v>Houston Center</v>
          </cell>
          <cell r="D14" t="str">
            <v>Marilyn Charles</v>
          </cell>
        </row>
        <row r="15">
          <cell r="A15" t="str">
            <v>0037</v>
          </cell>
          <cell r="C15" t="str">
            <v>Texas Eastern Communication</v>
          </cell>
          <cell r="D15" t="str">
            <v>Regena Larson/Robert Bugaj</v>
          </cell>
        </row>
        <row r="16">
          <cell r="A16" t="str">
            <v>0046</v>
          </cell>
          <cell r="C16" t="str">
            <v>T.E. Bermuda</v>
          </cell>
          <cell r="D16" t="str">
            <v>Carolyn Tatum</v>
          </cell>
        </row>
        <row r="17">
          <cell r="A17" t="str">
            <v>0050</v>
          </cell>
          <cell r="C17" t="str">
            <v>T.E. Arabian</v>
          </cell>
          <cell r="D17" t="str">
            <v>Carolyn Tatum</v>
          </cell>
        </row>
        <row r="18">
          <cell r="A18" t="str">
            <v>0051</v>
          </cell>
          <cell r="C18" t="str">
            <v>T.E.A. CANADA</v>
          </cell>
          <cell r="D18" t="str">
            <v>Regena Larson/Helena Nguyen</v>
          </cell>
        </row>
        <row r="19">
          <cell r="A19" t="str">
            <v>0063</v>
          </cell>
          <cell r="C19" t="str">
            <v>Texas Eastern Corp</v>
          </cell>
          <cell r="D19" t="str">
            <v>Marilyn Charles</v>
          </cell>
        </row>
        <row r="20">
          <cell r="A20" t="str">
            <v>0078</v>
          </cell>
          <cell r="C20" t="str">
            <v>T.E. Slurry</v>
          </cell>
          <cell r="D20" t="str">
            <v>Marilyn Charles</v>
          </cell>
        </row>
        <row r="21">
          <cell r="A21" t="str">
            <v>0095</v>
          </cell>
          <cell r="C21" t="str">
            <v>T.E. Oil</v>
          </cell>
          <cell r="D21" t="str">
            <v>Marilyn Charles</v>
          </cell>
        </row>
        <row r="22">
          <cell r="A22" t="str">
            <v>0108</v>
          </cell>
          <cell r="C22" t="str">
            <v>Chambers County Land</v>
          </cell>
          <cell r="D22" t="str">
            <v>Regena Larson/Helena Nguyen (for 8/97)</v>
          </cell>
        </row>
        <row r="23">
          <cell r="A23" t="str">
            <v>0110</v>
          </cell>
          <cell r="C23" t="str">
            <v>T.E. Riverside</v>
          </cell>
          <cell r="D23" t="str">
            <v>Regena Larson/Robert Bugaj</v>
          </cell>
        </row>
        <row r="24">
          <cell r="A24" t="str">
            <v>0117</v>
          </cell>
          <cell r="C24" t="str">
            <v>Algonquin Gas Transmission</v>
          </cell>
          <cell r="D24" t="str">
            <v>Regena Larson/Sunanda Seval</v>
          </cell>
        </row>
        <row r="25">
          <cell r="A25" t="str">
            <v>0118</v>
          </cell>
          <cell r="C25" t="str">
            <v>Algonquin LNG</v>
          </cell>
          <cell r="D25" t="str">
            <v>Regena Larson/Sunanda Seval</v>
          </cell>
        </row>
        <row r="26">
          <cell r="A26" t="str">
            <v>0124</v>
          </cell>
          <cell r="C26" t="str">
            <v>AGT Gateway</v>
          </cell>
          <cell r="D26" t="str">
            <v>Regena Larson/Sunanda Seval</v>
          </cell>
        </row>
        <row r="27">
          <cell r="A27" t="str">
            <v>0134</v>
          </cell>
          <cell r="C27" t="str">
            <v>Products Pipeline</v>
          </cell>
          <cell r="D27" t="str">
            <v>Don Barron</v>
          </cell>
        </row>
        <row r="28">
          <cell r="A28" t="str">
            <v>0135</v>
          </cell>
          <cell r="C28" t="str">
            <v>T.E. Liberty</v>
          </cell>
          <cell r="D28" t="str">
            <v>Regena Larson/Robert Bugaj</v>
          </cell>
        </row>
        <row r="29">
          <cell r="A29" t="str">
            <v>0138</v>
          </cell>
          <cell r="C29" t="str">
            <v>TEPPCO Investments</v>
          </cell>
          <cell r="D29" t="str">
            <v xml:space="preserve">Don Barron </v>
          </cell>
        </row>
        <row r="30">
          <cell r="A30" t="str">
            <v>0139</v>
          </cell>
          <cell r="C30" t="str">
            <v>TEPPCO HOLDINGS INC</v>
          </cell>
          <cell r="D30" t="str">
            <v>Don Barron</v>
          </cell>
        </row>
        <row r="31">
          <cell r="A31" t="str">
            <v>0301</v>
          </cell>
          <cell r="C31" t="str">
            <v>Panhandle Eastern Pipeline</v>
          </cell>
          <cell r="D31" t="str">
            <v>Glen McBride/Katherine Ko</v>
          </cell>
        </row>
        <row r="32">
          <cell r="A32" t="str">
            <v>0305</v>
          </cell>
          <cell r="C32" t="str">
            <v>Panhandle Storage</v>
          </cell>
          <cell r="D32" t="str">
            <v>Glen McBride/Katherine Ko</v>
          </cell>
        </row>
        <row r="33">
          <cell r="A33" t="str">
            <v>0306</v>
          </cell>
          <cell r="C33" t="str">
            <v>Panhandle Michigan</v>
          </cell>
          <cell r="D33" t="str">
            <v>Glen McBride/Katherine Ko</v>
          </cell>
        </row>
        <row r="34">
          <cell r="A34" t="str">
            <v>0307</v>
          </cell>
          <cell r="C34" t="str">
            <v>Trunkline Gas Company</v>
          </cell>
          <cell r="D34" t="str">
            <v>Glen McBride/Katherine Ko</v>
          </cell>
        </row>
        <row r="35">
          <cell r="A35" t="str">
            <v>0310</v>
          </cell>
          <cell r="C35" t="str">
            <v>Energy Pipelines Int'l Co.</v>
          </cell>
          <cell r="D35" t="str">
            <v>Regena Larson/Helena Nguyen</v>
          </cell>
        </row>
        <row r="36">
          <cell r="A36" t="str">
            <v>0311</v>
          </cell>
          <cell r="C36" t="str">
            <v>Panhandle Field Services</v>
          </cell>
          <cell r="D36" t="str">
            <v>Petra Drinkwine</v>
          </cell>
        </row>
        <row r="37">
          <cell r="A37" t="str">
            <v>0313</v>
          </cell>
          <cell r="C37" t="str">
            <v>Panhandle Int'l Development</v>
          </cell>
          <cell r="D37" t="str">
            <v>Carolyn Tatum</v>
          </cell>
        </row>
        <row r="38">
          <cell r="A38" t="str">
            <v>0315</v>
          </cell>
          <cell r="C38" t="str">
            <v>Pan National Gas Sales</v>
          </cell>
          <cell r="D38" t="str">
            <v>Carolyn Tatum</v>
          </cell>
        </row>
        <row r="39">
          <cell r="A39" t="str">
            <v>0316</v>
          </cell>
          <cell r="C39" t="str">
            <v>Pan Border</v>
          </cell>
          <cell r="D39" t="str">
            <v>Glen McBride/Katherine Ko</v>
          </cell>
        </row>
        <row r="40">
          <cell r="A40" t="str">
            <v>0319</v>
          </cell>
          <cell r="C40" t="str">
            <v>Panhandle Acquisition Three</v>
          </cell>
          <cell r="D40" t="str">
            <v>Craig Lindberg</v>
          </cell>
        </row>
        <row r="41">
          <cell r="A41" t="str">
            <v>0320</v>
          </cell>
          <cell r="C41" t="str">
            <v xml:space="preserve">Pelmar </v>
          </cell>
          <cell r="D41" t="str">
            <v>Carolyn Tatum</v>
          </cell>
        </row>
        <row r="42">
          <cell r="A42" t="str">
            <v>0321</v>
          </cell>
          <cell r="C42" t="str">
            <v>Panhandle Four</v>
          </cell>
          <cell r="D42" t="str">
            <v>Regena Larson/Helena Nguyen</v>
          </cell>
        </row>
        <row r="43">
          <cell r="A43" t="str">
            <v>0322</v>
          </cell>
          <cell r="C43" t="str">
            <v>PanEnergy Risk Management</v>
          </cell>
          <cell r="D43" t="str">
            <v>Craig Lindberg</v>
          </cell>
        </row>
        <row r="44">
          <cell r="A44" t="str">
            <v>0325</v>
          </cell>
          <cell r="C44" t="str">
            <v>Pan Service Company</v>
          </cell>
          <cell r="D44" t="str">
            <v>Regena Larson/Helena Nguyen</v>
          </cell>
        </row>
        <row r="45">
          <cell r="A45" t="str">
            <v>0326</v>
          </cell>
          <cell r="C45" t="str">
            <v>PE Services Canad, Ltd</v>
          </cell>
          <cell r="D45" t="str">
            <v>Steve Schroeder/Andrew Le</v>
          </cell>
        </row>
        <row r="46">
          <cell r="A46" t="str">
            <v>0327</v>
          </cell>
          <cell r="C46" t="str">
            <v>Dixilyn Field Drilling</v>
          </cell>
          <cell r="D46" t="str">
            <v>Glen McBride/Katherine Ko</v>
          </cell>
        </row>
        <row r="47">
          <cell r="A47" t="str">
            <v>0332</v>
          </cell>
          <cell r="C47" t="str">
            <v>Trunkline LNG</v>
          </cell>
          <cell r="D47" t="str">
            <v>Carolyn Tatum</v>
          </cell>
        </row>
        <row r="48">
          <cell r="A48" t="str">
            <v>0334</v>
          </cell>
          <cell r="C48" t="str">
            <v>Lachmar</v>
          </cell>
          <cell r="D48" t="str">
            <v>Carolyn Tatum</v>
          </cell>
        </row>
        <row r="49">
          <cell r="A49" t="str">
            <v>0337</v>
          </cell>
          <cell r="C49" t="str">
            <v>PanEnergy Development</v>
          </cell>
          <cell r="D49" t="str">
            <v>Regena Larson/Sunanda Seval</v>
          </cell>
        </row>
        <row r="50">
          <cell r="A50" t="str">
            <v>0338</v>
          </cell>
          <cell r="C50" t="str">
            <v>PanEnergy Information Svs</v>
          </cell>
          <cell r="D50" t="str">
            <v>Regena Larson/Helena Nguyen</v>
          </cell>
        </row>
        <row r="51">
          <cell r="A51" t="str">
            <v>0341</v>
          </cell>
          <cell r="C51" t="str">
            <v>Energyplus Marketing Co.</v>
          </cell>
          <cell r="D51" t="str">
            <v>Regena Larson/Sunanda Seval</v>
          </cell>
        </row>
        <row r="52">
          <cell r="A52" t="str">
            <v>0343</v>
          </cell>
          <cell r="C52" t="str">
            <v>EnergyPlus Ventures Comp.</v>
          </cell>
          <cell r="D52" t="str">
            <v>Regena Larson/Sunanda Seval</v>
          </cell>
        </row>
        <row r="53">
          <cell r="A53" t="str">
            <v>0344</v>
          </cell>
          <cell r="C53" t="str">
            <v>M&amp;N Management Company</v>
          </cell>
          <cell r="D53" t="str">
            <v>Regena Larson/Sunanda Seval</v>
          </cell>
        </row>
        <row r="54">
          <cell r="A54" t="str">
            <v>0345</v>
          </cell>
          <cell r="C54" t="str">
            <v>Pan Gas Storage</v>
          </cell>
          <cell r="D54" t="str">
            <v>Glen McBride/Katherine Ko</v>
          </cell>
        </row>
        <row r="55">
          <cell r="A55" t="str">
            <v>0346</v>
          </cell>
          <cell r="C55" t="str">
            <v>M&amp;N Operating Company</v>
          </cell>
          <cell r="D55" t="str">
            <v>Regena Larson/Sunanda Seval</v>
          </cell>
        </row>
        <row r="56">
          <cell r="A56" t="str">
            <v>0348</v>
          </cell>
          <cell r="C56" t="str">
            <v>PIDC Aguaytia</v>
          </cell>
          <cell r="D56" t="str">
            <v>Carolyn Tatum</v>
          </cell>
        </row>
        <row r="57">
          <cell r="A57" t="str">
            <v>0353</v>
          </cell>
          <cell r="C57" t="str">
            <v xml:space="preserve">Texas-Louisiana Pipeline Co. </v>
          </cell>
          <cell r="D57" t="str">
            <v>Regena Larson/Helena Nguyen</v>
          </cell>
        </row>
        <row r="58">
          <cell r="A58" t="str">
            <v>0354</v>
          </cell>
          <cell r="C58" t="str">
            <v>PanEnergy Trading &amp; Mkt.</v>
          </cell>
          <cell r="D58" t="str">
            <v>Craig Lindberg</v>
          </cell>
        </row>
        <row r="59">
          <cell r="A59" t="str">
            <v>0356</v>
          </cell>
          <cell r="C59" t="str">
            <v>Pan Transportation</v>
          </cell>
          <cell r="D59" t="str">
            <v>Carolyn Tatum</v>
          </cell>
        </row>
        <row r="60">
          <cell r="A60" t="str">
            <v>0360</v>
          </cell>
          <cell r="C60" t="str">
            <v>Pantheon</v>
          </cell>
          <cell r="D60" t="str">
            <v>Carolyn Tatum</v>
          </cell>
        </row>
        <row r="61">
          <cell r="A61" t="str">
            <v>0361</v>
          </cell>
          <cell r="C61" t="str">
            <v>Morgas</v>
          </cell>
          <cell r="D61" t="str">
            <v>Carolyn Tatum</v>
          </cell>
        </row>
        <row r="62">
          <cell r="A62" t="str">
            <v>0364</v>
          </cell>
          <cell r="C62" t="str">
            <v>PE Plus Milford Ventures</v>
          </cell>
          <cell r="D62" t="str">
            <v>Regena Larson/Sunanda Seval</v>
          </cell>
        </row>
        <row r="63">
          <cell r="A63" t="str">
            <v>0365</v>
          </cell>
          <cell r="C63" t="str">
            <v>PE Trading &amp; Market Svcs LLC</v>
          </cell>
          <cell r="D63" t="str">
            <v>Steve Schroeder/Andrew Le</v>
          </cell>
        </row>
        <row r="64">
          <cell r="A64" t="str">
            <v>0368</v>
          </cell>
          <cell r="C64" t="str">
            <v>PTMSI Management</v>
          </cell>
          <cell r="D64" t="str">
            <v>Steve Schroeder/Andrew Le</v>
          </cell>
        </row>
        <row r="65">
          <cell r="A65" t="str">
            <v>0369</v>
          </cell>
          <cell r="C65" t="str">
            <v>PTMSI Management, Ltd.</v>
          </cell>
          <cell r="D65" t="str">
            <v>Steve Schroeder/Andrew Le</v>
          </cell>
        </row>
        <row r="66">
          <cell r="A66" t="str">
            <v>0373</v>
          </cell>
          <cell r="C66" t="str">
            <v>TE Resources, Inc.</v>
          </cell>
          <cell r="D66" t="str">
            <v>Regena Larson/Robert Bugaj</v>
          </cell>
        </row>
        <row r="67">
          <cell r="A67" t="str">
            <v>0376</v>
          </cell>
          <cell r="C67" t="str">
            <v>AGT Resource</v>
          </cell>
          <cell r="D67" t="str">
            <v>Regena Larson/Sunanda Seval</v>
          </cell>
        </row>
        <row r="68">
          <cell r="A68" t="str">
            <v>0378</v>
          </cell>
          <cell r="C68" t="str">
            <v>Pan Services L.P.</v>
          </cell>
          <cell r="D68" t="str">
            <v>Regena Larson/Helena Nguyen</v>
          </cell>
        </row>
        <row r="69">
          <cell r="A69" t="str">
            <v>0383</v>
          </cell>
          <cell r="C69" t="str">
            <v>PE Resources Mgmnt Co</v>
          </cell>
          <cell r="D69" t="str">
            <v>Craig Lindberg</v>
          </cell>
        </row>
        <row r="70">
          <cell r="A70" t="str">
            <v>0385</v>
          </cell>
          <cell r="C70" t="str">
            <v>PanEnergy Colorado</v>
          </cell>
          <cell r="D70" t="str">
            <v>Regena Larson/Helena Nguyen</v>
          </cell>
        </row>
        <row r="71">
          <cell r="A71" t="str">
            <v>0386</v>
          </cell>
          <cell r="C71" t="str">
            <v>TEC Aquaytia</v>
          </cell>
          <cell r="D71" t="str">
            <v>Carolyn Tatum</v>
          </cell>
        </row>
        <row r="72">
          <cell r="A72" t="str">
            <v>0387</v>
          </cell>
          <cell r="C72" t="str">
            <v>PanEnergy E&amp;P Peru</v>
          </cell>
          <cell r="D72" t="str">
            <v>Carolyn Tatum</v>
          </cell>
        </row>
        <row r="73">
          <cell r="A73" t="str">
            <v>0388</v>
          </cell>
          <cell r="C73" t="str">
            <v>Spectrum Interstate Pipeline</v>
          </cell>
          <cell r="D73" t="str">
            <v>Regena Larson/Helena Nguyen</v>
          </cell>
        </row>
        <row r="74">
          <cell r="A74" t="str">
            <v>0389</v>
          </cell>
          <cell r="C74" t="str">
            <v>Excelsior Pipeline Corp</v>
          </cell>
          <cell r="D74" t="str">
            <v>Regena Larson/Robert Bugaj</v>
          </cell>
        </row>
        <row r="75">
          <cell r="A75" t="str">
            <v>0398</v>
          </cell>
          <cell r="C75" t="str">
            <v>1 Source Elimininations</v>
          </cell>
          <cell r="D75" t="str">
            <v>Marilyn Charles</v>
          </cell>
        </row>
        <row r="76">
          <cell r="A76" t="str">
            <v>0399</v>
          </cell>
          <cell r="C76" t="str">
            <v>Panhandle Eastern Corp</v>
          </cell>
          <cell r="D76" t="str">
            <v>Marilyn Charles</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N-11"/>
      <sheetName val="CIN-13"/>
      <sheetName val="CIN-14"/>
      <sheetName val="CIN-16"/>
      <sheetName val="CIN-17"/>
      <sheetName val="CIN-18"/>
      <sheetName val="Energy Merchant - 2"/>
      <sheetName val="Energy Merchant - 3"/>
      <sheetName val="Energy Merchant - 4"/>
      <sheetName val="Energy Merchant - 5"/>
      <sheetName val="Energy Merchant - 6"/>
      <sheetName val="Energy Merchant - 7"/>
      <sheetName val="Regulated Business - 2"/>
      <sheetName val="Regulated Business - 3"/>
      <sheetName val="Regulated Business - 4"/>
      <sheetName val="Regulated Business - 5"/>
      <sheetName val="Regulated Business - 6"/>
      <sheetName val="Regulated Business - 7"/>
      <sheetName val="Power Tech &amp; Infra Serv - 2"/>
      <sheetName val="Power Tech &amp; Infra Serv - 3"/>
      <sheetName val="Power Tech &amp; Infra Serv - 4"/>
      <sheetName val="Power Tech &amp; Infra Serv - 5"/>
      <sheetName val="Power Tech &amp; Infra Serv - 6"/>
      <sheetName val="Power Tech &amp; Infra Serv - 7"/>
      <sheetName val="CGR - 2"/>
      <sheetName val="CGR - 3"/>
      <sheetName val="CGR - 4"/>
      <sheetName val="CGR - 5"/>
      <sheetName val="CGR - 6"/>
      <sheetName val="CGR - 7"/>
      <sheetName val="ULHP-2"/>
      <sheetName val="ULHP-3"/>
      <sheetName val="ULHP-4"/>
      <sheetName val="ULHP-5"/>
      <sheetName val="ULHP-6"/>
      <sheetName val="ULHP-7"/>
      <sheetName val="NREC-2"/>
      <sheetName val="NREC-3"/>
      <sheetName val="NREC-4"/>
      <sheetName val="NREC-5"/>
      <sheetName val="NREC-6"/>
      <sheetName val="NREC-7"/>
      <sheetName val="HLM-2"/>
      <sheetName val="HLM-3"/>
      <sheetName val="HLM-4"/>
      <sheetName val="Ratios Summary"/>
      <sheetName val="Sheet1"/>
      <sheetName val="Cinergy Ratios"/>
      <sheetName val="ULHP Financial Ratios"/>
      <sheetName val="NREC Financial Ratios"/>
      <sheetName val="Energy Merchant - Ratios"/>
      <sheetName val="Regulated Business - Ratios"/>
      <sheetName val="Power Tech - Ratios"/>
      <sheetName val="CGR - Ratios"/>
      <sheetName val="CIN-IS"/>
      <sheetName val="CIN-BS"/>
      <sheetName val="CIN-CF"/>
      <sheetName val="Energy Merchant - IS"/>
      <sheetName val="Energy Merchant - BS"/>
      <sheetName val="Energy Merchant - CF"/>
      <sheetName val="ULHP-IS"/>
      <sheetName val="ULHP-BS"/>
      <sheetName val="ULHP-CS"/>
      <sheetName val="NREC-IS"/>
      <sheetName val="NREC-BS"/>
      <sheetName val="NREC-CS"/>
      <sheetName val="Regulated Business - IS"/>
      <sheetName val="Regulated Business - BS"/>
      <sheetName val="Regulated Business - CF"/>
      <sheetName val="Power Tech &amp; Infra Serv - IS"/>
      <sheetName val="Power Tech &amp; Infra Serv - BS"/>
      <sheetName val="Power Tech &amp; Infra Serv - CF"/>
      <sheetName val="CGR - IS"/>
      <sheetName val="CGR - BS"/>
      <sheetName val="CGR - CF"/>
      <sheetName val="Sheet2"/>
      <sheetName val="ULHP-3 Other"/>
      <sheetName val="NREC-3 Oth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mt"/>
      <sheetName val="bal sheet"/>
      <sheetName val="IS Adj"/>
      <sheetName val="Bal sheet adj"/>
      <sheetName val="Property Adendum"/>
      <sheetName val="Adj. Income Statement"/>
      <sheetName val="Revised Adj. Income Statement"/>
      <sheetName val="Revenue by 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0000FF"/>
  </sheetPr>
  <dimension ref="A1:F169"/>
  <sheetViews>
    <sheetView tabSelected="1" view="pageBreakPreview" zoomScale="80" zoomScaleNormal="90" zoomScaleSheetLayoutView="80" workbookViewId="0">
      <pane xSplit="5" ySplit="6" topLeftCell="F7" activePane="bottomRight" state="frozen"/>
      <selection activeCell="C169" sqref="C169"/>
      <selection pane="topRight" activeCell="C169" sqref="C169"/>
      <selection pane="bottomLeft" activeCell="C169" sqref="C169"/>
      <selection pane="bottomRight" activeCell="F7" sqref="F7"/>
    </sheetView>
  </sheetViews>
  <sheetFormatPr defaultColWidth="8.77734375" defaultRowHeight="12.75"/>
  <cols>
    <col min="1" max="1" width="49.109375" style="305" customWidth="1"/>
    <col min="2" max="2" width="28.6640625" style="305" customWidth="1"/>
    <col min="3" max="5" width="15.21875" style="305" customWidth="1"/>
    <col min="6" max="6" width="2.44140625" style="305" customWidth="1"/>
    <col min="7" max="16384" width="8.77734375" style="305"/>
  </cols>
  <sheetData>
    <row r="1" spans="1:5" ht="15.75">
      <c r="A1" s="302" t="s">
        <v>486</v>
      </c>
      <c r="B1" s="363">
        <v>44561</v>
      </c>
      <c r="C1" s="304"/>
      <c r="D1" s="469" t="s">
        <v>494</v>
      </c>
    </row>
    <row r="2" spans="1:5" ht="15.75">
      <c r="A2" s="303" t="s">
        <v>487</v>
      </c>
      <c r="B2" s="364">
        <f>EDATE(B1,5)+1</f>
        <v>44713</v>
      </c>
      <c r="D2" s="468">
        <v>19</v>
      </c>
    </row>
    <row r="3" spans="1:5" ht="16.5" thickBot="1">
      <c r="A3" s="301"/>
      <c r="B3" s="306"/>
    </row>
    <row r="4" spans="1:5" ht="13.5" thickBot="1">
      <c r="A4" s="292"/>
      <c r="C4" s="1005" t="s">
        <v>1014</v>
      </c>
      <c r="D4" s="1006"/>
      <c r="E4" s="1007"/>
    </row>
    <row r="5" spans="1:5">
      <c r="A5" s="292"/>
      <c r="B5" s="1008" t="s">
        <v>23</v>
      </c>
      <c r="C5" s="1009"/>
      <c r="D5" s="1009"/>
    </row>
    <row r="6" spans="1:5" ht="13.5" thickBot="1">
      <c r="A6" s="1010" t="s">
        <v>485</v>
      </c>
      <c r="B6" s="1011" t="s">
        <v>25</v>
      </c>
      <c r="C6" s="458" t="s">
        <v>180</v>
      </c>
      <c r="D6" s="458" t="s">
        <v>181</v>
      </c>
      <c r="E6" s="458" t="s">
        <v>392</v>
      </c>
    </row>
    <row r="7" spans="1:5">
      <c r="A7" s="292"/>
      <c r="B7" s="362"/>
      <c r="C7" s="362"/>
      <c r="D7" s="362"/>
    </row>
    <row r="8" spans="1:5">
      <c r="A8" s="294" t="s">
        <v>28</v>
      </c>
      <c r="B8" s="362"/>
      <c r="C8" s="362"/>
      <c r="D8" s="362"/>
    </row>
    <row r="9" spans="1:5">
      <c r="A9" s="292" t="s">
        <v>29</v>
      </c>
      <c r="B9" s="362" t="s">
        <v>182</v>
      </c>
      <c r="C9" s="783">
        <v>0</v>
      </c>
      <c r="D9" s="783">
        <v>1385031257</v>
      </c>
      <c r="E9" s="314">
        <f t="shared" ref="E9:E14" si="0">D9+C9</f>
        <v>1385031257</v>
      </c>
    </row>
    <row r="10" spans="1:5">
      <c r="A10" s="292" t="s">
        <v>31</v>
      </c>
      <c r="B10" s="362" t="s">
        <v>170</v>
      </c>
      <c r="C10" s="310">
        <v>1262220857</v>
      </c>
      <c r="D10" s="310">
        <v>95965669</v>
      </c>
      <c r="E10" s="315">
        <f t="shared" si="0"/>
        <v>1358186526</v>
      </c>
    </row>
    <row r="11" spans="1:5">
      <c r="A11" s="292" t="s">
        <v>32</v>
      </c>
      <c r="B11" s="362" t="s">
        <v>171</v>
      </c>
      <c r="C11" s="310">
        <v>3235300497</v>
      </c>
      <c r="D11" s="310">
        <v>622687366</v>
      </c>
      <c r="E11" s="315">
        <f t="shared" si="0"/>
        <v>3857987863</v>
      </c>
    </row>
    <row r="12" spans="1:5">
      <c r="A12" s="292" t="s">
        <v>33</v>
      </c>
      <c r="B12" s="362" t="s">
        <v>0</v>
      </c>
      <c r="C12" s="310">
        <f>102067953+427180499</f>
        <v>529248452</v>
      </c>
      <c r="D12" s="310">
        <f>20741865+16835138</f>
        <v>37577003</v>
      </c>
      <c r="E12" s="315">
        <f t="shared" si="0"/>
        <v>566825455</v>
      </c>
    </row>
    <row r="13" spans="1:5" ht="13.5" thickBot="1">
      <c r="A13" s="765" t="s">
        <v>34</v>
      </c>
      <c r="B13" s="1012" t="s">
        <v>684</v>
      </c>
      <c r="C13" s="1013">
        <f>ROUND(380808516*0.6757,0)</f>
        <v>257312314</v>
      </c>
      <c r="D13" s="1013">
        <f>ROUND(46935770*0.7136,0)</f>
        <v>33493365</v>
      </c>
      <c r="E13" s="459">
        <f t="shared" si="0"/>
        <v>290805679</v>
      </c>
    </row>
    <row r="14" spans="1:5">
      <c r="A14" s="292" t="s">
        <v>478</v>
      </c>
      <c r="B14" s="362"/>
      <c r="C14" s="307">
        <f>SUM(C9:C13)</f>
        <v>5284082120</v>
      </c>
      <c r="D14" s="307">
        <f>SUM(D9:D13)</f>
        <v>2174754660</v>
      </c>
      <c r="E14" s="314">
        <f t="shared" si="0"/>
        <v>7458836780</v>
      </c>
    </row>
    <row r="15" spans="1:5">
      <c r="A15" s="292"/>
      <c r="B15" s="362"/>
      <c r="C15" s="295"/>
      <c r="D15" s="295"/>
      <c r="E15" s="315"/>
    </row>
    <row r="16" spans="1:5">
      <c r="A16" s="294" t="s">
        <v>37</v>
      </c>
      <c r="B16" s="362"/>
      <c r="C16" s="295"/>
      <c r="D16" s="295"/>
      <c r="E16" s="315"/>
    </row>
    <row r="17" spans="1:5">
      <c r="A17" s="292" t="str">
        <f>A9</f>
        <v xml:space="preserve">  Production</v>
      </c>
      <c r="B17" s="362" t="s">
        <v>593</v>
      </c>
      <c r="C17" s="783">
        <v>-14090</v>
      </c>
      <c r="D17" s="783">
        <f>471148901+190442460</f>
        <v>661591361</v>
      </c>
      <c r="E17" s="314">
        <f t="shared" ref="E17:E22" si="1">D17+C17</f>
        <v>661577271</v>
      </c>
    </row>
    <row r="18" spans="1:5">
      <c r="A18" s="292" t="str">
        <f>A10</f>
        <v xml:space="preserve">  Transmission</v>
      </c>
      <c r="B18" s="362" t="s">
        <v>154</v>
      </c>
      <c r="C18" s="310">
        <v>184126973</v>
      </c>
      <c r="D18" s="310">
        <v>10382698</v>
      </c>
      <c r="E18" s="315">
        <f t="shared" si="1"/>
        <v>194509671</v>
      </c>
    </row>
    <row r="19" spans="1:5">
      <c r="A19" s="292" t="str">
        <f>A11</f>
        <v xml:space="preserve">  Distribution</v>
      </c>
      <c r="B19" s="362" t="s">
        <v>155</v>
      </c>
      <c r="C19" s="310">
        <v>722869819</v>
      </c>
      <c r="D19" s="310">
        <v>150530889</v>
      </c>
      <c r="E19" s="315">
        <f t="shared" si="1"/>
        <v>873400708</v>
      </c>
    </row>
    <row r="20" spans="1:5">
      <c r="A20" s="292" t="str">
        <f>A12</f>
        <v xml:space="preserve">  General &amp; Intangible</v>
      </c>
      <c r="B20" s="362" t="s">
        <v>490</v>
      </c>
      <c r="C20" s="310">
        <f>82254958+117362067</f>
        <v>199617025</v>
      </c>
      <c r="D20" s="310">
        <f>14285956+3476554</f>
        <v>17762510</v>
      </c>
      <c r="E20" s="315">
        <f t="shared" si="1"/>
        <v>217379535</v>
      </c>
    </row>
    <row r="21" spans="1:5" ht="13.5" thickBot="1">
      <c r="A21" s="765" t="str">
        <f>A13</f>
        <v xml:space="preserve">  Common</v>
      </c>
      <c r="B21" s="1012" t="s">
        <v>517</v>
      </c>
      <c r="C21" s="1013">
        <v>106737430</v>
      </c>
      <c r="D21" s="1013">
        <v>21155645</v>
      </c>
      <c r="E21" s="459">
        <f t="shared" si="1"/>
        <v>127893075</v>
      </c>
    </row>
    <row r="22" spans="1:5">
      <c r="A22" s="292" t="s">
        <v>479</v>
      </c>
      <c r="B22" s="362"/>
      <c r="C22" s="307">
        <f>SUM(C17:C21)</f>
        <v>1213337157</v>
      </c>
      <c r="D22" s="307">
        <f>SUM(D17:D21)</f>
        <v>861423103</v>
      </c>
      <c r="E22" s="314">
        <f t="shared" si="1"/>
        <v>2074760260</v>
      </c>
    </row>
    <row r="23" spans="1:5">
      <c r="B23" s="362" t="s">
        <v>7</v>
      </c>
      <c r="C23" s="295"/>
      <c r="D23" s="295"/>
      <c r="E23" s="315"/>
    </row>
    <row r="24" spans="1:5">
      <c r="A24" s="294" t="s">
        <v>38</v>
      </c>
      <c r="B24" s="362"/>
      <c r="C24" s="295"/>
      <c r="D24" s="295"/>
      <c r="E24" s="315"/>
    </row>
    <row r="25" spans="1:5">
      <c r="A25" s="292" t="str">
        <f>A17</f>
        <v xml:space="preserve">  Production</v>
      </c>
      <c r="B25" s="362" t="s">
        <v>476</v>
      </c>
      <c r="C25" s="307">
        <f t="shared" ref="C25:D29" si="2">C9-C17</f>
        <v>14090</v>
      </c>
      <c r="D25" s="307">
        <f t="shared" si="2"/>
        <v>723439896</v>
      </c>
      <c r="E25" s="314">
        <f t="shared" ref="E25:E30" si="3">D25+C25</f>
        <v>723453986</v>
      </c>
    </row>
    <row r="26" spans="1:5">
      <c r="A26" s="292" t="str">
        <f>A18</f>
        <v xml:space="preserve">  Transmission</v>
      </c>
      <c r="B26" s="362" t="s">
        <v>476</v>
      </c>
      <c r="C26" s="295">
        <f t="shared" si="2"/>
        <v>1078093884</v>
      </c>
      <c r="D26" s="295">
        <f t="shared" si="2"/>
        <v>85582971</v>
      </c>
      <c r="E26" s="315">
        <f t="shared" si="3"/>
        <v>1163676855</v>
      </c>
    </row>
    <row r="27" spans="1:5">
      <c r="A27" s="292" t="str">
        <f>A19</f>
        <v xml:space="preserve">  Distribution</v>
      </c>
      <c r="B27" s="362" t="s">
        <v>476</v>
      </c>
      <c r="C27" s="295">
        <f t="shared" si="2"/>
        <v>2512430678</v>
      </c>
      <c r="D27" s="295">
        <f t="shared" si="2"/>
        <v>472156477</v>
      </c>
      <c r="E27" s="315">
        <f t="shared" si="3"/>
        <v>2984587155</v>
      </c>
    </row>
    <row r="28" spans="1:5">
      <c r="A28" s="292" t="str">
        <f>A20</f>
        <v xml:space="preserve">  General &amp; Intangible</v>
      </c>
      <c r="B28" s="362" t="s">
        <v>476</v>
      </c>
      <c r="C28" s="295">
        <f t="shared" si="2"/>
        <v>329631427</v>
      </c>
      <c r="D28" s="295">
        <f t="shared" si="2"/>
        <v>19814493</v>
      </c>
      <c r="E28" s="315">
        <f t="shared" si="3"/>
        <v>349445920</v>
      </c>
    </row>
    <row r="29" spans="1:5" ht="13.5" thickBot="1">
      <c r="A29" s="765" t="str">
        <f>A21</f>
        <v xml:space="preserve">  Common</v>
      </c>
      <c r="B29" s="763" t="s">
        <v>476</v>
      </c>
      <c r="C29" s="308">
        <f t="shared" si="2"/>
        <v>150574884</v>
      </c>
      <c r="D29" s="308">
        <f t="shared" si="2"/>
        <v>12337720</v>
      </c>
      <c r="E29" s="459">
        <f t="shared" si="3"/>
        <v>162912604</v>
      </c>
    </row>
    <row r="30" spans="1:5">
      <c r="A30" s="292" t="s">
        <v>480</v>
      </c>
      <c r="B30" s="362"/>
      <c r="C30" s="307">
        <f>SUM(C25:C29)</f>
        <v>4070744963</v>
      </c>
      <c r="D30" s="307">
        <f>SUM(D25:D29)</f>
        <v>1313331557</v>
      </c>
      <c r="E30" s="314">
        <f t="shared" si="3"/>
        <v>5384076520</v>
      </c>
    </row>
    <row r="31" spans="1:5">
      <c r="B31" s="362"/>
      <c r="C31" s="295"/>
      <c r="D31" s="295"/>
      <c r="E31" s="315"/>
    </row>
    <row r="32" spans="1:5">
      <c r="A32" s="1014" t="s">
        <v>484</v>
      </c>
      <c r="B32" s="362"/>
      <c r="C32" s="295"/>
      <c r="D32" s="295"/>
      <c r="E32" s="315"/>
    </row>
    <row r="33" spans="1:5">
      <c r="A33" s="292" t="s">
        <v>118</v>
      </c>
      <c r="B33" s="362" t="s">
        <v>41</v>
      </c>
      <c r="C33" s="783">
        <v>0</v>
      </c>
      <c r="D33" s="783">
        <v>0</v>
      </c>
      <c r="E33" s="314">
        <f t="shared" ref="E33:E39" si="4">D33+C33</f>
        <v>0</v>
      </c>
    </row>
    <row r="34" spans="1:5">
      <c r="A34" s="292" t="s">
        <v>119</v>
      </c>
      <c r="B34" s="478" t="s">
        <v>518</v>
      </c>
      <c r="C34" s="315">
        <f>-'P1 ADIT'!F37</f>
        <v>-582832783</v>
      </c>
      <c r="D34" s="315">
        <f>-'P1 ADIT'!G37</f>
        <v>-200892969</v>
      </c>
      <c r="E34" s="315">
        <f t="shared" si="4"/>
        <v>-783725752</v>
      </c>
    </row>
    <row r="35" spans="1:5">
      <c r="A35" s="292" t="s">
        <v>120</v>
      </c>
      <c r="B35" s="478" t="s">
        <v>518</v>
      </c>
      <c r="C35" s="315">
        <f>-'P1 ADIT'!F50</f>
        <v>-34041592</v>
      </c>
      <c r="D35" s="315">
        <f>-'P1 ADIT'!G50</f>
        <v>-31068273.46456768</v>
      </c>
      <c r="E35" s="315">
        <f t="shared" si="4"/>
        <v>-65109865.464567676</v>
      </c>
    </row>
    <row r="36" spans="1:5">
      <c r="A36" s="292" t="s">
        <v>122</v>
      </c>
      <c r="B36" s="478" t="s">
        <v>519</v>
      </c>
      <c r="C36" s="315">
        <f>'P1 ADIT'!F24</f>
        <v>25010666</v>
      </c>
      <c r="D36" s="315">
        <f>'P1 ADIT'!G24</f>
        <v>28657310</v>
      </c>
      <c r="E36" s="315">
        <f t="shared" si="4"/>
        <v>53667976</v>
      </c>
    </row>
    <row r="37" spans="1:5">
      <c r="A37" s="292" t="s">
        <v>904</v>
      </c>
      <c r="B37" s="478" t="s">
        <v>936</v>
      </c>
      <c r="C37" s="315">
        <f>-'DEO DIT Protected'!I47-'DEO DIT Unprotected'!I47</f>
        <v>-241983655.86783838</v>
      </c>
      <c r="D37" s="315">
        <f>-'DEK DIT Protected'!I47-'DEK DIT Unprotected'!I47-'DEK DIT Unprotected State'!I47</f>
        <v>-60334056.054307766</v>
      </c>
      <c r="E37" s="315">
        <f t="shared" si="4"/>
        <v>-302317711.92214614</v>
      </c>
    </row>
    <row r="38" spans="1:5" ht="13.5" thickBot="1">
      <c r="A38" s="1015" t="s">
        <v>121</v>
      </c>
      <c r="B38" s="1015" t="s">
        <v>165</v>
      </c>
      <c r="C38" s="1016">
        <v>0</v>
      </c>
      <c r="D38" s="1016">
        <v>0</v>
      </c>
      <c r="E38" s="459">
        <f t="shared" si="4"/>
        <v>0</v>
      </c>
    </row>
    <row r="39" spans="1:5">
      <c r="A39" s="292" t="s">
        <v>481</v>
      </c>
      <c r="B39" s="362"/>
      <c r="C39" s="307">
        <f>SUM(C33:C38)</f>
        <v>-833847364.86783838</v>
      </c>
      <c r="D39" s="307">
        <f>SUM(D33:D38)</f>
        <v>-263637988.51887545</v>
      </c>
      <c r="E39" s="314">
        <f t="shared" si="4"/>
        <v>-1097485353.3867137</v>
      </c>
    </row>
    <row r="40" spans="1:5">
      <c r="B40" s="362"/>
      <c r="C40" s="295"/>
      <c r="D40" s="295"/>
      <c r="E40" s="315"/>
    </row>
    <row r="41" spans="1:5">
      <c r="A41" s="1014" t="s">
        <v>348</v>
      </c>
      <c r="B41" s="362" t="s">
        <v>679</v>
      </c>
      <c r="C41" s="314">
        <f>'P3 Land Held for Future Use'!D15</f>
        <v>22132</v>
      </c>
      <c r="D41" s="314">
        <f>'P3 Land Held for Future Use'!D20</f>
        <v>0</v>
      </c>
      <c r="E41" s="314">
        <f>D41+C41</f>
        <v>22132</v>
      </c>
    </row>
    <row r="42" spans="1:5">
      <c r="A42" s="292"/>
      <c r="B42" s="362"/>
      <c r="C42" s="295"/>
      <c r="D42" s="295"/>
      <c r="E42" s="315"/>
    </row>
    <row r="43" spans="1:5">
      <c r="A43" s="1014" t="s">
        <v>483</v>
      </c>
      <c r="B43" s="362" t="s">
        <v>7</v>
      </c>
      <c r="C43" s="295"/>
      <c r="D43" s="295"/>
      <c r="E43" s="315"/>
    </row>
    <row r="44" spans="1:5">
      <c r="A44" s="292" t="s">
        <v>143</v>
      </c>
      <c r="B44" s="305" t="s">
        <v>141</v>
      </c>
      <c r="C44" s="314">
        <f>ROUND((DEO!E127/8),0)</f>
        <v>9814149</v>
      </c>
      <c r="D44" s="314">
        <f>ROUND((DEK!E127/8),0)</f>
        <v>3044175</v>
      </c>
      <c r="E44" s="314">
        <f>D44+C44</f>
        <v>12858324</v>
      </c>
    </row>
    <row r="45" spans="1:5">
      <c r="A45" s="293" t="s">
        <v>349</v>
      </c>
      <c r="B45" s="478" t="s">
        <v>678</v>
      </c>
      <c r="C45" s="315">
        <f>'P2 Allocate M&amp;S'!L18</f>
        <v>16882270</v>
      </c>
      <c r="D45" s="315">
        <f>'P2 Allocate M&amp;S'!L27</f>
        <v>402</v>
      </c>
      <c r="E45" s="315">
        <f>D45+C45</f>
        <v>16882672</v>
      </c>
    </row>
    <row r="46" spans="1:5" ht="13.5" thickBot="1">
      <c r="A46" s="765" t="s">
        <v>123</v>
      </c>
      <c r="B46" s="763" t="s">
        <v>1019</v>
      </c>
      <c r="C46" s="1013">
        <f>'P18 Prepayment Adjusments'!E17</f>
        <v>3780</v>
      </c>
      <c r="D46" s="1013">
        <f>'P18 Prepayment Adjusments'!F17</f>
        <v>1202355</v>
      </c>
      <c r="E46" s="459">
        <f>D46+C46</f>
        <v>1206135</v>
      </c>
    </row>
    <row r="47" spans="1:5">
      <c r="A47" s="292" t="s">
        <v>482</v>
      </c>
      <c r="B47" s="292"/>
      <c r="C47" s="307">
        <f>C44+C45+C46</f>
        <v>26700199</v>
      </c>
      <c r="D47" s="307">
        <f>D44+D45+D46</f>
        <v>4246932</v>
      </c>
      <c r="E47" s="314">
        <f>D47+C47</f>
        <v>30947131</v>
      </c>
    </row>
    <row r="48" spans="1:5" ht="13.5" thickBot="1">
      <c r="B48" s="362"/>
      <c r="C48" s="308"/>
      <c r="D48" s="308"/>
      <c r="E48" s="459"/>
    </row>
    <row r="49" spans="1:6" ht="13.5" thickBot="1">
      <c r="A49" s="294" t="s">
        <v>271</v>
      </c>
      <c r="B49" s="362"/>
      <c r="C49" s="621">
        <f>C47+C41+C39+C30</f>
        <v>3263619929.1321616</v>
      </c>
      <c r="D49" s="621">
        <f>D47+D41+D39+D30</f>
        <v>1053940500.4811245</v>
      </c>
      <c r="E49" s="622">
        <f>D49+C49</f>
        <v>4317560429.613286</v>
      </c>
    </row>
    <row r="50" spans="1:6" ht="14.25" thickTop="1" thickBot="1">
      <c r="A50" s="292"/>
      <c r="B50" s="362"/>
      <c r="C50" s="362"/>
      <c r="D50" s="362"/>
      <c r="E50" s="460"/>
    </row>
    <row r="51" spans="1:6">
      <c r="A51" s="318" t="s">
        <v>45</v>
      </c>
      <c r="B51" s="497"/>
      <c r="C51" s="497"/>
      <c r="D51" s="497"/>
      <c r="E51" s="461"/>
    </row>
    <row r="52" spans="1:6">
      <c r="A52" s="292" t="s">
        <v>46</v>
      </c>
      <c r="B52" s="478" t="s">
        <v>998</v>
      </c>
      <c r="C52" s="783">
        <v>48095524</v>
      </c>
      <c r="D52" s="783">
        <v>25679253</v>
      </c>
      <c r="E52" s="314">
        <f t="shared" ref="E52:E66" si="5">D52+C52</f>
        <v>73774777</v>
      </c>
    </row>
    <row r="53" spans="1:6" s="317" customFormat="1">
      <c r="A53" s="322" t="s">
        <v>355</v>
      </c>
      <c r="B53" s="477" t="s">
        <v>842</v>
      </c>
      <c r="C53" s="1017">
        <f>'P17 LSE Expenses'!G21</f>
        <v>26151066</v>
      </c>
      <c r="D53" s="1017">
        <f>'P17 LSE Expenses'!H21</f>
        <v>3907217</v>
      </c>
      <c r="E53" s="623">
        <f t="shared" si="5"/>
        <v>30058283</v>
      </c>
    </row>
    <row r="54" spans="1:6">
      <c r="A54" s="309" t="s">
        <v>466</v>
      </c>
      <c r="B54" s="477" t="s">
        <v>467</v>
      </c>
      <c r="C54" s="784">
        <v>0</v>
      </c>
      <c r="D54" s="784">
        <v>0</v>
      </c>
      <c r="E54" s="623">
        <f t="shared" si="5"/>
        <v>0</v>
      </c>
      <c r="F54" s="317"/>
    </row>
    <row r="55" spans="1:6">
      <c r="A55" s="309" t="s">
        <v>542</v>
      </c>
      <c r="B55" s="478" t="s">
        <v>680</v>
      </c>
      <c r="C55" s="1017">
        <f>'P4 Advertising - EPRI Adj.'!E21</f>
        <v>88543</v>
      </c>
      <c r="D55" s="1017">
        <f>'P4 Advertising - EPRI Adj.'!F21</f>
        <v>11225</v>
      </c>
      <c r="E55" s="623">
        <f t="shared" si="5"/>
        <v>99768</v>
      </c>
      <c r="F55" s="317"/>
    </row>
    <row r="56" spans="1:6">
      <c r="A56" s="348" t="s">
        <v>2</v>
      </c>
      <c r="B56" s="478" t="s">
        <v>184</v>
      </c>
      <c r="C56" s="310">
        <v>0</v>
      </c>
      <c r="D56" s="310">
        <v>19455367</v>
      </c>
      <c r="E56" s="315">
        <f t="shared" si="5"/>
        <v>19455367</v>
      </c>
    </row>
    <row r="57" spans="1:6">
      <c r="A57" s="292" t="s">
        <v>47</v>
      </c>
      <c r="B57" s="478" t="s">
        <v>681</v>
      </c>
      <c r="C57" s="295">
        <f>'P5 A&amp;G Adjusments'!E20</f>
        <v>59267552</v>
      </c>
      <c r="D57" s="295">
        <f>'P5 A&amp;G Adjusments'!F20</f>
        <v>23024646</v>
      </c>
      <c r="E57" s="315">
        <f t="shared" si="5"/>
        <v>82292198</v>
      </c>
    </row>
    <row r="58" spans="1:6" ht="25.5">
      <c r="A58" s="309" t="s">
        <v>572</v>
      </c>
      <c r="B58" s="477" t="s">
        <v>877</v>
      </c>
      <c r="C58" s="1017">
        <f>'P11 PBOP - DEO'!H41</f>
        <v>1160616</v>
      </c>
      <c r="D58" s="1017">
        <f>'P12 PBOP - DEK'!H41</f>
        <v>80042</v>
      </c>
      <c r="E58" s="623">
        <f t="shared" si="5"/>
        <v>1240658</v>
      </c>
      <c r="F58" s="317"/>
    </row>
    <row r="59" spans="1:6">
      <c r="A59" s="348" t="s">
        <v>468</v>
      </c>
      <c r="B59" s="478" t="s">
        <v>469</v>
      </c>
      <c r="C59" s="310">
        <v>0</v>
      </c>
      <c r="D59" s="310">
        <v>0</v>
      </c>
      <c r="E59" s="315">
        <f t="shared" si="5"/>
        <v>0</v>
      </c>
    </row>
    <row r="60" spans="1:6">
      <c r="A60" s="348" t="s">
        <v>525</v>
      </c>
      <c r="B60" s="478"/>
      <c r="C60" s="310">
        <v>0</v>
      </c>
      <c r="D60" s="310">
        <v>0</v>
      </c>
      <c r="E60" s="315">
        <f>D60+C60</f>
        <v>0</v>
      </c>
    </row>
    <row r="61" spans="1:6">
      <c r="A61" s="348" t="s">
        <v>345</v>
      </c>
      <c r="B61" s="478" t="s">
        <v>520</v>
      </c>
      <c r="C61" s="310">
        <v>0</v>
      </c>
      <c r="D61" s="310">
        <v>0</v>
      </c>
      <c r="E61" s="315">
        <f t="shared" si="5"/>
        <v>0</v>
      </c>
    </row>
    <row r="62" spans="1:6">
      <c r="A62" s="309" t="s">
        <v>356</v>
      </c>
      <c r="B62" s="477" t="s">
        <v>521</v>
      </c>
      <c r="C62" s="623">
        <f>'P4 Advertising - EPRI Adj.'!E30</f>
        <v>2610275</v>
      </c>
      <c r="D62" s="623">
        <f>'P4 Advertising - EPRI Adj.'!F30</f>
        <v>976690</v>
      </c>
      <c r="E62" s="623">
        <f t="shared" si="5"/>
        <v>3586965</v>
      </c>
      <c r="F62" s="317"/>
    </row>
    <row r="63" spans="1:6">
      <c r="A63" s="309" t="s">
        <v>357</v>
      </c>
      <c r="B63" s="478"/>
      <c r="C63" s="310">
        <v>0</v>
      </c>
      <c r="D63" s="310">
        <v>0</v>
      </c>
      <c r="E63" s="315">
        <f t="shared" si="5"/>
        <v>0</v>
      </c>
    </row>
    <row r="64" spans="1:6">
      <c r="A64" s="292" t="s">
        <v>34</v>
      </c>
      <c r="B64" s="478" t="str">
        <f>B21</f>
        <v>356</v>
      </c>
      <c r="C64" s="310">
        <v>0</v>
      </c>
      <c r="D64" s="310">
        <v>0</v>
      </c>
      <c r="E64" s="315">
        <f t="shared" si="5"/>
        <v>0</v>
      </c>
    </row>
    <row r="65" spans="1:5">
      <c r="A65" s="292" t="s">
        <v>48</v>
      </c>
      <c r="B65" s="478"/>
      <c r="C65" s="310">
        <v>0</v>
      </c>
      <c r="D65" s="310">
        <v>0</v>
      </c>
      <c r="E65" s="315">
        <f t="shared" si="5"/>
        <v>0</v>
      </c>
    </row>
    <row r="66" spans="1:5" ht="25.5">
      <c r="A66" s="309" t="s">
        <v>560</v>
      </c>
      <c r="B66" s="478"/>
      <c r="C66" s="307">
        <f>C52-C53-C54-C55-C56+C57-C59-C60-C61-C62+C63+C64+C65</f>
        <v>78513192</v>
      </c>
      <c r="D66" s="307">
        <f>D52-D53-D54-D55-D56+D57-D59-D60-D61-D62+D63+D64+D65</f>
        <v>24353400</v>
      </c>
      <c r="E66" s="314">
        <f t="shared" si="5"/>
        <v>102866592</v>
      </c>
    </row>
    <row r="67" spans="1:5">
      <c r="B67" s="478"/>
      <c r="C67" s="295"/>
      <c r="D67" s="295"/>
      <c r="E67" s="315"/>
    </row>
    <row r="68" spans="1:5">
      <c r="A68" s="294" t="s">
        <v>49</v>
      </c>
      <c r="B68" s="478"/>
      <c r="C68" s="295"/>
      <c r="D68" s="295"/>
      <c r="E68" s="315"/>
    </row>
    <row r="69" spans="1:5">
      <c r="A69" s="292" t="str">
        <f>A52</f>
        <v xml:space="preserve">  Transmission </v>
      </c>
      <c r="B69" s="478" t="s">
        <v>499</v>
      </c>
      <c r="C69" s="783">
        <v>22721892</v>
      </c>
      <c r="D69" s="783">
        <v>1960755</v>
      </c>
      <c r="E69" s="314">
        <f>D69+C69</f>
        <v>24682647</v>
      </c>
    </row>
    <row r="70" spans="1:5">
      <c r="A70" s="292" t="s">
        <v>33</v>
      </c>
      <c r="B70" s="478" t="s">
        <v>492</v>
      </c>
      <c r="C70" s="310">
        <f>13333259+24189919</f>
        <v>37523178</v>
      </c>
      <c r="D70" s="310">
        <f>2759812+1238800</f>
        <v>3998612</v>
      </c>
      <c r="E70" s="315">
        <f>D70+C70</f>
        <v>41521790</v>
      </c>
    </row>
    <row r="71" spans="1:5" ht="13.5" thickBot="1">
      <c r="A71" s="765" t="str">
        <f>A64</f>
        <v xml:space="preserve">  Common</v>
      </c>
      <c r="B71" s="1018" t="s">
        <v>498</v>
      </c>
      <c r="C71" s="1013">
        <v>10300163</v>
      </c>
      <c r="D71" s="1013">
        <v>67403</v>
      </c>
      <c r="E71" s="459">
        <f>D71+C71</f>
        <v>10367566</v>
      </c>
    </row>
    <row r="72" spans="1:5">
      <c r="A72" s="292" t="s">
        <v>50</v>
      </c>
      <c r="B72" s="478"/>
      <c r="C72" s="307">
        <f>SUM(C69:C71)</f>
        <v>70545233</v>
      </c>
      <c r="D72" s="307">
        <f>SUM(D69:D71)</f>
        <v>6026770</v>
      </c>
      <c r="E72" s="314">
        <f>D72+C72</f>
        <v>76572003</v>
      </c>
    </row>
    <row r="73" spans="1:5">
      <c r="A73" s="292"/>
      <c r="B73" s="478"/>
      <c r="C73" s="295"/>
      <c r="D73" s="295"/>
      <c r="E73" s="315"/>
    </row>
    <row r="74" spans="1:5">
      <c r="A74" s="1014" t="s">
        <v>196</v>
      </c>
      <c r="B74" s="479"/>
      <c r="C74" s="295"/>
      <c r="D74" s="295"/>
      <c r="E74" s="315"/>
    </row>
    <row r="75" spans="1:5">
      <c r="A75" s="292" t="s">
        <v>51</v>
      </c>
      <c r="B75" s="479"/>
      <c r="C75" s="295"/>
      <c r="D75" s="295"/>
      <c r="E75" s="315"/>
    </row>
    <row r="76" spans="1:5">
      <c r="A76" s="1019" t="s">
        <v>346</v>
      </c>
      <c r="B76" s="478" t="s">
        <v>1022</v>
      </c>
      <c r="C76" s="783">
        <f>3492791+21437+35292</f>
        <v>3549520</v>
      </c>
      <c r="D76" s="783">
        <f>1778252+6279+13543</f>
        <v>1798074</v>
      </c>
      <c r="E76" s="314">
        <f t="shared" ref="E76:E83" si="6">D76+C76</f>
        <v>5347594</v>
      </c>
    </row>
    <row r="77" spans="1:5">
      <c r="A77" s="1019" t="s">
        <v>347</v>
      </c>
      <c r="B77" s="478" t="s">
        <v>1022</v>
      </c>
      <c r="C77" s="310">
        <v>0</v>
      </c>
      <c r="D77" s="310">
        <v>0</v>
      </c>
      <c r="E77" s="315">
        <f t="shared" si="6"/>
        <v>0</v>
      </c>
    </row>
    <row r="78" spans="1:5">
      <c r="A78" s="292" t="s">
        <v>52</v>
      </c>
      <c r="B78" s="478" t="s">
        <v>7</v>
      </c>
      <c r="C78" s="310"/>
      <c r="D78" s="310"/>
      <c r="E78" s="315"/>
    </row>
    <row r="79" spans="1:5">
      <c r="A79" s="292" t="s">
        <v>53</v>
      </c>
      <c r="B79" s="478" t="s">
        <v>1022</v>
      </c>
      <c r="C79" s="310">
        <v>197785413</v>
      </c>
      <c r="D79" s="310">
        <v>14497979</v>
      </c>
      <c r="E79" s="315">
        <f t="shared" si="6"/>
        <v>212283392</v>
      </c>
    </row>
    <row r="80" spans="1:5">
      <c r="A80" s="292" t="s">
        <v>54</v>
      </c>
      <c r="B80" s="478" t="s">
        <v>1022</v>
      </c>
      <c r="C80" s="310">
        <v>2561810</v>
      </c>
      <c r="D80" s="310">
        <v>0</v>
      </c>
      <c r="E80" s="315">
        <f t="shared" si="6"/>
        <v>2561810</v>
      </c>
    </row>
    <row r="81" spans="1:6">
      <c r="A81" s="292" t="s">
        <v>55</v>
      </c>
      <c r="B81" s="478" t="s">
        <v>1022</v>
      </c>
      <c r="C81" s="310">
        <v>0</v>
      </c>
      <c r="D81" s="310">
        <v>0</v>
      </c>
      <c r="E81" s="315">
        <f t="shared" si="6"/>
        <v>0</v>
      </c>
    </row>
    <row r="82" spans="1:6" ht="13.5" thickBot="1">
      <c r="A82" s="765" t="s">
        <v>56</v>
      </c>
      <c r="B82" s="1018"/>
      <c r="C82" s="1013">
        <v>0</v>
      </c>
      <c r="D82" s="1013">
        <v>0</v>
      </c>
      <c r="E82" s="459">
        <f t="shared" si="6"/>
        <v>0</v>
      </c>
    </row>
    <row r="83" spans="1:6">
      <c r="A83" s="292" t="s">
        <v>57</v>
      </c>
      <c r="B83" s="478"/>
      <c r="C83" s="307">
        <f>C76+C77+C79+C80+C81+C82</f>
        <v>203896743</v>
      </c>
      <c r="D83" s="307">
        <f>D76+D77+D79+D80+D81+D82</f>
        <v>16296053</v>
      </c>
      <c r="E83" s="314">
        <f t="shared" si="6"/>
        <v>220192796</v>
      </c>
    </row>
    <row r="84" spans="1:6" ht="15">
      <c r="A84" s="1" t="s">
        <v>1024</v>
      </c>
      <c r="B84" s="1"/>
      <c r="C84" s="295"/>
      <c r="D84" s="295"/>
      <c r="E84" s="315"/>
    </row>
    <row r="85" spans="1:6">
      <c r="A85" s="292"/>
      <c r="B85" s="478"/>
      <c r="C85" s="362"/>
      <c r="D85" s="362"/>
      <c r="E85" s="315"/>
      <c r="F85" s="311"/>
    </row>
    <row r="86" spans="1:6">
      <c r="A86" s="1014" t="s">
        <v>471</v>
      </c>
      <c r="B86" s="478"/>
      <c r="C86" s="362"/>
      <c r="D86" s="362"/>
      <c r="E86" s="315"/>
      <c r="F86" s="311"/>
    </row>
    <row r="87" spans="1:6">
      <c r="A87" s="305" t="s">
        <v>472</v>
      </c>
      <c r="B87" s="478"/>
      <c r="C87" s="312">
        <v>0.21</v>
      </c>
      <c r="D87" s="312">
        <v>0.21</v>
      </c>
      <c r="E87" s="315"/>
      <c r="F87" s="311"/>
    </row>
    <row r="88" spans="1:6">
      <c r="A88" s="305" t="s">
        <v>473</v>
      </c>
      <c r="B88" s="477" t="s">
        <v>878</v>
      </c>
      <c r="C88" s="1020">
        <f>'P6 Statetax'!D13</f>
        <v>0</v>
      </c>
      <c r="D88" s="1020">
        <f>'P6 Statetax'!E13</f>
        <v>0.05</v>
      </c>
      <c r="E88" s="315"/>
      <c r="F88" s="311"/>
    </row>
    <row r="89" spans="1:6">
      <c r="A89" s="733" t="s">
        <v>475</v>
      </c>
      <c r="B89" s="478"/>
      <c r="C89" s="1021">
        <v>0</v>
      </c>
      <c r="D89" s="1021">
        <v>0</v>
      </c>
      <c r="E89" s="315"/>
      <c r="F89" s="311"/>
    </row>
    <row r="90" spans="1:6">
      <c r="A90" s="305" t="s">
        <v>474</v>
      </c>
      <c r="B90" s="478"/>
      <c r="C90" s="1020">
        <f>IF(FIT&gt;0,1-(((1-SIT_DEO)*(1-FIT))/(1-SIT_DEO*FIT*C89)),0)</f>
        <v>0.20999999999999996</v>
      </c>
      <c r="D90" s="1020">
        <f>IF(FIT&gt;0,1-(((1-SIT_DEK)*(1-FIT))/(1-SIT_DEK*FIT*D89)),0)</f>
        <v>0.24950000000000006</v>
      </c>
      <c r="E90" s="315"/>
      <c r="F90" s="311"/>
    </row>
    <row r="91" spans="1:6">
      <c r="B91" s="478"/>
      <c r="C91" s="312"/>
      <c r="D91" s="312"/>
      <c r="E91" s="462"/>
      <c r="F91" s="311"/>
    </row>
    <row r="92" spans="1:6">
      <c r="A92" s="292" t="s">
        <v>331</v>
      </c>
      <c r="B92" s="322" t="s">
        <v>330</v>
      </c>
      <c r="C92" s="310">
        <v>-39517</v>
      </c>
      <c r="D92" s="310">
        <v>-428</v>
      </c>
      <c r="E92" s="315">
        <f>D92+C92</f>
        <v>-39945</v>
      </c>
    </row>
    <row r="93" spans="1:6">
      <c r="A93" s="292" t="s">
        <v>844</v>
      </c>
      <c r="B93" s="322" t="s">
        <v>935</v>
      </c>
      <c r="C93" s="310" cm="1">
        <f t="array" ref="C93">SUM(-'DEO DIT Protected'!F47:G47)+SUM(-'DEO DIT Unprotected'!F47:G47)</f>
        <v>-16748380.207756778</v>
      </c>
      <c r="D93" s="310" cm="1">
        <f t="array" ref="D93">SUM(-'DEK DIT Protected'!F47:G47)+SUM(-'DEK DIT Unprotected'!F47:G47)+SUM(-'DEK DIT Unprotected State'!F47:G47)</f>
        <v>-4322474.9599999981</v>
      </c>
      <c r="E93" s="315">
        <f>D93+C93</f>
        <v>-21070855.167756777</v>
      </c>
    </row>
    <row r="94" spans="1:6">
      <c r="A94" s="292"/>
      <c r="B94" s="478"/>
      <c r="C94" s="295"/>
      <c r="D94" s="295"/>
      <c r="E94" s="315"/>
    </row>
    <row r="95" spans="1:6">
      <c r="A95" s="294" t="s">
        <v>306</v>
      </c>
      <c r="B95" s="480"/>
      <c r="C95" s="292"/>
      <c r="D95" s="292"/>
      <c r="E95" s="463"/>
    </row>
    <row r="96" spans="1:6">
      <c r="A96" s="292"/>
      <c r="B96" s="480"/>
      <c r="C96" s="292"/>
      <c r="D96" s="292"/>
      <c r="E96" s="463"/>
    </row>
    <row r="97" spans="1:5">
      <c r="A97" s="309" t="s">
        <v>359</v>
      </c>
      <c r="B97" s="1022"/>
      <c r="C97" s="310">
        <v>0</v>
      </c>
      <c r="D97" s="310">
        <v>0</v>
      </c>
      <c r="E97" s="315">
        <f>D97+C97</f>
        <v>0</v>
      </c>
    </row>
    <row r="98" spans="1:5" s="317" customFormat="1">
      <c r="A98" s="322" t="s">
        <v>351</v>
      </c>
      <c r="B98" s="477" t="s">
        <v>682</v>
      </c>
      <c r="C98" s="1017">
        <f>'P7 Trans Plant In OATT'!D15</f>
        <v>0</v>
      </c>
      <c r="D98" s="1017">
        <f>'P7 Trans Plant In OATT'!E15</f>
        <v>17045647</v>
      </c>
      <c r="E98" s="623">
        <f>D98+C98</f>
        <v>17045647</v>
      </c>
    </row>
    <row r="99" spans="1:5" ht="13.5" thickBot="1">
      <c r="A99" s="293"/>
      <c r="B99" s="480"/>
      <c r="C99" s="295"/>
      <c r="D99" s="295"/>
      <c r="E99" s="315"/>
    </row>
    <row r="100" spans="1:5">
      <c r="A100" s="318" t="s">
        <v>60</v>
      </c>
      <c r="B100" s="481"/>
      <c r="C100" s="319"/>
      <c r="D100" s="319"/>
      <c r="E100" s="464"/>
    </row>
    <row r="101" spans="1:5">
      <c r="B101" s="479"/>
      <c r="E101" s="316"/>
    </row>
    <row r="102" spans="1:5">
      <c r="A102" s="305" t="s">
        <v>724</v>
      </c>
      <c r="B102" s="479" t="s">
        <v>740</v>
      </c>
      <c r="C102" s="310">
        <v>649781</v>
      </c>
      <c r="D102" s="310">
        <v>74182</v>
      </c>
      <c r="E102" s="315">
        <f t="shared" ref="E102:E104" si="7">D102+C102</f>
        <v>723963</v>
      </c>
    </row>
    <row r="103" spans="1:5">
      <c r="A103" s="305" t="s">
        <v>725</v>
      </c>
      <c r="B103" s="479" t="s">
        <v>741</v>
      </c>
      <c r="C103" s="310">
        <v>2856931</v>
      </c>
      <c r="D103" s="310">
        <v>361043</v>
      </c>
      <c r="E103" s="315">
        <f t="shared" si="7"/>
        <v>3217974</v>
      </c>
    </row>
    <row r="104" spans="1:5" ht="13.5" thickBot="1">
      <c r="A104" s="305" t="s">
        <v>726</v>
      </c>
      <c r="B104" s="479" t="s">
        <v>742</v>
      </c>
      <c r="C104" s="310">
        <v>389837</v>
      </c>
      <c r="D104" s="310">
        <v>46470</v>
      </c>
      <c r="E104" s="315">
        <f t="shared" si="7"/>
        <v>436307</v>
      </c>
    </row>
    <row r="105" spans="1:5" ht="25.5">
      <c r="A105" s="734" t="s">
        <v>352</v>
      </c>
      <c r="B105" s="513" t="s">
        <v>530</v>
      </c>
      <c r="C105" s="1023">
        <f>SUM(C102:C104)</f>
        <v>3896549</v>
      </c>
      <c r="D105" s="1023">
        <f>SUM(D102:D104)</f>
        <v>481695</v>
      </c>
      <c r="E105" s="624">
        <f>D105+C105</f>
        <v>4378244</v>
      </c>
    </row>
    <row r="106" spans="1:5">
      <c r="A106" s="292"/>
      <c r="B106" s="480"/>
      <c r="C106" s="362"/>
      <c r="D106" s="362"/>
      <c r="E106" s="460"/>
    </row>
    <row r="107" spans="1:5">
      <c r="B107" s="480"/>
      <c r="C107" s="362"/>
      <c r="D107" s="362"/>
      <c r="E107" s="460"/>
    </row>
    <row r="108" spans="1:5">
      <c r="A108" s="294" t="s">
        <v>64</v>
      </c>
      <c r="B108" s="478"/>
      <c r="C108" s="362"/>
      <c r="D108" s="362"/>
      <c r="E108" s="460"/>
    </row>
    <row r="109" spans="1:5" ht="13.5" thickBot="1">
      <c r="A109" s="292"/>
      <c r="B109" s="478"/>
      <c r="C109" s="498" t="s">
        <v>66</v>
      </c>
      <c r="D109" s="498" t="s">
        <v>66</v>
      </c>
      <c r="E109" s="465"/>
    </row>
    <row r="110" spans="1:5">
      <c r="A110" s="292" t="s">
        <v>29</v>
      </c>
      <c r="B110" s="478" t="s">
        <v>68</v>
      </c>
      <c r="C110" s="310">
        <v>161845</v>
      </c>
      <c r="D110" s="310">
        <v>12898341</v>
      </c>
      <c r="E110" s="315">
        <f>D110+C110</f>
        <v>13060186</v>
      </c>
    </row>
    <row r="111" spans="1:5">
      <c r="A111" s="292" t="s">
        <v>31</v>
      </c>
      <c r="B111" s="478" t="s">
        <v>186</v>
      </c>
      <c r="C111" s="310">
        <v>6012840</v>
      </c>
      <c r="D111" s="310">
        <v>765355</v>
      </c>
      <c r="E111" s="315">
        <f>D111+C111</f>
        <v>6778195</v>
      </c>
    </row>
    <row r="112" spans="1:5">
      <c r="A112" s="292" t="s">
        <v>32</v>
      </c>
      <c r="B112" s="478" t="s">
        <v>187</v>
      </c>
      <c r="C112" s="310">
        <v>20016905</v>
      </c>
      <c r="D112" s="310">
        <v>2991586</v>
      </c>
      <c r="E112" s="315">
        <f>D112+C112</f>
        <v>23008491</v>
      </c>
    </row>
    <row r="113" spans="1:5" ht="13.5" thickBot="1">
      <c r="A113" s="765" t="s">
        <v>69</v>
      </c>
      <c r="B113" s="1018" t="s">
        <v>188</v>
      </c>
      <c r="C113" s="1013">
        <f>9294618+823346</f>
        <v>10117964</v>
      </c>
      <c r="D113" s="1013">
        <f>1936951+76658</f>
        <v>2013609</v>
      </c>
      <c r="E113" s="459">
        <f>D113+C113</f>
        <v>12131573</v>
      </c>
    </row>
    <row r="114" spans="1:5">
      <c r="A114" s="292" t="s">
        <v>145</v>
      </c>
      <c r="B114" s="478"/>
      <c r="C114" s="295">
        <f>SUM(C110:C113)</f>
        <v>36309554</v>
      </c>
      <c r="D114" s="295">
        <f>SUM(D110:D113)</f>
        <v>18668891</v>
      </c>
      <c r="E114" s="315">
        <f>D114+C114</f>
        <v>54978445</v>
      </c>
    </row>
    <row r="115" spans="1:5">
      <c r="A115" s="292"/>
      <c r="B115" s="478"/>
      <c r="C115" s="362"/>
      <c r="D115" s="362"/>
      <c r="E115" s="460"/>
    </row>
    <row r="116" spans="1:5">
      <c r="A116" s="1014" t="s">
        <v>477</v>
      </c>
      <c r="B116" s="478"/>
      <c r="C116" s="362"/>
      <c r="D116" s="362"/>
      <c r="E116" s="460"/>
    </row>
    <row r="117" spans="1:5">
      <c r="A117" s="292"/>
      <c r="B117" s="478"/>
      <c r="C117" s="499" t="s">
        <v>66</v>
      </c>
      <c r="D117" s="499" t="s">
        <v>66</v>
      </c>
      <c r="E117" s="466"/>
    </row>
    <row r="118" spans="1:5">
      <c r="A118" s="292" t="s">
        <v>73</v>
      </c>
      <c r="B118" s="478" t="s">
        <v>74</v>
      </c>
      <c r="C118" s="310">
        <v>4723553185</v>
      </c>
      <c r="D118" s="310">
        <v>1979969127</v>
      </c>
      <c r="E118" s="315">
        <f>D118+C118</f>
        <v>6703522312</v>
      </c>
    </row>
    <row r="119" spans="1:5">
      <c r="A119" s="292" t="s">
        <v>77</v>
      </c>
      <c r="B119" s="478" t="s">
        <v>166</v>
      </c>
      <c r="C119" s="310">
        <v>2467046760</v>
      </c>
      <c r="D119" s="310">
        <v>701052507</v>
      </c>
      <c r="E119" s="315">
        <f>D119+C119</f>
        <v>3168099267</v>
      </c>
    </row>
    <row r="120" spans="1:5" ht="13.5" thickBot="1">
      <c r="A120" s="765" t="s">
        <v>79</v>
      </c>
      <c r="B120" s="1018" t="s">
        <v>167</v>
      </c>
      <c r="C120" s="1013">
        <v>0</v>
      </c>
      <c r="D120" s="1013">
        <v>0</v>
      </c>
      <c r="E120" s="459">
        <f>D120+C120</f>
        <v>0</v>
      </c>
    </row>
    <row r="121" spans="1:5">
      <c r="A121" s="292" t="s">
        <v>126</v>
      </c>
      <c r="B121" s="478"/>
      <c r="C121" s="295">
        <f>C118+C119+C120</f>
        <v>7190599945</v>
      </c>
      <c r="D121" s="295">
        <f>D118+D119+D120</f>
        <v>2681021634</v>
      </c>
      <c r="E121" s="315">
        <f>D121+C121</f>
        <v>9871621579</v>
      </c>
    </row>
    <row r="122" spans="1:5">
      <c r="A122" s="292"/>
      <c r="B122" s="478"/>
      <c r="E122" s="316"/>
    </row>
    <row r="123" spans="1:5">
      <c r="A123" s="294" t="s">
        <v>80</v>
      </c>
      <c r="B123" s="478"/>
      <c r="C123" s="362"/>
      <c r="D123" s="362"/>
      <c r="E123" s="460"/>
    </row>
    <row r="124" spans="1:5">
      <c r="A124" s="292" t="s">
        <v>719</v>
      </c>
      <c r="B124" s="478" t="s">
        <v>734</v>
      </c>
      <c r="C124" s="1024">
        <v>96755556</v>
      </c>
      <c r="D124" s="1024">
        <v>25860084</v>
      </c>
      <c r="E124" s="315">
        <f t="shared" ref="E124:E128" si="8">D124+C124</f>
        <v>122615640</v>
      </c>
    </row>
    <row r="125" spans="1:5">
      <c r="A125" s="292" t="s">
        <v>720</v>
      </c>
      <c r="B125" s="478" t="s">
        <v>735</v>
      </c>
      <c r="C125" s="1024">
        <v>3431972</v>
      </c>
      <c r="D125" s="1024">
        <v>555657</v>
      </c>
      <c r="E125" s="315">
        <f t="shared" si="8"/>
        <v>3987629</v>
      </c>
    </row>
    <row r="126" spans="1:5">
      <c r="A126" s="292" t="s">
        <v>721</v>
      </c>
      <c r="B126" s="478" t="s">
        <v>736</v>
      </c>
      <c r="C126" s="1024">
        <v>363651</v>
      </c>
      <c r="D126" s="1024">
        <v>122723</v>
      </c>
      <c r="E126" s="315">
        <f t="shared" si="8"/>
        <v>486374</v>
      </c>
    </row>
    <row r="127" spans="1:5">
      <c r="A127" s="292" t="s">
        <v>722</v>
      </c>
      <c r="B127" s="478" t="s">
        <v>737</v>
      </c>
      <c r="C127" s="1024">
        <v>-473735</v>
      </c>
      <c r="D127" s="1024">
        <v>0</v>
      </c>
      <c r="E127" s="315">
        <f t="shared" si="8"/>
        <v>-473735</v>
      </c>
    </row>
    <row r="128" spans="1:5">
      <c r="A128" s="292" t="s">
        <v>723</v>
      </c>
      <c r="B128" s="478" t="s">
        <v>738</v>
      </c>
      <c r="C128" s="1024">
        <v>0</v>
      </c>
      <c r="D128" s="1024">
        <v>0</v>
      </c>
      <c r="E128" s="315">
        <f t="shared" si="8"/>
        <v>0</v>
      </c>
    </row>
    <row r="129" spans="1:5" ht="13.5" thickBot="1">
      <c r="A129" s="292" t="s">
        <v>815</v>
      </c>
      <c r="B129" s="478" t="s">
        <v>739</v>
      </c>
      <c r="C129" s="1024">
        <v>357340</v>
      </c>
      <c r="D129" s="1024">
        <v>141453</v>
      </c>
      <c r="E129" s="315">
        <f t="shared" ref="E129" si="9">D129+C129</f>
        <v>498793</v>
      </c>
    </row>
    <row r="130" spans="1:5">
      <c r="A130" s="497" t="s">
        <v>880</v>
      </c>
      <c r="B130" s="497" t="s">
        <v>879</v>
      </c>
      <c r="C130" s="1023">
        <f>SUM(C124:C129)</f>
        <v>100434784</v>
      </c>
      <c r="D130" s="1023">
        <f>SUM(D124:D129)</f>
        <v>26679917</v>
      </c>
      <c r="E130" s="625">
        <f>D130+C130</f>
        <v>127114701</v>
      </c>
    </row>
    <row r="131" spans="1:5">
      <c r="A131" s="362"/>
      <c r="B131" s="478"/>
      <c r="C131" s="310"/>
      <c r="D131" s="310"/>
      <c r="E131" s="315"/>
    </row>
    <row r="132" spans="1:5">
      <c r="A132" s="362" t="s">
        <v>882</v>
      </c>
      <c r="B132" s="362" t="s">
        <v>881</v>
      </c>
      <c r="C132" s="310">
        <v>0</v>
      </c>
      <c r="D132" s="310">
        <v>0</v>
      </c>
      <c r="E132" s="315">
        <f>D132+C132</f>
        <v>0</v>
      </c>
    </row>
    <row r="133" spans="1:5">
      <c r="A133" s="292"/>
      <c r="B133" s="478"/>
      <c r="C133" s="310"/>
      <c r="D133" s="310"/>
      <c r="E133" s="315"/>
    </row>
    <row r="134" spans="1:5">
      <c r="A134" s="480" t="s">
        <v>470</v>
      </c>
      <c r="B134" s="478"/>
      <c r="C134" s="310"/>
      <c r="D134" s="310"/>
      <c r="E134" s="315"/>
    </row>
    <row r="135" spans="1:5">
      <c r="A135" s="362" t="s">
        <v>884</v>
      </c>
      <c r="B135" s="477" t="s">
        <v>883</v>
      </c>
      <c r="C135" s="295">
        <f>'P9 Capital Structure'!E19</f>
        <v>3728320648</v>
      </c>
      <c r="D135" s="310">
        <v>821642468</v>
      </c>
      <c r="E135" s="315">
        <f>D135+C135</f>
        <v>4549963116</v>
      </c>
    </row>
    <row r="136" spans="1:5">
      <c r="A136" s="362" t="s">
        <v>886</v>
      </c>
      <c r="B136" s="362" t="s">
        <v>885</v>
      </c>
      <c r="C136" s="310">
        <v>0</v>
      </c>
      <c r="D136" s="310">
        <v>0</v>
      </c>
      <c r="E136" s="315">
        <f>D136+C136</f>
        <v>0</v>
      </c>
    </row>
    <row r="137" spans="1:5" ht="13.5" thickBot="1">
      <c r="A137" s="763" t="s">
        <v>888</v>
      </c>
      <c r="B137" s="763" t="s">
        <v>887</v>
      </c>
      <c r="C137" s="1013">
        <v>-740983069</v>
      </c>
      <c r="D137" s="1013">
        <v>0</v>
      </c>
      <c r="E137" s="459">
        <f>D137+C137</f>
        <v>-740983069</v>
      </c>
    </row>
    <row r="138" spans="1:5">
      <c r="A138" s="362" t="s">
        <v>82</v>
      </c>
      <c r="B138" s="479"/>
      <c r="C138" s="295">
        <f>C135+C136+C137</f>
        <v>2987337579</v>
      </c>
      <c r="D138" s="295">
        <f>D135+D136+D137</f>
        <v>821642468</v>
      </c>
      <c r="E138" s="315">
        <f>D138+C138</f>
        <v>3808980047</v>
      </c>
    </row>
    <row r="139" spans="1:5">
      <c r="A139" s="292"/>
      <c r="B139" s="478"/>
      <c r="C139" s="362"/>
      <c r="D139" s="362"/>
      <c r="E139" s="460"/>
    </row>
    <row r="140" spans="1:5" ht="13.5" thickBot="1">
      <c r="A140" s="292"/>
      <c r="B140" s="480" t="s">
        <v>341</v>
      </c>
      <c r="C140" s="500" t="s">
        <v>66</v>
      </c>
      <c r="D140" s="500" t="s">
        <v>66</v>
      </c>
      <c r="E140" s="467"/>
    </row>
    <row r="141" spans="1:5">
      <c r="A141" s="764" t="s">
        <v>727</v>
      </c>
      <c r="B141" s="1025" t="s">
        <v>730</v>
      </c>
      <c r="C141" s="310">
        <v>1850000000</v>
      </c>
      <c r="D141" s="310">
        <v>0</v>
      </c>
      <c r="E141" s="315">
        <f t="shared" ref="E141:E144" si="10">D141+C141</f>
        <v>1850000000</v>
      </c>
    </row>
    <row r="142" spans="1:5">
      <c r="A142" s="292" t="s">
        <v>728</v>
      </c>
      <c r="B142" s="480" t="s">
        <v>731</v>
      </c>
      <c r="C142" s="310">
        <v>0</v>
      </c>
      <c r="D142" s="310">
        <v>0</v>
      </c>
      <c r="E142" s="315">
        <f t="shared" si="10"/>
        <v>0</v>
      </c>
    </row>
    <row r="143" spans="1:5">
      <c r="A143" s="292" t="s">
        <v>729</v>
      </c>
      <c r="B143" s="480" t="s">
        <v>732</v>
      </c>
      <c r="C143" s="310">
        <v>0</v>
      </c>
      <c r="D143" s="310">
        <v>25000000</v>
      </c>
      <c r="E143" s="315">
        <f t="shared" si="10"/>
        <v>25000000</v>
      </c>
    </row>
    <row r="144" spans="1:5" ht="13.5" thickBot="1">
      <c r="A144" s="292" t="s">
        <v>859</v>
      </c>
      <c r="B144" s="480" t="s">
        <v>733</v>
      </c>
      <c r="C144" s="310">
        <v>650000000</v>
      </c>
      <c r="D144" s="310">
        <v>706720000</v>
      </c>
      <c r="E144" s="315">
        <f t="shared" si="10"/>
        <v>1356720000</v>
      </c>
    </row>
    <row r="145" spans="1:5">
      <c r="A145" s="764" t="s">
        <v>890</v>
      </c>
      <c r="B145" s="764" t="s">
        <v>889</v>
      </c>
      <c r="C145" s="1023">
        <f>SUM(C141:C144)</f>
        <v>2500000000</v>
      </c>
      <c r="D145" s="1023">
        <f>SUM(D141:D144)</f>
        <v>731720000</v>
      </c>
      <c r="E145" s="624">
        <f>D145+C145</f>
        <v>3231720000</v>
      </c>
    </row>
    <row r="146" spans="1:5">
      <c r="A146" s="292" t="s">
        <v>894</v>
      </c>
      <c r="B146" s="292" t="s">
        <v>892</v>
      </c>
      <c r="C146" s="310">
        <v>0</v>
      </c>
      <c r="D146" s="310">
        <v>0</v>
      </c>
      <c r="E146" s="315">
        <f>D146+C146</f>
        <v>0</v>
      </c>
    </row>
    <row r="147" spans="1:5" ht="13.5" thickBot="1">
      <c r="A147" s="765" t="s">
        <v>893</v>
      </c>
      <c r="B147" s="765" t="s">
        <v>891</v>
      </c>
      <c r="C147" s="308">
        <f>C138</f>
        <v>2987337579</v>
      </c>
      <c r="D147" s="308">
        <f>D138</f>
        <v>821642468</v>
      </c>
      <c r="E147" s="459">
        <f>D147+C147</f>
        <v>3808980047</v>
      </c>
    </row>
    <row r="148" spans="1:5">
      <c r="A148" s="292" t="s">
        <v>144</v>
      </c>
      <c r="B148" s="479"/>
      <c r="C148" s="295">
        <f>C147+C146+C145</f>
        <v>5487337579</v>
      </c>
      <c r="D148" s="295">
        <f>D147+D146+D145</f>
        <v>1553362468</v>
      </c>
      <c r="E148" s="315">
        <f>D148+C148</f>
        <v>7040700047</v>
      </c>
    </row>
    <row r="149" spans="1:5">
      <c r="B149" s="479"/>
      <c r="E149" s="316"/>
    </row>
    <row r="150" spans="1:5">
      <c r="B150" s="479"/>
      <c r="E150" s="316"/>
    </row>
    <row r="151" spans="1:5">
      <c r="A151" s="294" t="s">
        <v>89</v>
      </c>
      <c r="B151" s="480"/>
      <c r="C151" s="292"/>
      <c r="D151" s="292"/>
      <c r="E151" s="463"/>
    </row>
    <row r="152" spans="1:5">
      <c r="A152" s="292"/>
      <c r="B152" s="480"/>
      <c r="C152" s="292"/>
      <c r="D152" s="292"/>
      <c r="E152" s="463"/>
    </row>
    <row r="153" spans="1:5">
      <c r="A153" s="305" t="s">
        <v>896</v>
      </c>
      <c r="B153" s="305" t="s">
        <v>895</v>
      </c>
      <c r="C153" s="626">
        <v>0</v>
      </c>
      <c r="D153" s="626">
        <v>0</v>
      </c>
      <c r="E153" s="627">
        <f>D153+C153</f>
        <v>0</v>
      </c>
    </row>
    <row r="154" spans="1:5" ht="13.5" thickBot="1">
      <c r="A154" s="309" t="s">
        <v>332</v>
      </c>
      <c r="B154" s="480"/>
      <c r="C154" s="628">
        <v>0</v>
      </c>
      <c r="D154" s="628">
        <v>0</v>
      </c>
      <c r="E154" s="629">
        <f>D154+C154</f>
        <v>0</v>
      </c>
    </row>
    <row r="155" spans="1:5">
      <c r="A155" s="305" t="s">
        <v>91</v>
      </c>
      <c r="B155" s="480"/>
      <c r="E155" s="316"/>
    </row>
    <row r="156" spans="1:5">
      <c r="A156" s="305" t="s">
        <v>7</v>
      </c>
      <c r="B156" s="480"/>
      <c r="E156" s="316"/>
    </row>
    <row r="157" spans="1:5">
      <c r="A157" s="309" t="s">
        <v>354</v>
      </c>
      <c r="B157" s="477" t="s">
        <v>654</v>
      </c>
      <c r="C157" s="314">
        <f>ROUND('P8 Rev Cred Support'!E28,0)</f>
        <v>299324</v>
      </c>
      <c r="D157" s="314">
        <f>ROUND('P8 Rev Cred Support'!G28,0)</f>
        <v>133097</v>
      </c>
      <c r="E157" s="314">
        <f>D157+C157</f>
        <v>432421</v>
      </c>
    </row>
    <row r="158" spans="1:5">
      <c r="B158" s="480"/>
      <c r="C158" s="1026"/>
      <c r="D158" s="292"/>
      <c r="E158" s="463"/>
    </row>
    <row r="159" spans="1:5">
      <c r="A159" s="309" t="s">
        <v>367</v>
      </c>
      <c r="B159" s="477" t="s">
        <v>654</v>
      </c>
      <c r="C159" s="314">
        <f>'P8 Rev Cred Support'!E47</f>
        <v>1762464</v>
      </c>
      <c r="D159" s="314">
        <f>'P8 Rev Cred Support'!G47</f>
        <v>82619</v>
      </c>
      <c r="E159" s="314">
        <f>D159+C159</f>
        <v>1845083</v>
      </c>
    </row>
    <row r="160" spans="1:5">
      <c r="B160" s="480"/>
      <c r="C160" s="480"/>
      <c r="D160" s="480"/>
      <c r="E160" s="1027"/>
    </row>
    <row r="161" spans="1:5" ht="13.5" thickBot="1">
      <c r="A161" s="309" t="s">
        <v>579</v>
      </c>
      <c r="B161" s="477" t="s">
        <v>654</v>
      </c>
      <c r="C161" s="314">
        <f>'P8 Rev Cred Support'!E40</f>
        <v>1180461</v>
      </c>
      <c r="D161" s="314">
        <f>'P8 Rev Cred Support'!G40</f>
        <v>0</v>
      </c>
      <c r="E161" s="314">
        <f>D161+C161</f>
        <v>1180461</v>
      </c>
    </row>
    <row r="162" spans="1:5" ht="13.5" thickBot="1">
      <c r="A162" s="1028" t="s">
        <v>1025</v>
      </c>
      <c r="B162" s="1029"/>
      <c r="C162" s="1030">
        <f>0.1088</f>
        <v>0.10879999999999999</v>
      </c>
      <c r="D162" s="1030">
        <f>0.1088+0.005</f>
        <v>0.1138</v>
      </c>
      <c r="E162" s="1032" t="s">
        <v>447</v>
      </c>
    </row>
    <row r="163" spans="1:5">
      <c r="B163" s="479"/>
      <c r="E163" s="316"/>
    </row>
    <row r="164" spans="1:5">
      <c r="A164" s="305" t="s">
        <v>315</v>
      </c>
      <c r="B164" s="479" t="s">
        <v>683</v>
      </c>
      <c r="C164" s="307">
        <f>DEO!J30</f>
        <v>187452335</v>
      </c>
      <c r="D164" s="307">
        <f>DEK!J30</f>
        <v>9303566</v>
      </c>
      <c r="E164" s="314">
        <f>D164+C164</f>
        <v>196755901</v>
      </c>
    </row>
    <row r="165" spans="1:5">
      <c r="B165" s="479"/>
      <c r="C165" s="307"/>
      <c r="D165" s="307"/>
      <c r="E165" s="314"/>
    </row>
    <row r="166" spans="1:5">
      <c r="A166" s="292"/>
      <c r="B166" s="479"/>
      <c r="E166" s="314"/>
    </row>
    <row r="167" spans="1:5">
      <c r="A167" s="292"/>
      <c r="B167" s="479"/>
    </row>
    <row r="168" spans="1:5">
      <c r="A168" s="292" t="s">
        <v>547</v>
      </c>
      <c r="B168" s="479"/>
      <c r="C168" s="560">
        <v>3.2500000000000001E-2</v>
      </c>
    </row>
    <row r="169" spans="1:5">
      <c r="A169" s="292"/>
      <c r="B169" s="479"/>
    </row>
  </sheetData>
  <pageMargins left="0.32" right="0.2" top="0.67" bottom="0.61" header="0.99" footer="0.16"/>
  <pageSetup scale="68" fitToHeight="25"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A88B-4916-43A5-A49E-8AF3C80E94EB}">
  <sheetPr codeName="Sheet36">
    <tabColor rgb="FF0099FF"/>
    <pageSetUpPr fitToPage="1"/>
  </sheetPr>
  <dimension ref="A1:K65"/>
  <sheetViews>
    <sheetView view="pageBreakPreview" zoomScale="80" zoomScaleNormal="90" zoomScaleSheetLayoutView="80" workbookViewId="0"/>
  </sheetViews>
  <sheetFormatPr defaultColWidth="8.77734375" defaultRowHeight="12.75"/>
  <cols>
    <col min="1" max="1" width="5.109375" style="52" customWidth="1"/>
    <col min="2" max="2" width="1.77734375" style="52" customWidth="1"/>
    <col min="3" max="3" width="28.21875" style="52" customWidth="1"/>
    <col min="4" max="5" width="12.21875" style="52" customWidth="1"/>
    <col min="6" max="6" width="13.21875" style="52" customWidth="1"/>
    <col min="7" max="7" width="14.21875" style="52" customWidth="1"/>
    <col min="8" max="8" width="11.5546875" style="52" customWidth="1"/>
    <col min="9" max="9" width="11.21875" style="52" bestFit="1" customWidth="1"/>
    <col min="10" max="16384" width="8.77734375" style="52"/>
  </cols>
  <sheetData>
    <row r="1" spans="1:11">
      <c r="I1" s="646" t="s">
        <v>296</v>
      </c>
      <c r="K1" s="997"/>
    </row>
    <row r="2" spans="1:11">
      <c r="I2" s="646" t="str">
        <f>'DEO DIT Protected'!I2</f>
        <v>Excess/Deficient DIT Permanent Worksheet</v>
      </c>
    </row>
    <row r="3" spans="1:11">
      <c r="I3" s="853" t="s">
        <v>963</v>
      </c>
    </row>
    <row r="5" spans="1:11">
      <c r="I5" s="646" t="str">
        <f>"For the 12 months ended: "&amp;TEXT(INPUT!$B$1,"mm/dd/yyyy")</f>
        <v>For the 12 months ended: 12/31/2021</v>
      </c>
    </row>
    <row r="6" spans="1:11" ht="15">
      <c r="G6" s="61"/>
    </row>
    <row r="7" spans="1:11">
      <c r="A7" s="635" t="s">
        <v>847</v>
      </c>
      <c r="B7" s="635"/>
      <c r="C7" s="648"/>
      <c r="D7" s="648"/>
      <c r="E7" s="648"/>
      <c r="F7" s="648"/>
      <c r="G7" s="635"/>
    </row>
    <row r="8" spans="1:11">
      <c r="A8" s="635" t="s">
        <v>841</v>
      </c>
      <c r="B8" s="635"/>
      <c r="C8" s="648"/>
      <c r="D8" s="648"/>
      <c r="E8" s="648"/>
      <c r="F8" s="648"/>
      <c r="G8" s="635"/>
    </row>
    <row r="9" spans="1:11">
      <c r="A9" s="635"/>
      <c r="B9" s="635"/>
      <c r="C9" s="648"/>
      <c r="D9" s="648"/>
      <c r="E9" s="648"/>
      <c r="F9" s="648"/>
      <c r="G9" s="635"/>
    </row>
    <row r="10" spans="1:11">
      <c r="A10" s="856"/>
      <c r="B10" s="856"/>
      <c r="C10" s="857"/>
      <c r="D10" s="857"/>
      <c r="E10" s="857"/>
      <c r="F10" s="857"/>
      <c r="G10" s="858"/>
    </row>
    <row r="11" spans="1:11">
      <c r="A11" s="651" t="s">
        <v>8</v>
      </c>
      <c r="B11" s="856"/>
      <c r="C11" s="52" t="s">
        <v>824</v>
      </c>
      <c r="D11" s="651" t="s">
        <v>825</v>
      </c>
      <c r="E11" s="651" t="s">
        <v>825</v>
      </c>
      <c r="F11" s="651" t="s">
        <v>825</v>
      </c>
      <c r="G11" s="651" t="s">
        <v>825</v>
      </c>
    </row>
    <row r="12" spans="1:11">
      <c r="A12" s="654" t="s">
        <v>10</v>
      </c>
      <c r="C12" s="655" t="s">
        <v>854</v>
      </c>
      <c r="D12" s="859">
        <v>190</v>
      </c>
      <c r="E12" s="859">
        <v>282</v>
      </c>
      <c r="F12" s="860">
        <v>283</v>
      </c>
      <c r="G12" s="654" t="s">
        <v>12</v>
      </c>
    </row>
    <row r="13" spans="1:11">
      <c r="A13" s="654"/>
      <c r="C13" s="847" t="s">
        <v>831</v>
      </c>
      <c r="D13" s="848" t="s">
        <v>832</v>
      </c>
      <c r="E13" s="848" t="s">
        <v>833</v>
      </c>
      <c r="F13" s="827" t="s">
        <v>834</v>
      </c>
      <c r="G13" s="847" t="s">
        <v>835</v>
      </c>
    </row>
    <row r="14" spans="1:11">
      <c r="C14" s="797"/>
      <c r="D14" s="798"/>
      <c r="E14" s="798"/>
      <c r="F14" s="798"/>
      <c r="G14" s="798"/>
    </row>
    <row r="15" spans="1:11">
      <c r="A15" s="827">
        <v>1</v>
      </c>
      <c r="C15" s="836" t="s">
        <v>920</v>
      </c>
      <c r="D15" s="662">
        <v>0</v>
      </c>
      <c r="E15" s="662">
        <v>-119539268.33100002</v>
      </c>
      <c r="F15" s="662">
        <v>0</v>
      </c>
      <c r="G15" s="837">
        <f>SUM(D15:F15)</f>
        <v>-119539268.33100002</v>
      </c>
    </row>
    <row r="16" spans="1:11" ht="15">
      <c r="A16" s="827">
        <v>2</v>
      </c>
      <c r="B16" s="651"/>
      <c r="C16" s="836" t="s">
        <v>921</v>
      </c>
      <c r="D16" s="663">
        <v>0</v>
      </c>
      <c r="E16" s="854">
        <v>-71723560.998599961</v>
      </c>
      <c r="F16" s="663">
        <v>0</v>
      </c>
      <c r="G16" s="838">
        <f>SUM(D16:F16)</f>
        <v>-71723560.998599961</v>
      </c>
    </row>
    <row r="17" spans="1:7">
      <c r="A17" s="827">
        <v>3</v>
      </c>
      <c r="B17" s="654"/>
      <c r="C17" s="836" t="s">
        <v>934</v>
      </c>
      <c r="D17" s="837">
        <f>D16-D15</f>
        <v>0</v>
      </c>
      <c r="E17" s="837">
        <f>E16-E15</f>
        <v>47815707.332400054</v>
      </c>
      <c r="F17" s="837">
        <f>F16-F15</f>
        <v>0</v>
      </c>
      <c r="G17" s="837">
        <f>G16-G15</f>
        <v>47815707.332400054</v>
      </c>
    </row>
    <row r="18" spans="1:7">
      <c r="A18" s="654"/>
      <c r="B18" s="654"/>
      <c r="C18" s="797"/>
      <c r="D18" s="799"/>
      <c r="E18" s="799"/>
      <c r="F18" s="799"/>
      <c r="G18" s="799"/>
    </row>
    <row r="19" spans="1:7" ht="14.25">
      <c r="A19" s="827">
        <v>4</v>
      </c>
      <c r="B19" s="827"/>
      <c r="C19" s="828" t="s">
        <v>954</v>
      </c>
      <c r="D19" s="662">
        <v>0</v>
      </c>
      <c r="E19" s="662">
        <v>0</v>
      </c>
      <c r="F19" s="662">
        <v>0</v>
      </c>
      <c r="G19" s="837">
        <f>SUM(D19:F19)</f>
        <v>0</v>
      </c>
    </row>
    <row r="20" spans="1:7">
      <c r="A20" s="827">
        <v>5</v>
      </c>
      <c r="B20" s="827"/>
      <c r="C20" s="828" t="s">
        <v>922</v>
      </c>
      <c r="D20" s="496">
        <v>0</v>
      </c>
      <c r="E20" s="496">
        <v>0</v>
      </c>
      <c r="F20" s="496">
        <v>0</v>
      </c>
      <c r="G20" s="748">
        <f t="shared" ref="G20:G21" si="0">SUM(D20:F20)</f>
        <v>0</v>
      </c>
    </row>
    <row r="21" spans="1:7" ht="15">
      <c r="A21" s="827">
        <v>6</v>
      </c>
      <c r="B21" s="827"/>
      <c r="C21" s="828" t="s">
        <v>923</v>
      </c>
      <c r="D21" s="663">
        <v>0</v>
      </c>
      <c r="E21" s="663">
        <v>0</v>
      </c>
      <c r="F21" s="663">
        <v>0</v>
      </c>
      <c r="G21" s="839">
        <f t="shared" si="0"/>
        <v>0</v>
      </c>
    </row>
    <row r="22" spans="1:7">
      <c r="A22" s="827">
        <v>7</v>
      </c>
      <c r="B22" s="827"/>
      <c r="C22" s="52" t="s">
        <v>826</v>
      </c>
      <c r="D22" s="837">
        <f>SUM(D19:D21)</f>
        <v>0</v>
      </c>
      <c r="E22" s="837">
        <f t="shared" ref="E22:F22" si="1">SUM(E19:E21)</f>
        <v>0</v>
      </c>
      <c r="F22" s="837">
        <f t="shared" si="1"/>
        <v>0</v>
      </c>
      <c r="G22" s="837">
        <f>SUM(G21)</f>
        <v>0</v>
      </c>
    </row>
    <row r="23" spans="1:7">
      <c r="A23" s="827"/>
      <c r="B23" s="827"/>
      <c r="D23" s="837"/>
      <c r="E23" s="837"/>
      <c r="F23" s="837"/>
      <c r="G23" s="837"/>
    </row>
    <row r="24" spans="1:7">
      <c r="A24" s="827">
        <v>8</v>
      </c>
      <c r="B24" s="827"/>
      <c r="C24" s="840" t="s">
        <v>924</v>
      </c>
      <c r="D24" s="662">
        <v>0</v>
      </c>
      <c r="E24" s="662">
        <v>0</v>
      </c>
      <c r="F24" s="662">
        <v>0</v>
      </c>
      <c r="G24" s="837">
        <f t="shared" ref="G24:G26" si="2">SUM(D24:F24)</f>
        <v>0</v>
      </c>
    </row>
    <row r="25" spans="1:7">
      <c r="A25" s="841">
        <v>9</v>
      </c>
      <c r="B25" s="827"/>
      <c r="C25" s="840" t="s">
        <v>925</v>
      </c>
      <c r="D25" s="496">
        <v>0</v>
      </c>
      <c r="E25" s="496">
        <v>0</v>
      </c>
      <c r="F25" s="496">
        <v>0</v>
      </c>
      <c r="G25" s="748">
        <f t="shared" si="2"/>
        <v>0</v>
      </c>
    </row>
    <row r="26" spans="1:7">
      <c r="A26" s="827">
        <v>10</v>
      </c>
      <c r="B26" s="827"/>
      <c r="C26" s="828">
        <v>182.3</v>
      </c>
      <c r="D26" s="496">
        <v>0</v>
      </c>
      <c r="E26" s="496">
        <v>0</v>
      </c>
      <c r="F26" s="496">
        <v>0</v>
      </c>
      <c r="G26" s="748">
        <f t="shared" si="2"/>
        <v>0</v>
      </c>
    </row>
    <row r="27" spans="1:7">
      <c r="A27" s="827">
        <v>11</v>
      </c>
      <c r="B27" s="827"/>
      <c r="C27" s="840" t="s">
        <v>924</v>
      </c>
      <c r="D27" s="496">
        <v>0</v>
      </c>
      <c r="E27" s="855">
        <v>47815707</v>
      </c>
      <c r="F27" s="496">
        <v>0</v>
      </c>
      <c r="G27" s="842">
        <f>SUM(D27:F27)</f>
        <v>47815707</v>
      </c>
    </row>
    <row r="28" spans="1:7">
      <c r="A28" s="841">
        <v>12</v>
      </c>
      <c r="B28" s="827"/>
      <c r="C28" s="840" t="s">
        <v>925</v>
      </c>
      <c r="D28" s="496">
        <v>0</v>
      </c>
      <c r="E28" s="496">
        <v>0</v>
      </c>
      <c r="F28" s="496">
        <v>0</v>
      </c>
      <c r="G28" s="842">
        <f>SUM(D28:F28)</f>
        <v>0</v>
      </c>
    </row>
    <row r="29" spans="1:7" ht="15">
      <c r="A29" s="827">
        <v>13</v>
      </c>
      <c r="B29" s="827"/>
      <c r="C29" s="828">
        <v>254</v>
      </c>
      <c r="D29" s="663">
        <v>0</v>
      </c>
      <c r="E29" s="663">
        <v>47815707</v>
      </c>
      <c r="F29" s="663">
        <v>0</v>
      </c>
      <c r="G29" s="839">
        <f t="shared" ref="G29" si="3">SUM(D29:F29)</f>
        <v>47815707</v>
      </c>
    </row>
    <row r="30" spans="1:7">
      <c r="A30" s="827">
        <v>14</v>
      </c>
      <c r="B30" s="827"/>
      <c r="C30" s="52" t="s">
        <v>946</v>
      </c>
      <c r="D30" s="837">
        <f>D29+D26</f>
        <v>0</v>
      </c>
      <c r="E30" s="837">
        <f t="shared" ref="E30:G30" si="4">E29+E26</f>
        <v>47815707</v>
      </c>
      <c r="F30" s="837">
        <f t="shared" si="4"/>
        <v>0</v>
      </c>
      <c r="G30" s="837">
        <f t="shared" si="4"/>
        <v>47815707</v>
      </c>
    </row>
    <row r="31" spans="1:7">
      <c r="A31" s="827"/>
      <c r="B31" s="827"/>
      <c r="D31" s="843"/>
      <c r="E31" s="843"/>
      <c r="F31" s="843"/>
      <c r="G31" s="843"/>
    </row>
    <row r="32" spans="1:7">
      <c r="A32" s="827">
        <v>15</v>
      </c>
      <c r="B32" s="827"/>
      <c r="C32" s="818" t="s">
        <v>926</v>
      </c>
      <c r="D32" s="662">
        <v>0</v>
      </c>
      <c r="E32" s="662">
        <v>0</v>
      </c>
      <c r="F32" s="662">
        <v>0</v>
      </c>
      <c r="G32" s="837">
        <f>SUM(D32:F32)</f>
        <v>0</v>
      </c>
    </row>
    <row r="33" spans="1:9">
      <c r="A33" s="827">
        <v>16</v>
      </c>
      <c r="B33" s="827"/>
      <c r="C33" s="818" t="s">
        <v>927</v>
      </c>
      <c r="D33" s="496">
        <v>0</v>
      </c>
      <c r="E33" s="496">
        <v>0</v>
      </c>
      <c r="F33" s="496">
        <v>0</v>
      </c>
      <c r="G33" s="748">
        <f t="shared" ref="G33:G34" si="5">SUM(D33:F33)</f>
        <v>0</v>
      </c>
    </row>
    <row r="34" spans="1:9" ht="15">
      <c r="A34" s="827">
        <v>17</v>
      </c>
      <c r="B34" s="827"/>
      <c r="C34" s="828">
        <v>411.2</v>
      </c>
      <c r="D34" s="663">
        <v>0</v>
      </c>
      <c r="E34" s="663">
        <v>0</v>
      </c>
      <c r="F34" s="663">
        <v>0</v>
      </c>
      <c r="G34" s="839">
        <f t="shared" si="5"/>
        <v>0</v>
      </c>
    </row>
    <row r="35" spans="1:9">
      <c r="A35" s="827">
        <v>18</v>
      </c>
      <c r="B35" s="827"/>
      <c r="C35" s="828" t="s">
        <v>846</v>
      </c>
      <c r="D35" s="837">
        <f>SUM(D34)</f>
        <v>0</v>
      </c>
      <c r="E35" s="837">
        <f t="shared" ref="E35:F35" si="6">SUM(E34)</f>
        <v>0</v>
      </c>
      <c r="F35" s="837">
        <f t="shared" si="6"/>
        <v>0</v>
      </c>
      <c r="G35" s="837">
        <f>SUM(G34)</f>
        <v>0</v>
      </c>
    </row>
    <row r="36" spans="1:9">
      <c r="A36" s="827"/>
      <c r="B36" s="827"/>
      <c r="D36" s="843"/>
      <c r="E36" s="843"/>
      <c r="G36" s="844"/>
    </row>
    <row r="37" spans="1:9" ht="25.5">
      <c r="A37" s="827">
        <v>19</v>
      </c>
      <c r="B37" s="827"/>
      <c r="C37" s="845" t="s">
        <v>940</v>
      </c>
      <c r="D37" s="846">
        <f>D35+D30+D22</f>
        <v>0</v>
      </c>
      <c r="E37" s="846">
        <f>E35+E30+E22</f>
        <v>47815707</v>
      </c>
      <c r="F37" s="846">
        <f>F35+F30+F22</f>
        <v>0</v>
      </c>
      <c r="G37" s="846">
        <f>G35+G30+G22</f>
        <v>47815707</v>
      </c>
    </row>
    <row r="38" spans="1:9">
      <c r="A38" s="737"/>
      <c r="B38" s="737"/>
      <c r="C38" s="649"/>
      <c r="D38" s="649"/>
      <c r="E38" s="664"/>
      <c r="F38" s="649"/>
      <c r="G38" s="649"/>
    </row>
    <row r="39" spans="1:9">
      <c r="A39" s="606"/>
      <c r="B39" s="606"/>
      <c r="C39" s="649"/>
      <c r="D39" s="649"/>
      <c r="E39" s="664"/>
      <c r="F39" s="649"/>
      <c r="G39" s="649"/>
    </row>
    <row r="40" spans="1:9">
      <c r="A40" s="606"/>
      <c r="B40" s="606"/>
      <c r="C40" s="801"/>
      <c r="D40" s="801"/>
      <c r="E40" s="801"/>
      <c r="F40" s="805"/>
      <c r="G40" s="801"/>
      <c r="H40" s="801"/>
      <c r="I40" s="806"/>
    </row>
    <row r="41" spans="1:9" ht="39.75">
      <c r="A41" s="827"/>
      <c r="B41" s="827"/>
      <c r="C41" s="847" t="s">
        <v>831</v>
      </c>
      <c r="D41" s="848" t="s">
        <v>955</v>
      </c>
      <c r="E41" s="848" t="s">
        <v>833</v>
      </c>
      <c r="F41" s="849" t="s">
        <v>956</v>
      </c>
      <c r="G41" s="849" t="s">
        <v>957</v>
      </c>
      <c r="H41" s="848" t="s">
        <v>958</v>
      </c>
      <c r="I41" s="651" t="s">
        <v>959</v>
      </c>
    </row>
    <row r="42" spans="1:9">
      <c r="A42" s="827"/>
      <c r="B42" s="827"/>
      <c r="D42" s="651" t="s">
        <v>827</v>
      </c>
      <c r="E42" s="651" t="s">
        <v>928</v>
      </c>
      <c r="F42" s="651" t="s">
        <v>929</v>
      </c>
      <c r="G42" s="651" t="s">
        <v>929</v>
      </c>
      <c r="H42" s="651" t="s">
        <v>948</v>
      </c>
      <c r="I42" s="651" t="s">
        <v>828</v>
      </c>
    </row>
    <row r="43" spans="1:9">
      <c r="A43" s="827"/>
      <c r="B43" s="827"/>
      <c r="C43" s="850" t="s">
        <v>702</v>
      </c>
      <c r="D43" s="850" t="s">
        <v>829</v>
      </c>
      <c r="E43" s="850" t="s">
        <v>930</v>
      </c>
      <c r="F43" s="850" t="s">
        <v>932</v>
      </c>
      <c r="G43" s="850" t="s">
        <v>933</v>
      </c>
      <c r="H43" s="850" t="s">
        <v>931</v>
      </c>
      <c r="I43" s="850" t="s">
        <v>830</v>
      </c>
    </row>
    <row r="44" spans="1:9">
      <c r="A44" s="827">
        <v>20</v>
      </c>
      <c r="B44" s="827"/>
      <c r="C44" s="827">
        <v>2018</v>
      </c>
      <c r="D44" s="861">
        <f>F44/E44</f>
        <v>6.120198505407441E-3</v>
      </c>
      <c r="E44" s="837">
        <f>G30</f>
        <v>47815707</v>
      </c>
      <c r="F44" s="662">
        <v>292641.61851640011</v>
      </c>
      <c r="G44" s="662">
        <v>0</v>
      </c>
      <c r="H44" s="662">
        <v>146320.37</v>
      </c>
      <c r="I44" s="837">
        <f>E44-F44-G44-H44</f>
        <v>47376745.011483602</v>
      </c>
    </row>
    <row r="45" spans="1:9">
      <c r="A45" s="827">
        <v>21</v>
      </c>
      <c r="B45" s="827"/>
      <c r="C45" s="827">
        <f>C44+1</f>
        <v>2019</v>
      </c>
      <c r="D45" s="861">
        <f t="shared" ref="D45:D46" si="7">F45/E45</f>
        <v>1.5405335088766113E-2</v>
      </c>
      <c r="E45" s="852">
        <f>I44</f>
        <v>47376745.011483602</v>
      </c>
      <c r="F45" s="808">
        <v>729854.63231693325</v>
      </c>
      <c r="G45" s="496">
        <v>0</v>
      </c>
      <c r="H45" s="496">
        <v>0</v>
      </c>
      <c r="I45" s="831">
        <f t="shared" ref="I45:I46" si="8">E45-F45-G45-H45</f>
        <v>46646890.37916667</v>
      </c>
    </row>
    <row r="46" spans="1:9">
      <c r="A46" s="827">
        <v>22</v>
      </c>
      <c r="B46" s="827"/>
      <c r="C46" s="827">
        <f t="shared" ref="C46" si="9">C45+1</f>
        <v>2020</v>
      </c>
      <c r="D46" s="861">
        <f t="shared" si="7"/>
        <v>8.3680881725184137E-4</v>
      </c>
      <c r="E46" s="852">
        <f>I45</f>
        <v>46646890.37916667</v>
      </c>
      <c r="F46" s="808">
        <v>39034.529166666762</v>
      </c>
      <c r="G46" s="496">
        <v>0</v>
      </c>
      <c r="H46" s="496">
        <v>0</v>
      </c>
      <c r="I46" s="831">
        <f t="shared" si="8"/>
        <v>46607855.850000001</v>
      </c>
    </row>
    <row r="47" spans="1:9">
      <c r="A47" s="827">
        <v>23</v>
      </c>
      <c r="B47" s="827"/>
      <c r="C47" s="827">
        <v>2021</v>
      </c>
      <c r="D47" s="861">
        <f>F47/E47</f>
        <v>1.9019996604284897E-2</v>
      </c>
      <c r="E47" s="852">
        <f>I46</f>
        <v>46607855.850000001</v>
      </c>
      <c r="F47" s="809">
        <v>886481.26</v>
      </c>
      <c r="G47" s="496">
        <v>0</v>
      </c>
      <c r="H47" s="496">
        <v>0</v>
      </c>
      <c r="I47" s="831">
        <f>E47-F47-G47-H47</f>
        <v>45721374.590000004</v>
      </c>
    </row>
    <row r="48" spans="1:9">
      <c r="A48" s="606"/>
      <c r="B48" s="606"/>
      <c r="C48" s="606"/>
      <c r="D48" s="802"/>
      <c r="E48" s="803"/>
      <c r="F48" s="809"/>
      <c r="G48" s="811"/>
      <c r="H48" s="811"/>
      <c r="I48" s="804"/>
    </row>
    <row r="49" spans="1:9">
      <c r="A49" s="606"/>
      <c r="B49" s="606"/>
      <c r="C49" s="606"/>
      <c r="D49" s="802"/>
      <c r="E49" s="803"/>
      <c r="F49" s="809"/>
      <c r="G49" s="811"/>
      <c r="H49" s="811"/>
      <c r="I49" s="804"/>
    </row>
    <row r="50" spans="1:9">
      <c r="A50" s="827"/>
      <c r="B50" s="827"/>
      <c r="C50" s="828" t="s">
        <v>164</v>
      </c>
      <c r="E50" s="829"/>
      <c r="F50" s="830"/>
      <c r="G50" s="831"/>
    </row>
    <row r="51" spans="1:9">
      <c r="A51" s="832" t="s">
        <v>18</v>
      </c>
      <c r="C51" s="833" t="s">
        <v>942</v>
      </c>
      <c r="E51" s="829"/>
      <c r="G51" s="831"/>
    </row>
    <row r="52" spans="1:9">
      <c r="A52" s="827"/>
      <c r="B52" s="827"/>
      <c r="C52" s="818" t="s">
        <v>943</v>
      </c>
      <c r="E52" s="829"/>
      <c r="G52" s="831"/>
    </row>
    <row r="53" spans="1:9">
      <c r="A53" s="827"/>
      <c r="B53" s="827"/>
      <c r="C53" s="818"/>
      <c r="E53" s="829"/>
      <c r="G53" s="831"/>
    </row>
    <row r="54" spans="1:9">
      <c r="A54" s="832" t="s">
        <v>19</v>
      </c>
      <c r="C54" s="818" t="s">
        <v>941</v>
      </c>
      <c r="E54" s="829"/>
      <c r="G54" s="831"/>
    </row>
    <row r="55" spans="1:9">
      <c r="A55" s="827"/>
      <c r="B55" s="827"/>
      <c r="C55" s="818" t="s">
        <v>947</v>
      </c>
      <c r="E55" s="829"/>
      <c r="G55" s="831"/>
    </row>
    <row r="56" spans="1:9">
      <c r="A56" s="827"/>
      <c r="B56" s="827"/>
      <c r="C56" s="818" t="s">
        <v>949</v>
      </c>
      <c r="E56" s="829"/>
      <c r="G56" s="831"/>
    </row>
    <row r="57" spans="1:9">
      <c r="A57" s="827"/>
      <c r="B57" s="827"/>
      <c r="C57" s="818"/>
      <c r="E57" s="829"/>
      <c r="G57" s="831"/>
    </row>
    <row r="58" spans="1:9">
      <c r="A58" s="832" t="s">
        <v>20</v>
      </c>
      <c r="C58" s="818" t="s">
        <v>964</v>
      </c>
      <c r="E58" s="829"/>
      <c r="G58" s="831"/>
    </row>
    <row r="59" spans="1:9">
      <c r="A59" s="827"/>
      <c r="B59" s="827"/>
      <c r="C59" s="818" t="s">
        <v>951</v>
      </c>
      <c r="E59" s="829"/>
      <c r="G59" s="831"/>
    </row>
    <row r="60" spans="1:9">
      <c r="A60" s="827"/>
      <c r="B60" s="827"/>
      <c r="C60" s="818"/>
      <c r="E60" s="829"/>
      <c r="G60" s="831"/>
    </row>
    <row r="61" spans="1:9">
      <c r="A61" s="832" t="s">
        <v>21</v>
      </c>
      <c r="C61" s="52" t="s">
        <v>850</v>
      </c>
      <c r="E61" s="829"/>
      <c r="G61" s="831"/>
    </row>
    <row r="62" spans="1:9">
      <c r="A62" s="832"/>
      <c r="E62" s="829"/>
      <c r="G62" s="831"/>
    </row>
    <row r="63" spans="1:9">
      <c r="A63" s="832" t="s">
        <v>22</v>
      </c>
      <c r="C63" s="52" t="s">
        <v>851</v>
      </c>
      <c r="E63" s="829"/>
    </row>
    <row r="64" spans="1:9">
      <c r="A64" s="832"/>
      <c r="E64" s="829"/>
    </row>
    <row r="65" spans="1:5">
      <c r="A65" s="832" t="s">
        <v>952</v>
      </c>
      <c r="C65" s="52" t="s">
        <v>953</v>
      </c>
      <c r="E65" s="829"/>
    </row>
  </sheetData>
  <pageMargins left="0.42" right="0.49" top="0.75" bottom="0.75" header="0.3" footer="0.3"/>
  <pageSetup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E22-F3AF-45C2-86B0-8E45D7B8DF60}">
  <sheetPr codeName="Sheet38">
    <tabColor rgb="FF0099FF"/>
    <pageSetUpPr fitToPage="1"/>
  </sheetPr>
  <dimension ref="A1:K64"/>
  <sheetViews>
    <sheetView view="pageBreakPreview" zoomScale="80" zoomScaleNormal="90" zoomScaleSheetLayoutView="80" workbookViewId="0"/>
  </sheetViews>
  <sheetFormatPr defaultColWidth="8.77734375" defaultRowHeight="12.75"/>
  <cols>
    <col min="1" max="1" width="5.21875" style="52" customWidth="1"/>
    <col min="2" max="2" width="1" style="52" customWidth="1"/>
    <col min="3" max="3" width="27.77734375" style="52" customWidth="1"/>
    <col min="4" max="4" width="11.109375" style="52" customWidth="1"/>
    <col min="5" max="5" width="11.77734375" style="52" customWidth="1"/>
    <col min="6" max="6" width="13.6640625" style="52" customWidth="1"/>
    <col min="7" max="7" width="15.77734375" style="52" customWidth="1"/>
    <col min="8" max="8" width="10.5546875" style="52" customWidth="1"/>
    <col min="9" max="9" width="10.21875" style="52" bestFit="1" customWidth="1"/>
    <col min="10" max="10" width="11.109375" style="52" bestFit="1" customWidth="1"/>
    <col min="11" max="13" width="11.44140625" style="52" bestFit="1" customWidth="1"/>
    <col min="14" max="16384" width="8.77734375" style="52"/>
  </cols>
  <sheetData>
    <row r="1" spans="1:11">
      <c r="I1" s="646" t="s">
        <v>296</v>
      </c>
      <c r="K1" s="997"/>
    </row>
    <row r="2" spans="1:11">
      <c r="I2" s="646" t="str">
        <f>'DEO DIT Protected'!I2</f>
        <v>Excess/Deficient DIT Permanent Worksheet</v>
      </c>
    </row>
    <row r="3" spans="1:11">
      <c r="I3" s="853" t="s">
        <v>965</v>
      </c>
    </row>
    <row r="5" spans="1:11">
      <c r="I5" s="646" t="str">
        <f>"For the 12 months ended: "&amp;TEXT(INPUT!$B$1,"mm/dd/yyyy")</f>
        <v>For the 12 months ended: 12/31/2021</v>
      </c>
    </row>
    <row r="6" spans="1:11" ht="15">
      <c r="G6" s="61"/>
    </row>
    <row r="7" spans="1:11">
      <c r="A7" s="635" t="s">
        <v>847</v>
      </c>
      <c r="B7" s="635"/>
      <c r="C7" s="648"/>
      <c r="D7" s="648"/>
      <c r="E7" s="648"/>
      <c r="F7" s="648"/>
      <c r="G7" s="635"/>
    </row>
    <row r="8" spans="1:11">
      <c r="A8" s="635" t="s">
        <v>853</v>
      </c>
      <c r="B8" s="635"/>
      <c r="C8" s="648"/>
      <c r="D8" s="648"/>
      <c r="E8" s="648"/>
      <c r="F8" s="648"/>
      <c r="G8" s="635"/>
    </row>
    <row r="9" spans="1:11">
      <c r="A9" s="635"/>
      <c r="B9" s="635"/>
      <c r="C9" s="648"/>
      <c r="D9" s="648"/>
      <c r="E9" s="648"/>
      <c r="F9" s="648"/>
      <c r="G9" s="635"/>
    </row>
    <row r="10" spans="1:11">
      <c r="A10" s="635"/>
      <c r="B10" s="635"/>
      <c r="C10" s="648"/>
      <c r="D10" s="648"/>
      <c r="E10" s="648"/>
      <c r="F10" s="648"/>
      <c r="G10" s="650"/>
    </row>
    <row r="11" spans="1:11">
      <c r="A11" s="651" t="s">
        <v>8</v>
      </c>
      <c r="B11" s="635"/>
      <c r="C11" s="652" t="s">
        <v>824</v>
      </c>
      <c r="D11" s="653" t="s">
        <v>825</v>
      </c>
      <c r="E11" s="653" t="s">
        <v>825</v>
      </c>
      <c r="F11" s="653" t="s">
        <v>825</v>
      </c>
      <c r="G11" s="653" t="s">
        <v>825</v>
      </c>
    </row>
    <row r="12" spans="1:11">
      <c r="A12" s="654" t="s">
        <v>10</v>
      </c>
      <c r="C12" s="655" t="s">
        <v>854</v>
      </c>
      <c r="D12" s="656">
        <v>190</v>
      </c>
      <c r="E12" s="656">
        <v>282</v>
      </c>
      <c r="F12" s="657">
        <v>283</v>
      </c>
      <c r="G12" s="658" t="s">
        <v>12</v>
      </c>
    </row>
    <row r="13" spans="1:11">
      <c r="A13" s="654"/>
      <c r="C13" s="847" t="s">
        <v>831</v>
      </c>
      <c r="D13" s="848" t="s">
        <v>832</v>
      </c>
      <c r="E13" s="848" t="s">
        <v>833</v>
      </c>
      <c r="F13" s="827" t="s">
        <v>834</v>
      </c>
      <c r="G13" s="847" t="s">
        <v>835</v>
      </c>
    </row>
    <row r="14" spans="1:11">
      <c r="C14" s="797"/>
      <c r="D14" s="798"/>
      <c r="E14" s="798"/>
      <c r="F14" s="798"/>
      <c r="G14" s="798"/>
    </row>
    <row r="15" spans="1:11">
      <c r="A15" s="827">
        <v>1</v>
      </c>
      <c r="C15" s="836" t="s">
        <v>920</v>
      </c>
      <c r="D15" s="662">
        <v>22784880</v>
      </c>
      <c r="E15" s="662">
        <v>-118861349.30519663</v>
      </c>
      <c r="F15" s="662">
        <v>-32750824</v>
      </c>
      <c r="G15" s="837">
        <f>SUM(D15:F15)</f>
        <v>-128827293.30519663</v>
      </c>
    </row>
    <row r="16" spans="1:11" ht="15">
      <c r="A16" s="827">
        <v>2</v>
      </c>
      <c r="B16" s="651"/>
      <c r="C16" s="836" t="s">
        <v>921</v>
      </c>
      <c r="D16" s="854">
        <v>39533091.418424055</v>
      </c>
      <c r="E16" s="854">
        <v>-76083485.802041024</v>
      </c>
      <c r="F16" s="663">
        <v>-21737212.800000001</v>
      </c>
      <c r="G16" s="838">
        <f>SUM(D16:F16)</f>
        <v>-58287607.183616966</v>
      </c>
    </row>
    <row r="17" spans="1:7">
      <c r="A17" s="827">
        <v>3</v>
      </c>
      <c r="B17" s="654"/>
      <c r="C17" s="836" t="s">
        <v>934</v>
      </c>
      <c r="D17" s="837">
        <f>D16-D15</f>
        <v>16748211.418424055</v>
      </c>
      <c r="E17" s="837">
        <f>E16-E15</f>
        <v>42777863.503155604</v>
      </c>
      <c r="F17" s="837">
        <f>F16-F15</f>
        <v>11013611.199999999</v>
      </c>
      <c r="G17" s="837">
        <f>G16-G15</f>
        <v>70539686.121579662</v>
      </c>
    </row>
    <row r="18" spans="1:7">
      <c r="A18" s="654"/>
      <c r="B18" s="654"/>
      <c r="C18" s="797"/>
      <c r="D18" s="799"/>
      <c r="E18" s="799"/>
      <c r="F18" s="799"/>
      <c r="G18" s="799"/>
    </row>
    <row r="19" spans="1:7" ht="14.25">
      <c r="A19" s="827">
        <v>4</v>
      </c>
      <c r="B19" s="827"/>
      <c r="C19" s="828" t="s">
        <v>954</v>
      </c>
      <c r="D19" s="662">
        <v>0</v>
      </c>
      <c r="E19" s="662">
        <v>1908088</v>
      </c>
      <c r="F19" s="662">
        <v>0</v>
      </c>
      <c r="G19" s="837">
        <f>SUM(D19:F19)</f>
        <v>1908088</v>
      </c>
    </row>
    <row r="20" spans="1:7">
      <c r="A20" s="827">
        <v>5</v>
      </c>
      <c r="B20" s="827"/>
      <c r="C20" s="828" t="s">
        <v>922</v>
      </c>
      <c r="D20" s="496">
        <v>24314998.438424058</v>
      </c>
      <c r="E20" s="496">
        <v>0</v>
      </c>
      <c r="F20" s="496">
        <v>0</v>
      </c>
      <c r="G20" s="748">
        <f t="shared" ref="G20:G21" si="0">SUM(D20:F20)</f>
        <v>24314998.438424058</v>
      </c>
    </row>
    <row r="21" spans="1:7" ht="15">
      <c r="A21" s="827">
        <v>6</v>
      </c>
      <c r="B21" s="827"/>
      <c r="C21" s="828" t="s">
        <v>923</v>
      </c>
      <c r="D21" s="663">
        <v>0</v>
      </c>
      <c r="E21" s="663">
        <v>0</v>
      </c>
      <c r="F21" s="663">
        <v>0</v>
      </c>
      <c r="G21" s="839">
        <f t="shared" si="0"/>
        <v>0</v>
      </c>
    </row>
    <row r="22" spans="1:7">
      <c r="A22" s="827">
        <v>7</v>
      </c>
      <c r="B22" s="827"/>
      <c r="C22" s="52" t="s">
        <v>826</v>
      </c>
      <c r="D22" s="837">
        <f>SUM(D19:D21)</f>
        <v>24314998.438424058</v>
      </c>
      <c r="E22" s="837">
        <f t="shared" ref="E22:F22" si="1">SUM(E19:E21)</f>
        <v>1908088</v>
      </c>
      <c r="F22" s="837">
        <f t="shared" si="1"/>
        <v>0</v>
      </c>
      <c r="G22" s="837">
        <f>SUM(G19:G21)</f>
        <v>26223086.438424058</v>
      </c>
    </row>
    <row r="23" spans="1:7">
      <c r="A23" s="827"/>
      <c r="B23" s="827"/>
      <c r="D23" s="837"/>
      <c r="E23" s="837"/>
      <c r="F23" s="837"/>
      <c r="G23" s="837"/>
    </row>
    <row r="24" spans="1:7">
      <c r="A24" s="827">
        <v>8</v>
      </c>
      <c r="B24" s="827"/>
      <c r="C24" s="840" t="s">
        <v>924</v>
      </c>
      <c r="D24" s="662">
        <v>0</v>
      </c>
      <c r="E24" s="662">
        <v>0</v>
      </c>
      <c r="F24" s="662">
        <v>0</v>
      </c>
      <c r="G24" s="837">
        <f t="shared" ref="G24:G26" si="2">SUM(D24:F24)</f>
        <v>0</v>
      </c>
    </row>
    <row r="25" spans="1:7">
      <c r="A25" s="841">
        <v>9</v>
      </c>
      <c r="B25" s="827"/>
      <c r="C25" s="840" t="s">
        <v>925</v>
      </c>
      <c r="D25" s="496">
        <v>0</v>
      </c>
      <c r="E25" s="496">
        <v>0</v>
      </c>
      <c r="F25" s="496">
        <v>0</v>
      </c>
      <c r="G25" s="748">
        <f t="shared" si="2"/>
        <v>0</v>
      </c>
    </row>
    <row r="26" spans="1:7">
      <c r="A26" s="827">
        <v>10</v>
      </c>
      <c r="B26" s="827"/>
      <c r="C26" s="828">
        <v>182.3</v>
      </c>
      <c r="D26" s="496">
        <v>0</v>
      </c>
      <c r="E26" s="496">
        <v>0</v>
      </c>
      <c r="F26" s="496">
        <v>0</v>
      </c>
      <c r="G26" s="748">
        <f t="shared" si="2"/>
        <v>0</v>
      </c>
    </row>
    <row r="27" spans="1:7">
      <c r="A27" s="827">
        <v>11</v>
      </c>
      <c r="B27" s="827"/>
      <c r="C27" s="840" t="s">
        <v>924</v>
      </c>
      <c r="D27" s="496">
        <v>1205432.3400000001</v>
      </c>
      <c r="E27" s="855">
        <v>29548967.95257945</v>
      </c>
      <c r="F27" s="496">
        <v>13735205.199999999</v>
      </c>
      <c r="G27" s="842">
        <f>SUM(D27:F27)</f>
        <v>44489605.492579445</v>
      </c>
    </row>
    <row r="28" spans="1:7">
      <c r="A28" s="841">
        <v>12</v>
      </c>
      <c r="B28" s="827"/>
      <c r="C28" s="840" t="s">
        <v>925</v>
      </c>
      <c r="D28" s="855">
        <v>-8772219.3599999994</v>
      </c>
      <c r="E28" s="496">
        <v>-7574295.8794238456</v>
      </c>
      <c r="F28" s="496">
        <v>-2721594</v>
      </c>
      <c r="G28" s="842">
        <f>SUM(D28:F28)</f>
        <v>-19068109.239423845</v>
      </c>
    </row>
    <row r="29" spans="1:7" ht="15">
      <c r="A29" s="827">
        <v>13</v>
      </c>
      <c r="B29" s="827"/>
      <c r="C29" s="828">
        <v>254</v>
      </c>
      <c r="D29" s="663">
        <v>-7566787.0199999996</v>
      </c>
      <c r="E29" s="663">
        <v>21974672.073155604</v>
      </c>
      <c r="F29" s="663">
        <v>11013611.199999999</v>
      </c>
      <c r="G29" s="839">
        <f t="shared" ref="G29" si="3">SUM(D29:F29)</f>
        <v>25421496.253155604</v>
      </c>
    </row>
    <row r="30" spans="1:7">
      <c r="A30" s="827">
        <v>14</v>
      </c>
      <c r="B30" s="827"/>
      <c r="C30" s="52" t="s">
        <v>946</v>
      </c>
      <c r="D30" s="837">
        <f>D29+D26</f>
        <v>-7566787.0199999996</v>
      </c>
      <c r="E30" s="837">
        <f t="shared" ref="E30:G30" si="4">E29+E26</f>
        <v>21974672.073155604</v>
      </c>
      <c r="F30" s="837">
        <f t="shared" si="4"/>
        <v>11013611.199999999</v>
      </c>
      <c r="G30" s="837">
        <f t="shared" si="4"/>
        <v>25421496.253155604</v>
      </c>
    </row>
    <row r="31" spans="1:7">
      <c r="A31" s="827"/>
      <c r="B31" s="827"/>
      <c r="D31" s="843"/>
      <c r="E31" s="843"/>
      <c r="F31" s="843"/>
      <c r="G31" s="843"/>
    </row>
    <row r="32" spans="1:7">
      <c r="A32" s="827">
        <v>15</v>
      </c>
      <c r="B32" s="827"/>
      <c r="C32" s="818" t="s">
        <v>926</v>
      </c>
      <c r="D32" s="662">
        <v>0</v>
      </c>
      <c r="E32" s="662">
        <v>0</v>
      </c>
      <c r="F32" s="662">
        <v>0</v>
      </c>
      <c r="G32" s="837">
        <f>SUM(D32:F32)</f>
        <v>0</v>
      </c>
    </row>
    <row r="33" spans="1:9">
      <c r="A33" s="827">
        <v>16</v>
      </c>
      <c r="B33" s="827"/>
      <c r="C33" s="818" t="s">
        <v>927</v>
      </c>
      <c r="D33" s="496">
        <v>0</v>
      </c>
      <c r="E33" s="496">
        <v>0</v>
      </c>
      <c r="F33" s="496">
        <v>0</v>
      </c>
      <c r="G33" s="748">
        <f t="shared" ref="G33:G34" si="5">SUM(D33:F33)</f>
        <v>0</v>
      </c>
    </row>
    <row r="34" spans="1:9" ht="15">
      <c r="A34" s="827">
        <v>17</v>
      </c>
      <c r="B34" s="827"/>
      <c r="C34" s="828">
        <v>411.2</v>
      </c>
      <c r="D34" s="663">
        <v>0</v>
      </c>
      <c r="E34" s="663">
        <v>18895103.43</v>
      </c>
      <c r="F34" s="663">
        <v>0</v>
      </c>
      <c r="G34" s="839">
        <f t="shared" si="5"/>
        <v>18895103.43</v>
      </c>
    </row>
    <row r="35" spans="1:9">
      <c r="A35" s="827">
        <v>18</v>
      </c>
      <c r="B35" s="827"/>
      <c r="C35" s="828" t="s">
        <v>846</v>
      </c>
      <c r="D35" s="837">
        <f>SUM(D34)</f>
        <v>0</v>
      </c>
      <c r="E35" s="837">
        <f t="shared" ref="E35:F35" si="6">SUM(E34)</f>
        <v>18895103.43</v>
      </c>
      <c r="F35" s="837">
        <f t="shared" si="6"/>
        <v>0</v>
      </c>
      <c r="G35" s="837">
        <f>SUM(G34)</f>
        <v>18895103.43</v>
      </c>
    </row>
    <row r="36" spans="1:9">
      <c r="A36" s="827"/>
      <c r="B36" s="827"/>
      <c r="D36" s="843"/>
      <c r="E36" s="843"/>
      <c r="G36" s="844"/>
    </row>
    <row r="37" spans="1:9" ht="25.5">
      <c r="A37" s="827">
        <v>19</v>
      </c>
      <c r="B37" s="827"/>
      <c r="C37" s="845" t="s">
        <v>940</v>
      </c>
      <c r="D37" s="846">
        <f>D35+D30+D22</f>
        <v>16748211.418424059</v>
      </c>
      <c r="E37" s="846">
        <f>E35+E30+E22</f>
        <v>42777863.503155604</v>
      </c>
      <c r="F37" s="846">
        <f>F35+F30+F22</f>
        <v>11013611.199999999</v>
      </c>
      <c r="G37" s="846">
        <f>G35+G30+G22</f>
        <v>70539686.121579662</v>
      </c>
    </row>
    <row r="38" spans="1:9">
      <c r="A38" s="737"/>
      <c r="B38" s="737"/>
      <c r="C38" s="649"/>
      <c r="D38" s="649"/>
      <c r="E38" s="664"/>
      <c r="F38" s="649"/>
      <c r="G38" s="649"/>
    </row>
    <row r="39" spans="1:9">
      <c r="A39" s="606"/>
      <c r="B39" s="606"/>
      <c r="C39" s="649"/>
      <c r="D39" s="649"/>
      <c r="E39" s="664"/>
      <c r="F39" s="649"/>
      <c r="G39" s="649"/>
    </row>
    <row r="40" spans="1:9">
      <c r="A40" s="606"/>
      <c r="B40" s="606"/>
      <c r="C40" s="801"/>
      <c r="D40" s="801"/>
      <c r="E40" s="801"/>
      <c r="F40" s="805"/>
      <c r="G40" s="801"/>
      <c r="H40" s="801"/>
      <c r="I40" s="806"/>
    </row>
    <row r="41" spans="1:9" ht="39.75">
      <c r="A41" s="606"/>
      <c r="B41" s="606"/>
      <c r="C41" s="847" t="s">
        <v>831</v>
      </c>
      <c r="D41" s="848" t="s">
        <v>955</v>
      </c>
      <c r="E41" s="848" t="s">
        <v>833</v>
      </c>
      <c r="F41" s="849" t="s">
        <v>956</v>
      </c>
      <c r="G41" s="849" t="s">
        <v>957</v>
      </c>
      <c r="H41" s="848" t="s">
        <v>958</v>
      </c>
      <c r="I41" s="651" t="s">
        <v>959</v>
      </c>
    </row>
    <row r="42" spans="1:9">
      <c r="A42" s="606"/>
      <c r="B42" s="606"/>
      <c r="D42" s="651" t="s">
        <v>827</v>
      </c>
      <c r="E42" s="651" t="s">
        <v>928</v>
      </c>
      <c r="F42" s="651" t="s">
        <v>929</v>
      </c>
      <c r="G42" s="651" t="s">
        <v>929</v>
      </c>
      <c r="H42" s="651" t="s">
        <v>948</v>
      </c>
      <c r="I42" s="651" t="s">
        <v>828</v>
      </c>
    </row>
    <row r="43" spans="1:9">
      <c r="A43" s="606"/>
      <c r="B43" s="606"/>
      <c r="C43" s="850" t="s">
        <v>702</v>
      </c>
      <c r="D43" s="850" t="s">
        <v>829</v>
      </c>
      <c r="E43" s="850" t="s">
        <v>930</v>
      </c>
      <c r="F43" s="850" t="s">
        <v>932</v>
      </c>
      <c r="G43" s="850" t="s">
        <v>933</v>
      </c>
      <c r="H43" s="850" t="s">
        <v>931</v>
      </c>
      <c r="I43" s="850" t="s">
        <v>830</v>
      </c>
    </row>
    <row r="44" spans="1:9">
      <c r="A44" s="606">
        <v>20</v>
      </c>
      <c r="B44" s="606"/>
      <c r="C44" s="827">
        <v>2018</v>
      </c>
      <c r="D44" s="861">
        <v>0.1</v>
      </c>
      <c r="E44" s="837">
        <f>G30</f>
        <v>25421496.253155604</v>
      </c>
      <c r="F44" s="662">
        <v>2202185.5255145067</v>
      </c>
      <c r="G44" s="662">
        <v>0</v>
      </c>
      <c r="H44" s="662">
        <v>-146320.37</v>
      </c>
      <c r="I44" s="837">
        <f>E44-SUM(F44:H44)</f>
        <v>23365631.097641096</v>
      </c>
    </row>
    <row r="45" spans="1:9">
      <c r="A45" s="606">
        <v>21</v>
      </c>
      <c r="B45" s="606"/>
      <c r="C45" s="827">
        <f>C44+1</f>
        <v>2019</v>
      </c>
      <c r="D45" s="861">
        <v>0.1</v>
      </c>
      <c r="E45" s="852">
        <f>I44</f>
        <v>23365631.097641096</v>
      </c>
      <c r="F45" s="808">
        <v>3254796.5999999987</v>
      </c>
      <c r="G45" s="496">
        <v>0</v>
      </c>
      <c r="H45" s="496">
        <v>0</v>
      </c>
      <c r="I45" s="831">
        <f t="shared" ref="I45:I46" si="7">E45-SUM(F45:H45)</f>
        <v>20110834.497641098</v>
      </c>
    </row>
    <row r="46" spans="1:9">
      <c r="A46" s="606">
        <v>22</v>
      </c>
      <c r="B46" s="606"/>
      <c r="C46" s="827">
        <f t="shared" ref="C46" si="8">C45+1</f>
        <v>2020</v>
      </c>
      <c r="D46" s="861">
        <v>0.1</v>
      </c>
      <c r="E46" s="852">
        <f>I45</f>
        <v>20110834.497641098</v>
      </c>
      <c r="F46" s="808">
        <v>3303278.5999999987</v>
      </c>
      <c r="G46" s="496">
        <v>0</v>
      </c>
      <c r="H46" s="496">
        <v>0</v>
      </c>
      <c r="I46" s="831">
        <f t="shared" si="7"/>
        <v>16807555.8976411</v>
      </c>
    </row>
    <row r="47" spans="1:9">
      <c r="A47" s="606">
        <v>23</v>
      </c>
      <c r="B47" s="606"/>
      <c r="C47" s="827">
        <v>2021</v>
      </c>
      <c r="D47" s="861">
        <v>0.1</v>
      </c>
      <c r="E47" s="852">
        <f>I46</f>
        <v>16807555.8976411</v>
      </c>
      <c r="F47" s="809">
        <v>3303278.5999999987</v>
      </c>
      <c r="G47" s="496">
        <v>0</v>
      </c>
      <c r="H47" s="496">
        <v>0</v>
      </c>
      <c r="I47" s="831">
        <f>E47-SUM(F47:H47)</f>
        <v>13504277.297641102</v>
      </c>
    </row>
    <row r="48" spans="1:9">
      <c r="A48" s="606"/>
      <c r="B48" s="606"/>
      <c r="C48" s="827"/>
      <c r="D48" s="851"/>
      <c r="E48" s="852"/>
      <c r="F48" s="830"/>
      <c r="G48" s="831"/>
      <c r="H48" s="831"/>
      <c r="I48" s="831"/>
    </row>
    <row r="49" spans="1:9">
      <c r="A49" s="606"/>
      <c r="B49" s="606"/>
      <c r="C49" s="606"/>
      <c r="D49" s="802"/>
      <c r="E49" s="803"/>
      <c r="F49" s="809"/>
      <c r="G49" s="811"/>
      <c r="H49" s="811"/>
      <c r="I49" s="804"/>
    </row>
    <row r="50" spans="1:9">
      <c r="A50" s="827"/>
      <c r="B50" s="827"/>
      <c r="C50" s="828" t="s">
        <v>164</v>
      </c>
      <c r="E50" s="829"/>
      <c r="F50" s="830"/>
      <c r="G50" s="831"/>
    </row>
    <row r="51" spans="1:9">
      <c r="A51" s="832" t="s">
        <v>18</v>
      </c>
      <c r="C51" s="833" t="s">
        <v>961</v>
      </c>
      <c r="E51" s="829"/>
      <c r="G51" s="831"/>
    </row>
    <row r="52" spans="1:9">
      <c r="A52" s="827"/>
      <c r="B52" s="827"/>
      <c r="C52" s="818"/>
      <c r="E52" s="829"/>
      <c r="G52" s="831"/>
    </row>
    <row r="53" spans="1:9">
      <c r="A53" s="832" t="s">
        <v>19</v>
      </c>
      <c r="C53" s="818" t="s">
        <v>941</v>
      </c>
      <c r="E53" s="829"/>
      <c r="G53" s="831"/>
    </row>
    <row r="54" spans="1:9">
      <c r="A54" s="827"/>
      <c r="B54" s="827"/>
      <c r="C54" s="818" t="s">
        <v>947</v>
      </c>
      <c r="E54" s="829"/>
      <c r="G54" s="831"/>
    </row>
    <row r="55" spans="1:9">
      <c r="A55" s="827"/>
      <c r="B55" s="827"/>
      <c r="C55" s="818" t="s">
        <v>949</v>
      </c>
      <c r="E55" s="829"/>
      <c r="G55" s="831"/>
    </row>
    <row r="56" spans="1:9">
      <c r="A56" s="827"/>
      <c r="B56" s="827"/>
      <c r="C56" s="818"/>
      <c r="E56" s="829"/>
      <c r="G56" s="831"/>
    </row>
    <row r="57" spans="1:9">
      <c r="A57" s="832" t="s">
        <v>20</v>
      </c>
      <c r="B57" s="827"/>
      <c r="C57" s="818" t="s">
        <v>964</v>
      </c>
      <c r="E57" s="829"/>
      <c r="G57" s="831"/>
    </row>
    <row r="58" spans="1:9">
      <c r="A58" s="827"/>
      <c r="B58" s="827"/>
      <c r="C58" s="818" t="s">
        <v>951</v>
      </c>
      <c r="E58" s="829"/>
      <c r="G58" s="831"/>
    </row>
    <row r="59" spans="1:9">
      <c r="A59" s="827"/>
      <c r="B59" s="827"/>
      <c r="C59" s="818"/>
      <c r="E59" s="829"/>
      <c r="G59" s="831"/>
    </row>
    <row r="60" spans="1:9">
      <c r="A60" s="832" t="s">
        <v>21</v>
      </c>
      <c r="C60" s="52" t="s">
        <v>850</v>
      </c>
      <c r="E60" s="829"/>
      <c r="G60" s="831"/>
    </row>
    <row r="61" spans="1:9">
      <c r="A61" s="832"/>
      <c r="E61" s="829"/>
      <c r="G61" s="831"/>
    </row>
    <row r="62" spans="1:9">
      <c r="A62" s="832" t="s">
        <v>22</v>
      </c>
      <c r="C62" s="52" t="s">
        <v>851</v>
      </c>
      <c r="E62" s="829"/>
    </row>
    <row r="63" spans="1:9">
      <c r="A63" s="832"/>
      <c r="E63" s="829"/>
    </row>
    <row r="64" spans="1:9">
      <c r="A64" s="832" t="s">
        <v>952</v>
      </c>
      <c r="C64" s="52" t="s">
        <v>953</v>
      </c>
      <c r="E64" s="829"/>
    </row>
  </sheetData>
  <pageMargins left="0.51" right="0.49" top="0.75" bottom="0.75" header="0.3" footer="0.3"/>
  <pageSetup scale="6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4E79F-0C7D-426E-B98E-584F37CDFE22}">
  <sheetPr codeName="Sheet44">
    <tabColor rgb="FF0099FF"/>
    <pageSetUpPr fitToPage="1"/>
  </sheetPr>
  <dimension ref="A1:K67"/>
  <sheetViews>
    <sheetView view="pageBreakPreview" zoomScale="80" zoomScaleNormal="90" zoomScaleSheetLayoutView="80" workbookViewId="0"/>
  </sheetViews>
  <sheetFormatPr defaultColWidth="8.77734375" defaultRowHeight="12.75"/>
  <cols>
    <col min="1" max="1" width="5.21875" style="52" customWidth="1"/>
    <col min="2" max="2" width="1" style="52" customWidth="1"/>
    <col min="3" max="3" width="27.77734375" style="52" customWidth="1"/>
    <col min="4" max="4" width="11.109375" style="52" customWidth="1"/>
    <col min="5" max="5" width="11.77734375" style="52" customWidth="1"/>
    <col min="6" max="6" width="13.6640625" style="52" customWidth="1"/>
    <col min="7" max="7" width="15.77734375" style="52" customWidth="1"/>
    <col min="8" max="8" width="12" style="52" customWidth="1"/>
    <col min="9" max="9" width="11.109375" style="52" bestFit="1" customWidth="1"/>
    <col min="10" max="12" width="11.44140625" style="52" bestFit="1" customWidth="1"/>
    <col min="13" max="16384" width="8.77734375" style="52"/>
  </cols>
  <sheetData>
    <row r="1" spans="1:11">
      <c r="I1" s="853" t="s">
        <v>296</v>
      </c>
    </row>
    <row r="2" spans="1:11">
      <c r="I2" s="853" t="str">
        <f>'DEO DIT Protected'!I2</f>
        <v>Excess/Deficient DIT Permanent Worksheet</v>
      </c>
    </row>
    <row r="3" spans="1:11">
      <c r="I3" s="853" t="s">
        <v>944</v>
      </c>
      <c r="K3" s="997"/>
    </row>
    <row r="5" spans="1:11">
      <c r="I5" s="853" t="str">
        <f>"For the 12 months ended: "&amp;TEXT(INPUT!$B$1,"mm/dd/yyyy")</f>
        <v>For the 12 months ended: 12/31/2021</v>
      </c>
    </row>
    <row r="6" spans="1:11" ht="15">
      <c r="G6" s="61"/>
    </row>
    <row r="7" spans="1:11">
      <c r="A7" s="856" t="s">
        <v>847</v>
      </c>
      <c r="B7" s="856"/>
      <c r="C7" s="857"/>
      <c r="D7" s="857"/>
      <c r="E7" s="857"/>
      <c r="F7" s="857"/>
      <c r="G7" s="856"/>
    </row>
    <row r="8" spans="1:11">
      <c r="A8" s="856" t="s">
        <v>1015</v>
      </c>
      <c r="B8" s="856"/>
      <c r="C8" s="857"/>
      <c r="D8" s="857"/>
      <c r="E8" s="857"/>
      <c r="F8" s="857"/>
      <c r="G8" s="856"/>
    </row>
    <row r="9" spans="1:11">
      <c r="A9" s="856"/>
      <c r="B9" s="856"/>
      <c r="C9" s="857"/>
      <c r="D9" s="857"/>
      <c r="E9" s="857"/>
      <c r="F9" s="857"/>
      <c r="G9" s="856"/>
    </row>
    <row r="10" spans="1:11">
      <c r="A10" s="856"/>
      <c r="B10" s="856"/>
      <c r="C10" s="857"/>
      <c r="D10" s="857"/>
      <c r="E10" s="857"/>
      <c r="F10" s="857"/>
      <c r="G10" s="858"/>
    </row>
    <row r="11" spans="1:11">
      <c r="A11" s="651" t="s">
        <v>8</v>
      </c>
      <c r="B11" s="856"/>
      <c r="C11" s="52" t="s">
        <v>824</v>
      </c>
      <c r="D11" s="651" t="s">
        <v>825</v>
      </c>
      <c r="E11" s="651" t="s">
        <v>825</v>
      </c>
      <c r="F11" s="651" t="s">
        <v>825</v>
      </c>
      <c r="G11" s="651" t="s">
        <v>825</v>
      </c>
    </row>
    <row r="12" spans="1:11">
      <c r="A12" s="654" t="s">
        <v>10</v>
      </c>
      <c r="C12" s="655" t="s">
        <v>854</v>
      </c>
      <c r="D12" s="859">
        <v>190</v>
      </c>
      <c r="E12" s="859">
        <v>282</v>
      </c>
      <c r="F12" s="860">
        <v>283</v>
      </c>
      <c r="G12" s="654" t="s">
        <v>12</v>
      </c>
    </row>
    <row r="13" spans="1:11">
      <c r="A13" s="654"/>
      <c r="C13" s="847" t="s">
        <v>831</v>
      </c>
      <c r="D13" s="848" t="s">
        <v>832</v>
      </c>
      <c r="E13" s="848" t="s">
        <v>833</v>
      </c>
      <c r="F13" s="827" t="s">
        <v>834</v>
      </c>
      <c r="G13" s="847" t="s">
        <v>835</v>
      </c>
    </row>
    <row r="14" spans="1:11">
      <c r="C14" s="797"/>
      <c r="D14" s="798"/>
      <c r="E14" s="798"/>
      <c r="F14" s="798"/>
      <c r="G14" s="798"/>
    </row>
    <row r="15" spans="1:11">
      <c r="A15" s="827">
        <v>1</v>
      </c>
      <c r="C15" s="836" t="s">
        <v>920</v>
      </c>
      <c r="D15" s="662">
        <v>8274931</v>
      </c>
      <c r="E15" s="662">
        <v>-24389390</v>
      </c>
      <c r="F15" s="662">
        <v>-4617595</v>
      </c>
      <c r="G15" s="837">
        <f>SUM(D15:F15)</f>
        <v>-20732054</v>
      </c>
    </row>
    <row r="16" spans="1:11" ht="15">
      <c r="A16" s="827">
        <v>2</v>
      </c>
      <c r="B16" s="651"/>
      <c r="C16" s="836" t="s">
        <v>921</v>
      </c>
      <c r="D16" s="854">
        <v>8163559.3476390932</v>
      </c>
      <c r="E16" s="854">
        <v>-23131259.774584442</v>
      </c>
      <c r="F16" s="663">
        <v>-4361585</v>
      </c>
      <c r="G16" s="838">
        <f>SUM(D16:F16)</f>
        <v>-19329285.426945351</v>
      </c>
    </row>
    <row r="17" spans="1:7">
      <c r="A17" s="827">
        <v>3</v>
      </c>
      <c r="B17" s="654"/>
      <c r="C17" s="836" t="s">
        <v>934</v>
      </c>
      <c r="D17" s="837">
        <f>D16-D15</f>
        <v>-111371.65236090682</v>
      </c>
      <c r="E17" s="837">
        <f>E16-E15</f>
        <v>1258130.2254155576</v>
      </c>
      <c r="F17" s="837">
        <f>F16-F15</f>
        <v>256010</v>
      </c>
      <c r="G17" s="837">
        <f>G16-G15</f>
        <v>1402768.5730546489</v>
      </c>
    </row>
    <row r="18" spans="1:7">
      <c r="A18" s="654"/>
      <c r="B18" s="654"/>
      <c r="C18" s="797"/>
      <c r="D18" s="799"/>
      <c r="E18" s="799"/>
      <c r="F18" s="799"/>
      <c r="G18" s="799"/>
    </row>
    <row r="19" spans="1:7">
      <c r="A19" s="827">
        <v>4</v>
      </c>
      <c r="B19" s="827"/>
      <c r="C19" s="828">
        <v>182.3</v>
      </c>
      <c r="D19" s="662">
        <v>0</v>
      </c>
      <c r="E19" s="662">
        <v>6249.2254155588344</v>
      </c>
      <c r="F19" s="662">
        <v>0</v>
      </c>
      <c r="G19" s="837">
        <f>SUM(D19:F19)</f>
        <v>6249.2254155588344</v>
      </c>
    </row>
    <row r="20" spans="1:7">
      <c r="A20" s="827">
        <v>5</v>
      </c>
      <c r="B20" s="827"/>
      <c r="C20" s="828" t="s">
        <v>922</v>
      </c>
      <c r="D20" s="496">
        <v>441430.34763909271</v>
      </c>
      <c r="E20" s="496">
        <v>0</v>
      </c>
      <c r="F20" s="496">
        <v>0</v>
      </c>
      <c r="G20" s="748">
        <f t="shared" ref="G20:G21" si="0">SUM(D20:F20)</f>
        <v>441430.34763909271</v>
      </c>
    </row>
    <row r="21" spans="1:7" ht="15">
      <c r="A21" s="827">
        <v>6</v>
      </c>
      <c r="B21" s="827"/>
      <c r="C21" s="828" t="s">
        <v>923</v>
      </c>
      <c r="D21" s="663">
        <v>-374507</v>
      </c>
      <c r="E21" s="663">
        <v>0</v>
      </c>
      <c r="F21" s="663">
        <v>0</v>
      </c>
      <c r="G21" s="839">
        <f t="shared" si="0"/>
        <v>-374507</v>
      </c>
    </row>
    <row r="22" spans="1:7">
      <c r="A22" s="827">
        <v>7</v>
      </c>
      <c r="B22" s="827"/>
      <c r="C22" s="52" t="s">
        <v>826</v>
      </c>
      <c r="D22" s="837">
        <f>SUM(D19:D21)</f>
        <v>66923.34763909271</v>
      </c>
      <c r="E22" s="837">
        <f t="shared" ref="E22:F22" si="1">SUM(E19:E21)</f>
        <v>6249.2254155588344</v>
      </c>
      <c r="F22" s="837">
        <f t="shared" si="1"/>
        <v>0</v>
      </c>
      <c r="G22" s="837">
        <f>SUM(G19:G21)</f>
        <v>73172.573054651555</v>
      </c>
    </row>
    <row r="23" spans="1:7">
      <c r="A23" s="827"/>
      <c r="B23" s="827"/>
      <c r="D23" s="837"/>
      <c r="E23" s="837"/>
      <c r="F23" s="837"/>
      <c r="G23" s="837"/>
    </row>
    <row r="24" spans="1:7">
      <c r="A24" s="827">
        <v>8</v>
      </c>
      <c r="B24" s="827"/>
      <c r="C24" s="840" t="s">
        <v>924</v>
      </c>
      <c r="D24" s="662">
        <v>0</v>
      </c>
      <c r="E24" s="662">
        <v>0</v>
      </c>
      <c r="F24" s="662">
        <v>0</v>
      </c>
      <c r="G24" s="837">
        <f t="shared" ref="G24:G26" si="2">SUM(D24:F24)</f>
        <v>0</v>
      </c>
    </row>
    <row r="25" spans="1:7">
      <c r="A25" s="841">
        <v>9</v>
      </c>
      <c r="B25" s="827"/>
      <c r="C25" s="840" t="s">
        <v>925</v>
      </c>
      <c r="D25" s="496">
        <v>0</v>
      </c>
      <c r="E25" s="496">
        <v>0</v>
      </c>
      <c r="F25" s="496">
        <v>0</v>
      </c>
      <c r="G25" s="748">
        <f t="shared" si="2"/>
        <v>0</v>
      </c>
    </row>
    <row r="26" spans="1:7">
      <c r="A26" s="827">
        <v>10</v>
      </c>
      <c r="B26" s="827"/>
      <c r="C26" s="828">
        <v>182.3</v>
      </c>
      <c r="D26" s="496">
        <v>0</v>
      </c>
      <c r="E26" s="496">
        <v>0</v>
      </c>
      <c r="F26" s="496">
        <v>0</v>
      </c>
      <c r="G26" s="748">
        <f t="shared" si="2"/>
        <v>0</v>
      </c>
    </row>
    <row r="27" spans="1:7">
      <c r="A27" s="827">
        <v>11</v>
      </c>
      <c r="B27" s="827"/>
      <c r="C27" s="840" t="s">
        <v>924</v>
      </c>
      <c r="D27" s="496">
        <v>0</v>
      </c>
      <c r="E27" s="855">
        <v>1251881</v>
      </c>
      <c r="F27" s="496">
        <v>256010</v>
      </c>
      <c r="G27" s="842">
        <f>SUM(D27:F27)</f>
        <v>1507891</v>
      </c>
    </row>
    <row r="28" spans="1:7">
      <c r="A28" s="841">
        <v>12</v>
      </c>
      <c r="B28" s="827"/>
      <c r="C28" s="840" t="s">
        <v>925</v>
      </c>
      <c r="D28" s="855">
        <v>-178295</v>
      </c>
      <c r="E28" s="496">
        <v>0</v>
      </c>
      <c r="F28" s="496">
        <v>0</v>
      </c>
      <c r="G28" s="842">
        <f>SUM(D28:F28)</f>
        <v>-178295</v>
      </c>
    </row>
    <row r="29" spans="1:7" ht="15">
      <c r="A29" s="827">
        <v>13</v>
      </c>
      <c r="B29" s="827"/>
      <c r="C29" s="828">
        <v>254</v>
      </c>
      <c r="D29" s="663">
        <v>-178295</v>
      </c>
      <c r="E29" s="663">
        <v>1251881</v>
      </c>
      <c r="F29" s="663">
        <v>256010</v>
      </c>
      <c r="G29" s="839">
        <f t="shared" ref="G29" si="3">SUM(D29:F29)</f>
        <v>1329596</v>
      </c>
    </row>
    <row r="30" spans="1:7">
      <c r="A30" s="827">
        <v>14</v>
      </c>
      <c r="B30" s="827"/>
      <c r="C30" s="52" t="s">
        <v>946</v>
      </c>
      <c r="D30" s="837">
        <f>D29+D26</f>
        <v>-178295</v>
      </c>
      <c r="E30" s="837">
        <f t="shared" ref="E30:G30" si="4">E29+E26</f>
        <v>1251881</v>
      </c>
      <c r="F30" s="837">
        <f t="shared" si="4"/>
        <v>256010</v>
      </c>
      <c r="G30" s="837">
        <f t="shared" si="4"/>
        <v>1329596</v>
      </c>
    </row>
    <row r="31" spans="1:7">
      <c r="A31" s="827"/>
      <c r="B31" s="827"/>
      <c r="D31" s="843"/>
      <c r="E31" s="843"/>
      <c r="F31" s="843"/>
      <c r="G31" s="843"/>
    </row>
    <row r="32" spans="1:7">
      <c r="A32" s="827">
        <v>15</v>
      </c>
      <c r="B32" s="827"/>
      <c r="C32" s="818" t="s">
        <v>926</v>
      </c>
      <c r="D32" s="662">
        <v>0</v>
      </c>
      <c r="E32" s="662">
        <v>0</v>
      </c>
      <c r="F32" s="662">
        <v>0</v>
      </c>
      <c r="G32" s="837">
        <f>SUM(D32:F32)</f>
        <v>0</v>
      </c>
    </row>
    <row r="33" spans="1:9">
      <c r="A33" s="827">
        <v>16</v>
      </c>
      <c r="B33" s="827"/>
      <c r="C33" s="818" t="s">
        <v>927</v>
      </c>
      <c r="D33" s="496">
        <v>0</v>
      </c>
      <c r="E33" s="496">
        <v>0</v>
      </c>
      <c r="F33" s="496">
        <v>0</v>
      </c>
      <c r="G33" s="748">
        <f t="shared" ref="G33:G34" si="5">SUM(D33:F33)</f>
        <v>0</v>
      </c>
    </row>
    <row r="34" spans="1:9" ht="15">
      <c r="A34" s="827">
        <v>17</v>
      </c>
      <c r="B34" s="827"/>
      <c r="C34" s="828">
        <v>411.2</v>
      </c>
      <c r="D34" s="663">
        <v>0</v>
      </c>
      <c r="E34" s="663">
        <v>0</v>
      </c>
      <c r="F34" s="663">
        <v>0</v>
      </c>
      <c r="G34" s="839">
        <f t="shared" si="5"/>
        <v>0</v>
      </c>
    </row>
    <row r="35" spans="1:9">
      <c r="A35" s="827">
        <v>18</v>
      </c>
      <c r="B35" s="827"/>
      <c r="C35" s="828" t="s">
        <v>846</v>
      </c>
      <c r="D35" s="837">
        <f>SUM(D34)</f>
        <v>0</v>
      </c>
      <c r="E35" s="837">
        <f t="shared" ref="E35:F35" si="6">SUM(E34)</f>
        <v>0</v>
      </c>
      <c r="F35" s="837">
        <f t="shared" si="6"/>
        <v>0</v>
      </c>
      <c r="G35" s="837">
        <f>SUM(G34)</f>
        <v>0</v>
      </c>
    </row>
    <row r="36" spans="1:9">
      <c r="A36" s="827"/>
      <c r="B36" s="827"/>
      <c r="D36" s="843"/>
      <c r="E36" s="843"/>
      <c r="G36" s="844"/>
    </row>
    <row r="37" spans="1:9" ht="25.5">
      <c r="A37" s="827">
        <v>19</v>
      </c>
      <c r="B37" s="827"/>
      <c r="C37" s="845" t="s">
        <v>940</v>
      </c>
      <c r="D37" s="846">
        <f>D35+D30+D22</f>
        <v>-111371.65236090729</v>
      </c>
      <c r="E37" s="846">
        <f>E35+E30+E22</f>
        <v>1258130.2254155588</v>
      </c>
      <c r="F37" s="846">
        <f>F35+F30+F22</f>
        <v>256010</v>
      </c>
      <c r="G37" s="846">
        <f>G35+G30+G22</f>
        <v>1402768.5730546515</v>
      </c>
    </row>
    <row r="38" spans="1:9">
      <c r="A38" s="827"/>
      <c r="B38" s="827"/>
      <c r="E38" s="843"/>
    </row>
    <row r="39" spans="1:9">
      <c r="A39" s="827"/>
      <c r="B39" s="827"/>
      <c r="E39" s="843"/>
    </row>
    <row r="40" spans="1:9">
      <c r="A40" s="827"/>
      <c r="B40" s="827"/>
      <c r="F40" s="862"/>
      <c r="H40" s="651"/>
    </row>
    <row r="41" spans="1:9" ht="39.75">
      <c r="A41" s="827"/>
      <c r="B41" s="827"/>
      <c r="C41" s="847" t="s">
        <v>831</v>
      </c>
      <c r="D41" s="848" t="s">
        <v>955</v>
      </c>
      <c r="E41" s="848" t="s">
        <v>833</v>
      </c>
      <c r="F41" s="849" t="s">
        <v>956</v>
      </c>
      <c r="G41" s="849" t="s">
        <v>957</v>
      </c>
      <c r="H41" s="848" t="s">
        <v>958</v>
      </c>
      <c r="I41" s="651" t="s">
        <v>966</v>
      </c>
    </row>
    <row r="42" spans="1:9">
      <c r="A42" s="827"/>
      <c r="B42" s="827"/>
      <c r="D42" s="651" t="s">
        <v>827</v>
      </c>
      <c r="E42" s="651" t="s">
        <v>928</v>
      </c>
      <c r="F42" s="651" t="s">
        <v>929</v>
      </c>
      <c r="G42" s="651" t="s">
        <v>929</v>
      </c>
      <c r="H42" s="651" t="s">
        <v>948</v>
      </c>
      <c r="I42" s="651" t="s">
        <v>828</v>
      </c>
    </row>
    <row r="43" spans="1:9">
      <c r="A43" s="827"/>
      <c r="B43" s="827"/>
      <c r="C43" s="850" t="s">
        <v>702</v>
      </c>
      <c r="D43" s="850" t="s">
        <v>829</v>
      </c>
      <c r="E43" s="850" t="s">
        <v>930</v>
      </c>
      <c r="F43" s="850" t="s">
        <v>932</v>
      </c>
      <c r="G43" s="850" t="s">
        <v>933</v>
      </c>
      <c r="H43" s="850" t="s">
        <v>931</v>
      </c>
      <c r="I43" s="850" t="s">
        <v>830</v>
      </c>
    </row>
    <row r="44" spans="1:9">
      <c r="A44" s="827">
        <v>20</v>
      </c>
      <c r="B44" s="827"/>
      <c r="C44" s="827">
        <v>2018</v>
      </c>
      <c r="D44" s="861">
        <v>0.1</v>
      </c>
      <c r="E44" s="837">
        <f>G30</f>
        <v>1329596</v>
      </c>
      <c r="F44" s="662">
        <v>0</v>
      </c>
      <c r="G44" s="662">
        <v>0</v>
      </c>
      <c r="H44" s="883" t="s">
        <v>447</v>
      </c>
      <c r="I44" s="837">
        <f>E44-SUM(F44:G44)</f>
        <v>1329596</v>
      </c>
    </row>
    <row r="45" spans="1:9">
      <c r="A45" s="827">
        <v>21</v>
      </c>
      <c r="B45" s="827"/>
      <c r="C45" s="827">
        <f>C44+1</f>
        <v>2019</v>
      </c>
      <c r="D45" s="861">
        <v>0.1</v>
      </c>
      <c r="E45" s="852">
        <f>I44</f>
        <v>1329596</v>
      </c>
      <c r="F45" s="496">
        <v>0</v>
      </c>
      <c r="G45" s="496">
        <v>0</v>
      </c>
      <c r="H45" s="863" t="s">
        <v>447</v>
      </c>
      <c r="I45" s="831">
        <f>E45-SUM(F45:G45)</f>
        <v>1329596</v>
      </c>
    </row>
    <row r="46" spans="1:9">
      <c r="A46" s="827">
        <v>22</v>
      </c>
      <c r="B46" s="827"/>
      <c r="C46" s="827">
        <f t="shared" ref="C46" si="7">C45+1</f>
        <v>2020</v>
      </c>
      <c r="D46" s="861">
        <v>0.1</v>
      </c>
      <c r="E46" s="852">
        <f>I45</f>
        <v>1329596</v>
      </c>
      <c r="F46" s="496">
        <v>88476.733333333337</v>
      </c>
      <c r="G46" s="496">
        <v>0</v>
      </c>
      <c r="H46" s="863" t="s">
        <v>447</v>
      </c>
      <c r="I46" s="831">
        <f>E46-SUM(F46:G46)</f>
        <v>1241119.2666666666</v>
      </c>
    </row>
    <row r="47" spans="1:9">
      <c r="A47" s="827">
        <v>23</v>
      </c>
      <c r="B47" s="827"/>
      <c r="C47" s="827">
        <v>2021</v>
      </c>
      <c r="D47" s="861">
        <v>0.1</v>
      </c>
      <c r="E47" s="852">
        <f>I46</f>
        <v>1241119.2666666666</v>
      </c>
      <c r="F47" s="496">
        <v>132715.10000000003</v>
      </c>
      <c r="G47" s="496">
        <v>0</v>
      </c>
      <c r="H47" s="863" t="s">
        <v>447</v>
      </c>
      <c r="I47" s="831">
        <f>E47-SUM(F47:G47)</f>
        <v>1108404.1666666665</v>
      </c>
    </row>
    <row r="48" spans="1:9">
      <c r="A48" s="827"/>
      <c r="B48" s="827"/>
      <c r="C48" s="827"/>
      <c r="D48" s="851"/>
      <c r="E48" s="852"/>
      <c r="F48" s="830"/>
      <c r="G48" s="831"/>
      <c r="H48" s="831"/>
    </row>
    <row r="49" spans="1:8">
      <c r="A49" s="827"/>
      <c r="B49" s="827"/>
      <c r="C49" s="827"/>
      <c r="D49" s="851"/>
      <c r="E49" s="852"/>
      <c r="F49" s="830"/>
      <c r="G49" s="831"/>
      <c r="H49" s="831"/>
    </row>
    <row r="50" spans="1:8">
      <c r="A50" s="827"/>
      <c r="B50" s="827"/>
      <c r="C50" s="828" t="s">
        <v>164</v>
      </c>
      <c r="E50" s="843"/>
      <c r="F50" s="830"/>
      <c r="G50" s="831"/>
    </row>
    <row r="51" spans="1:8">
      <c r="A51" s="832" t="s">
        <v>18</v>
      </c>
      <c r="C51" s="833" t="s">
        <v>1003</v>
      </c>
      <c r="E51" s="843"/>
      <c r="G51" s="831"/>
    </row>
    <row r="52" spans="1:8">
      <c r="A52" s="827"/>
      <c r="B52" s="827"/>
      <c r="C52" s="818"/>
      <c r="E52" s="843"/>
      <c r="G52" s="831"/>
    </row>
    <row r="53" spans="1:8">
      <c r="A53" s="832" t="s">
        <v>19</v>
      </c>
      <c r="C53" s="818" t="s">
        <v>941</v>
      </c>
      <c r="E53" s="843"/>
      <c r="G53" s="831"/>
    </row>
    <row r="54" spans="1:8">
      <c r="A54" s="827"/>
      <c r="B54" s="827"/>
      <c r="C54" s="818" t="s">
        <v>947</v>
      </c>
      <c r="E54" s="843"/>
      <c r="G54" s="831"/>
    </row>
    <row r="55" spans="1:8">
      <c r="A55" s="827"/>
      <c r="B55" s="827"/>
      <c r="C55" s="818" t="s">
        <v>949</v>
      </c>
      <c r="E55" s="843"/>
      <c r="G55" s="831"/>
    </row>
    <row r="56" spans="1:8">
      <c r="C56" s="818"/>
      <c r="E56" s="843"/>
      <c r="G56" s="831"/>
    </row>
    <row r="57" spans="1:8">
      <c r="A57" s="832" t="s">
        <v>20</v>
      </c>
      <c r="B57" s="827"/>
      <c r="C57" s="818" t="s">
        <v>1006</v>
      </c>
      <c r="E57" s="843"/>
      <c r="G57" s="831"/>
    </row>
    <row r="58" spans="1:8">
      <c r="A58" s="827"/>
      <c r="B58" s="827"/>
      <c r="C58" s="818"/>
      <c r="E58" s="843"/>
      <c r="G58" s="831"/>
    </row>
    <row r="59" spans="1:8">
      <c r="A59" s="832" t="s">
        <v>21</v>
      </c>
      <c r="C59" s="52" t="s">
        <v>850</v>
      </c>
      <c r="E59" s="843"/>
    </row>
    <row r="60" spans="1:8">
      <c r="A60" s="832"/>
      <c r="E60" s="843"/>
    </row>
    <row r="61" spans="1:8">
      <c r="A61" s="832" t="s">
        <v>22</v>
      </c>
      <c r="C61" s="52" t="s">
        <v>851</v>
      </c>
      <c r="E61" s="843"/>
    </row>
    <row r="62" spans="1:8">
      <c r="A62" s="827"/>
      <c r="B62" s="827"/>
      <c r="C62" s="827"/>
      <c r="E62" s="843"/>
    </row>
    <row r="66" spans="7:7">
      <c r="G66" s="831"/>
    </row>
    <row r="67" spans="7:7">
      <c r="G67" s="831"/>
    </row>
  </sheetData>
  <pageMargins left="0.51" right="0.49" top="0.75" bottom="0.75" header="0.3" footer="0.3"/>
  <pageSetup scale="73"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sheetPr>
  <dimension ref="A1:M564"/>
  <sheetViews>
    <sheetView view="pageBreakPreview" zoomScale="80" zoomScaleNormal="75" zoomScaleSheetLayoutView="80" workbookViewId="0"/>
  </sheetViews>
  <sheetFormatPr defaultColWidth="8.77734375" defaultRowHeight="15"/>
  <cols>
    <col min="1" max="1" width="5.109375" style="417" customWidth="1"/>
    <col min="2" max="2" width="1.44140625" style="9" customWidth="1"/>
    <col min="3" max="3" width="63.21875" style="9" customWidth="1"/>
    <col min="4" max="4" width="24.77734375" style="9" customWidth="1"/>
    <col min="5" max="5" width="15.5546875" style="9" customWidth="1"/>
    <col min="6" max="6" width="4.6640625" style="9" customWidth="1"/>
    <col min="7" max="7" width="4.33203125" style="9" customWidth="1"/>
    <col min="8" max="8" width="12.109375" style="9" customWidth="1"/>
    <col min="9" max="9" width="5.77734375" style="9" customWidth="1"/>
    <col min="10" max="10" width="15.5546875" style="9" customWidth="1"/>
    <col min="11" max="11" width="3.44140625" style="9" customWidth="1"/>
    <col min="12" max="12" width="17.21875" style="9" customWidth="1"/>
    <col min="13" max="13" width="1.77734375" style="9" customWidth="1"/>
    <col min="14" max="16384" width="8.77734375" style="9"/>
  </cols>
  <sheetData>
    <row r="1" spans="1:13" ht="18">
      <c r="A1" s="418" t="s">
        <v>7</v>
      </c>
      <c r="C1" s="24"/>
      <c r="D1" s="24"/>
      <c r="E1" s="25"/>
      <c r="F1" s="24"/>
      <c r="G1" s="24"/>
      <c r="H1" s="24"/>
      <c r="I1" s="24"/>
      <c r="J1" s="50" t="s">
        <v>296</v>
      </c>
      <c r="K1" s="60"/>
      <c r="M1" s="60"/>
    </row>
    <row r="2" spans="1:13">
      <c r="C2" s="24"/>
      <c r="D2" s="24"/>
      <c r="E2" s="25"/>
      <c r="F2" s="24"/>
      <c r="G2" s="24"/>
      <c r="H2" s="24"/>
      <c r="I2" s="24"/>
      <c r="J2" s="1031" t="s">
        <v>404</v>
      </c>
      <c r="M2" s="50"/>
    </row>
    <row r="3" spans="1:13">
      <c r="C3" s="24"/>
      <c r="D3" s="24"/>
      <c r="E3" s="25"/>
      <c r="F3" s="24"/>
      <c r="G3" s="24"/>
      <c r="H3" s="24"/>
      <c r="I3" s="24"/>
      <c r="K3" s="1"/>
      <c r="M3" s="50"/>
    </row>
    <row r="4" spans="1:13">
      <c r="C4" s="24"/>
      <c r="D4" s="24"/>
      <c r="E4" s="25"/>
      <c r="F4" s="24"/>
      <c r="G4" s="24"/>
      <c r="H4" s="24"/>
      <c r="I4" s="24"/>
      <c r="K4" s="1"/>
      <c r="M4" s="50"/>
    </row>
    <row r="5" spans="1:13">
      <c r="C5" s="24"/>
      <c r="D5" s="24"/>
      <c r="E5" s="25"/>
      <c r="F5" s="24"/>
      <c r="G5" s="24"/>
      <c r="H5" s="24"/>
      <c r="I5" s="24"/>
      <c r="K5" s="1"/>
      <c r="M5" s="50"/>
    </row>
    <row r="6" spans="1:13">
      <c r="C6" s="24"/>
      <c r="D6" s="24"/>
      <c r="E6" s="25"/>
      <c r="F6" s="24"/>
      <c r="G6" s="24"/>
      <c r="H6" s="24"/>
      <c r="I6" s="24"/>
      <c r="J6" s="1"/>
      <c r="K6" s="1"/>
      <c r="M6" s="1"/>
    </row>
    <row r="7" spans="1:13">
      <c r="C7" s="24" t="s">
        <v>6</v>
      </c>
      <c r="D7" s="24"/>
      <c r="E7" s="25"/>
      <c r="F7" s="24"/>
      <c r="G7" s="24"/>
      <c r="H7" s="24"/>
      <c r="I7" s="24"/>
      <c r="J7" s="61" t="str">
        <f>"For the 12 months ended: "&amp;TEXT(INPUT!$B$1,"mm/dd/yyyy")</f>
        <v>For the 12 months ended: 12/31/2021</v>
      </c>
      <c r="K7" s="1"/>
      <c r="M7" s="1"/>
    </row>
    <row r="8" spans="1:13">
      <c r="A8" s="425" t="s">
        <v>255</v>
      </c>
      <c r="B8" s="70"/>
      <c r="C8" s="70"/>
      <c r="D8" s="144"/>
      <c r="E8" s="70"/>
      <c r="F8" s="144"/>
      <c r="G8" s="144"/>
      <c r="H8" s="144"/>
      <c r="I8" s="144"/>
      <c r="J8" s="70"/>
      <c r="K8" s="1"/>
      <c r="L8" s="70"/>
      <c r="M8" s="1"/>
    </row>
    <row r="9" spans="1:13">
      <c r="A9" s="420" t="s">
        <v>267</v>
      </c>
      <c r="B9" s="70"/>
      <c r="C9" s="144"/>
      <c r="D9" s="145"/>
      <c r="E9" s="70"/>
      <c r="F9" s="145"/>
      <c r="G9" s="145"/>
      <c r="H9" s="145"/>
      <c r="I9" s="144"/>
      <c r="J9" s="144"/>
      <c r="K9" s="1"/>
      <c r="L9" s="146"/>
      <c r="M9" s="1"/>
    </row>
    <row r="10" spans="1:13">
      <c r="A10" s="420"/>
      <c r="B10" s="70"/>
      <c r="C10" s="146"/>
      <c r="D10" s="146"/>
      <c r="E10" s="70"/>
      <c r="F10" s="146"/>
      <c r="G10" s="146"/>
      <c r="H10" s="146"/>
      <c r="I10" s="146"/>
      <c r="J10" s="146"/>
      <c r="K10" s="1"/>
      <c r="L10" s="146"/>
      <c r="M10" s="1"/>
    </row>
    <row r="11" spans="1:13" ht="15.75">
      <c r="A11" s="426" t="s">
        <v>685</v>
      </c>
      <c r="B11" s="263"/>
      <c r="C11" s="264"/>
      <c r="D11" s="264"/>
      <c r="E11" s="263"/>
      <c r="F11" s="264"/>
      <c r="G11" s="264"/>
      <c r="H11" s="264"/>
      <c r="I11" s="264"/>
      <c r="J11" s="264"/>
      <c r="K11" s="1"/>
      <c r="L11" s="146"/>
      <c r="M11" s="1"/>
    </row>
    <row r="12" spans="1:13">
      <c r="A12" s="416"/>
      <c r="C12" s="3" t="s">
        <v>18</v>
      </c>
      <c r="D12" s="3" t="s">
        <v>19</v>
      </c>
      <c r="E12" s="3" t="s">
        <v>20</v>
      </c>
      <c r="F12" s="2" t="s">
        <v>7</v>
      </c>
      <c r="G12" s="177" t="s">
        <v>21</v>
      </c>
      <c r="H12" s="70"/>
      <c r="I12" s="2"/>
      <c r="J12" s="5" t="s">
        <v>22</v>
      </c>
      <c r="K12" s="1"/>
      <c r="L12" s="1"/>
      <c r="M12" s="1"/>
    </row>
    <row r="13" spans="1:13">
      <c r="A13" s="416" t="s">
        <v>8</v>
      </c>
      <c r="C13" s="1"/>
      <c r="D13" s="1"/>
      <c r="E13" s="17"/>
      <c r="F13" s="1"/>
      <c r="G13" s="1"/>
      <c r="H13" s="1"/>
      <c r="I13" s="1"/>
      <c r="J13" s="26" t="s">
        <v>9</v>
      </c>
      <c r="K13" s="1"/>
      <c r="L13" s="1"/>
      <c r="M13" s="1"/>
    </row>
    <row r="14" spans="1:13">
      <c r="A14" s="422" t="s">
        <v>10</v>
      </c>
      <c r="B14" s="181"/>
      <c r="C14" s="184"/>
      <c r="D14" s="184"/>
      <c r="E14" s="184"/>
      <c r="F14" s="184"/>
      <c r="G14" s="184"/>
      <c r="H14" s="184"/>
      <c r="I14" s="184"/>
      <c r="J14" s="180" t="s">
        <v>11</v>
      </c>
      <c r="K14" s="1"/>
      <c r="L14" s="1"/>
      <c r="M14" s="1"/>
    </row>
    <row r="15" spans="1:13">
      <c r="A15" s="416">
        <v>1</v>
      </c>
      <c r="C15" s="1" t="s">
        <v>687</v>
      </c>
      <c r="D15" s="378" t="s">
        <v>794</v>
      </c>
      <c r="E15" s="2"/>
      <c r="F15" s="1"/>
      <c r="G15" s="1"/>
      <c r="H15" s="1"/>
      <c r="I15" s="1"/>
      <c r="J15" s="30">
        <f>J166</f>
        <v>190694584</v>
      </c>
      <c r="K15" s="1"/>
      <c r="L15" s="1"/>
      <c r="M15" s="1"/>
    </row>
    <row r="16" spans="1:13">
      <c r="A16" s="416"/>
      <c r="C16" s="1"/>
      <c r="D16" s="488"/>
      <c r="E16" s="1"/>
      <c r="F16" s="1"/>
      <c r="G16" s="1"/>
      <c r="H16" s="1"/>
      <c r="I16" s="1"/>
      <c r="J16" s="2"/>
      <c r="K16" s="1"/>
      <c r="L16" s="1"/>
      <c r="M16" s="1"/>
    </row>
    <row r="17" spans="1:13">
      <c r="A17" s="416"/>
      <c r="C17" s="1"/>
      <c r="D17" s="488"/>
      <c r="E17" s="1"/>
      <c r="F17" s="1"/>
      <c r="G17" s="1"/>
      <c r="H17" s="1"/>
      <c r="I17" s="1"/>
      <c r="J17" s="2"/>
      <c r="K17" s="1"/>
      <c r="L17" s="1"/>
      <c r="M17" s="1"/>
    </row>
    <row r="18" spans="1:13" ht="15.75" thickBot="1">
      <c r="A18" s="416" t="s">
        <v>7</v>
      </c>
      <c r="C18" s="1" t="s">
        <v>360</v>
      </c>
      <c r="D18" s="489"/>
      <c r="E18" s="32" t="s">
        <v>12</v>
      </c>
      <c r="F18" s="2"/>
      <c r="G18" s="38" t="s">
        <v>13</v>
      </c>
      <c r="H18" s="38"/>
      <c r="I18" s="1"/>
      <c r="J18" s="2"/>
      <c r="K18" s="1"/>
      <c r="L18" s="1"/>
      <c r="M18" s="1"/>
    </row>
    <row r="19" spans="1:13">
      <c r="A19" s="416">
        <v>2</v>
      </c>
      <c r="C19" s="1" t="s">
        <v>343</v>
      </c>
      <c r="D19" s="378" t="s">
        <v>128</v>
      </c>
      <c r="E19" s="30">
        <f>J242</f>
        <v>299324</v>
      </c>
      <c r="F19" s="30"/>
      <c r="G19" s="30" t="s">
        <v>14</v>
      </c>
      <c r="H19" s="16">
        <f>DEO_TP_Alloc</f>
        <v>1</v>
      </c>
      <c r="I19" s="30"/>
      <c r="J19" s="30">
        <f>ROUND(H19*E19,0)</f>
        <v>299324</v>
      </c>
      <c r="K19" s="1"/>
      <c r="L19" s="1"/>
      <c r="M19" s="1"/>
    </row>
    <row r="20" spans="1:13">
      <c r="A20" s="416">
        <v>3</v>
      </c>
      <c r="C20" s="1" t="s">
        <v>366</v>
      </c>
      <c r="D20" s="378" t="s">
        <v>302</v>
      </c>
      <c r="E20" s="231">
        <f>J244</f>
        <v>1762464</v>
      </c>
      <c r="F20" s="30"/>
      <c r="G20" s="30" t="str">
        <f>G$19</f>
        <v>TP</v>
      </c>
      <c r="H20" s="16">
        <f>DEO_TP_Alloc</f>
        <v>1</v>
      </c>
      <c r="I20" s="30"/>
      <c r="J20" s="147">
        <f>ROUND(H20*E20,0)</f>
        <v>1762464</v>
      </c>
      <c r="K20" s="1"/>
      <c r="L20" s="1"/>
      <c r="M20" s="1"/>
    </row>
    <row r="21" spans="1:13">
      <c r="A21" s="416" t="s">
        <v>289</v>
      </c>
      <c r="C21" s="1" t="s">
        <v>344</v>
      </c>
      <c r="D21" s="378"/>
      <c r="E21" s="472">
        <v>0</v>
      </c>
      <c r="F21" s="30"/>
      <c r="G21" s="30" t="str">
        <f>G$19</f>
        <v>TP</v>
      </c>
      <c r="H21" s="16">
        <f>DEO_TP_Alloc</f>
        <v>1</v>
      </c>
      <c r="I21" s="30"/>
      <c r="J21" s="147">
        <f t="shared" ref="J21:J23" si="0">ROUND(H21*E21,0)</f>
        <v>0</v>
      </c>
      <c r="K21" s="1"/>
      <c r="L21" s="1"/>
      <c r="M21" s="1"/>
    </row>
    <row r="22" spans="1:13">
      <c r="A22" s="416" t="s">
        <v>290</v>
      </c>
      <c r="C22" s="1" t="s">
        <v>398</v>
      </c>
      <c r="D22" s="378"/>
      <c r="E22" s="472">
        <v>0</v>
      </c>
      <c r="F22" s="30"/>
      <c r="G22" s="30" t="str">
        <f>G$19</f>
        <v>TP</v>
      </c>
      <c r="H22" s="16">
        <f>DEO_TP_Alloc</f>
        <v>1</v>
      </c>
      <c r="I22" s="30"/>
      <c r="J22" s="147">
        <f t="shared" si="0"/>
        <v>0</v>
      </c>
      <c r="K22" s="1"/>
      <c r="L22" s="1"/>
      <c r="M22" s="1"/>
    </row>
    <row r="23" spans="1:13">
      <c r="A23" s="416">
        <v>5</v>
      </c>
      <c r="C23" s="1" t="s">
        <v>633</v>
      </c>
      <c r="D23" s="378" t="s">
        <v>592</v>
      </c>
      <c r="E23" s="231">
        <f>ROUND(J245,0)</f>
        <v>1180461</v>
      </c>
      <c r="F23" s="30"/>
      <c r="G23" s="30"/>
      <c r="H23" s="273">
        <v>1</v>
      </c>
      <c r="I23" s="30"/>
      <c r="J23" s="147">
        <f t="shared" si="0"/>
        <v>1180461</v>
      </c>
      <c r="K23" s="1"/>
      <c r="L23" s="1"/>
      <c r="M23" s="1"/>
    </row>
    <row r="24" spans="1:13">
      <c r="A24" s="416"/>
      <c r="C24" s="1"/>
      <c r="D24" s="378"/>
      <c r="E24" s="147"/>
      <c r="F24" s="30"/>
      <c r="G24" s="30"/>
      <c r="H24" s="273"/>
      <c r="I24" s="30"/>
      <c r="J24" s="147"/>
      <c r="K24" s="1"/>
      <c r="L24" s="1"/>
      <c r="M24" s="1"/>
    </row>
    <row r="25" spans="1:13">
      <c r="A25" s="416"/>
      <c r="C25" s="1"/>
      <c r="D25" s="378"/>
      <c r="E25" s="147"/>
      <c r="F25" s="30"/>
      <c r="G25" s="30"/>
      <c r="H25" s="273"/>
      <c r="I25" s="30"/>
      <c r="J25" s="147"/>
      <c r="K25" s="1"/>
      <c r="L25" s="1"/>
      <c r="M25" s="1"/>
    </row>
    <row r="26" spans="1:13">
      <c r="A26" s="416"/>
      <c r="C26" s="1"/>
      <c r="D26" s="378"/>
      <c r="E26" s="147"/>
      <c r="F26" s="30"/>
      <c r="G26" s="30"/>
      <c r="H26" s="273"/>
      <c r="I26" s="30"/>
      <c r="J26" s="147"/>
      <c r="K26" s="1"/>
      <c r="L26" s="1"/>
      <c r="M26" s="1"/>
    </row>
    <row r="27" spans="1:13">
      <c r="A27" s="416">
        <v>6</v>
      </c>
      <c r="C27" s="1" t="s">
        <v>582</v>
      </c>
      <c r="D27" s="488"/>
      <c r="E27" s="14" t="s">
        <v>7</v>
      </c>
      <c r="F27" s="2"/>
      <c r="G27" s="2"/>
      <c r="H27" s="16"/>
      <c r="I27" s="2"/>
      <c r="J27" s="409">
        <f>SUM(J19:J24)</f>
        <v>3242249</v>
      </c>
      <c r="K27" s="1"/>
      <c r="L27" s="1"/>
      <c r="M27" s="1"/>
    </row>
    <row r="28" spans="1:13">
      <c r="A28" s="416"/>
      <c r="D28" s="488"/>
      <c r="E28" s="2" t="s">
        <v>7</v>
      </c>
      <c r="F28" s="1"/>
      <c r="G28" s="1"/>
      <c r="H28" s="16"/>
      <c r="I28" s="1"/>
      <c r="K28" s="1"/>
      <c r="L28" s="1"/>
      <c r="M28" s="1"/>
    </row>
    <row r="29" spans="1:13">
      <c r="A29" s="416"/>
      <c r="C29" s="1"/>
      <c r="D29" s="488"/>
      <c r="J29" s="2"/>
      <c r="K29" s="1"/>
      <c r="L29" s="1"/>
      <c r="M29" s="1"/>
    </row>
    <row r="30" spans="1:13" ht="15.75" thickBot="1">
      <c r="A30" s="416">
        <v>7</v>
      </c>
      <c r="C30" s="1" t="s">
        <v>15</v>
      </c>
      <c r="D30" s="378" t="s">
        <v>129</v>
      </c>
      <c r="E30" s="14" t="s">
        <v>7</v>
      </c>
      <c r="F30" s="2"/>
      <c r="G30" s="2"/>
      <c r="H30" s="2"/>
      <c r="I30" s="2"/>
      <c r="J30" s="39">
        <f>J15-J27</f>
        <v>187452335</v>
      </c>
      <c r="K30" s="1"/>
      <c r="M30" s="1"/>
    </row>
    <row r="31" spans="1:13" ht="15.75" thickTop="1">
      <c r="A31" s="416"/>
      <c r="D31" s="488"/>
      <c r="E31" s="14"/>
      <c r="F31" s="2"/>
      <c r="G31" s="2"/>
      <c r="H31" s="2"/>
      <c r="I31" s="2"/>
      <c r="K31" s="1"/>
      <c r="L31" s="256"/>
      <c r="M31" s="1"/>
    </row>
    <row r="32" spans="1:13">
      <c r="A32" s="416"/>
      <c r="D32" s="350"/>
      <c r="J32" s="2"/>
      <c r="K32" s="1"/>
      <c r="L32" s="257"/>
      <c r="M32" s="1"/>
    </row>
    <row r="33" spans="1:13">
      <c r="A33" s="416"/>
      <c r="C33" s="1"/>
      <c r="D33" s="488"/>
      <c r="E33" s="30"/>
      <c r="F33" s="30"/>
      <c r="G33" s="30"/>
      <c r="H33" s="30"/>
      <c r="I33" s="30"/>
      <c r="J33" s="30"/>
      <c r="K33" s="1"/>
      <c r="L33" s="1"/>
      <c r="M33" s="1"/>
    </row>
    <row r="34" spans="1:13">
      <c r="C34" s="1"/>
      <c r="D34" s="24"/>
      <c r="E34" s="25"/>
      <c r="F34" s="24"/>
      <c r="G34" s="24"/>
      <c r="H34" s="24"/>
      <c r="I34" s="24"/>
      <c r="K34" s="26"/>
      <c r="L34" s="61"/>
      <c r="M34" s="26"/>
    </row>
    <row r="35" spans="1:13" ht="18">
      <c r="A35" s="418"/>
      <c r="C35" s="24"/>
      <c r="D35" s="24"/>
      <c r="E35" s="25"/>
      <c r="F35" s="24"/>
      <c r="G35" s="24"/>
      <c r="H35" s="24"/>
      <c r="I35" s="24"/>
      <c r="J35" s="50" t="s">
        <v>296</v>
      </c>
      <c r="K35" s="60"/>
      <c r="M35" s="60"/>
    </row>
    <row r="36" spans="1:13">
      <c r="C36" s="24"/>
      <c r="D36" s="24"/>
      <c r="E36" s="25"/>
      <c r="F36" s="24"/>
      <c r="G36" s="24"/>
      <c r="H36" s="24"/>
      <c r="I36" s="24"/>
      <c r="J36" s="1031" t="s">
        <v>405</v>
      </c>
      <c r="M36" s="50"/>
    </row>
    <row r="37" spans="1:13">
      <c r="C37" s="24"/>
      <c r="D37" s="24"/>
      <c r="E37" s="25"/>
      <c r="F37" s="24"/>
      <c r="G37" s="24"/>
      <c r="H37" s="24"/>
      <c r="I37" s="24"/>
      <c r="K37" s="1"/>
      <c r="M37" s="50"/>
    </row>
    <row r="38" spans="1:13">
      <c r="C38" s="24"/>
      <c r="D38" s="24"/>
      <c r="E38" s="25"/>
      <c r="F38" s="24"/>
      <c r="G38" s="24"/>
      <c r="H38" s="24"/>
      <c r="I38" s="24"/>
      <c r="K38" s="1"/>
      <c r="M38" s="50"/>
    </row>
    <row r="39" spans="1:13">
      <c r="C39" s="24"/>
      <c r="D39" s="24"/>
      <c r="E39" s="25"/>
      <c r="F39" s="24"/>
      <c r="G39" s="24"/>
      <c r="H39" s="24"/>
      <c r="I39" s="24"/>
      <c r="K39" s="2"/>
      <c r="M39" s="50"/>
    </row>
    <row r="40" spans="1:13">
      <c r="C40" s="24"/>
      <c r="D40" s="24"/>
      <c r="E40" s="25"/>
      <c r="F40" s="24"/>
      <c r="G40" s="24"/>
      <c r="H40" s="24"/>
      <c r="I40" s="24"/>
      <c r="J40" s="50"/>
      <c r="K40" s="2"/>
      <c r="M40" s="50"/>
    </row>
    <row r="41" spans="1:13">
      <c r="C41" s="24" t="s">
        <v>6</v>
      </c>
      <c r="D41" s="24"/>
      <c r="E41" s="25"/>
      <c r="F41" s="24"/>
      <c r="G41" s="24"/>
      <c r="H41" s="24"/>
      <c r="I41" s="24"/>
      <c r="J41" s="61" t="str">
        <f>J7</f>
        <v>For the 12 months ended: 12/31/2021</v>
      </c>
      <c r="K41" s="2"/>
      <c r="M41" s="50"/>
    </row>
    <row r="42" spans="1:13">
      <c r="A42" s="419" t="str">
        <f>A8</f>
        <v>Rate Formula Template</v>
      </c>
      <c r="B42" s="70"/>
      <c r="C42" s="70"/>
      <c r="D42" s="144"/>
      <c r="E42" s="70"/>
      <c r="F42" s="144"/>
      <c r="G42" s="144"/>
      <c r="H42" s="144"/>
      <c r="I42" s="144"/>
      <c r="J42" s="70"/>
      <c r="K42" s="2"/>
      <c r="L42" s="70"/>
      <c r="M42" s="1"/>
    </row>
    <row r="43" spans="1:13">
      <c r="A43" s="420" t="s">
        <v>267</v>
      </c>
      <c r="B43" s="70"/>
      <c r="C43" s="144"/>
      <c r="D43" s="145"/>
      <c r="E43" s="70"/>
      <c r="F43" s="145"/>
      <c r="G43" s="145"/>
      <c r="H43" s="145"/>
      <c r="I43" s="144"/>
      <c r="J43" s="144"/>
      <c r="K43" s="2"/>
      <c r="L43" s="146"/>
      <c r="M43" s="1"/>
    </row>
    <row r="44" spans="1:13">
      <c r="A44" s="420"/>
      <c r="B44" s="70"/>
      <c r="C44" s="146"/>
      <c r="D44" s="146"/>
      <c r="E44" s="70"/>
      <c r="F44" s="146"/>
      <c r="G44" s="146"/>
      <c r="H44" s="146"/>
      <c r="I44" s="146"/>
      <c r="J44" s="146"/>
      <c r="K44" s="2"/>
      <c r="L44" s="146"/>
      <c r="M44" s="1"/>
    </row>
    <row r="45" spans="1:13" ht="15.75">
      <c r="A45" s="421" t="str">
        <f>$A$11</f>
        <v>DUKE ENERGY OHIO (DEO)</v>
      </c>
      <c r="B45" s="70"/>
      <c r="C45" s="146"/>
      <c r="D45" s="146"/>
      <c r="E45" s="70"/>
      <c r="F45" s="146"/>
      <c r="G45" s="146"/>
      <c r="H45" s="146"/>
      <c r="I45" s="146"/>
      <c r="J45" s="146"/>
      <c r="K45" s="2"/>
      <c r="L45" s="146"/>
      <c r="M45" s="2"/>
    </row>
    <row r="46" spans="1:13">
      <c r="C46" s="1"/>
      <c r="D46" s="1"/>
      <c r="E46" s="4"/>
      <c r="F46" s="2"/>
      <c r="G46" s="2"/>
      <c r="H46" s="2"/>
      <c r="I46" s="2"/>
      <c r="J46" s="2"/>
      <c r="K46" s="2"/>
      <c r="L46" s="2"/>
      <c r="M46" s="2"/>
    </row>
    <row r="47" spans="1:13">
      <c r="C47" s="3" t="s">
        <v>18</v>
      </c>
      <c r="D47" s="3" t="s">
        <v>19</v>
      </c>
      <c r="E47" s="3" t="s">
        <v>20</v>
      </c>
      <c r="F47" s="2" t="s">
        <v>7</v>
      </c>
      <c r="G47" s="177" t="s">
        <v>21</v>
      </c>
      <c r="H47" s="70"/>
      <c r="I47" s="2"/>
      <c r="J47" s="5" t="s">
        <v>22</v>
      </c>
      <c r="K47" s="2"/>
      <c r="L47" s="3"/>
      <c r="M47" s="2"/>
    </row>
    <row r="48" spans="1:13">
      <c r="A48" s="416" t="s">
        <v>8</v>
      </c>
      <c r="C48" s="1"/>
      <c r="D48" s="4" t="s">
        <v>23</v>
      </c>
      <c r="E48" s="2"/>
      <c r="F48" s="2"/>
      <c r="G48" s="2"/>
      <c r="H48" s="26"/>
      <c r="I48" s="2"/>
      <c r="J48" s="26" t="s">
        <v>24</v>
      </c>
      <c r="K48" s="2"/>
      <c r="L48" s="3"/>
      <c r="M48" s="2"/>
    </row>
    <row r="49" spans="1:13" ht="15.75" thickBot="1">
      <c r="A49" s="422" t="s">
        <v>10</v>
      </c>
      <c r="B49" s="181"/>
      <c r="C49" s="184" t="s">
        <v>27</v>
      </c>
      <c r="D49" s="492" t="s">
        <v>25</v>
      </c>
      <c r="E49" s="32" t="s">
        <v>26</v>
      </c>
      <c r="F49" s="239"/>
      <c r="G49" s="38" t="s">
        <v>13</v>
      </c>
      <c r="H49" s="38"/>
      <c r="I49" s="239"/>
      <c r="J49" s="493" t="s">
        <v>339</v>
      </c>
      <c r="K49" s="2"/>
      <c r="L49" s="3"/>
      <c r="M49" s="1"/>
    </row>
    <row r="50" spans="1:13">
      <c r="D50" s="2"/>
      <c r="E50" s="2"/>
      <c r="F50" s="2"/>
      <c r="G50" s="2"/>
      <c r="H50" s="2"/>
      <c r="I50" s="2"/>
      <c r="J50" s="2"/>
      <c r="K50" s="2"/>
      <c r="L50" s="2"/>
      <c r="M50" s="1"/>
    </row>
    <row r="51" spans="1:13">
      <c r="A51" s="416"/>
      <c r="C51" s="1"/>
      <c r="D51" s="2"/>
      <c r="E51" s="2"/>
      <c r="F51" s="2"/>
      <c r="G51" s="2"/>
      <c r="H51" s="2"/>
      <c r="I51" s="2"/>
      <c r="J51" s="2"/>
      <c r="K51" s="2"/>
      <c r="L51" s="2"/>
      <c r="M51" s="1"/>
    </row>
    <row r="52" spans="1:13">
      <c r="A52" s="416"/>
      <c r="C52" s="1" t="s">
        <v>28</v>
      </c>
      <c r="D52" s="2"/>
      <c r="E52" s="2"/>
      <c r="F52" s="2"/>
      <c r="G52" s="2"/>
      <c r="H52" s="2"/>
      <c r="I52" s="2"/>
      <c r="J52" s="2"/>
      <c r="K52" s="2"/>
      <c r="L52" s="2"/>
      <c r="M52" s="1"/>
    </row>
    <row r="53" spans="1:13">
      <c r="A53" s="416">
        <v>1</v>
      </c>
      <c r="C53" s="1" t="s">
        <v>29</v>
      </c>
      <c r="D53" s="378" t="s">
        <v>182</v>
      </c>
      <c r="E53" s="267">
        <f>INPUT!C9</f>
        <v>0</v>
      </c>
      <c r="F53" s="2"/>
      <c r="G53" s="2" t="s">
        <v>30</v>
      </c>
      <c r="H53" s="11" t="s">
        <v>7</v>
      </c>
      <c r="I53" s="2"/>
      <c r="J53" s="147"/>
      <c r="K53" s="2"/>
      <c r="L53" s="2"/>
      <c r="M53" s="1"/>
    </row>
    <row r="54" spans="1:13">
      <c r="A54" s="416">
        <v>2</v>
      </c>
      <c r="C54" s="1" t="s">
        <v>31</v>
      </c>
      <c r="D54" s="378" t="s">
        <v>170</v>
      </c>
      <c r="E54" s="228">
        <f>INPUT!C10</f>
        <v>1262220857</v>
      </c>
      <c r="F54" s="2"/>
      <c r="G54" s="2" t="s">
        <v>14</v>
      </c>
      <c r="H54" s="16">
        <f>DEO_TP_Alloc</f>
        <v>1</v>
      </c>
      <c r="I54" s="2"/>
      <c r="J54" s="30">
        <f>ROUND(H54*E54,0)</f>
        <v>1262220857</v>
      </c>
      <c r="K54" s="2"/>
      <c r="L54" s="2"/>
      <c r="M54" s="1"/>
    </row>
    <row r="55" spans="1:13">
      <c r="A55" s="416">
        <v>3</v>
      </c>
      <c r="C55" s="1" t="s">
        <v>32</v>
      </c>
      <c r="D55" s="378" t="s">
        <v>171</v>
      </c>
      <c r="E55" s="228">
        <f>INPUT!C11</f>
        <v>3235300497</v>
      </c>
      <c r="F55" s="2"/>
      <c r="G55" s="2" t="s">
        <v>30</v>
      </c>
      <c r="H55" s="11" t="s">
        <v>7</v>
      </c>
      <c r="I55" s="2"/>
      <c r="J55" s="147"/>
      <c r="K55" s="2"/>
      <c r="L55" s="2"/>
      <c r="M55" s="1"/>
    </row>
    <row r="56" spans="1:13" ht="16.899999999999999" customHeight="1">
      <c r="A56" s="416">
        <v>4</v>
      </c>
      <c r="C56" s="1" t="s">
        <v>33</v>
      </c>
      <c r="D56" s="378" t="s">
        <v>0</v>
      </c>
      <c r="E56" s="228">
        <f>INPUT!C12</f>
        <v>529248452</v>
      </c>
      <c r="F56" s="2"/>
      <c r="G56" s="2" t="s">
        <v>142</v>
      </c>
      <c r="H56" s="11">
        <f>DEO_WS_Alloc</f>
        <v>0.1656</v>
      </c>
      <c r="I56" s="2"/>
      <c r="J56" s="147">
        <f>ROUND(H56*E56,0)</f>
        <v>87643544</v>
      </c>
      <c r="K56" s="2"/>
      <c r="L56" s="2"/>
      <c r="M56" s="2"/>
    </row>
    <row r="57" spans="1:13" ht="15.75" thickBot="1">
      <c r="A57" s="416">
        <v>5</v>
      </c>
      <c r="C57" s="1" t="s">
        <v>34</v>
      </c>
      <c r="D57" s="378" t="s">
        <v>517</v>
      </c>
      <c r="E57" s="265">
        <f>INPUT!C13</f>
        <v>257312314</v>
      </c>
      <c r="F57" s="2"/>
      <c r="G57" s="2" t="s">
        <v>76</v>
      </c>
      <c r="H57" s="11">
        <f>DEO_CE_Alloc</f>
        <v>0.10878</v>
      </c>
      <c r="I57" s="2"/>
      <c r="J57" s="148">
        <f>ROUND(H57*E57,0)</f>
        <v>27990434</v>
      </c>
      <c r="K57" s="2"/>
      <c r="L57" s="2"/>
      <c r="M57" s="2"/>
    </row>
    <row r="58" spans="1:13">
      <c r="A58" s="416">
        <v>6</v>
      </c>
      <c r="C58" s="1" t="s">
        <v>35</v>
      </c>
      <c r="D58" s="378"/>
      <c r="E58" s="30">
        <f>SUM(E53:E57)</f>
        <v>5284082120</v>
      </c>
      <c r="F58" s="2"/>
      <c r="G58" s="2" t="s">
        <v>36</v>
      </c>
      <c r="H58" s="11">
        <f>IF(J58&gt;0,ROUND(J58/E58,5),0)</f>
        <v>0.26075999999999999</v>
      </c>
      <c r="I58" s="2"/>
      <c r="J58" s="30">
        <f>SUM(J53:J57)</f>
        <v>1377854835</v>
      </c>
      <c r="K58" s="2"/>
      <c r="L58" s="15"/>
      <c r="M58" s="1"/>
    </row>
    <row r="59" spans="1:13">
      <c r="C59" s="1"/>
      <c r="D59" s="378"/>
      <c r="E59" s="147"/>
      <c r="F59" s="2"/>
      <c r="G59" s="2"/>
      <c r="H59" s="15"/>
      <c r="I59" s="2"/>
      <c r="J59" s="147"/>
      <c r="K59" s="2"/>
      <c r="L59" s="15"/>
      <c r="M59" s="1"/>
    </row>
    <row r="60" spans="1:13">
      <c r="C60" s="1" t="s">
        <v>552</v>
      </c>
      <c r="D60" s="378"/>
      <c r="E60" s="147"/>
      <c r="F60" s="2"/>
      <c r="G60" s="2"/>
      <c r="H60" s="2"/>
      <c r="I60" s="2"/>
      <c r="J60" s="147"/>
      <c r="K60" s="2"/>
      <c r="L60" s="2"/>
      <c r="M60" s="1"/>
    </row>
    <row r="61" spans="1:13">
      <c r="A61" s="416">
        <v>7</v>
      </c>
      <c r="C61" s="1" t="s">
        <v>29</v>
      </c>
      <c r="D61" s="378" t="s">
        <v>593</v>
      </c>
      <c r="E61" s="267">
        <f>INPUT!C17</f>
        <v>-14090</v>
      </c>
      <c r="F61" s="2"/>
      <c r="G61" s="2" t="str">
        <f t="shared" ref="G61:G65" si="1">G53</f>
        <v>NA</v>
      </c>
      <c r="H61" s="11"/>
      <c r="I61" s="2"/>
      <c r="J61" s="147"/>
      <c r="K61" s="2"/>
      <c r="L61" s="2"/>
      <c r="M61" s="1"/>
    </row>
    <row r="62" spans="1:13">
      <c r="A62" s="416">
        <v>8</v>
      </c>
      <c r="C62" s="1" t="s">
        <v>31</v>
      </c>
      <c r="D62" s="378" t="s">
        <v>154</v>
      </c>
      <c r="E62" s="228">
        <f>INPUT!C18</f>
        <v>184126973</v>
      </c>
      <c r="F62" s="2"/>
      <c r="G62" s="2" t="str">
        <f t="shared" si="1"/>
        <v>TP</v>
      </c>
      <c r="H62" s="16">
        <f>DEO_TP_Alloc</f>
        <v>1</v>
      </c>
      <c r="I62" s="2"/>
      <c r="J62" s="30">
        <f>ROUND(H62*E62,0)</f>
        <v>184126973</v>
      </c>
      <c r="K62" s="2"/>
      <c r="L62" s="2"/>
      <c r="M62" s="1"/>
    </row>
    <row r="63" spans="1:13">
      <c r="A63" s="416">
        <v>9</v>
      </c>
      <c r="C63" s="1" t="s">
        <v>32</v>
      </c>
      <c r="D63" s="378" t="s">
        <v>155</v>
      </c>
      <c r="E63" s="228">
        <f>INPUT!C19</f>
        <v>722869819</v>
      </c>
      <c r="F63" s="2"/>
      <c r="G63" s="2" t="str">
        <f t="shared" si="1"/>
        <v>NA</v>
      </c>
      <c r="H63" s="11"/>
      <c r="I63" s="2"/>
      <c r="J63" s="147"/>
      <c r="K63" s="2"/>
      <c r="L63" s="2"/>
      <c r="M63" s="1"/>
    </row>
    <row r="64" spans="1:13">
      <c r="A64" s="416">
        <v>10</v>
      </c>
      <c r="C64" s="1" t="s">
        <v>33</v>
      </c>
      <c r="D64" s="378" t="s">
        <v>490</v>
      </c>
      <c r="E64" s="228">
        <f>INPUT!C20</f>
        <v>199617025</v>
      </c>
      <c r="F64" s="2"/>
      <c r="G64" s="2" t="str">
        <f>G56</f>
        <v>WS</v>
      </c>
      <c r="H64" s="11">
        <f>DEO_WS_Alloc</f>
        <v>0.1656</v>
      </c>
      <c r="I64" s="2"/>
      <c r="J64" s="147">
        <f>ROUND(H64*E64,0)</f>
        <v>33056579</v>
      </c>
      <c r="K64" s="2"/>
      <c r="L64" s="2"/>
      <c r="M64" s="1"/>
    </row>
    <row r="65" spans="1:13" ht="15.75" thickBot="1">
      <c r="A65" s="416">
        <v>11</v>
      </c>
      <c r="C65" s="1" t="s">
        <v>34</v>
      </c>
      <c r="D65" s="378" t="s">
        <v>517</v>
      </c>
      <c r="E65" s="265">
        <f>INPUT!C21</f>
        <v>106737430</v>
      </c>
      <c r="F65" s="2"/>
      <c r="G65" s="2" t="str">
        <f t="shared" si="1"/>
        <v>CE</v>
      </c>
      <c r="H65" s="11">
        <f>DEO_CE_Alloc</f>
        <v>0.10878</v>
      </c>
      <c r="I65" s="2"/>
      <c r="J65" s="148">
        <f>ROUND(H65*E65,0)</f>
        <v>11610898</v>
      </c>
      <c r="K65" s="2"/>
      <c r="L65" s="2"/>
      <c r="M65" s="1"/>
    </row>
    <row r="66" spans="1:13">
      <c r="A66" s="416">
        <v>12</v>
      </c>
      <c r="C66" s="1" t="s">
        <v>553</v>
      </c>
      <c r="D66" s="378"/>
      <c r="E66" s="30">
        <f>SUM(E61:E65)</f>
        <v>1213337157</v>
      </c>
      <c r="F66" s="2"/>
      <c r="G66" s="2"/>
      <c r="H66" s="2"/>
      <c r="I66" s="2"/>
      <c r="J66" s="30">
        <f>SUM(J61:J65)</f>
        <v>228794450</v>
      </c>
      <c r="K66" s="2"/>
      <c r="L66" s="2"/>
      <c r="M66" s="1"/>
    </row>
    <row r="67" spans="1:13">
      <c r="A67" s="416"/>
      <c r="C67"/>
      <c r="D67" s="378" t="s">
        <v>7</v>
      </c>
      <c r="E67" s="147"/>
      <c r="F67" s="2"/>
      <c r="G67" s="2"/>
      <c r="H67" s="15"/>
      <c r="I67" s="2"/>
      <c r="J67" s="147"/>
      <c r="K67" s="2"/>
      <c r="L67" s="15"/>
      <c r="M67" s="1"/>
    </row>
    <row r="68" spans="1:13">
      <c r="A68" s="416"/>
      <c r="C68" s="1" t="s">
        <v>38</v>
      </c>
      <c r="D68" s="378"/>
      <c r="E68" s="147"/>
      <c r="F68" s="2"/>
      <c r="G68" s="2"/>
      <c r="H68" s="2"/>
      <c r="I68" s="2"/>
      <c r="J68" s="147"/>
      <c r="K68" s="2"/>
      <c r="L68" s="2"/>
      <c r="M68" s="1"/>
    </row>
    <row r="69" spans="1:13">
      <c r="A69" s="416">
        <v>13</v>
      </c>
      <c r="C69" s="1" t="s">
        <v>29</v>
      </c>
      <c r="D69" s="378" t="s">
        <v>706</v>
      </c>
      <c r="E69" s="30">
        <f>E53-E61</f>
        <v>14090</v>
      </c>
      <c r="F69" s="2"/>
      <c r="G69" s="2"/>
      <c r="H69" s="15"/>
      <c r="I69" s="2"/>
      <c r="J69" s="147" t="s">
        <v>7</v>
      </c>
      <c r="K69" s="2"/>
      <c r="L69" s="15"/>
      <c r="M69" s="1"/>
    </row>
    <row r="70" spans="1:13">
      <c r="A70" s="416">
        <v>14</v>
      </c>
      <c r="C70" s="1" t="s">
        <v>31</v>
      </c>
      <c r="D70" s="378" t="s">
        <v>707</v>
      </c>
      <c r="E70" s="147">
        <f>E54-E62</f>
        <v>1078093884</v>
      </c>
      <c r="F70" s="2"/>
      <c r="G70" s="2"/>
      <c r="H70" s="11"/>
      <c r="I70" s="2"/>
      <c r="J70" s="30">
        <f>J54-J62</f>
        <v>1078093884</v>
      </c>
      <c r="K70" s="2"/>
      <c r="L70" s="15"/>
      <c r="M70" s="1"/>
    </row>
    <row r="71" spans="1:13">
      <c r="A71" s="416">
        <v>15</v>
      </c>
      <c r="C71" s="1" t="s">
        <v>32</v>
      </c>
      <c r="D71" s="378" t="s">
        <v>708</v>
      </c>
      <c r="E71" s="147">
        <f>E55-E63</f>
        <v>2512430678</v>
      </c>
      <c r="F71" s="2"/>
      <c r="G71" s="2"/>
      <c r="H71" s="15"/>
      <c r="I71" s="2"/>
      <c r="J71" s="147" t="s">
        <v>7</v>
      </c>
      <c r="K71" s="2"/>
      <c r="L71" s="15"/>
      <c r="M71" s="1"/>
    </row>
    <row r="72" spans="1:13">
      <c r="A72" s="416">
        <v>16</v>
      </c>
      <c r="C72" s="1" t="s">
        <v>33</v>
      </c>
      <c r="D72" s="378" t="s">
        <v>709</v>
      </c>
      <c r="E72" s="147">
        <f>E56-E64</f>
        <v>329631427</v>
      </c>
      <c r="F72" s="2"/>
      <c r="G72" s="2"/>
      <c r="H72" s="15"/>
      <c r="I72" s="2"/>
      <c r="J72" s="147">
        <f>J56-J64</f>
        <v>54586965</v>
      </c>
      <c r="K72" s="2"/>
      <c r="L72" s="15"/>
      <c r="M72" s="1"/>
    </row>
    <row r="73" spans="1:13" ht="15.75" thickBot="1">
      <c r="A73" s="416">
        <v>17</v>
      </c>
      <c r="C73" s="1" t="s">
        <v>34</v>
      </c>
      <c r="D73" s="378" t="s">
        <v>710</v>
      </c>
      <c r="E73" s="148">
        <f>E57-E65</f>
        <v>150574884</v>
      </c>
      <c r="F73" s="2"/>
      <c r="G73" s="2"/>
      <c r="H73" s="15"/>
      <c r="I73" s="2"/>
      <c r="J73" s="148">
        <f>J57-J65</f>
        <v>16379536</v>
      </c>
      <c r="K73" s="2"/>
      <c r="L73" s="15"/>
      <c r="M73" s="1"/>
    </row>
    <row r="74" spans="1:13">
      <c r="A74" s="416">
        <v>18</v>
      </c>
      <c r="C74" s="1" t="s">
        <v>39</v>
      </c>
      <c r="D74" s="378"/>
      <c r="E74" s="30">
        <f>SUM(E69:E73)</f>
        <v>4070744963</v>
      </c>
      <c r="F74" s="2"/>
      <c r="G74" s="2" t="s">
        <v>40</v>
      </c>
      <c r="H74" s="11">
        <f>IF(J74&gt;0,ROUND(J74/E74,5),0)</f>
        <v>0.28227000000000002</v>
      </c>
      <c r="I74" s="2"/>
      <c r="J74" s="30">
        <f>SUM(J69:J73)</f>
        <v>1149060385</v>
      </c>
      <c r="K74" s="2"/>
      <c r="L74" s="11"/>
      <c r="M74" s="1"/>
    </row>
    <row r="75" spans="1:13">
      <c r="A75" s="416"/>
      <c r="C75"/>
      <c r="D75" s="378"/>
      <c r="E75" s="147"/>
      <c r="F75" s="2"/>
      <c r="I75" s="2"/>
      <c r="J75" s="147"/>
      <c r="K75" s="2"/>
      <c r="L75" s="15"/>
      <c r="M75" s="1"/>
    </row>
    <row r="76" spans="1:13">
      <c r="A76" s="416"/>
      <c r="C76" s="252" t="s">
        <v>587</v>
      </c>
      <c r="D76" s="378"/>
      <c r="E76" s="147"/>
      <c r="F76" s="2"/>
      <c r="G76" s="2"/>
      <c r="H76" s="2"/>
      <c r="I76" s="2"/>
      <c r="J76" s="147"/>
      <c r="K76" s="2"/>
      <c r="L76" s="2"/>
      <c r="M76" s="1"/>
    </row>
    <row r="77" spans="1:13">
      <c r="A77" s="416">
        <v>19</v>
      </c>
      <c r="C77" s="1" t="s">
        <v>118</v>
      </c>
      <c r="D77" s="378" t="s">
        <v>41</v>
      </c>
      <c r="E77" s="267">
        <f>INPUT!C33</f>
        <v>0</v>
      </c>
      <c r="F77" s="2"/>
      <c r="G77" s="2" t="str">
        <f>G61</f>
        <v>NA</v>
      </c>
      <c r="H77" s="53" t="s">
        <v>148</v>
      </c>
      <c r="I77" s="2"/>
      <c r="J77" s="30">
        <v>0</v>
      </c>
      <c r="K77" s="2"/>
      <c r="L77" s="15"/>
      <c r="M77" s="1"/>
    </row>
    <row r="78" spans="1:13">
      <c r="A78" s="416">
        <v>20</v>
      </c>
      <c r="B78" s="9" t="s">
        <v>153</v>
      </c>
      <c r="C78" s="1" t="s">
        <v>119</v>
      </c>
      <c r="D78" s="378" t="s">
        <v>554</v>
      </c>
      <c r="E78" s="228">
        <f>INPUT!C34</f>
        <v>-582832783</v>
      </c>
      <c r="F78" s="2"/>
      <c r="G78" s="2" t="s">
        <v>42</v>
      </c>
      <c r="H78" s="11">
        <f>DEO_NP_Alloc</f>
        <v>0.28227000000000002</v>
      </c>
      <c r="I78" s="2"/>
      <c r="J78" s="147">
        <f>ROUND(H78*E78,0)</f>
        <v>-164516210</v>
      </c>
      <c r="K78" s="2"/>
      <c r="L78" s="15"/>
      <c r="M78" s="1"/>
    </row>
    <row r="79" spans="1:13">
      <c r="A79" s="416">
        <v>21</v>
      </c>
      <c r="C79" s="1" t="s">
        <v>120</v>
      </c>
      <c r="D79" s="378" t="s">
        <v>555</v>
      </c>
      <c r="E79" s="228">
        <f>INPUT!C35</f>
        <v>-34041592</v>
      </c>
      <c r="F79" s="2"/>
      <c r="G79" s="2" t="str">
        <f>G78</f>
        <v>NP</v>
      </c>
      <c r="H79" s="11">
        <f>DEO_NP_Alloc</f>
        <v>0.28227000000000002</v>
      </c>
      <c r="I79" s="2"/>
      <c r="J79" s="147">
        <f>ROUND(H79*E79,0)</f>
        <v>-9608920</v>
      </c>
      <c r="K79" s="2"/>
      <c r="L79" s="15"/>
      <c r="M79" s="1"/>
    </row>
    <row r="80" spans="1:13">
      <c r="A80" s="416">
        <v>22</v>
      </c>
      <c r="C80" s="1" t="s">
        <v>122</v>
      </c>
      <c r="D80" s="378" t="s">
        <v>556</v>
      </c>
      <c r="E80" s="228">
        <f>INPUT!C36</f>
        <v>25010666</v>
      </c>
      <c r="F80" s="2"/>
      <c r="G80" s="2" t="str">
        <f>G79</f>
        <v>NP</v>
      </c>
      <c r="H80" s="11">
        <f>DEO_NP_Alloc</f>
        <v>0.28227000000000002</v>
      </c>
      <c r="I80" s="2"/>
      <c r="J80" s="147">
        <f>ROUND(H80*E80,0)</f>
        <v>7059761</v>
      </c>
      <c r="K80" s="2"/>
      <c r="L80" s="15"/>
      <c r="M80" s="1"/>
    </row>
    <row r="81" spans="1:13">
      <c r="A81" s="416">
        <v>23</v>
      </c>
      <c r="C81" s="9" t="s">
        <v>904</v>
      </c>
      <c r="D81" s="378" t="str">
        <f>INPUT!$B$37</f>
        <v>DIT Worksheet, x.g</v>
      </c>
      <c r="E81" s="228">
        <f>INPUT!C37</f>
        <v>-241983655.86783838</v>
      </c>
      <c r="F81" s="2"/>
      <c r="G81" s="2" t="str">
        <f>G80</f>
        <v>NP</v>
      </c>
      <c r="H81" s="11">
        <f>DEO_NP_Alloc</f>
        <v>0.28227000000000002</v>
      </c>
      <c r="I81" s="2"/>
      <c r="J81" s="147">
        <f>ROUND(H81*E81,0)</f>
        <v>-68304727</v>
      </c>
      <c r="K81" s="2"/>
      <c r="L81" s="15"/>
      <c r="M81" s="1"/>
    </row>
    <row r="82" spans="1:13" ht="15.75" thickBot="1">
      <c r="A82" s="416">
        <v>24</v>
      </c>
      <c r="C82" s="9" t="s">
        <v>557</v>
      </c>
      <c r="D82" s="378" t="s">
        <v>165</v>
      </c>
      <c r="E82" s="228">
        <f>INPUT!C38</f>
        <v>0</v>
      </c>
      <c r="F82" s="2"/>
      <c r="G82" s="2" t="str">
        <f>G81</f>
        <v>NP</v>
      </c>
      <c r="H82" s="11">
        <f>DEO_NP_Alloc</f>
        <v>0.28227000000000002</v>
      </c>
      <c r="I82" s="2"/>
      <c r="J82" s="147">
        <f>ROUND(H82*E82,0)</f>
        <v>0</v>
      </c>
      <c r="K82" s="2"/>
      <c r="L82" s="15"/>
      <c r="M82" s="1"/>
    </row>
    <row r="83" spans="1:13">
      <c r="A83" s="416">
        <v>25</v>
      </c>
      <c r="C83" s="1" t="s">
        <v>795</v>
      </c>
      <c r="D83" s="378"/>
      <c r="E83" s="411">
        <f>SUM(E77:E82)</f>
        <v>-833847364.86783838</v>
      </c>
      <c r="F83" s="2"/>
      <c r="G83" s="2"/>
      <c r="H83" s="2"/>
      <c r="I83" s="2"/>
      <c r="J83" s="411">
        <f>SUM(J77:J82)</f>
        <v>-235370096</v>
      </c>
      <c r="K83" s="2"/>
      <c r="L83" s="2"/>
      <c r="M83" s="1"/>
    </row>
    <row r="84" spans="1:13">
      <c r="A84" s="416"/>
      <c r="C84"/>
      <c r="D84" s="378"/>
      <c r="E84" s="147"/>
      <c r="F84" s="2"/>
      <c r="G84" s="2"/>
      <c r="H84" s="15"/>
      <c r="I84" s="2"/>
      <c r="J84" s="147"/>
      <c r="K84" s="2"/>
      <c r="L84" s="15"/>
      <c r="M84" s="1"/>
    </row>
    <row r="85" spans="1:13">
      <c r="A85" s="416">
        <v>26</v>
      </c>
      <c r="C85" s="252" t="s">
        <v>348</v>
      </c>
      <c r="D85" s="378" t="s">
        <v>328</v>
      </c>
      <c r="E85" s="267">
        <f>INPUT!C41</f>
        <v>22132</v>
      </c>
      <c r="F85" s="2"/>
      <c r="G85" s="2" t="s">
        <v>14</v>
      </c>
      <c r="H85" s="266">
        <v>1</v>
      </c>
      <c r="I85" s="2"/>
      <c r="J85" s="30">
        <f>ROUND(H85*E85,0)</f>
        <v>22132</v>
      </c>
      <c r="K85" s="2"/>
      <c r="L85" s="2"/>
      <c r="M85" s="1"/>
    </row>
    <row r="86" spans="1:13">
      <c r="A86" s="416"/>
      <c r="C86" s="1"/>
      <c r="D86" s="378"/>
      <c r="E86" s="147"/>
      <c r="F86" s="2"/>
      <c r="G86" s="2"/>
      <c r="H86" s="2"/>
      <c r="I86" s="2"/>
      <c r="J86" s="147"/>
      <c r="K86" s="2"/>
      <c r="L86" s="2"/>
      <c r="M86" s="1"/>
    </row>
    <row r="87" spans="1:13">
      <c r="A87" s="416"/>
      <c r="C87" s="345" t="s">
        <v>361</v>
      </c>
      <c r="D87" s="378" t="s">
        <v>7</v>
      </c>
      <c r="E87" s="147"/>
      <c r="F87" s="2"/>
      <c r="G87" s="2"/>
      <c r="H87" s="2"/>
      <c r="I87" s="2"/>
      <c r="J87" s="147"/>
      <c r="K87" s="2"/>
      <c r="L87" s="2"/>
      <c r="M87" s="1"/>
    </row>
    <row r="88" spans="1:13">
      <c r="A88" s="416">
        <v>27</v>
      </c>
      <c r="C88" s="1" t="s">
        <v>143</v>
      </c>
      <c r="D88" s="378" t="s">
        <v>141</v>
      </c>
      <c r="E88" s="30">
        <f>ROUND(E127/8,0)</f>
        <v>9814149</v>
      </c>
      <c r="F88" s="2"/>
      <c r="G88" s="2"/>
      <c r="H88" s="15"/>
      <c r="I88" s="2"/>
      <c r="J88" s="30">
        <f>ROUND(J127/8,0)</f>
        <v>3418604</v>
      </c>
      <c r="K88" s="1"/>
      <c r="L88" s="15"/>
      <c r="M88" s="1"/>
    </row>
    <row r="89" spans="1:13">
      <c r="A89" s="416">
        <v>28</v>
      </c>
      <c r="C89" s="345" t="s">
        <v>362</v>
      </c>
      <c r="D89" s="378" t="s">
        <v>865</v>
      </c>
      <c r="E89" s="228">
        <f>INPUT!C45</f>
        <v>16882270</v>
      </c>
      <c r="F89" s="2"/>
      <c r="G89" s="2" t="s">
        <v>43</v>
      </c>
      <c r="H89" s="11">
        <f>DEO_TE_Alloc</f>
        <v>0.91898000000000002</v>
      </c>
      <c r="I89" s="2"/>
      <c r="J89" s="147">
        <f>ROUND(H89*E89,0)</f>
        <v>15514468</v>
      </c>
      <c r="K89" s="2" t="s">
        <v>7</v>
      </c>
      <c r="L89" s="15"/>
      <c r="M89" s="1"/>
    </row>
    <row r="90" spans="1:13" ht="15.75" thickBot="1">
      <c r="A90" s="416">
        <v>29</v>
      </c>
      <c r="C90" s="1" t="s">
        <v>123</v>
      </c>
      <c r="D90" s="378" t="s">
        <v>168</v>
      </c>
      <c r="E90" s="265">
        <f>INPUT!C46</f>
        <v>3780</v>
      </c>
      <c r="F90" s="2"/>
      <c r="G90" s="2" t="s">
        <v>44</v>
      </c>
      <c r="H90" s="11">
        <f>DEO_GP_Alloc</f>
        <v>0.26075999999999999</v>
      </c>
      <c r="I90" s="2"/>
      <c r="J90" s="148">
        <f>ROUND(H90*E90,0)</f>
        <v>986</v>
      </c>
      <c r="K90" s="2"/>
      <c r="L90" s="15"/>
      <c r="M90" s="1"/>
    </row>
    <row r="91" spans="1:13">
      <c r="A91" s="416">
        <v>30</v>
      </c>
      <c r="C91" s="1" t="s">
        <v>796</v>
      </c>
      <c r="D91" s="487"/>
      <c r="E91" s="30">
        <f>E88+E89+E90</f>
        <v>26700199</v>
      </c>
      <c r="F91" s="1"/>
      <c r="G91" s="1"/>
      <c r="H91" s="1"/>
      <c r="I91" s="1"/>
      <c r="J91" s="30">
        <f>J88+J89+J90</f>
        <v>18934058</v>
      </c>
      <c r="K91" s="1"/>
      <c r="L91" s="1"/>
      <c r="M91" s="1"/>
    </row>
    <row r="92" spans="1:13" ht="15.75" thickBot="1">
      <c r="C92"/>
      <c r="D92" s="378"/>
      <c r="E92" s="148"/>
      <c r="F92" s="2"/>
      <c r="G92" s="2"/>
      <c r="H92" s="2"/>
      <c r="I92" s="2"/>
      <c r="J92" s="148"/>
      <c r="K92" s="2"/>
      <c r="L92" s="2"/>
      <c r="M92" s="1"/>
    </row>
    <row r="93" spans="1:13" ht="15.75" thickBot="1">
      <c r="A93" s="416">
        <v>31</v>
      </c>
      <c r="C93" s="1" t="s">
        <v>797</v>
      </c>
      <c r="D93" s="378"/>
      <c r="E93" s="227">
        <f>E91+E85+E83+E74</f>
        <v>3263619929.1321616</v>
      </c>
      <c r="F93" s="2"/>
      <c r="G93" s="2"/>
      <c r="H93" s="15"/>
      <c r="I93" s="2"/>
      <c r="J93" s="227">
        <f>J91+J85+J83+J74</f>
        <v>932646479</v>
      </c>
      <c r="K93" s="2"/>
      <c r="L93" s="15"/>
      <c r="M93" s="2"/>
    </row>
    <row r="94" spans="1:13" ht="15.75" thickTop="1">
      <c r="A94" s="416"/>
      <c r="C94" s="1"/>
      <c r="D94" s="2"/>
      <c r="E94" s="2"/>
      <c r="F94" s="2"/>
      <c r="G94" s="2"/>
      <c r="H94" s="2"/>
      <c r="I94" s="2"/>
      <c r="J94" s="2"/>
      <c r="K94" s="2"/>
      <c r="L94" s="2"/>
      <c r="M94" s="2"/>
    </row>
    <row r="95" spans="1:13">
      <c r="A95" s="416"/>
      <c r="D95" s="24"/>
      <c r="E95" s="25"/>
      <c r="F95" s="24"/>
      <c r="G95" s="24"/>
      <c r="H95" s="24"/>
      <c r="I95" s="24"/>
      <c r="K95" s="26"/>
      <c r="L95" s="61"/>
      <c r="M95" s="26"/>
    </row>
    <row r="96" spans="1:13" ht="18">
      <c r="A96" s="418"/>
      <c r="C96" s="24"/>
      <c r="D96" s="24"/>
      <c r="E96" s="25"/>
      <c r="F96" s="24"/>
      <c r="G96" s="24"/>
      <c r="H96" s="24"/>
      <c r="I96" s="24"/>
      <c r="J96" s="50" t="s">
        <v>296</v>
      </c>
      <c r="K96" s="60"/>
      <c r="M96" s="60"/>
    </row>
    <row r="97" spans="1:13">
      <c r="C97" s="24"/>
      <c r="D97" s="24"/>
      <c r="E97" s="25"/>
      <c r="F97" s="24"/>
      <c r="G97" s="24"/>
      <c r="H97" s="24"/>
      <c r="I97" s="24"/>
      <c r="J97" s="1031" t="s">
        <v>406</v>
      </c>
      <c r="M97" s="50"/>
    </row>
    <row r="98" spans="1:13">
      <c r="C98" s="24"/>
      <c r="D98" s="24"/>
      <c r="E98" s="25"/>
      <c r="F98" s="24"/>
      <c r="G98" s="24"/>
      <c r="H98" s="24"/>
      <c r="I98" s="24"/>
      <c r="J98" s="50"/>
      <c r="M98" s="50"/>
    </row>
    <row r="99" spans="1:13">
      <c r="C99" s="24"/>
      <c r="D99" s="24"/>
      <c r="E99" s="25"/>
      <c r="F99" s="24"/>
      <c r="G99" s="24"/>
      <c r="H99" s="24"/>
      <c r="I99" s="24"/>
      <c r="M99" s="50"/>
    </row>
    <row r="100" spans="1:13">
      <c r="C100" s="24"/>
      <c r="D100" s="24"/>
      <c r="E100" s="25"/>
      <c r="F100" s="24"/>
      <c r="G100" s="24"/>
      <c r="H100" s="24"/>
      <c r="I100" s="24"/>
      <c r="K100" s="1"/>
      <c r="M100" s="50"/>
    </row>
    <row r="101" spans="1:13">
      <c r="C101" s="24"/>
      <c r="D101" s="24"/>
      <c r="E101" s="25"/>
      <c r="F101" s="24"/>
      <c r="G101" s="24"/>
      <c r="H101" s="24"/>
      <c r="I101" s="24"/>
      <c r="J101" s="50"/>
      <c r="K101" s="1"/>
      <c r="M101" s="50"/>
    </row>
    <row r="102" spans="1:13">
      <c r="C102" s="24" t="s">
        <v>6</v>
      </c>
      <c r="D102" s="24"/>
      <c r="E102" s="25"/>
      <c r="F102" s="24"/>
      <c r="G102" s="24"/>
      <c r="H102" s="24"/>
      <c r="I102" s="24"/>
      <c r="J102" s="61" t="str">
        <f>J7</f>
        <v>For the 12 months ended: 12/31/2021</v>
      </c>
      <c r="K102" s="1"/>
      <c r="M102" s="50"/>
    </row>
    <row r="103" spans="1:13">
      <c r="A103" s="419" t="str">
        <f>A8</f>
        <v>Rate Formula Template</v>
      </c>
      <c r="B103" s="70"/>
      <c r="C103" s="70"/>
      <c r="D103" s="144"/>
      <c r="E103" s="70"/>
      <c r="F103" s="144"/>
      <c r="G103" s="144"/>
      <c r="H103" s="144"/>
      <c r="I103" s="144"/>
      <c r="J103" s="70"/>
      <c r="K103" s="2"/>
      <c r="L103" s="70"/>
      <c r="M103" s="1"/>
    </row>
    <row r="104" spans="1:13">
      <c r="A104" s="420" t="s">
        <v>267</v>
      </c>
      <c r="B104" s="70"/>
      <c r="C104" s="144"/>
      <c r="D104" s="145"/>
      <c r="E104" s="70"/>
      <c r="F104" s="145"/>
      <c r="G104" s="145"/>
      <c r="H104" s="145"/>
      <c r="I104" s="144"/>
      <c r="J104" s="144"/>
      <c r="K104" s="2"/>
      <c r="L104" s="146"/>
      <c r="M104" s="1"/>
    </row>
    <row r="105" spans="1:13">
      <c r="A105" s="420"/>
      <c r="B105" s="70"/>
      <c r="C105" s="146"/>
      <c r="D105" s="146"/>
      <c r="E105" s="70"/>
      <c r="F105" s="146"/>
      <c r="G105" s="146"/>
      <c r="H105" s="146"/>
      <c r="I105" s="146"/>
      <c r="J105" s="146"/>
      <c r="K105" s="2"/>
      <c r="L105" s="146"/>
      <c r="M105" s="1"/>
    </row>
    <row r="106" spans="1:13" ht="15.75">
      <c r="A106" s="421" t="str">
        <f>$A$11</f>
        <v>DUKE ENERGY OHIO (DEO)</v>
      </c>
      <c r="B106" s="70"/>
      <c r="C106" s="146"/>
      <c r="D106" s="146"/>
      <c r="E106" s="70"/>
      <c r="F106" s="146"/>
      <c r="G106" s="146"/>
      <c r="H106" s="146"/>
      <c r="I106" s="146"/>
      <c r="J106" s="146"/>
      <c r="K106" s="2"/>
      <c r="L106" s="146"/>
      <c r="M106" s="2"/>
    </row>
    <row r="107" spans="1:13">
      <c r="A107" s="416"/>
      <c r="K107" s="2"/>
      <c r="L107" s="2"/>
      <c r="M107" s="2"/>
    </row>
    <row r="108" spans="1:13" ht="15.75">
      <c r="A108" s="416"/>
      <c r="C108" s="3" t="s">
        <v>18</v>
      </c>
      <c r="D108" s="3" t="s">
        <v>19</v>
      </c>
      <c r="E108" s="3" t="s">
        <v>20</v>
      </c>
      <c r="F108" s="2" t="s">
        <v>7</v>
      </c>
      <c r="G108" s="177" t="s">
        <v>21</v>
      </c>
      <c r="H108" s="70"/>
      <c r="I108" s="2"/>
      <c r="J108" s="5" t="s">
        <v>22</v>
      </c>
      <c r="K108" s="2"/>
      <c r="L108" s="27"/>
      <c r="M108" s="24"/>
    </row>
    <row r="109" spans="1:13" ht="15.75">
      <c r="A109" s="416" t="s">
        <v>8</v>
      </c>
      <c r="B109" s="181"/>
      <c r="C109" s="184"/>
      <c r="D109" s="4" t="s">
        <v>23</v>
      </c>
      <c r="E109" s="2"/>
      <c r="F109" s="2"/>
      <c r="G109" s="2"/>
      <c r="H109" s="26"/>
      <c r="I109" s="2"/>
      <c r="J109" s="26" t="s">
        <v>24</v>
      </c>
      <c r="K109" s="2"/>
      <c r="L109" s="27"/>
      <c r="M109" s="2"/>
    </row>
    <row r="110" spans="1:13" ht="15.75">
      <c r="A110" s="422" t="s">
        <v>10</v>
      </c>
      <c r="B110" s="181"/>
      <c r="C110" s="184"/>
      <c r="D110" s="238" t="s">
        <v>25</v>
      </c>
      <c r="E110" s="180" t="s">
        <v>26</v>
      </c>
      <c r="F110" s="239"/>
      <c r="G110" s="240" t="s">
        <v>13</v>
      </c>
      <c r="H110" s="183"/>
      <c r="I110" s="239"/>
      <c r="J110" s="182" t="s">
        <v>339</v>
      </c>
      <c r="K110" s="2"/>
      <c r="L110" s="27"/>
      <c r="M110" s="40"/>
    </row>
    <row r="111" spans="1:13" ht="15.75">
      <c r="C111" s="1"/>
      <c r="D111" s="2"/>
      <c r="E111" s="6"/>
      <c r="F111" s="7"/>
      <c r="G111" s="8"/>
      <c r="I111" s="7"/>
      <c r="J111" s="6"/>
      <c r="K111" s="2"/>
      <c r="L111" s="2"/>
      <c r="M111" s="2"/>
    </row>
    <row r="112" spans="1:13">
      <c r="A112" s="416"/>
      <c r="C112" s="1" t="s">
        <v>45</v>
      </c>
      <c r="D112" s="2"/>
      <c r="E112" s="2"/>
      <c r="F112" s="2"/>
      <c r="G112" s="2"/>
      <c r="H112" s="2"/>
      <c r="I112" s="2"/>
      <c r="J112" s="2"/>
      <c r="K112" s="2"/>
      <c r="L112" s="2"/>
      <c r="M112" s="2"/>
    </row>
    <row r="113" spans="1:13">
      <c r="A113" s="416">
        <v>1</v>
      </c>
      <c r="C113" s="1" t="s">
        <v>46</v>
      </c>
      <c r="D113" s="378" t="s">
        <v>183</v>
      </c>
      <c r="E113" s="30">
        <f>INPUT!C52</f>
        <v>48095524</v>
      </c>
      <c r="F113" s="2"/>
      <c r="G113" s="2" t="s">
        <v>43</v>
      </c>
      <c r="H113" s="11">
        <f>DEO_TE_Alloc</f>
        <v>0.91898000000000002</v>
      </c>
      <c r="I113" s="2"/>
      <c r="J113" s="30">
        <f>ROUND(H113*E113,0)</f>
        <v>44198825</v>
      </c>
      <c r="K113" s="1"/>
      <c r="L113" s="2"/>
      <c r="M113" s="2"/>
    </row>
    <row r="114" spans="1:13">
      <c r="A114" s="416" t="s">
        <v>1</v>
      </c>
      <c r="C114" s="251" t="s">
        <v>355</v>
      </c>
      <c r="D114" s="378" t="s">
        <v>558</v>
      </c>
      <c r="E114" s="228">
        <f>'P17 LSE Expenses'!G21</f>
        <v>26151066</v>
      </c>
      <c r="F114" s="2"/>
      <c r="G114" s="2"/>
      <c r="H114" s="11">
        <v>1</v>
      </c>
      <c r="I114" s="2"/>
      <c r="J114" s="147">
        <f>ROUND(H114*E114,0)</f>
        <v>26151066</v>
      </c>
      <c r="K114" s="1"/>
      <c r="L114" s="2"/>
      <c r="M114" s="2"/>
    </row>
    <row r="115" spans="1:13">
      <c r="A115" s="416" t="s">
        <v>242</v>
      </c>
      <c r="C115" s="343" t="s">
        <v>526</v>
      </c>
      <c r="D115" s="378" t="s">
        <v>467</v>
      </c>
      <c r="E115" s="228">
        <f>INPUT!C54</f>
        <v>0</v>
      </c>
      <c r="F115" s="2"/>
      <c r="G115" s="2" t="s">
        <v>43</v>
      </c>
      <c r="H115" s="11">
        <f>DEO_TE_Alloc</f>
        <v>0.91898000000000002</v>
      </c>
      <c r="I115" s="2"/>
      <c r="J115" s="147">
        <f>ROUND(H115*E115,0)</f>
        <v>0</v>
      </c>
      <c r="K115" s="1"/>
      <c r="L115" s="2"/>
      <c r="M115" s="2"/>
    </row>
    <row r="116" spans="1:13">
      <c r="A116" s="416" t="s">
        <v>245</v>
      </c>
      <c r="C116" s="343" t="s">
        <v>543</v>
      </c>
      <c r="D116" s="378" t="s">
        <v>541</v>
      </c>
      <c r="E116" s="228">
        <f>INPUT!C55</f>
        <v>88543</v>
      </c>
      <c r="F116" s="2"/>
      <c r="G116" s="2" t="s">
        <v>43</v>
      </c>
      <c r="H116" s="11">
        <f>DEO_TE_Alloc</f>
        <v>0.91898000000000002</v>
      </c>
      <c r="I116" s="2"/>
      <c r="J116" s="147">
        <f>ROUND(H116*E116,0)</f>
        <v>81369</v>
      </c>
      <c r="K116" s="1"/>
      <c r="L116" s="2"/>
      <c r="M116" s="2"/>
    </row>
    <row r="117" spans="1:13">
      <c r="A117" s="416">
        <v>2</v>
      </c>
      <c r="C117" s="343" t="s">
        <v>2</v>
      </c>
      <c r="D117" s="378" t="s">
        <v>184</v>
      </c>
      <c r="E117" s="228">
        <f>INPUT!C56</f>
        <v>0</v>
      </c>
      <c r="F117" s="2"/>
      <c r="G117" s="2" t="s">
        <v>43</v>
      </c>
      <c r="H117" s="11">
        <f>DEO_TE_Alloc</f>
        <v>0.91898000000000002</v>
      </c>
      <c r="I117" s="2"/>
      <c r="J117" s="147">
        <f t="shared" ref="J117:J126" si="2">ROUND(H117*E117,0)</f>
        <v>0</v>
      </c>
      <c r="K117" s="1"/>
      <c r="L117" s="2"/>
      <c r="M117" s="2"/>
    </row>
    <row r="118" spans="1:13">
      <c r="A118" s="416">
        <v>3</v>
      </c>
      <c r="C118" s="1" t="s">
        <v>47</v>
      </c>
      <c r="D118" s="378" t="s">
        <v>185</v>
      </c>
      <c r="E118" s="147">
        <f>'P5 A&amp;G Adjusments'!E20</f>
        <v>59267552</v>
      </c>
      <c r="F118" s="2"/>
      <c r="G118" s="2" t="s">
        <v>142</v>
      </c>
      <c r="H118" s="11">
        <f>DEO_WS_Alloc</f>
        <v>0.1656</v>
      </c>
      <c r="I118" s="2"/>
      <c r="J118" s="147">
        <f t="shared" si="2"/>
        <v>9814707</v>
      </c>
      <c r="K118" s="2"/>
      <c r="L118" s="2" t="s">
        <v>7</v>
      </c>
      <c r="M118" s="2"/>
    </row>
    <row r="119" spans="1:13" ht="30">
      <c r="A119" s="423" t="s">
        <v>368</v>
      </c>
      <c r="C119" s="410" t="s">
        <v>572</v>
      </c>
      <c r="D119" s="378" t="s">
        <v>237</v>
      </c>
      <c r="E119" s="379">
        <f>INPUT!C58</f>
        <v>1160616</v>
      </c>
      <c r="F119" s="350"/>
      <c r="G119" s="350" t="s">
        <v>142</v>
      </c>
      <c r="H119" s="412"/>
      <c r="I119" s="350"/>
      <c r="J119" s="380"/>
      <c r="K119" s="2"/>
      <c r="L119" s="2"/>
      <c r="M119" s="2"/>
    </row>
    <row r="120" spans="1:13">
      <c r="A120" s="416" t="s">
        <v>369</v>
      </c>
      <c r="C120" s="343" t="s">
        <v>529</v>
      </c>
      <c r="D120" s="378" t="s">
        <v>469</v>
      </c>
      <c r="E120" s="228">
        <f>INPUT!C59</f>
        <v>0</v>
      </c>
      <c r="F120" s="2"/>
      <c r="G120" s="2" t="s">
        <v>142</v>
      </c>
      <c r="H120" s="11">
        <f>DEO_WS_Alloc</f>
        <v>0.1656</v>
      </c>
      <c r="I120" s="2"/>
      <c r="J120" s="147">
        <f t="shared" si="2"/>
        <v>0</v>
      </c>
      <c r="K120" s="2"/>
      <c r="L120" s="2"/>
      <c r="M120" s="2"/>
    </row>
    <row r="121" spans="1:13">
      <c r="A121" s="416"/>
      <c r="C121" s="343" t="s">
        <v>532</v>
      </c>
      <c r="D121" s="378"/>
      <c r="E121" s="147"/>
      <c r="F121" s="2"/>
      <c r="G121" s="2"/>
      <c r="H121" s="11"/>
      <c r="I121" s="2"/>
      <c r="J121" s="147"/>
      <c r="K121" s="2"/>
      <c r="L121" s="2"/>
      <c r="M121" s="2"/>
    </row>
    <row r="122" spans="1:13">
      <c r="A122" s="416">
        <v>4</v>
      </c>
      <c r="C122" s="343" t="s">
        <v>345</v>
      </c>
      <c r="D122" s="378" t="s">
        <v>559</v>
      </c>
      <c r="E122" s="228">
        <f>INPUT!C61</f>
        <v>0</v>
      </c>
      <c r="F122" s="2"/>
      <c r="G122" s="2" t="str">
        <f>G118</f>
        <v>WS</v>
      </c>
      <c r="H122" s="11">
        <f>DEO_WS_Alloc</f>
        <v>0.1656</v>
      </c>
      <c r="I122" s="2"/>
      <c r="J122" s="147">
        <f t="shared" si="2"/>
        <v>0</v>
      </c>
      <c r="K122" s="2"/>
      <c r="L122" s="2"/>
      <c r="M122" s="2"/>
    </row>
    <row r="123" spans="1:13">
      <c r="A123" s="416">
        <v>5</v>
      </c>
      <c r="C123" s="251" t="s">
        <v>839</v>
      </c>
      <c r="D123" s="378"/>
      <c r="E123" s="228">
        <f>INPUT!C62</f>
        <v>2610275</v>
      </c>
      <c r="F123" s="2"/>
      <c r="G123" s="2" t="str">
        <f>G122</f>
        <v>WS</v>
      </c>
      <c r="H123" s="11">
        <f>DEO_WS_Alloc</f>
        <v>0.1656</v>
      </c>
      <c r="I123" s="2"/>
      <c r="J123" s="147">
        <f t="shared" si="2"/>
        <v>432262</v>
      </c>
      <c r="K123" s="2"/>
      <c r="L123" s="2"/>
      <c r="M123" s="2"/>
    </row>
    <row r="124" spans="1:13">
      <c r="A124" s="424" t="s">
        <v>147</v>
      </c>
      <c r="C124" s="251" t="s">
        <v>357</v>
      </c>
      <c r="D124" s="378"/>
      <c r="E124" s="228">
        <f>INPUT!C63</f>
        <v>0</v>
      </c>
      <c r="F124" s="2"/>
      <c r="G124" s="49" t="str">
        <f>G113</f>
        <v>TE</v>
      </c>
      <c r="H124" s="11">
        <f>DEO_TE_Alloc</f>
        <v>0.91898000000000002</v>
      </c>
      <c r="I124" s="2"/>
      <c r="J124" s="147">
        <f t="shared" si="2"/>
        <v>0</v>
      </c>
      <c r="K124" s="2"/>
      <c r="L124" s="2"/>
      <c r="M124" s="2"/>
    </row>
    <row r="125" spans="1:13">
      <c r="A125" s="416">
        <v>6</v>
      </c>
      <c r="C125" s="1" t="s">
        <v>34</v>
      </c>
      <c r="D125" s="378" t="s">
        <v>517</v>
      </c>
      <c r="E125" s="228">
        <f>INPUT!C64</f>
        <v>0</v>
      </c>
      <c r="F125" s="2"/>
      <c r="G125" s="2" t="s">
        <v>76</v>
      </c>
      <c r="H125" s="11">
        <f>DEO_CE_Alloc</f>
        <v>0.10878</v>
      </c>
      <c r="I125" s="2"/>
      <c r="J125" s="147">
        <f t="shared" si="2"/>
        <v>0</v>
      </c>
      <c r="K125" s="2"/>
      <c r="L125" s="2"/>
      <c r="M125" s="2"/>
    </row>
    <row r="126" spans="1:13" ht="15.75" thickBot="1">
      <c r="A126" s="416">
        <v>7</v>
      </c>
      <c r="C126" s="1" t="s">
        <v>48</v>
      </c>
      <c r="D126" s="378"/>
      <c r="E126" s="265">
        <f>INPUT!C65</f>
        <v>0</v>
      </c>
      <c r="F126" s="2"/>
      <c r="G126" s="2" t="s">
        <v>7</v>
      </c>
      <c r="H126" s="266">
        <v>1</v>
      </c>
      <c r="I126" s="2"/>
      <c r="J126" s="148">
        <f t="shared" si="2"/>
        <v>0</v>
      </c>
      <c r="K126" s="2"/>
      <c r="L126" s="2"/>
      <c r="M126" s="2"/>
    </row>
    <row r="127" spans="1:13">
      <c r="A127" s="416">
        <v>8</v>
      </c>
      <c r="C127" s="1" t="s">
        <v>560</v>
      </c>
      <c r="D127" s="378"/>
      <c r="E127" s="30">
        <f>E113-E114-E115-E116-E117+E118-E120-E122-E123+E124+E125+E126</f>
        <v>78513192</v>
      </c>
      <c r="F127" s="2"/>
      <c r="G127" s="2"/>
      <c r="H127" s="2"/>
      <c r="I127" s="2"/>
      <c r="J127" s="30">
        <f>J113-J114-J115-J116-J117+J118-J120-J122-J123+J124+J125+J126</f>
        <v>27348835</v>
      </c>
      <c r="K127" s="2"/>
      <c r="L127" s="2"/>
      <c r="M127" s="2"/>
    </row>
    <row r="128" spans="1:13">
      <c r="A128" s="416"/>
      <c r="D128" s="378"/>
      <c r="E128" s="147"/>
      <c r="F128" s="2"/>
      <c r="G128" s="2"/>
      <c r="H128" s="2"/>
      <c r="I128" s="2"/>
      <c r="J128" s="147"/>
      <c r="K128" s="2"/>
      <c r="L128" s="2"/>
      <c r="M128" s="2"/>
    </row>
    <row r="129" spans="1:13">
      <c r="A129" s="416"/>
      <c r="C129" s="1" t="s">
        <v>561</v>
      </c>
      <c r="D129" s="378"/>
      <c r="E129" s="147"/>
      <c r="F129" s="2"/>
      <c r="G129" s="2"/>
      <c r="H129" s="2"/>
      <c r="I129" s="2"/>
      <c r="J129" s="147"/>
      <c r="K129" s="2"/>
      <c r="L129" s="2"/>
      <c r="M129" s="2"/>
    </row>
    <row r="130" spans="1:13">
      <c r="A130" s="416">
        <v>9</v>
      </c>
      <c r="C130" s="1" t="s">
        <v>46</v>
      </c>
      <c r="D130" s="378" t="s">
        <v>499</v>
      </c>
      <c r="E130" s="267">
        <f>INPUT!C69</f>
        <v>22721892</v>
      </c>
      <c r="F130" s="2"/>
      <c r="G130" s="2" t="s">
        <v>14</v>
      </c>
      <c r="H130" s="11">
        <f>DEO_TP_Alloc</f>
        <v>1</v>
      </c>
      <c r="I130" s="2"/>
      <c r="J130" s="30">
        <f>ROUND(H130*E130,0)</f>
        <v>22721892</v>
      </c>
      <c r="K130" s="2"/>
      <c r="L130" s="15"/>
      <c r="M130" s="2"/>
    </row>
    <row r="131" spans="1:13" ht="15.6" customHeight="1">
      <c r="A131" s="416">
        <v>10</v>
      </c>
      <c r="C131" s="1" t="s">
        <v>33</v>
      </c>
      <c r="D131" s="378" t="s">
        <v>492</v>
      </c>
      <c r="E131" s="228">
        <f>INPUT!C70</f>
        <v>37523178</v>
      </c>
      <c r="F131" s="2"/>
      <c r="G131" s="2" t="s">
        <v>142</v>
      </c>
      <c r="H131" s="11">
        <f>DEO_WS_Alloc</f>
        <v>0.1656</v>
      </c>
      <c r="I131" s="2"/>
      <c r="J131" s="147">
        <f>ROUND(H131*E131,0)</f>
        <v>6213838</v>
      </c>
      <c r="K131" s="2"/>
      <c r="L131" s="15"/>
      <c r="M131" s="2"/>
    </row>
    <row r="132" spans="1:13" ht="15.75" thickBot="1">
      <c r="A132" s="416">
        <v>11</v>
      </c>
      <c r="C132" s="1" t="s">
        <v>34</v>
      </c>
      <c r="D132" s="378" t="s">
        <v>498</v>
      </c>
      <c r="E132" s="265">
        <f>INPUT!C71</f>
        <v>10300163</v>
      </c>
      <c r="F132" s="2"/>
      <c r="G132" s="2" t="s">
        <v>76</v>
      </c>
      <c r="H132" s="11">
        <f>DEO_CE_Alloc</f>
        <v>0.10878</v>
      </c>
      <c r="I132" s="2"/>
      <c r="J132" s="148">
        <f>ROUND(H132*E132,0)</f>
        <v>1120452</v>
      </c>
      <c r="K132" s="2"/>
      <c r="L132" s="15"/>
      <c r="M132" s="2"/>
    </row>
    <row r="133" spans="1:13">
      <c r="A133" s="416">
        <v>12</v>
      </c>
      <c r="C133" s="1" t="s">
        <v>848</v>
      </c>
      <c r="D133" s="378"/>
      <c r="E133" s="30">
        <f>SUM(E130:E132)</f>
        <v>70545233</v>
      </c>
      <c r="F133" s="2"/>
      <c r="G133" s="2"/>
      <c r="H133" s="2"/>
      <c r="I133" s="2"/>
      <c r="J133" s="30">
        <f>SUM(J130:J132)</f>
        <v>30056182</v>
      </c>
      <c r="K133" s="2"/>
      <c r="L133" s="2"/>
      <c r="M133" s="2"/>
    </row>
    <row r="134" spans="1:13">
      <c r="A134" s="416"/>
      <c r="C134" s="1"/>
      <c r="D134" s="378"/>
      <c r="E134" s="147"/>
      <c r="F134" s="2"/>
      <c r="G134" s="2"/>
      <c r="H134" s="2"/>
      <c r="I134" s="2"/>
      <c r="J134" s="147"/>
      <c r="K134" s="2"/>
      <c r="L134" s="2"/>
      <c r="M134" s="2"/>
    </row>
    <row r="135" spans="1:13">
      <c r="A135" s="416" t="s">
        <v>7</v>
      </c>
      <c r="C135" s="345" t="s">
        <v>358</v>
      </c>
      <c r="D135" s="491"/>
      <c r="E135" s="147"/>
      <c r="F135" s="2"/>
      <c r="G135" s="2"/>
      <c r="H135" s="2"/>
      <c r="I135" s="2"/>
      <c r="J135" s="147"/>
      <c r="K135" s="2"/>
      <c r="L135" s="2"/>
      <c r="M135" s="2"/>
    </row>
    <row r="136" spans="1:13">
      <c r="A136" s="416"/>
      <c r="C136" s="1" t="s">
        <v>51</v>
      </c>
      <c r="D136" s="491"/>
      <c r="E136" s="147"/>
      <c r="F136" s="2"/>
      <c r="G136" s="2"/>
      <c r="I136" s="2"/>
      <c r="J136" s="147"/>
      <c r="K136" s="2"/>
      <c r="L136" s="15"/>
      <c r="M136" s="2"/>
    </row>
    <row r="137" spans="1:13">
      <c r="A137" s="416">
        <v>13</v>
      </c>
      <c r="C137" s="344" t="s">
        <v>346</v>
      </c>
      <c r="D137" s="378" t="s">
        <v>1022</v>
      </c>
      <c r="E137" s="267">
        <f>INPUT!C76</f>
        <v>3549520</v>
      </c>
      <c r="F137" s="2"/>
      <c r="G137" s="2" t="s">
        <v>142</v>
      </c>
      <c r="H137" s="11">
        <f>DEO_WS_Alloc</f>
        <v>0.1656</v>
      </c>
      <c r="I137" s="2"/>
      <c r="J137" s="30">
        <f>ROUND(H137*E137,0)</f>
        <v>587801</v>
      </c>
      <c r="K137" s="2"/>
      <c r="L137" s="15"/>
      <c r="M137" s="2"/>
    </row>
    <row r="138" spans="1:13">
      <c r="A138" s="416">
        <v>14</v>
      </c>
      <c r="C138" s="344" t="s">
        <v>347</v>
      </c>
      <c r="D138" s="378" t="s">
        <v>1022</v>
      </c>
      <c r="E138" s="228">
        <f>INPUT!C77</f>
        <v>0</v>
      </c>
      <c r="F138" s="2"/>
      <c r="G138" s="2" t="str">
        <f>G137</f>
        <v>WS</v>
      </c>
      <c r="H138" s="11">
        <f>DEO_WS_Alloc</f>
        <v>0.1656</v>
      </c>
      <c r="I138" s="2"/>
      <c r="J138" s="147">
        <f>ROUND(H138*E138,0)</f>
        <v>0</v>
      </c>
      <c r="K138" s="2"/>
      <c r="L138" s="15"/>
      <c r="M138" s="2"/>
    </row>
    <row r="139" spans="1:13">
      <c r="A139" s="416">
        <v>15</v>
      </c>
      <c r="C139" s="1" t="s">
        <v>52</v>
      </c>
      <c r="D139" s="378" t="s">
        <v>7</v>
      </c>
      <c r="E139" s="228"/>
      <c r="F139" s="2"/>
      <c r="G139" s="2"/>
      <c r="I139" s="2"/>
      <c r="J139" s="147"/>
      <c r="K139" s="2"/>
      <c r="L139" s="15"/>
      <c r="M139" s="2"/>
    </row>
    <row r="140" spans="1:13">
      <c r="A140" s="416">
        <v>16</v>
      </c>
      <c r="C140" s="344" t="s">
        <v>584</v>
      </c>
      <c r="D140" s="378" t="s">
        <v>1022</v>
      </c>
      <c r="E140" s="228">
        <f>INPUT!C79</f>
        <v>197785413</v>
      </c>
      <c r="F140" s="2"/>
      <c r="G140" s="2" t="s">
        <v>44</v>
      </c>
      <c r="H140" s="16">
        <f>DEO_GP_Alloc</f>
        <v>0.26075999999999999</v>
      </c>
      <c r="I140" s="2"/>
      <c r="J140" s="147">
        <f>ROUND(H140*E140,0)</f>
        <v>51574524</v>
      </c>
      <c r="K140" s="2"/>
      <c r="L140" s="15"/>
      <c r="M140" s="2"/>
    </row>
    <row r="141" spans="1:13">
      <c r="A141" s="416">
        <v>17</v>
      </c>
      <c r="C141" s="344" t="s">
        <v>585</v>
      </c>
      <c r="D141" s="378" t="s">
        <v>1022</v>
      </c>
      <c r="E141" s="228">
        <f>INPUT!C80</f>
        <v>2561810</v>
      </c>
      <c r="F141" s="2"/>
      <c r="G141" s="2" t="str">
        <f>G77</f>
        <v>NA</v>
      </c>
      <c r="H141" s="54" t="s">
        <v>148</v>
      </c>
      <c r="I141" s="2"/>
      <c r="J141" s="149">
        <v>0</v>
      </c>
      <c r="K141" s="2"/>
      <c r="L141" s="22" t="s">
        <v>7</v>
      </c>
      <c r="M141" s="2"/>
    </row>
    <row r="142" spans="1:13">
      <c r="A142" s="416">
        <v>18</v>
      </c>
      <c r="C142" s="344" t="s">
        <v>577</v>
      </c>
      <c r="D142" s="378" t="s">
        <v>1022</v>
      </c>
      <c r="E142" s="228">
        <f>INPUT!C81</f>
        <v>0</v>
      </c>
      <c r="F142" s="2"/>
      <c r="G142" s="2" t="str">
        <f>G140</f>
        <v>GP</v>
      </c>
      <c r="H142" s="16">
        <f>DEO_GP_Alloc</f>
        <v>0.26075999999999999</v>
      </c>
      <c r="I142" s="2"/>
      <c r="J142" s="147">
        <f>ROUND(H142*E142,0)</f>
        <v>0</v>
      </c>
      <c r="K142" s="2"/>
      <c r="L142" s="22" t="s">
        <v>7</v>
      </c>
      <c r="M142" s="2"/>
    </row>
    <row r="143" spans="1:13" ht="15.75" thickBot="1">
      <c r="A143" s="416">
        <v>19</v>
      </c>
      <c r="C143" s="344" t="s">
        <v>586</v>
      </c>
      <c r="D143" s="378"/>
      <c r="E143" s="265">
        <f>INPUT!C82</f>
        <v>0</v>
      </c>
      <c r="F143" s="2"/>
      <c r="G143" s="2" t="s">
        <v>44</v>
      </c>
      <c r="H143" s="16">
        <f>DEO_GP_Alloc</f>
        <v>0.26075999999999999</v>
      </c>
      <c r="I143" s="2"/>
      <c r="J143" s="148">
        <f>ROUND(H143*E143,0)</f>
        <v>0</v>
      </c>
      <c r="K143" s="2"/>
      <c r="L143" s="15"/>
      <c r="M143" s="2"/>
    </row>
    <row r="144" spans="1:13">
      <c r="A144" s="416">
        <v>20</v>
      </c>
      <c r="C144" s="1" t="s">
        <v>57</v>
      </c>
      <c r="D144" s="378"/>
      <c r="E144" s="30">
        <f>E137+E138+E140+E141+E142+E143</f>
        <v>203896743</v>
      </c>
      <c r="F144" s="2"/>
      <c r="G144" s="2"/>
      <c r="H144" s="16"/>
      <c r="I144" s="2"/>
      <c r="J144" s="30">
        <f>J137+J138+J140+J141+J142+J143</f>
        <v>52162325</v>
      </c>
      <c r="K144" s="2"/>
      <c r="L144" s="2"/>
      <c r="M144" s="2"/>
    </row>
    <row r="145" spans="1:13">
      <c r="A145" s="416"/>
      <c r="C145" s="1"/>
      <c r="D145" s="378"/>
      <c r="E145" s="147"/>
      <c r="F145" s="2"/>
      <c r="G145" s="2"/>
      <c r="H145" s="16"/>
      <c r="I145" s="2"/>
      <c r="J145" s="2"/>
      <c r="K145" s="2"/>
      <c r="L145" s="2"/>
      <c r="M145" s="2"/>
    </row>
    <row r="146" spans="1:13">
      <c r="A146" s="416" t="s">
        <v>58</v>
      </c>
      <c r="C146" s="1"/>
      <c r="D146" s="378"/>
      <c r="E146" s="2"/>
      <c r="F146" s="2"/>
      <c r="G146" s="2"/>
      <c r="H146" s="16"/>
      <c r="I146" s="2"/>
      <c r="J146" s="2"/>
      <c r="K146" s="2"/>
      <c r="L146" s="2"/>
      <c r="M146" s="2"/>
    </row>
    <row r="147" spans="1:13">
      <c r="A147" s="416" t="s">
        <v>7</v>
      </c>
      <c r="C147" s="345" t="s">
        <v>363</v>
      </c>
      <c r="D147" s="378"/>
      <c r="E147" s="2"/>
      <c r="F147" s="2"/>
      <c r="H147" s="13"/>
      <c r="I147" s="2"/>
      <c r="K147" s="2"/>
      <c r="M147" s="2"/>
    </row>
    <row r="148" spans="1:13">
      <c r="A148" s="416">
        <v>21</v>
      </c>
      <c r="C148" s="22" t="s">
        <v>135</v>
      </c>
      <c r="D148" s="378"/>
      <c r="E148" s="298">
        <f>IF(FIT&gt;0,1-(((1-SIT_DEO)*(1-FIT))/(1-SIT_DEO*FIT*E290)),0)</f>
        <v>0.20999999999999996</v>
      </c>
      <c r="F148" s="2"/>
      <c r="H148" s="13"/>
      <c r="I148" s="2"/>
      <c r="K148" s="2"/>
      <c r="M148" s="2"/>
    </row>
    <row r="149" spans="1:13">
      <c r="A149" s="416">
        <v>22</v>
      </c>
      <c r="C149" s="9" t="s">
        <v>136</v>
      </c>
      <c r="D149" s="378"/>
      <c r="E149" s="241">
        <f>IF(J232&gt;0,(E148/(1-E148))*(1-J229/J232),0)</f>
        <v>0.20305430788076761</v>
      </c>
      <c r="F149" s="2"/>
      <c r="H149" s="13"/>
      <c r="I149" s="2"/>
      <c r="K149" s="2"/>
      <c r="M149" s="2"/>
    </row>
    <row r="150" spans="1:13">
      <c r="A150" s="416"/>
      <c r="C150" s="1" t="s">
        <v>327</v>
      </c>
      <c r="D150" s="378"/>
      <c r="E150" s="2"/>
      <c r="F150" s="2"/>
      <c r="H150" s="13"/>
      <c r="I150" s="2"/>
      <c r="K150" s="2"/>
      <c r="M150" s="2"/>
    </row>
    <row r="151" spans="1:13">
      <c r="A151" s="416"/>
      <c r="C151" s="1" t="s">
        <v>138</v>
      </c>
      <c r="D151" s="378"/>
      <c r="E151" s="2"/>
      <c r="F151" s="2"/>
      <c r="H151" s="13"/>
      <c r="I151" s="2"/>
      <c r="K151" s="2"/>
      <c r="M151" s="2"/>
    </row>
    <row r="152" spans="1:13">
      <c r="A152" s="416">
        <v>23</v>
      </c>
      <c r="C152" s="22" t="s">
        <v>137</v>
      </c>
      <c r="D152" s="378"/>
      <c r="E152" s="339">
        <f>IF(E148&gt;0,1/(1-E148),0)</f>
        <v>1.2658227848101264</v>
      </c>
      <c r="F152" s="2"/>
      <c r="H152" s="13"/>
      <c r="I152" s="2"/>
      <c r="J152" s="147"/>
      <c r="K152" s="2"/>
      <c r="M152" s="2"/>
    </row>
    <row r="153" spans="1:13">
      <c r="A153" s="416">
        <v>24</v>
      </c>
      <c r="C153" s="1" t="s">
        <v>331</v>
      </c>
      <c r="D153" s="378" t="s">
        <v>330</v>
      </c>
      <c r="E153" s="267">
        <f>INPUT!C92</f>
        <v>-39517</v>
      </c>
      <c r="F153" s="2"/>
      <c r="H153" s="13"/>
      <c r="I153" s="2"/>
      <c r="J153" s="147"/>
      <c r="K153" s="2"/>
      <c r="M153" s="2"/>
    </row>
    <row r="154" spans="1:13">
      <c r="A154" s="416">
        <v>25</v>
      </c>
      <c r="C154" s="1" t="s">
        <v>844</v>
      </c>
      <c r="D154" s="378" t="s">
        <v>935</v>
      </c>
      <c r="E154" s="471">
        <f>INPUT!C93</f>
        <v>-16748380.207756778</v>
      </c>
      <c r="F154" s="2"/>
      <c r="H154" s="13"/>
      <c r="I154" s="2"/>
      <c r="J154" s="147"/>
      <c r="K154" s="2"/>
      <c r="M154" s="2"/>
    </row>
    <row r="155" spans="1:13">
      <c r="A155" s="416" t="s">
        <v>905</v>
      </c>
      <c r="C155" s="1" t="s">
        <v>970</v>
      </c>
      <c r="D155" s="378" t="s">
        <v>969</v>
      </c>
      <c r="E155" s="231">
        <f>'P19 Perm Tax Diff'!F15</f>
        <v>472242.7856999989</v>
      </c>
      <c r="F155" s="2"/>
      <c r="H155" s="13"/>
      <c r="I155" s="2"/>
      <c r="J155" s="147"/>
      <c r="K155" s="2"/>
      <c r="M155" s="2"/>
    </row>
    <row r="156" spans="1:13">
      <c r="A156" s="416"/>
      <c r="C156" s="1"/>
      <c r="D156" s="378"/>
      <c r="E156" s="147"/>
      <c r="F156" s="2"/>
      <c r="H156" s="13"/>
      <c r="I156" s="2"/>
      <c r="J156" s="147"/>
      <c r="K156" s="2"/>
      <c r="M156" s="2"/>
    </row>
    <row r="157" spans="1:13">
      <c r="A157" s="416">
        <v>26</v>
      </c>
      <c r="C157" s="22" t="s">
        <v>800</v>
      </c>
      <c r="D157" s="614"/>
      <c r="E157" s="30">
        <f>ROUND(E149*E163,0)</f>
        <v>51358637</v>
      </c>
      <c r="F157" s="2"/>
      <c r="G157" s="2" t="s">
        <v>30</v>
      </c>
      <c r="H157" s="16"/>
      <c r="I157" s="2"/>
      <c r="J157" s="30">
        <f>ROUND(E149*J163,0)</f>
        <v>14676786</v>
      </c>
      <c r="K157" s="2"/>
      <c r="L157" s="12" t="s">
        <v>7</v>
      </c>
      <c r="M157" s="2"/>
    </row>
    <row r="158" spans="1:13">
      <c r="A158" s="416">
        <v>27</v>
      </c>
      <c r="C158" s="9" t="s">
        <v>140</v>
      </c>
      <c r="D158" s="614"/>
      <c r="E158" s="147">
        <f>ROUND(E152*E153,0)</f>
        <v>-50022</v>
      </c>
      <c r="F158" s="2"/>
      <c r="G158" s="9" t="s">
        <v>42</v>
      </c>
      <c r="H158" s="16">
        <f>DEO_NP_Alloc</f>
        <v>0.28227000000000002</v>
      </c>
      <c r="I158" s="2"/>
      <c r="J158" s="147">
        <f>ROUND(H158*E158,0)</f>
        <v>-14120</v>
      </c>
      <c r="K158" s="2"/>
      <c r="L158" s="12"/>
      <c r="M158" s="2"/>
    </row>
    <row r="159" spans="1:13">
      <c r="A159" s="416">
        <v>28</v>
      </c>
      <c r="C159" s="9" t="s">
        <v>852</v>
      </c>
      <c r="D159" s="614"/>
      <c r="E159" s="147">
        <f>ROUND(E152*E154,0)</f>
        <v>-21200481</v>
      </c>
      <c r="F159" s="2"/>
      <c r="G159" s="9" t="s">
        <v>42</v>
      </c>
      <c r="H159" s="16">
        <f>DEO_NP_Alloc</f>
        <v>0.28227000000000002</v>
      </c>
      <c r="I159" s="2"/>
      <c r="J159" s="147">
        <f>ROUND(H159*E159,0)</f>
        <v>-5984260</v>
      </c>
      <c r="K159" s="2"/>
      <c r="L159" s="12"/>
      <c r="M159" s="2"/>
    </row>
    <row r="160" spans="1:13" ht="15.75" thickBot="1">
      <c r="A160" s="416" t="s">
        <v>906</v>
      </c>
      <c r="C160" s="9" t="s">
        <v>907</v>
      </c>
      <c r="D160" s="614"/>
      <c r="E160" s="147">
        <f>ROUND(E152*E155,0)</f>
        <v>597776</v>
      </c>
      <c r="F160" s="2"/>
      <c r="G160" s="9" t="s">
        <v>42</v>
      </c>
      <c r="H160" s="16">
        <f>DEO_NP_Alloc</f>
        <v>0.28227000000000002</v>
      </c>
      <c r="I160" s="2"/>
      <c r="J160" s="147">
        <f>ROUND(H160*E160,0)</f>
        <v>168734</v>
      </c>
      <c r="K160" s="2"/>
      <c r="L160" s="12"/>
      <c r="M160" s="2"/>
    </row>
    <row r="161" spans="1:13">
      <c r="A161" s="416">
        <v>29</v>
      </c>
      <c r="C161" s="615" t="s">
        <v>908</v>
      </c>
      <c r="D161" s="378"/>
      <c r="E161" s="864">
        <f>SUM(E157:E160)</f>
        <v>30705910</v>
      </c>
      <c r="F161" s="2"/>
      <c r="G161" s="2" t="s">
        <v>7</v>
      </c>
      <c r="H161" s="16" t="s">
        <v>7</v>
      </c>
      <c r="I161" s="2"/>
      <c r="J161" s="864">
        <f>SUM(J157:J160)</f>
        <v>8847140</v>
      </c>
      <c r="K161" s="2"/>
      <c r="L161" s="2"/>
      <c r="M161" s="2"/>
    </row>
    <row r="162" spans="1:13">
      <c r="A162" s="416" t="s">
        <v>7</v>
      </c>
      <c r="C162"/>
      <c r="D162" s="616"/>
      <c r="E162" s="147"/>
      <c r="F162" s="2"/>
      <c r="G162" s="2"/>
      <c r="H162" s="16"/>
      <c r="I162" s="2"/>
      <c r="J162" s="147"/>
      <c r="K162" s="2"/>
      <c r="L162" s="2"/>
      <c r="M162" s="2"/>
    </row>
    <row r="163" spans="1:13">
      <c r="A163" s="416">
        <v>30</v>
      </c>
      <c r="C163" s="1" t="s">
        <v>59</v>
      </c>
      <c r="D163" s="617"/>
      <c r="E163" s="30">
        <f>ROUND($J232*E93,0)</f>
        <v>252930545</v>
      </c>
      <c r="F163" s="2"/>
      <c r="G163" s="2" t="s">
        <v>30</v>
      </c>
      <c r="H163" s="13"/>
      <c r="I163" s="2"/>
      <c r="J163" s="30">
        <f>ROUND($J232*J93,0)</f>
        <v>72280102</v>
      </c>
      <c r="K163" s="2"/>
      <c r="M163" s="2"/>
    </row>
    <row r="164" spans="1:13">
      <c r="A164" s="416"/>
      <c r="C164" s="615" t="s">
        <v>799</v>
      </c>
      <c r="D164" s="489"/>
      <c r="E164" s="147"/>
      <c r="F164" s="2"/>
      <c r="G164" s="2"/>
      <c r="H164" s="13"/>
      <c r="I164" s="2"/>
      <c r="J164" s="147"/>
      <c r="K164" s="2"/>
      <c r="L164" s="15"/>
      <c r="M164" s="2"/>
    </row>
    <row r="165" spans="1:13">
      <c r="A165" s="416"/>
      <c r="C165" s="1"/>
      <c r="D165" s="489"/>
      <c r="E165" s="147"/>
      <c r="F165" s="2"/>
      <c r="G165" s="2"/>
      <c r="H165" s="13"/>
      <c r="I165" s="2"/>
      <c r="J165" s="147"/>
      <c r="K165" s="2"/>
      <c r="L165" s="15"/>
      <c r="M165" s="2"/>
    </row>
    <row r="166" spans="1:13" ht="15.75" thickBot="1">
      <c r="A166" s="416">
        <v>31</v>
      </c>
      <c r="C166" s="1" t="s">
        <v>798</v>
      </c>
      <c r="D166" s="350"/>
      <c r="E166" s="227">
        <f>E163+E161+E144+E133+E127</f>
        <v>636591623</v>
      </c>
      <c r="F166" s="2"/>
      <c r="G166" s="2"/>
      <c r="H166" s="2"/>
      <c r="I166" s="2"/>
      <c r="J166" s="227">
        <f>J163+J161+J144+J133+J127</f>
        <v>190694584</v>
      </c>
      <c r="K166" s="1"/>
      <c r="L166" s="1"/>
      <c r="M166" s="1"/>
    </row>
    <row r="167" spans="1:13" ht="15.75" thickTop="1">
      <c r="A167" s="416"/>
      <c r="C167" s="1"/>
      <c r="D167" s="2"/>
      <c r="E167" s="2"/>
      <c r="F167" s="2"/>
      <c r="G167" s="2"/>
      <c r="H167" s="2"/>
      <c r="I167" s="2"/>
      <c r="J167" s="2"/>
      <c r="K167" s="1"/>
      <c r="L167" s="1"/>
      <c r="M167" s="1"/>
    </row>
    <row r="168" spans="1:13">
      <c r="A168" s="416"/>
      <c r="B168" s="9" t="s">
        <v>78</v>
      </c>
      <c r="C168" s="1" t="s">
        <v>1023</v>
      </c>
      <c r="D168" s="2"/>
      <c r="E168" s="2"/>
      <c r="F168" s="2"/>
      <c r="G168" s="2"/>
      <c r="H168" s="2"/>
      <c r="I168" s="2"/>
      <c r="J168" s="2"/>
      <c r="K168" s="1"/>
      <c r="L168" s="1"/>
      <c r="M168" s="1"/>
    </row>
    <row r="169" spans="1:13">
      <c r="A169" s="416"/>
      <c r="C169" s="1"/>
      <c r="D169" s="24"/>
      <c r="E169" s="25"/>
      <c r="F169" s="24"/>
      <c r="G169" s="24"/>
      <c r="H169" s="24"/>
      <c r="I169" s="24"/>
      <c r="K169" s="26"/>
      <c r="L169" s="61"/>
      <c r="M169" s="26"/>
    </row>
    <row r="170" spans="1:13" ht="18">
      <c r="A170" s="418"/>
      <c r="C170" s="24"/>
      <c r="D170" s="24"/>
      <c r="E170" s="25"/>
      <c r="F170" s="24"/>
      <c r="I170" s="60"/>
      <c r="J170" s="50" t="s">
        <v>296</v>
      </c>
      <c r="M170" s="60"/>
    </row>
    <row r="171" spans="1:13">
      <c r="C171" s="24"/>
      <c r="D171" s="24"/>
      <c r="E171" s="25"/>
      <c r="F171" s="24"/>
      <c r="H171" s="24"/>
      <c r="J171" s="1031" t="s">
        <v>408</v>
      </c>
      <c r="M171" s="50"/>
    </row>
    <row r="172" spans="1:13">
      <c r="C172" s="24"/>
      <c r="D172" s="24"/>
      <c r="E172" s="25"/>
      <c r="F172" s="24"/>
      <c r="H172" s="24"/>
      <c r="I172" s="1"/>
      <c r="M172" s="50"/>
    </row>
    <row r="173" spans="1:13">
      <c r="C173" s="24"/>
      <c r="D173" s="24"/>
      <c r="E173" s="25"/>
      <c r="F173" s="24"/>
      <c r="H173" s="24"/>
      <c r="I173" s="1"/>
      <c r="M173" s="50"/>
    </row>
    <row r="174" spans="1:13">
      <c r="C174" s="24"/>
      <c r="D174" s="24"/>
      <c r="E174" s="25"/>
      <c r="F174" s="24"/>
      <c r="H174" s="24"/>
      <c r="I174" s="1"/>
      <c r="M174" s="50"/>
    </row>
    <row r="175" spans="1:13">
      <c r="C175" s="24"/>
      <c r="D175" s="24"/>
      <c r="E175" s="25"/>
      <c r="F175" s="24"/>
      <c r="H175" s="24"/>
      <c r="I175" s="1"/>
      <c r="J175" s="50"/>
      <c r="M175" s="50"/>
    </row>
    <row r="176" spans="1:13">
      <c r="C176" s="24" t="s">
        <v>6</v>
      </c>
      <c r="D176" s="24"/>
      <c r="E176" s="25"/>
      <c r="F176" s="24"/>
      <c r="H176" s="24"/>
      <c r="I176" s="1"/>
      <c r="J176" s="61" t="str">
        <f>J7</f>
        <v>For the 12 months ended: 12/31/2021</v>
      </c>
      <c r="M176" s="50"/>
    </row>
    <row r="177" spans="1:13">
      <c r="A177" s="419" t="str">
        <f>A8</f>
        <v>Rate Formula Template</v>
      </c>
      <c r="B177" s="70"/>
      <c r="C177" s="70"/>
      <c r="D177" s="144"/>
      <c r="E177" s="70"/>
      <c r="F177" s="144"/>
      <c r="G177" s="144"/>
      <c r="H177" s="144"/>
      <c r="I177" s="144"/>
      <c r="J177" s="70"/>
      <c r="K177" s="146"/>
      <c r="L177" s="70"/>
      <c r="M177" s="1"/>
    </row>
    <row r="178" spans="1:13">
      <c r="A178" s="420" t="s">
        <v>267</v>
      </c>
      <c r="B178" s="70"/>
      <c r="C178" s="144"/>
      <c r="D178" s="145"/>
      <c r="E178" s="70"/>
      <c r="F178" s="145"/>
      <c r="G178" s="145"/>
      <c r="H178" s="145"/>
      <c r="I178" s="144"/>
      <c r="J178" s="144"/>
      <c r="K178" s="146"/>
      <c r="L178" s="146"/>
      <c r="M178" s="1"/>
    </row>
    <row r="179" spans="1:13">
      <c r="A179" s="420"/>
      <c r="B179" s="70"/>
      <c r="C179" s="146"/>
      <c r="D179" s="146"/>
      <c r="E179" s="70"/>
      <c r="F179" s="146"/>
      <c r="G179" s="146"/>
      <c r="H179" s="146"/>
      <c r="I179" s="146"/>
      <c r="J179" s="146"/>
      <c r="K179" s="146"/>
      <c r="L179" s="146"/>
      <c r="M179" s="2"/>
    </row>
    <row r="180" spans="1:13" ht="15.75">
      <c r="A180" s="421" t="str">
        <f>$A$11</f>
        <v>DUKE ENERGY OHIO (DEO)</v>
      </c>
      <c r="B180" s="70"/>
      <c r="C180" s="146"/>
      <c r="D180" s="146"/>
      <c r="E180" s="70"/>
      <c r="F180" s="146"/>
      <c r="G180" s="146"/>
      <c r="H180" s="146"/>
      <c r="I180" s="146"/>
      <c r="J180" s="146"/>
      <c r="K180" s="146"/>
      <c r="L180" s="146"/>
      <c r="M180" s="2"/>
    </row>
    <row r="181" spans="1:13" ht="15.75">
      <c r="A181" s="421" t="s">
        <v>268</v>
      </c>
      <c r="B181" s="70"/>
      <c r="C181" s="70"/>
      <c r="D181" s="70"/>
      <c r="E181" s="70"/>
      <c r="F181" s="146"/>
      <c r="G181" s="146"/>
      <c r="H181" s="146"/>
      <c r="I181" s="146"/>
      <c r="J181" s="146"/>
      <c r="K181" s="145"/>
      <c r="L181" s="145"/>
      <c r="M181" s="2"/>
    </row>
    <row r="182" spans="1:13" ht="15.75">
      <c r="A182" s="416" t="s">
        <v>8</v>
      </c>
      <c r="C182" s="10"/>
      <c r="D182" s="1"/>
      <c r="E182" s="1"/>
      <c r="F182" s="1"/>
      <c r="G182" s="1"/>
      <c r="H182" s="1"/>
      <c r="I182" s="1"/>
      <c r="J182" s="1"/>
      <c r="K182" s="2"/>
      <c r="L182" s="2"/>
      <c r="M182" s="2"/>
    </row>
    <row r="183" spans="1:13" ht="15.75">
      <c r="A183" s="422" t="s">
        <v>10</v>
      </c>
      <c r="B183" s="181"/>
      <c r="C183" s="40" t="s">
        <v>306</v>
      </c>
      <c r="D183" s="1"/>
      <c r="E183" s="1"/>
      <c r="F183" s="1"/>
      <c r="G183" s="1"/>
      <c r="H183" s="1"/>
      <c r="K183" s="2"/>
      <c r="L183" s="2"/>
      <c r="M183" s="2"/>
    </row>
    <row r="184" spans="1:13">
      <c r="A184" s="416"/>
      <c r="C184" s="24"/>
      <c r="D184" s="1"/>
      <c r="E184" s="1"/>
      <c r="F184" s="1"/>
      <c r="G184" s="1"/>
      <c r="H184" s="1"/>
      <c r="I184" s="1"/>
      <c r="J184" s="1"/>
      <c r="K184" s="2"/>
      <c r="L184" s="2"/>
      <c r="M184" s="2"/>
    </row>
    <row r="185" spans="1:13">
      <c r="A185" s="416">
        <v>1</v>
      </c>
      <c r="C185" s="24" t="s">
        <v>307</v>
      </c>
      <c r="D185" s="1"/>
      <c r="E185" s="2"/>
      <c r="F185" s="2"/>
      <c r="G185" s="2"/>
      <c r="H185" s="2"/>
      <c r="I185" s="2"/>
      <c r="J185" s="30">
        <f>E54</f>
        <v>1262220857</v>
      </c>
      <c r="K185" s="2"/>
      <c r="L185" s="2"/>
      <c r="M185" s="2"/>
    </row>
    <row r="186" spans="1:13">
      <c r="A186" s="416">
        <v>2</v>
      </c>
      <c r="C186" s="252" t="s">
        <v>350</v>
      </c>
      <c r="J186" s="178">
        <f>INPUT!C97</f>
        <v>0</v>
      </c>
      <c r="K186" s="2"/>
      <c r="L186" s="2"/>
      <c r="M186" s="2"/>
    </row>
    <row r="187" spans="1:13" ht="15.75" thickBot="1">
      <c r="A187" s="416">
        <v>3</v>
      </c>
      <c r="C187" s="253" t="s">
        <v>351</v>
      </c>
      <c r="D187" s="42"/>
      <c r="E187" s="35"/>
      <c r="F187" s="2"/>
      <c r="G187" s="2"/>
      <c r="H187" s="4"/>
      <c r="I187" s="2"/>
      <c r="J187" s="151">
        <f>INPUT!C98</f>
        <v>0</v>
      </c>
      <c r="K187" s="2"/>
      <c r="M187" s="2"/>
    </row>
    <row r="188" spans="1:13">
      <c r="A188" s="416">
        <v>4</v>
      </c>
      <c r="C188" s="24" t="s">
        <v>308</v>
      </c>
      <c r="D188" s="1"/>
      <c r="E188" s="2"/>
      <c r="F188" s="2"/>
      <c r="G188" s="2"/>
      <c r="H188" s="4"/>
      <c r="I188" s="2"/>
      <c r="J188" s="30">
        <f>J185-J186-J187</f>
        <v>1262220857</v>
      </c>
      <c r="K188" s="2"/>
      <c r="L188" s="2"/>
      <c r="M188" s="2"/>
    </row>
    <row r="189" spans="1:13">
      <c r="A189" s="416"/>
      <c r="D189" s="1"/>
      <c r="E189" s="2"/>
      <c r="F189" s="2"/>
      <c r="G189" s="2"/>
      <c r="H189" s="4"/>
      <c r="I189" s="2"/>
      <c r="K189" s="2"/>
      <c r="L189" s="2"/>
      <c r="M189" s="2"/>
    </row>
    <row r="190" spans="1:13">
      <c r="A190" s="416">
        <v>5</v>
      </c>
      <c r="C190" s="24" t="s">
        <v>309</v>
      </c>
      <c r="D190" s="17"/>
      <c r="E190" s="17"/>
      <c r="F190" s="17"/>
      <c r="G190" s="17"/>
      <c r="H190" s="5"/>
      <c r="I190" s="2" t="s">
        <v>63</v>
      </c>
      <c r="J190" s="48">
        <f>IF(J185&gt;0,ROUND(J188/J185,5),0)</f>
        <v>1</v>
      </c>
      <c r="K190" s="2"/>
      <c r="L190" s="2"/>
      <c r="M190" s="2"/>
    </row>
    <row r="191" spans="1:13">
      <c r="A191" s="416"/>
      <c r="K191" s="2"/>
      <c r="L191" s="2"/>
      <c r="M191" s="2"/>
    </row>
    <row r="192" spans="1:13" ht="15.75">
      <c r="A192" s="416"/>
      <c r="C192" s="10" t="s">
        <v>60</v>
      </c>
      <c r="K192" s="2"/>
      <c r="L192" s="2"/>
      <c r="M192" s="2"/>
    </row>
    <row r="193" spans="1:13">
      <c r="A193" s="416"/>
      <c r="K193" s="2"/>
      <c r="L193" s="2"/>
      <c r="M193" s="2"/>
    </row>
    <row r="194" spans="1:13">
      <c r="A194" s="416">
        <v>6</v>
      </c>
      <c r="C194" s="9" t="s">
        <v>61</v>
      </c>
      <c r="E194" s="1"/>
      <c r="F194" s="1"/>
      <c r="G194" s="1"/>
      <c r="H194" s="3"/>
      <c r="I194" s="1"/>
      <c r="J194" s="30">
        <f>E113</f>
        <v>48095524</v>
      </c>
      <c r="K194" s="2"/>
      <c r="L194" s="2"/>
      <c r="M194" s="2"/>
    </row>
    <row r="195" spans="1:13" ht="15.75" thickBot="1">
      <c r="A195" s="416">
        <v>7</v>
      </c>
      <c r="C195" s="253" t="s">
        <v>352</v>
      </c>
      <c r="D195" s="42"/>
      <c r="E195" s="35"/>
      <c r="F195" s="35"/>
      <c r="G195" s="2"/>
      <c r="H195" s="2"/>
      <c r="I195" s="2"/>
      <c r="J195" s="148">
        <f>INPUT!C105</f>
        <v>3896549</v>
      </c>
      <c r="K195" s="2"/>
      <c r="L195" s="2"/>
      <c r="M195" s="2"/>
    </row>
    <row r="196" spans="1:13">
      <c r="A196" s="416">
        <v>8</v>
      </c>
      <c r="C196" s="24" t="s">
        <v>152</v>
      </c>
      <c r="D196" s="17"/>
      <c r="E196" s="17"/>
      <c r="F196" s="17"/>
      <c r="G196" s="17"/>
      <c r="H196" s="5"/>
      <c r="I196" s="17"/>
      <c r="J196" s="30">
        <f>J194-J195</f>
        <v>44198975</v>
      </c>
      <c r="L196" s="417"/>
      <c r="M196" s="2"/>
    </row>
    <row r="197" spans="1:13">
      <c r="A197" s="416"/>
      <c r="C197" s="24"/>
      <c r="D197" s="1"/>
      <c r="E197" s="2"/>
      <c r="F197" s="2"/>
      <c r="G197" s="2"/>
      <c r="H197" s="2"/>
      <c r="M197" s="2"/>
    </row>
    <row r="198" spans="1:13">
      <c r="A198" s="416">
        <v>9</v>
      </c>
      <c r="C198" s="24" t="s">
        <v>151</v>
      </c>
      <c r="D198" s="1"/>
      <c r="E198" s="2"/>
      <c r="F198" s="2"/>
      <c r="G198" s="2"/>
      <c r="H198" s="2"/>
      <c r="I198" s="2"/>
      <c r="J198" s="11">
        <f>IF(J194&gt;0,ROUND(J196/J194,5),0)</f>
        <v>0.91898000000000002</v>
      </c>
      <c r="L198" s="417"/>
      <c r="M198" s="2"/>
    </row>
    <row r="199" spans="1:13">
      <c r="A199" s="416">
        <v>10</v>
      </c>
      <c r="C199" s="24" t="s">
        <v>310</v>
      </c>
      <c r="D199" s="1"/>
      <c r="E199" s="2"/>
      <c r="F199" s="2"/>
      <c r="G199" s="2"/>
      <c r="H199" s="2"/>
      <c r="I199" s="1" t="s">
        <v>14</v>
      </c>
      <c r="J199" s="11">
        <f>DEO_TP_Alloc</f>
        <v>1</v>
      </c>
      <c r="M199" s="2"/>
    </row>
    <row r="200" spans="1:13">
      <c r="A200" s="416">
        <v>11</v>
      </c>
      <c r="C200" s="24" t="s">
        <v>311</v>
      </c>
      <c r="D200" s="1"/>
      <c r="E200" s="1"/>
      <c r="F200" s="1"/>
      <c r="G200" s="1"/>
      <c r="H200" s="1"/>
      <c r="I200" s="1" t="s">
        <v>62</v>
      </c>
      <c r="J200" s="16">
        <f>ROUND(J199*J198,5)</f>
        <v>0.91898000000000002</v>
      </c>
      <c r="M200" s="2"/>
    </row>
    <row r="201" spans="1:13">
      <c r="A201" s="416"/>
      <c r="D201" s="1"/>
      <c r="E201" s="2"/>
      <c r="F201" s="2"/>
      <c r="G201" s="2"/>
      <c r="H201" s="4"/>
      <c r="I201" s="2"/>
      <c r="M201" s="2"/>
    </row>
    <row r="202" spans="1:13" ht="15.75">
      <c r="A202" s="416" t="s">
        <v>7</v>
      </c>
      <c r="C202" s="10" t="s">
        <v>578</v>
      </c>
      <c r="D202" s="2"/>
      <c r="E202" s="2"/>
      <c r="F202" s="2"/>
      <c r="G202" s="2"/>
      <c r="H202" s="2"/>
      <c r="I202" s="2"/>
      <c r="J202" s="2"/>
      <c r="K202" s="2"/>
      <c r="L202" s="2"/>
      <c r="M202" s="2"/>
    </row>
    <row r="203" spans="1:13" ht="15.75" thickBot="1">
      <c r="A203" s="416" t="s">
        <v>7</v>
      </c>
      <c r="C203" s="1"/>
      <c r="D203" s="35" t="s">
        <v>65</v>
      </c>
      <c r="E203" s="36" t="s">
        <v>66</v>
      </c>
      <c r="F203" s="36" t="s">
        <v>14</v>
      </c>
      <c r="G203" s="2"/>
      <c r="H203" s="36" t="s">
        <v>67</v>
      </c>
      <c r="I203" s="2"/>
      <c r="J203" s="2"/>
      <c r="K203" s="2"/>
      <c r="L203" s="2"/>
      <c r="M203" s="2"/>
    </row>
    <row r="204" spans="1:13">
      <c r="A204" s="416">
        <v>12</v>
      </c>
      <c r="C204" s="1" t="s">
        <v>29</v>
      </c>
      <c r="D204" s="340" t="s">
        <v>68</v>
      </c>
      <c r="E204" s="228">
        <f>INPUT!C110</f>
        <v>161845</v>
      </c>
      <c r="F204" s="55">
        <v>0</v>
      </c>
      <c r="G204" s="18"/>
      <c r="H204" s="2">
        <f>E204*F204</f>
        <v>0</v>
      </c>
      <c r="I204" s="2"/>
      <c r="J204" s="2"/>
      <c r="K204" s="2"/>
      <c r="L204" s="2"/>
      <c r="M204" s="2"/>
    </row>
    <row r="205" spans="1:13">
      <c r="A205" s="416">
        <v>13</v>
      </c>
      <c r="C205" s="1" t="s">
        <v>31</v>
      </c>
      <c r="D205" s="340" t="s">
        <v>186</v>
      </c>
      <c r="E205" s="228">
        <f>INPUT!C111</f>
        <v>6012840</v>
      </c>
      <c r="F205" s="18">
        <f>J190</f>
        <v>1</v>
      </c>
      <c r="G205" s="18"/>
      <c r="H205" s="2">
        <f>E205*F205</f>
        <v>6012840</v>
      </c>
      <c r="I205" s="2"/>
      <c r="J205" s="2"/>
      <c r="K205" s="2"/>
      <c r="L205" s="2"/>
      <c r="M205" s="1"/>
    </row>
    <row r="206" spans="1:13">
      <c r="A206" s="416">
        <v>14</v>
      </c>
      <c r="C206" s="1" t="s">
        <v>32</v>
      </c>
      <c r="D206" s="340" t="s">
        <v>187</v>
      </c>
      <c r="E206" s="228">
        <f>INPUT!C112</f>
        <v>20016905</v>
      </c>
      <c r="F206" s="55">
        <v>0</v>
      </c>
      <c r="G206" s="18"/>
      <c r="H206" s="2">
        <f>E206*F206</f>
        <v>0</v>
      </c>
      <c r="I206" s="2"/>
      <c r="J206" s="4" t="s">
        <v>594</v>
      </c>
      <c r="K206" s="2"/>
      <c r="L206" s="2"/>
      <c r="M206" s="2"/>
    </row>
    <row r="207" spans="1:13" ht="15.75" thickBot="1">
      <c r="A207" s="416">
        <v>15</v>
      </c>
      <c r="C207" s="1" t="s">
        <v>69</v>
      </c>
      <c r="D207" s="340" t="s">
        <v>188</v>
      </c>
      <c r="E207" s="151">
        <f>INPUT!C113</f>
        <v>10117964</v>
      </c>
      <c r="F207" s="55">
        <v>0</v>
      </c>
      <c r="G207" s="18"/>
      <c r="H207" s="35">
        <f>E207*F207</f>
        <v>0</v>
      </c>
      <c r="I207" s="2"/>
      <c r="J207" s="32" t="s">
        <v>70</v>
      </c>
      <c r="K207" s="2"/>
      <c r="L207" s="2"/>
      <c r="M207" s="2"/>
    </row>
    <row r="208" spans="1:13">
      <c r="A208" s="416">
        <v>16</v>
      </c>
      <c r="C208" s="1" t="s">
        <v>583</v>
      </c>
      <c r="D208" s="340"/>
      <c r="E208" s="147">
        <f>SUM(E204:E207)</f>
        <v>36309554</v>
      </c>
      <c r="F208" s="2"/>
      <c r="G208" s="2"/>
      <c r="H208" s="2">
        <f>SUM(H204:H207)</f>
        <v>6012840</v>
      </c>
      <c r="I208" s="3" t="s">
        <v>71</v>
      </c>
      <c r="J208" s="11">
        <f>IF(H208&gt;0,ROUND(H208/E208,5),0)</f>
        <v>0.1656</v>
      </c>
      <c r="K208" s="4" t="s">
        <v>71</v>
      </c>
      <c r="L208" s="2" t="s">
        <v>142</v>
      </c>
      <c r="M208" s="2"/>
    </row>
    <row r="209" spans="1:13">
      <c r="A209" s="416"/>
      <c r="C209" s="1"/>
      <c r="D209" s="340"/>
      <c r="E209" s="2"/>
      <c r="F209" s="2"/>
      <c r="G209" s="2"/>
      <c r="H209" s="2"/>
      <c r="I209" s="2"/>
      <c r="J209" s="2"/>
      <c r="K209" s="2"/>
      <c r="L209" s="2"/>
      <c r="M209" s="2" t="s">
        <v>7</v>
      </c>
    </row>
    <row r="210" spans="1:13" ht="15.75">
      <c r="A210" s="416"/>
      <c r="C210" s="254" t="s">
        <v>329</v>
      </c>
      <c r="D210" s="340"/>
      <c r="E210" s="2"/>
      <c r="F210" s="2"/>
      <c r="G210" s="2"/>
      <c r="M210" s="2"/>
    </row>
    <row r="211" spans="1:13" ht="15.75" thickBot="1">
      <c r="A211" s="416"/>
      <c r="C211" s="1"/>
      <c r="D211" s="340"/>
      <c r="E211" s="36" t="s">
        <v>66</v>
      </c>
      <c r="F211" s="2"/>
      <c r="G211" s="2"/>
      <c r="H211" s="4" t="s">
        <v>72</v>
      </c>
      <c r="I211" s="13" t="s">
        <v>7</v>
      </c>
      <c r="J211" s="15" t="str">
        <f>J206</f>
        <v>WS Allocator</v>
      </c>
      <c r="M211" s="2"/>
    </row>
    <row r="212" spans="1:13">
      <c r="A212" s="416">
        <v>17</v>
      </c>
      <c r="C212" s="1" t="s">
        <v>73</v>
      </c>
      <c r="D212" s="340" t="s">
        <v>74</v>
      </c>
      <c r="E212" s="228">
        <f>INPUT!C118</f>
        <v>4723553185</v>
      </c>
      <c r="F212" s="2"/>
      <c r="H212" s="26" t="s">
        <v>590</v>
      </c>
      <c r="I212" s="28"/>
      <c r="J212" s="26" t="s">
        <v>75</v>
      </c>
      <c r="K212" s="2"/>
      <c r="L212" s="275" t="s">
        <v>76</v>
      </c>
      <c r="M212" s="2"/>
    </row>
    <row r="213" spans="1:13">
      <c r="A213" s="416">
        <v>18</v>
      </c>
      <c r="C213" s="1" t="s">
        <v>77</v>
      </c>
      <c r="D213" s="340" t="s">
        <v>166</v>
      </c>
      <c r="E213" s="228">
        <f>INPUT!C119</f>
        <v>2467046760</v>
      </c>
      <c r="F213" s="2"/>
      <c r="H213" s="16">
        <f>IF(E215&gt;0,ROUND(E212/E215,5),0)</f>
        <v>0.65690999999999999</v>
      </c>
      <c r="I213" s="4" t="s">
        <v>78</v>
      </c>
      <c r="J213" s="16">
        <f>DEO_WS_Alloc</f>
        <v>0.1656</v>
      </c>
      <c r="K213" s="13" t="s">
        <v>71</v>
      </c>
      <c r="L213" s="276">
        <f>ROUND(J213*H213,5)</f>
        <v>0.10878</v>
      </c>
      <c r="M213" s="2"/>
    </row>
    <row r="214" spans="1:13" ht="15.75" thickBot="1">
      <c r="A214" s="416">
        <v>19</v>
      </c>
      <c r="C214" s="42" t="s">
        <v>79</v>
      </c>
      <c r="D214" s="408" t="s">
        <v>167</v>
      </c>
      <c r="E214" s="151">
        <f>INPUT!C120</f>
        <v>0</v>
      </c>
      <c r="F214" s="2"/>
      <c r="G214" s="2"/>
      <c r="H214" s="2" t="s">
        <v>7</v>
      </c>
      <c r="I214" s="2"/>
      <c r="J214" s="2"/>
      <c r="K214" s="2"/>
      <c r="L214" s="2"/>
      <c r="M214" s="2"/>
    </row>
    <row r="215" spans="1:13">
      <c r="A215" s="416">
        <v>20</v>
      </c>
      <c r="C215" s="1" t="s">
        <v>126</v>
      </c>
      <c r="D215" s="2"/>
      <c r="E215" s="147">
        <f>E212+E213+E214</f>
        <v>7190599945</v>
      </c>
      <c r="F215" s="2"/>
      <c r="G215" s="2"/>
      <c r="H215" s="2"/>
      <c r="I215" s="2"/>
      <c r="J215" s="2"/>
      <c r="K215" s="2"/>
      <c r="L215" s="2"/>
      <c r="M215" s="2"/>
    </row>
    <row r="216" spans="1:13">
      <c r="A216" s="416"/>
      <c r="C216" s="1"/>
      <c r="D216" s="2"/>
      <c r="F216" s="2"/>
      <c r="G216" s="2"/>
      <c r="H216" s="2"/>
      <c r="I216" s="2"/>
      <c r="J216" s="2"/>
      <c r="K216" s="2"/>
      <c r="L216" s="2"/>
      <c r="M216" s="2"/>
    </row>
    <row r="217" spans="1:13" ht="16.5" thickBot="1">
      <c r="A217" s="416"/>
      <c r="B217" s="24"/>
      <c r="C217" s="40" t="s">
        <v>80</v>
      </c>
      <c r="D217" s="2"/>
      <c r="E217" s="2"/>
      <c r="F217" s="2"/>
      <c r="G217" s="2"/>
      <c r="H217" s="2"/>
      <c r="I217" s="2"/>
      <c r="J217" s="36" t="s">
        <v>66</v>
      </c>
      <c r="K217" s="2"/>
      <c r="L217" s="2"/>
      <c r="M217" s="2"/>
    </row>
    <row r="218" spans="1:13">
      <c r="A218" s="416">
        <v>21</v>
      </c>
      <c r="B218" s="24"/>
      <c r="C218" s="24"/>
      <c r="D218" s="340" t="s">
        <v>178</v>
      </c>
      <c r="E218" s="2"/>
      <c r="F218" s="2"/>
      <c r="G218" s="2"/>
      <c r="H218" s="2"/>
      <c r="I218" s="2"/>
      <c r="J218" s="297">
        <f>INPUT!C130</f>
        <v>100434784</v>
      </c>
      <c r="K218" s="2"/>
      <c r="L218" s="2"/>
      <c r="M218" s="2"/>
    </row>
    <row r="219" spans="1:13">
      <c r="A219" s="416"/>
      <c r="C219" s="1"/>
      <c r="D219" s="340"/>
      <c r="E219" s="2"/>
      <c r="F219" s="2"/>
      <c r="G219" s="2"/>
      <c r="H219" s="2"/>
      <c r="I219" s="2"/>
      <c r="J219" s="147"/>
      <c r="K219" s="2"/>
      <c r="L219" s="2"/>
      <c r="M219" s="2"/>
    </row>
    <row r="220" spans="1:13">
      <c r="A220" s="416">
        <v>22</v>
      </c>
      <c r="B220" s="24"/>
      <c r="C220" s="24"/>
      <c r="D220" s="340" t="s">
        <v>179</v>
      </c>
      <c r="E220" s="2"/>
      <c r="F220" s="2"/>
      <c r="G220" s="2"/>
      <c r="H220" s="2"/>
      <c r="I220" s="2"/>
      <c r="J220" s="296">
        <f>INPUT!C132</f>
        <v>0</v>
      </c>
      <c r="K220" s="2"/>
      <c r="L220" s="2"/>
      <c r="M220" s="2"/>
    </row>
    <row r="221" spans="1:13">
      <c r="A221" s="416"/>
      <c r="B221" s="24"/>
      <c r="C221" s="24"/>
      <c r="D221" s="340"/>
      <c r="E221" s="2"/>
      <c r="F221" s="2"/>
      <c r="G221" s="2"/>
      <c r="H221" s="2"/>
      <c r="I221" s="2"/>
      <c r="J221" s="147"/>
      <c r="K221" s="2"/>
      <c r="L221" s="2"/>
      <c r="M221" s="2"/>
    </row>
    <row r="222" spans="1:13">
      <c r="A222" s="416"/>
      <c r="B222" s="24"/>
      <c r="C222" s="24" t="s">
        <v>81</v>
      </c>
      <c r="D222" s="340"/>
      <c r="E222" s="2"/>
      <c r="F222" s="2"/>
      <c r="G222" s="2"/>
      <c r="H222" s="2"/>
      <c r="I222" s="2"/>
      <c r="J222" s="147"/>
      <c r="K222" s="2"/>
      <c r="L222" s="2"/>
      <c r="M222" s="2"/>
    </row>
    <row r="223" spans="1:13">
      <c r="A223" s="416">
        <v>23</v>
      </c>
      <c r="B223" s="24"/>
      <c r="C223" s="24"/>
      <c r="D223" s="340" t="s">
        <v>172</v>
      </c>
      <c r="E223" s="24"/>
      <c r="F223" s="2"/>
      <c r="G223" s="2"/>
      <c r="H223" s="2"/>
      <c r="I223" s="2"/>
      <c r="J223" s="228">
        <f>INPUT!C135</f>
        <v>3728320648</v>
      </c>
      <c r="K223" s="2"/>
      <c r="L223" s="2"/>
      <c r="M223" s="2"/>
    </row>
    <row r="224" spans="1:13">
      <c r="A224" s="416">
        <v>24</v>
      </c>
      <c r="B224" s="24"/>
      <c r="C224" s="24"/>
      <c r="D224" s="340" t="s">
        <v>588</v>
      </c>
      <c r="E224" s="2"/>
      <c r="F224" s="2"/>
      <c r="G224" s="2"/>
      <c r="H224" s="2"/>
      <c r="I224" s="2"/>
      <c r="J224" s="228">
        <f>INPUT!C136</f>
        <v>0</v>
      </c>
      <c r="K224" s="2"/>
      <c r="L224" s="2"/>
      <c r="M224" s="2"/>
    </row>
    <row r="225" spans="1:13" ht="15.75" thickBot="1">
      <c r="A225" s="416">
        <v>25</v>
      </c>
      <c r="B225" s="24"/>
      <c r="C225" s="24"/>
      <c r="D225" s="340" t="s">
        <v>173</v>
      </c>
      <c r="E225" s="2"/>
      <c r="F225" s="2"/>
      <c r="G225" s="2"/>
      <c r="H225" s="2"/>
      <c r="I225" s="2"/>
      <c r="J225" s="151">
        <f>INPUT!C137</f>
        <v>-740983069</v>
      </c>
      <c r="K225" s="2"/>
      <c r="L225" s="2"/>
      <c r="M225" s="2"/>
    </row>
    <row r="226" spans="1:13">
      <c r="A226" s="416">
        <v>26</v>
      </c>
      <c r="B226" s="24"/>
      <c r="C226" s="24"/>
      <c r="D226" s="2" t="s">
        <v>589</v>
      </c>
      <c r="E226" s="24"/>
      <c r="F226" s="24"/>
      <c r="G226" s="24"/>
      <c r="H226" s="24"/>
      <c r="I226" s="24"/>
      <c r="J226" s="147">
        <f>J223+J224+J225</f>
        <v>2987337579</v>
      </c>
      <c r="K226" s="2"/>
      <c r="L226" s="2"/>
      <c r="M226" s="2"/>
    </row>
    <row r="227" spans="1:13">
      <c r="A227" s="416"/>
      <c r="C227" s="1"/>
      <c r="D227" s="2"/>
      <c r="E227" s="2"/>
      <c r="F227" s="2"/>
      <c r="G227" s="2"/>
      <c r="H227" s="4"/>
      <c r="I227" s="2"/>
      <c r="J227" s="2"/>
      <c r="K227" s="2"/>
      <c r="L227" s="2"/>
      <c r="M227" s="2"/>
    </row>
    <row r="228" spans="1:13" ht="15.75" thickBot="1">
      <c r="A228" s="416"/>
      <c r="C228" s="1"/>
      <c r="D228" s="26" t="s">
        <v>341</v>
      </c>
      <c r="E228" s="32" t="s">
        <v>66</v>
      </c>
      <c r="F228" s="32" t="s">
        <v>84</v>
      </c>
      <c r="G228" s="2"/>
      <c r="H228" s="32" t="s">
        <v>83</v>
      </c>
      <c r="I228" s="2"/>
      <c r="J228" s="32" t="s">
        <v>85</v>
      </c>
      <c r="K228" s="2"/>
      <c r="L228" s="2"/>
      <c r="M228" s="2"/>
    </row>
    <row r="229" spans="1:13">
      <c r="A229" s="416">
        <v>27</v>
      </c>
      <c r="C229" s="24" t="s">
        <v>174</v>
      </c>
      <c r="E229" s="228">
        <f>INPUT!C145</f>
        <v>2500000000</v>
      </c>
      <c r="F229" s="43">
        <f>IF($E$232&gt;0,E229/$E$232,0)</f>
        <v>0.45559435044920171</v>
      </c>
      <c r="G229" s="19"/>
      <c r="H229" s="19">
        <f>IF(E229&gt;0,J218/E229,0)</f>
        <v>4.01739136E-2</v>
      </c>
      <c r="J229" s="19">
        <f>ROUND(H229*F229,4)</f>
        <v>1.83E-2</v>
      </c>
      <c r="K229" s="20" t="s">
        <v>86</v>
      </c>
      <c r="M229" s="2"/>
    </row>
    <row r="230" spans="1:13">
      <c r="A230" s="416">
        <v>28</v>
      </c>
      <c r="C230" s="24" t="s">
        <v>175</v>
      </c>
      <c r="E230" s="228">
        <f>INPUT!C146</f>
        <v>0</v>
      </c>
      <c r="F230" s="43">
        <f>IF($E$232&gt;0,E230/$E$232,0)</f>
        <v>0</v>
      </c>
      <c r="G230" s="19"/>
      <c r="H230" s="19">
        <f>IF(E230&gt;0,J220/E230,0)</f>
        <v>0</v>
      </c>
      <c r="J230" s="19">
        <f>ROUND(H230*F230,4)</f>
        <v>0</v>
      </c>
      <c r="K230" s="2"/>
      <c r="M230" s="2"/>
    </row>
    <row r="231" spans="1:13" ht="16.5" thickBot="1">
      <c r="A231" s="416">
        <v>29</v>
      </c>
      <c r="C231" s="24" t="s">
        <v>87</v>
      </c>
      <c r="E231" s="148">
        <f>J226</f>
        <v>2987337579</v>
      </c>
      <c r="F231" s="43">
        <f>IF($E$232&gt;0,E231/$E$232,0)</f>
        <v>0.54440564955079829</v>
      </c>
      <c r="G231" s="19"/>
      <c r="H231" s="140">
        <f>ROE</f>
        <v>0.10879999999999999</v>
      </c>
      <c r="J231" s="47">
        <f>ROUND(H231*F231,4)</f>
        <v>5.9200000000000003E-2</v>
      </c>
      <c r="K231" s="2"/>
      <c r="L231" s="417"/>
      <c r="M231" s="2"/>
    </row>
    <row r="232" spans="1:13">
      <c r="A232" s="416">
        <v>30</v>
      </c>
      <c r="C232" s="1" t="s">
        <v>144</v>
      </c>
      <c r="E232" s="147">
        <f>E231+E230+E229</f>
        <v>5487337579</v>
      </c>
      <c r="F232" s="2" t="s">
        <v>7</v>
      </c>
      <c r="G232" s="2"/>
      <c r="H232" s="2"/>
      <c r="I232" s="2"/>
      <c r="J232" s="19">
        <f>SUM(J229:J231)</f>
        <v>7.7499999999999999E-2</v>
      </c>
      <c r="K232" s="20" t="s">
        <v>88</v>
      </c>
      <c r="L232" s="417"/>
      <c r="M232" s="2"/>
    </row>
    <row r="233" spans="1:13">
      <c r="F233" s="2"/>
      <c r="G233" s="2"/>
      <c r="H233" s="2"/>
      <c r="I233" s="2"/>
      <c r="M233" s="2"/>
    </row>
    <row r="234" spans="1:13">
      <c r="L234" s="2"/>
      <c r="M234" s="2"/>
    </row>
    <row r="235" spans="1:13" ht="15.75">
      <c r="A235" s="416"/>
      <c r="C235" s="40" t="s">
        <v>89</v>
      </c>
      <c r="D235" s="24"/>
      <c r="E235" s="24"/>
      <c r="F235" s="24"/>
      <c r="G235" s="24"/>
      <c r="H235" s="24"/>
      <c r="I235" s="24"/>
      <c r="J235" s="24"/>
      <c r="K235" s="24"/>
      <c r="L235" s="24"/>
      <c r="M235" s="2"/>
    </row>
    <row r="236" spans="1:13" ht="15.75" thickBot="1">
      <c r="A236" s="416"/>
      <c r="C236" s="24"/>
      <c r="D236" s="24"/>
      <c r="E236" s="24"/>
      <c r="F236" s="24"/>
      <c r="G236" s="24"/>
      <c r="H236" s="24"/>
      <c r="I236" s="24"/>
      <c r="J236" s="32" t="s">
        <v>127</v>
      </c>
      <c r="K236" s="26"/>
    </row>
    <row r="237" spans="1:13">
      <c r="A237" s="416"/>
      <c r="C237" s="252" t="s">
        <v>353</v>
      </c>
      <c r="D237" s="24"/>
      <c r="E237" s="24" t="s">
        <v>90</v>
      </c>
      <c r="F237" s="24"/>
      <c r="G237" s="24"/>
      <c r="H237" s="29" t="s">
        <v>7</v>
      </c>
      <c r="I237" s="23"/>
      <c r="J237" s="152"/>
      <c r="K237" s="152"/>
    </row>
    <row r="238" spans="1:13">
      <c r="A238" s="416">
        <v>31</v>
      </c>
      <c r="C238" s="9" t="s">
        <v>124</v>
      </c>
      <c r="D238" s="24"/>
      <c r="E238" s="24"/>
      <c r="G238" s="24"/>
      <c r="I238" s="23"/>
      <c r="J238" s="268">
        <v>0</v>
      </c>
      <c r="K238" s="46"/>
    </row>
    <row r="239" spans="1:13" ht="15.75" thickBot="1">
      <c r="A239" s="416">
        <v>32</v>
      </c>
      <c r="C239" s="44" t="s">
        <v>332</v>
      </c>
      <c r="D239" s="42"/>
      <c r="E239" s="44"/>
      <c r="F239" s="41"/>
      <c r="G239" s="41"/>
      <c r="H239" s="41"/>
      <c r="I239" s="24"/>
      <c r="J239" s="269">
        <v>0</v>
      </c>
      <c r="K239" s="153"/>
    </row>
    <row r="240" spans="1:13">
      <c r="A240" s="416">
        <v>33</v>
      </c>
      <c r="C240" s="9" t="s">
        <v>91</v>
      </c>
      <c r="D240" s="1"/>
      <c r="F240" s="24"/>
      <c r="G240" s="24"/>
      <c r="H240" s="24"/>
      <c r="I240" s="24"/>
      <c r="J240" s="46">
        <f>J238-J239</f>
        <v>0</v>
      </c>
      <c r="K240" s="46"/>
    </row>
    <row r="241" spans="1:13">
      <c r="A241" s="416"/>
      <c r="C241" s="9" t="s">
        <v>7</v>
      </c>
      <c r="D241" s="1"/>
      <c r="F241" s="24"/>
      <c r="G241" s="24"/>
      <c r="H241" s="37"/>
      <c r="I241" s="24"/>
      <c r="J241" s="33" t="s">
        <v>7</v>
      </c>
      <c r="K241" s="152"/>
      <c r="L241" s="34"/>
      <c r="M241" s="2"/>
    </row>
    <row r="242" spans="1:13">
      <c r="A242" s="416">
        <v>34</v>
      </c>
      <c r="C242" s="252" t="s">
        <v>354</v>
      </c>
      <c r="D242" s="1"/>
      <c r="F242" s="24"/>
      <c r="G242" s="24"/>
      <c r="H242" s="45"/>
      <c r="I242" s="24"/>
      <c r="J242" s="68">
        <f>ROUND('P8 Rev Cred Support'!E28,0)</f>
        <v>299324</v>
      </c>
      <c r="K242" s="152"/>
      <c r="L242" s="34"/>
      <c r="M242" s="2"/>
    </row>
    <row r="243" spans="1:13">
      <c r="A243" s="416"/>
      <c r="D243" s="24"/>
      <c r="E243" s="24"/>
      <c r="F243" s="24"/>
      <c r="G243" s="24"/>
      <c r="H243" s="24"/>
      <c r="I243" s="24"/>
      <c r="J243" s="51"/>
      <c r="K243" s="152"/>
      <c r="L243" s="34"/>
      <c r="M243" s="2"/>
    </row>
    <row r="244" spans="1:13">
      <c r="A244" s="416">
        <v>35</v>
      </c>
      <c r="C244" s="252" t="s">
        <v>367</v>
      </c>
      <c r="D244" s="24"/>
      <c r="E244" s="24" t="s">
        <v>92</v>
      </c>
      <c r="F244" s="24"/>
      <c r="G244" s="24"/>
      <c r="H244" s="24"/>
      <c r="I244" s="24"/>
      <c r="J244" s="68">
        <f>'P8 Rev Cred Support'!E47</f>
        <v>1762464</v>
      </c>
      <c r="L244" s="34"/>
      <c r="M244" s="2"/>
    </row>
    <row r="245" spans="1:13">
      <c r="A245" s="416">
        <v>36</v>
      </c>
      <c r="C245" s="252" t="s">
        <v>579</v>
      </c>
      <c r="D245" s="24"/>
      <c r="E245" s="24" t="s">
        <v>92</v>
      </c>
      <c r="F245" s="24"/>
      <c r="G245" s="24"/>
      <c r="H245" s="24"/>
      <c r="I245" s="24"/>
      <c r="J245" s="68">
        <f>'P8 Rev Cred Support'!E40</f>
        <v>1180461</v>
      </c>
      <c r="K245" s="26"/>
      <c r="L245" s="25"/>
      <c r="M245" s="26"/>
    </row>
    <row r="246" spans="1:13">
      <c r="A246" s="416"/>
      <c r="C246" s="252"/>
      <c r="D246" s="24"/>
      <c r="E246" s="24"/>
      <c r="F246" s="24"/>
      <c r="G246" s="24"/>
      <c r="H246" s="24"/>
      <c r="I246" s="24"/>
      <c r="J246" s="413"/>
      <c r="K246" s="26"/>
      <c r="L246" s="61"/>
      <c r="M246" s="26"/>
    </row>
    <row r="247" spans="1:13" ht="18">
      <c r="A247" s="418"/>
      <c r="C247" s="24"/>
      <c r="D247" s="24"/>
      <c r="E247" s="25"/>
      <c r="F247" s="24"/>
      <c r="G247" s="24"/>
      <c r="H247" s="24"/>
      <c r="I247" s="24"/>
      <c r="J247" s="50" t="s">
        <v>296</v>
      </c>
      <c r="K247" s="60"/>
      <c r="M247" s="60"/>
    </row>
    <row r="248" spans="1:13">
      <c r="C248" s="24"/>
      <c r="D248" s="24"/>
      <c r="E248" s="25"/>
      <c r="F248" s="24"/>
      <c r="G248" s="24"/>
      <c r="H248" s="24"/>
      <c r="I248" s="24"/>
      <c r="J248" s="1031" t="s">
        <v>407</v>
      </c>
      <c r="M248" s="50"/>
    </row>
    <row r="249" spans="1:13">
      <c r="C249" s="24"/>
      <c r="D249" s="24"/>
      <c r="E249" s="25"/>
      <c r="F249" s="24"/>
      <c r="G249" s="24"/>
      <c r="H249" s="24"/>
      <c r="I249" s="24"/>
      <c r="J249" s="50"/>
      <c r="M249" s="50"/>
    </row>
    <row r="250" spans="1:13">
      <c r="C250" s="24"/>
      <c r="D250" s="24"/>
      <c r="E250" s="25"/>
      <c r="F250" s="24"/>
      <c r="G250" s="24"/>
      <c r="H250" s="24"/>
      <c r="I250" s="24"/>
      <c r="M250" s="50"/>
    </row>
    <row r="251" spans="1:13">
      <c r="C251" s="24"/>
      <c r="D251" s="24"/>
      <c r="E251" s="25"/>
      <c r="F251" s="24"/>
      <c r="G251" s="24"/>
      <c r="H251" s="24"/>
      <c r="I251" s="24"/>
      <c r="J251" s="107"/>
      <c r="K251" s="1"/>
      <c r="M251" s="50"/>
    </row>
    <row r="252" spans="1:13">
      <c r="C252" s="24"/>
      <c r="D252" s="24"/>
      <c r="E252" s="25"/>
      <c r="F252" s="24"/>
      <c r="G252" s="24"/>
      <c r="H252" s="24"/>
      <c r="I252" s="24"/>
      <c r="J252" s="50"/>
      <c r="K252" s="1"/>
      <c r="M252" s="50"/>
    </row>
    <row r="253" spans="1:13">
      <c r="C253" s="24" t="s">
        <v>6</v>
      </c>
      <c r="D253" s="24"/>
      <c r="E253" s="25"/>
      <c r="F253" s="24"/>
      <c r="G253" s="24"/>
      <c r="H253" s="24"/>
      <c r="I253" s="24"/>
      <c r="J253" s="61" t="str">
        <f>$J$7</f>
        <v>For the 12 months ended: 12/31/2021</v>
      </c>
      <c r="K253" s="1"/>
      <c r="M253" s="50"/>
    </row>
    <row r="254" spans="1:13">
      <c r="A254" s="419" t="str">
        <f>$A$8</f>
        <v>Rate Formula Template</v>
      </c>
      <c r="B254" s="70"/>
      <c r="C254" s="70"/>
      <c r="D254" s="144"/>
      <c r="E254" s="70"/>
      <c r="F254" s="144"/>
      <c r="G254" s="144"/>
      <c r="H254" s="144"/>
      <c r="I254" s="144"/>
      <c r="J254" s="70"/>
      <c r="K254" s="24"/>
      <c r="L254" s="70"/>
      <c r="M254" s="1"/>
    </row>
    <row r="255" spans="1:13">
      <c r="A255" s="420" t="s">
        <v>267</v>
      </c>
      <c r="B255" s="70"/>
      <c r="C255" s="144"/>
      <c r="D255" s="145"/>
      <c r="E255" s="70"/>
      <c r="F255" s="145"/>
      <c r="G255" s="145"/>
      <c r="H255" s="145"/>
      <c r="I255" s="144"/>
      <c r="J255" s="144"/>
      <c r="K255" s="24"/>
      <c r="L255" s="146"/>
      <c r="M255" s="1"/>
    </row>
    <row r="256" spans="1:13">
      <c r="A256" s="420"/>
      <c r="B256" s="70"/>
      <c r="C256" s="146"/>
      <c r="D256" s="146"/>
      <c r="E256" s="70"/>
      <c r="F256" s="146"/>
      <c r="G256" s="146"/>
      <c r="H256" s="146"/>
      <c r="I256" s="146"/>
      <c r="J256" s="146"/>
      <c r="K256" s="24"/>
      <c r="L256" s="146"/>
      <c r="M256" s="24"/>
    </row>
    <row r="257" spans="1:13" ht="15.75">
      <c r="A257" s="421" t="str">
        <f>$A$11</f>
        <v>DUKE ENERGY OHIO (DEO)</v>
      </c>
      <c r="B257" s="70"/>
      <c r="C257" s="146"/>
      <c r="D257" s="146"/>
      <c r="E257" s="70"/>
      <c r="F257" s="146"/>
      <c r="G257" s="146"/>
      <c r="H257" s="146"/>
      <c r="I257" s="146"/>
      <c r="J257" s="146"/>
      <c r="K257" s="24"/>
      <c r="L257" s="146"/>
      <c r="M257" s="24"/>
    </row>
    <row r="258" spans="1:13">
      <c r="A258" s="416"/>
      <c r="B258" s="24"/>
      <c r="C258" s="31"/>
      <c r="D258" s="26"/>
      <c r="E258" s="2"/>
      <c r="F258" s="2"/>
      <c r="G258" s="2"/>
      <c r="H258" s="2"/>
      <c r="I258" s="24"/>
      <c r="J258" s="155"/>
      <c r="K258" s="24"/>
      <c r="L258" s="154"/>
      <c r="M258" s="24"/>
    </row>
    <row r="259" spans="1:13" ht="20.25">
      <c r="A259" s="416"/>
      <c r="B259" s="24"/>
      <c r="C259" s="24" t="s">
        <v>93</v>
      </c>
      <c r="D259" s="26"/>
      <c r="E259" s="2"/>
      <c r="F259" s="2"/>
      <c r="G259" s="2"/>
      <c r="H259" s="2"/>
      <c r="I259" s="24"/>
      <c r="J259" s="2"/>
      <c r="K259" s="24"/>
      <c r="L259" s="2"/>
      <c r="M259" s="156"/>
    </row>
    <row r="260" spans="1:13" ht="20.25">
      <c r="A260" s="416"/>
      <c r="B260" s="24"/>
      <c r="C260" s="24" t="s">
        <v>576</v>
      </c>
      <c r="D260" s="24"/>
      <c r="E260" s="2"/>
      <c r="F260" s="2"/>
      <c r="G260" s="2"/>
      <c r="H260" s="2"/>
      <c r="I260" s="24"/>
      <c r="J260" s="2"/>
      <c r="K260" s="24"/>
      <c r="L260" s="2"/>
      <c r="M260" s="156"/>
    </row>
    <row r="261" spans="1:13" ht="20.25">
      <c r="A261" s="422" t="s">
        <v>575</v>
      </c>
      <c r="B261" s="24"/>
      <c r="C261" s="24"/>
      <c r="D261" s="24"/>
      <c r="E261" s="2"/>
      <c r="F261" s="2"/>
      <c r="G261" s="2"/>
      <c r="H261" s="2"/>
      <c r="I261" s="24"/>
      <c r="J261" s="2"/>
      <c r="K261" s="24"/>
      <c r="L261" s="2"/>
      <c r="M261" s="156"/>
    </row>
    <row r="262" spans="1:13" ht="20.25">
      <c r="A262" s="416" t="s">
        <v>96</v>
      </c>
      <c r="B262" s="24"/>
      <c r="C262" s="440" t="s">
        <v>902</v>
      </c>
      <c r="D262" s="349"/>
      <c r="E262" s="350"/>
      <c r="F262" s="350"/>
      <c r="G262" s="350"/>
      <c r="H262" s="350"/>
      <c r="I262" s="349"/>
      <c r="J262" s="350"/>
      <c r="K262" s="349"/>
      <c r="L262" s="350"/>
      <c r="M262" s="156"/>
    </row>
    <row r="263" spans="1:13" ht="20.25">
      <c r="A263" s="416" t="s">
        <v>97</v>
      </c>
      <c r="B263" s="24"/>
      <c r="C263" s="440" t="s">
        <v>903</v>
      </c>
      <c r="D263" s="24"/>
      <c r="E263" s="2"/>
      <c r="F263" s="2"/>
      <c r="G263" s="2"/>
      <c r="H263" s="2"/>
      <c r="I263" s="24"/>
      <c r="J263" s="2"/>
      <c r="K263" s="24"/>
      <c r="L263" s="2"/>
      <c r="M263" s="156"/>
    </row>
    <row r="264" spans="1:13" ht="20.25">
      <c r="A264" s="416" t="s">
        <v>98</v>
      </c>
      <c r="B264" s="24"/>
      <c r="C264" s="414" t="s">
        <v>292</v>
      </c>
      <c r="D264" s="24"/>
      <c r="E264" s="24"/>
      <c r="F264" s="24"/>
      <c r="G264" s="24"/>
      <c r="H264" s="24"/>
      <c r="I264" s="24"/>
      <c r="J264" s="2"/>
      <c r="K264" s="24"/>
      <c r="L264" s="24"/>
      <c r="M264" s="156"/>
    </row>
    <row r="265" spans="1:13" ht="20.25">
      <c r="A265" s="416" t="s">
        <v>99</v>
      </c>
      <c r="B265" s="24"/>
      <c r="C265" s="414" t="s">
        <v>292</v>
      </c>
      <c r="D265" s="24"/>
      <c r="E265" s="24"/>
      <c r="F265" s="24"/>
      <c r="G265" s="24"/>
      <c r="H265" s="24"/>
      <c r="I265" s="24"/>
      <c r="J265" s="2"/>
      <c r="K265" s="24"/>
      <c r="L265" s="24"/>
      <c r="M265" s="156"/>
    </row>
    <row r="266" spans="1:13" ht="20.25">
      <c r="A266" s="416" t="s">
        <v>100</v>
      </c>
      <c r="B266" s="24"/>
      <c r="C266" s="414" t="s">
        <v>562</v>
      </c>
      <c r="D266" s="24"/>
      <c r="E266" s="24"/>
      <c r="F266" s="24"/>
      <c r="G266" s="24"/>
      <c r="H266" s="24"/>
      <c r="I266" s="24"/>
      <c r="J266" s="2"/>
      <c r="K266" s="24"/>
      <c r="L266" s="24"/>
      <c r="M266" s="156"/>
    </row>
    <row r="267" spans="1:13" ht="20.25">
      <c r="A267" s="416"/>
      <c r="B267" s="24"/>
      <c r="C267" s="414" t="s">
        <v>563</v>
      </c>
      <c r="D267" s="24"/>
      <c r="E267" s="24"/>
      <c r="F267" s="24"/>
      <c r="G267" s="24"/>
      <c r="H267" s="24"/>
      <c r="I267" s="24"/>
      <c r="J267" s="2"/>
      <c r="K267" s="24"/>
      <c r="L267" s="24"/>
      <c r="M267" s="156"/>
    </row>
    <row r="268" spans="1:13" ht="20.25">
      <c r="A268" s="416"/>
      <c r="B268" s="24"/>
      <c r="C268" s="414" t="s">
        <v>564</v>
      </c>
      <c r="D268" s="24"/>
      <c r="E268" s="24"/>
      <c r="F268" s="24"/>
      <c r="G268" s="24"/>
      <c r="H268" s="24"/>
      <c r="I268" s="24"/>
      <c r="J268" s="2"/>
      <c r="K268" s="24"/>
      <c r="L268" s="24"/>
      <c r="M268" s="156"/>
    </row>
    <row r="269" spans="1:13" ht="20.25">
      <c r="A269" s="416"/>
      <c r="B269" s="24"/>
      <c r="C269" s="414" t="s">
        <v>565</v>
      </c>
      <c r="D269" s="24"/>
      <c r="E269" s="24"/>
      <c r="F269" s="24"/>
      <c r="G269" s="24"/>
      <c r="H269" s="24"/>
      <c r="I269" s="24"/>
      <c r="J269" s="2"/>
      <c r="K269" s="24"/>
      <c r="L269" s="24"/>
      <c r="M269" s="156"/>
    </row>
    <row r="270" spans="1:13" ht="20.25">
      <c r="A270" s="416"/>
      <c r="B270" s="24"/>
      <c r="C270" s="414" t="s">
        <v>566</v>
      </c>
      <c r="D270" s="24"/>
      <c r="E270" s="24"/>
      <c r="F270" s="24"/>
      <c r="G270" s="24"/>
      <c r="H270" s="24"/>
      <c r="I270" s="24"/>
      <c r="J270" s="2"/>
      <c r="K270" s="24"/>
      <c r="L270" s="24"/>
      <c r="M270" s="156"/>
    </row>
    <row r="271" spans="1:13" ht="20.25">
      <c r="A271" s="416" t="s">
        <v>101</v>
      </c>
      <c r="B271" s="24"/>
      <c r="C271" s="414" t="s">
        <v>967</v>
      </c>
      <c r="D271" s="24"/>
      <c r="E271" s="24"/>
      <c r="F271" s="24"/>
      <c r="G271" s="24"/>
      <c r="H271" s="24"/>
      <c r="I271" s="24"/>
      <c r="J271" s="2"/>
      <c r="K271" s="24"/>
      <c r="L271" s="24"/>
      <c r="M271" s="156"/>
    </row>
    <row r="272" spans="1:13" ht="20.25">
      <c r="A272" s="416"/>
      <c r="B272" s="24"/>
      <c r="C272" s="414" t="s">
        <v>1004</v>
      </c>
      <c r="D272" s="24"/>
      <c r="E272" s="24"/>
      <c r="F272" s="24"/>
      <c r="G272" s="24"/>
      <c r="H272" s="24"/>
      <c r="I272" s="24"/>
      <c r="J272" s="2"/>
      <c r="K272" s="24"/>
      <c r="L272" s="24"/>
      <c r="M272" s="156"/>
    </row>
    <row r="273" spans="1:13" ht="20.25">
      <c r="A273" s="416"/>
      <c r="B273" s="24"/>
      <c r="C273" s="414" t="s">
        <v>811</v>
      </c>
      <c r="D273" s="24"/>
      <c r="E273" s="24"/>
      <c r="F273" s="24"/>
      <c r="G273" s="24"/>
      <c r="H273" s="24"/>
      <c r="I273" s="24"/>
      <c r="J273" s="24"/>
      <c r="K273" s="24"/>
      <c r="L273" s="24"/>
      <c r="M273" s="156"/>
    </row>
    <row r="274" spans="1:13" ht="20.25">
      <c r="A274" s="416"/>
      <c r="B274" s="24"/>
      <c r="C274" s="414" t="s">
        <v>836</v>
      </c>
      <c r="D274" s="24"/>
      <c r="E274" s="24"/>
      <c r="F274" s="24"/>
      <c r="G274" s="24"/>
      <c r="H274" s="24"/>
      <c r="I274" s="24"/>
      <c r="J274" s="24"/>
      <c r="K274" s="24"/>
      <c r="L274" s="24"/>
      <c r="M274" s="156"/>
    </row>
    <row r="275" spans="1:13" ht="20.25">
      <c r="A275" s="416" t="s">
        <v>102</v>
      </c>
      <c r="B275" s="24"/>
      <c r="C275" s="414" t="s">
        <v>866</v>
      </c>
      <c r="D275" s="24"/>
      <c r="E275" s="24"/>
      <c r="F275" s="24"/>
      <c r="G275" s="24"/>
      <c r="H275" s="24"/>
      <c r="I275" s="24"/>
      <c r="J275" s="24"/>
      <c r="K275" s="24"/>
      <c r="L275" s="24"/>
      <c r="M275" s="156"/>
    </row>
    <row r="276" spans="1:13" ht="20.25">
      <c r="A276" s="416" t="s">
        <v>103</v>
      </c>
      <c r="B276" s="24"/>
      <c r="C276" s="414" t="s">
        <v>104</v>
      </c>
      <c r="D276" s="24"/>
      <c r="E276" s="24"/>
      <c r="F276" s="24"/>
      <c r="G276" s="24"/>
      <c r="H276" s="24"/>
      <c r="I276" s="24"/>
      <c r="J276" s="24"/>
      <c r="K276" s="24"/>
      <c r="L276" s="24"/>
      <c r="M276" s="156"/>
    </row>
    <row r="277" spans="1:13" ht="20.25">
      <c r="A277" s="416"/>
      <c r="B277" s="24"/>
      <c r="C277" s="414" t="s">
        <v>298</v>
      </c>
      <c r="D277" s="24"/>
      <c r="E277" s="24"/>
      <c r="F277" s="24"/>
      <c r="G277" s="24"/>
      <c r="H277" s="24"/>
      <c r="I277" s="24"/>
      <c r="J277" s="24"/>
      <c r="K277" s="24"/>
      <c r="L277" s="24"/>
      <c r="M277" s="156"/>
    </row>
    <row r="278" spans="1:13" ht="20.25">
      <c r="A278" s="416" t="s">
        <v>105</v>
      </c>
      <c r="B278" s="24"/>
      <c r="C278" s="414" t="s">
        <v>320</v>
      </c>
      <c r="D278" s="24"/>
      <c r="E278" s="24"/>
      <c r="F278" s="24"/>
      <c r="G278" s="24"/>
      <c r="H278" s="24"/>
      <c r="I278" s="24"/>
      <c r="J278" s="24"/>
      <c r="K278" s="24"/>
      <c r="L278" s="24"/>
      <c r="M278" s="156"/>
    </row>
    <row r="279" spans="1:13" ht="20.25">
      <c r="A279" s="416"/>
      <c r="B279" s="24"/>
      <c r="C279" s="342" t="s">
        <v>321</v>
      </c>
      <c r="D279" s="24"/>
      <c r="E279" s="24"/>
      <c r="F279" s="24"/>
      <c r="G279" s="24"/>
      <c r="H279" s="24"/>
      <c r="I279" s="24"/>
      <c r="J279" s="24"/>
      <c r="K279" s="24"/>
      <c r="L279" s="24"/>
      <c r="M279" s="156"/>
    </row>
    <row r="280" spans="1:13" ht="20.25">
      <c r="A280" s="416" t="s">
        <v>106</v>
      </c>
      <c r="B280" s="24"/>
      <c r="C280" s="414" t="s">
        <v>322</v>
      </c>
      <c r="D280" s="24"/>
      <c r="E280" s="24"/>
      <c r="F280" s="24"/>
      <c r="G280" s="24"/>
      <c r="H280" s="24"/>
      <c r="I280" s="24"/>
      <c r="J280" s="24"/>
      <c r="K280" s="24"/>
      <c r="L280" s="24"/>
      <c r="M280" s="156"/>
    </row>
    <row r="281" spans="1:13" ht="20.25">
      <c r="A281" s="416"/>
      <c r="B281" s="24"/>
      <c r="C281" s="414" t="s">
        <v>323</v>
      </c>
      <c r="D281" s="24"/>
      <c r="E281" s="24"/>
      <c r="F281" s="24"/>
      <c r="G281" s="24"/>
      <c r="H281" s="24"/>
      <c r="I281" s="24"/>
      <c r="J281" s="24"/>
      <c r="K281" s="24"/>
      <c r="L281" s="24"/>
      <c r="M281" s="156"/>
    </row>
    <row r="282" spans="1:13" ht="20.25">
      <c r="A282" s="416" t="s">
        <v>107</v>
      </c>
      <c r="B282" s="24"/>
      <c r="C282" s="414" t="s">
        <v>495</v>
      </c>
      <c r="D282" s="24"/>
      <c r="E282" s="24"/>
      <c r="F282" s="24"/>
      <c r="G282" s="24"/>
      <c r="H282" s="24"/>
      <c r="I282" s="24"/>
      <c r="J282" s="24"/>
      <c r="K282" s="24"/>
      <c r="L282" s="24"/>
      <c r="M282" s="156"/>
    </row>
    <row r="283" spans="1:13" ht="20.25">
      <c r="A283" s="416"/>
      <c r="B283" s="24"/>
      <c r="C283" s="414" t="s">
        <v>324</v>
      </c>
      <c r="D283" s="24"/>
      <c r="E283" s="24"/>
      <c r="F283" s="24"/>
      <c r="G283" s="24"/>
      <c r="H283" s="24"/>
      <c r="I283" s="24"/>
      <c r="J283" s="24"/>
      <c r="K283" s="24"/>
      <c r="L283" s="24"/>
      <c r="M283" s="156"/>
    </row>
    <row r="284" spans="1:13" ht="20.25">
      <c r="A284" s="416"/>
      <c r="B284" s="24"/>
      <c r="C284" s="414" t="s">
        <v>325</v>
      </c>
      <c r="D284" s="24"/>
      <c r="E284" s="24"/>
      <c r="F284" s="24"/>
      <c r="G284" s="24"/>
      <c r="H284" s="24"/>
      <c r="I284" s="24"/>
      <c r="J284" s="24"/>
      <c r="K284" s="24"/>
      <c r="L284" s="24"/>
      <c r="M284" s="156"/>
    </row>
    <row r="285" spans="1:13" ht="20.25">
      <c r="A285" s="416"/>
      <c r="B285" s="24"/>
      <c r="C285" s="414" t="s">
        <v>326</v>
      </c>
      <c r="D285" s="24"/>
      <c r="E285" s="24"/>
      <c r="F285" s="24"/>
      <c r="G285" s="24"/>
      <c r="H285" s="24"/>
      <c r="I285" s="24"/>
      <c r="J285" s="24"/>
      <c r="K285" s="24"/>
      <c r="L285" s="24"/>
      <c r="M285" s="156"/>
    </row>
    <row r="286" spans="1:13" ht="20.25">
      <c r="A286" s="416"/>
      <c r="B286" s="24"/>
      <c r="C286" s="414" t="s">
        <v>808</v>
      </c>
      <c r="D286" s="24"/>
      <c r="E286" s="24"/>
      <c r="F286" s="24"/>
      <c r="G286" s="24"/>
      <c r="H286" s="24"/>
      <c r="I286" s="24"/>
      <c r="J286" s="24"/>
      <c r="K286" s="24"/>
      <c r="L286" s="24"/>
      <c r="M286" s="156"/>
    </row>
    <row r="287" spans="1:13" ht="20.25">
      <c r="A287" s="416"/>
      <c r="B287" s="24"/>
      <c r="C287" s="414"/>
      <c r="D287" s="24"/>
      <c r="E287" s="24"/>
      <c r="F287" s="24"/>
      <c r="G287" s="24"/>
      <c r="H287" s="24"/>
      <c r="I287" s="24"/>
      <c r="J287" s="24"/>
      <c r="K287" s="24"/>
      <c r="L287" s="24"/>
      <c r="M287" s="156"/>
    </row>
    <row r="288" spans="1:13" ht="20.25">
      <c r="A288" s="416" t="s">
        <v>7</v>
      </c>
      <c r="B288" s="24"/>
      <c r="C288" s="414" t="s">
        <v>139</v>
      </c>
      <c r="D288" s="414" t="s">
        <v>130</v>
      </c>
      <c r="E288" s="300">
        <f>FIT</f>
        <v>0.21</v>
      </c>
      <c r="F288" s="24"/>
      <c r="G288" s="24"/>
      <c r="H288" s="24"/>
      <c r="I288" s="24"/>
      <c r="J288" s="24"/>
      <c r="K288" s="24"/>
      <c r="L288" s="24"/>
      <c r="M288" s="156"/>
    </row>
    <row r="289" spans="1:13" ht="20.25">
      <c r="A289" s="416"/>
      <c r="B289" s="24"/>
      <c r="C289" s="414"/>
      <c r="D289" s="414" t="s">
        <v>131</v>
      </c>
      <c r="E289" s="245">
        <f>INPUT!C88</f>
        <v>0</v>
      </c>
      <c r="F289" s="24" t="s">
        <v>132</v>
      </c>
      <c r="G289" s="24"/>
      <c r="H289" s="24"/>
      <c r="I289" s="24"/>
      <c r="J289" s="24"/>
      <c r="K289" s="24"/>
      <c r="L289" s="24"/>
      <c r="M289" s="156"/>
    </row>
    <row r="290" spans="1:13" ht="20.25">
      <c r="A290" s="416"/>
      <c r="B290" s="24"/>
      <c r="C290" s="414"/>
      <c r="D290" s="414" t="s">
        <v>133</v>
      </c>
      <c r="E290" s="244">
        <v>0</v>
      </c>
      <c r="F290" s="24" t="s">
        <v>134</v>
      </c>
      <c r="G290" s="24"/>
      <c r="H290" s="24"/>
      <c r="I290" s="24"/>
      <c r="J290" s="24"/>
      <c r="K290" s="24"/>
      <c r="L290" s="24"/>
      <c r="M290" s="156"/>
    </row>
    <row r="291" spans="1:13" ht="20.25">
      <c r="A291" s="416" t="s">
        <v>108</v>
      </c>
      <c r="B291" s="24"/>
      <c r="C291" s="414" t="s">
        <v>595</v>
      </c>
      <c r="D291" s="24"/>
      <c r="E291" s="24"/>
      <c r="F291" s="24"/>
      <c r="G291" s="24"/>
      <c r="H291" s="24"/>
      <c r="I291" s="24"/>
      <c r="J291" s="24"/>
      <c r="K291" s="24"/>
      <c r="L291" s="24"/>
      <c r="M291" s="156"/>
    </row>
    <row r="292" spans="1:13" ht="20.25">
      <c r="A292" s="416" t="s">
        <v>109</v>
      </c>
      <c r="B292" s="24"/>
      <c r="C292" s="414" t="s">
        <v>110</v>
      </c>
      <c r="D292" s="24"/>
      <c r="E292" s="24"/>
      <c r="F292" s="24"/>
      <c r="G292" s="24"/>
      <c r="H292" s="24"/>
      <c r="I292" s="24"/>
      <c r="J292" s="24"/>
      <c r="K292" s="24"/>
      <c r="L292" s="24"/>
      <c r="M292" s="156"/>
    </row>
    <row r="293" spans="1:13" ht="20.25">
      <c r="A293" s="416"/>
      <c r="B293" s="24"/>
      <c r="C293" s="414" t="s">
        <v>391</v>
      </c>
      <c r="D293" s="24"/>
      <c r="E293" s="24"/>
      <c r="F293" s="24"/>
      <c r="G293" s="24"/>
      <c r="H293" s="24"/>
      <c r="I293" s="24"/>
      <c r="J293" s="24"/>
      <c r="K293" s="24"/>
      <c r="L293" s="24"/>
      <c r="M293" s="156"/>
    </row>
    <row r="294" spans="1:13" ht="20.25">
      <c r="A294" s="416" t="s">
        <v>111</v>
      </c>
      <c r="B294" s="24"/>
      <c r="C294" s="414" t="s">
        <v>146</v>
      </c>
      <c r="D294" s="24"/>
      <c r="E294" s="24"/>
      <c r="F294" s="24"/>
      <c r="G294" s="24"/>
      <c r="H294" s="24"/>
      <c r="I294" s="24"/>
      <c r="J294" s="24"/>
      <c r="K294" s="24"/>
      <c r="L294" s="24"/>
      <c r="M294" s="156"/>
    </row>
    <row r="295" spans="1:13" ht="20.25">
      <c r="A295" s="416"/>
      <c r="B295" s="24"/>
      <c r="C295" s="414" t="s">
        <v>299</v>
      </c>
      <c r="D295" s="24"/>
      <c r="E295" s="24"/>
      <c r="F295" s="24"/>
      <c r="G295" s="24"/>
      <c r="H295" s="24"/>
      <c r="I295" s="24"/>
      <c r="J295" s="24"/>
      <c r="K295" s="24"/>
      <c r="L295" s="24"/>
      <c r="M295" s="156"/>
    </row>
    <row r="296" spans="1:13" ht="20.25">
      <c r="A296" s="416"/>
      <c r="B296" s="24"/>
      <c r="C296" s="414" t="s">
        <v>300</v>
      </c>
      <c r="D296" s="24"/>
      <c r="E296" s="24"/>
      <c r="F296" s="24"/>
      <c r="G296" s="24"/>
      <c r="H296" s="24"/>
      <c r="I296" s="24"/>
      <c r="J296" s="24"/>
      <c r="K296" s="24"/>
      <c r="L296" s="24"/>
      <c r="M296" s="156"/>
    </row>
    <row r="297" spans="1:13" ht="20.25">
      <c r="A297" s="416" t="s">
        <v>112</v>
      </c>
      <c r="B297" s="24"/>
      <c r="C297" s="414" t="s">
        <v>812</v>
      </c>
      <c r="D297" s="24"/>
      <c r="E297" s="24"/>
      <c r="F297" s="24"/>
      <c r="G297" s="24"/>
      <c r="H297" s="24"/>
      <c r="I297" s="24"/>
      <c r="J297" s="24"/>
      <c r="K297" s="24"/>
      <c r="L297" s="24"/>
      <c r="M297" s="156"/>
    </row>
    <row r="298" spans="1:13" ht="20.25">
      <c r="A298" s="416"/>
      <c r="B298" s="24"/>
      <c r="C298" s="414" t="s">
        <v>813</v>
      </c>
      <c r="D298" s="24"/>
      <c r="E298" s="24"/>
      <c r="F298" s="24"/>
      <c r="G298" s="24"/>
      <c r="H298" s="24"/>
      <c r="I298" s="24"/>
      <c r="J298" s="24"/>
      <c r="K298" s="24"/>
      <c r="L298" s="24"/>
      <c r="M298" s="156"/>
    </row>
    <row r="299" spans="1:13" ht="20.25">
      <c r="A299" s="416"/>
      <c r="B299" s="24"/>
      <c r="C299" s="414" t="s">
        <v>968</v>
      </c>
      <c r="D299" s="24"/>
      <c r="E299" s="24"/>
      <c r="F299" s="24"/>
      <c r="G299" s="24"/>
      <c r="H299" s="24"/>
      <c r="I299" s="24"/>
      <c r="J299" s="24"/>
      <c r="K299" s="24"/>
      <c r="L299" s="24"/>
      <c r="M299" s="156"/>
    </row>
    <row r="300" spans="1:13" ht="20.25">
      <c r="A300" s="416" t="s">
        <v>113</v>
      </c>
      <c r="B300" s="24"/>
      <c r="C300" s="414" t="s">
        <v>399</v>
      </c>
      <c r="D300" s="24"/>
      <c r="E300" s="24"/>
      <c r="F300" s="24"/>
      <c r="G300" s="24"/>
      <c r="H300" s="24"/>
      <c r="I300" s="24"/>
      <c r="J300" s="24"/>
      <c r="K300" s="24"/>
      <c r="L300" s="24"/>
      <c r="M300" s="156"/>
    </row>
    <row r="301" spans="1:13" ht="20.25">
      <c r="A301" s="416"/>
      <c r="B301" s="24"/>
      <c r="C301" s="414" t="s">
        <v>400</v>
      </c>
      <c r="D301" s="24"/>
      <c r="E301" s="24"/>
      <c r="F301" s="24"/>
      <c r="G301" s="24"/>
      <c r="H301" s="24"/>
      <c r="I301" s="24"/>
      <c r="J301" s="24"/>
      <c r="K301" s="24"/>
      <c r="L301" s="24"/>
      <c r="M301" s="156"/>
    </row>
    <row r="302" spans="1:13" ht="20.25">
      <c r="A302" s="416" t="s">
        <v>114</v>
      </c>
      <c r="B302" s="24"/>
      <c r="C302" s="414" t="s">
        <v>340</v>
      </c>
      <c r="D302" s="24"/>
      <c r="E302" s="24"/>
      <c r="F302" s="24"/>
      <c r="G302" s="24"/>
      <c r="H302" s="24"/>
      <c r="I302" s="24"/>
      <c r="J302" s="24"/>
      <c r="K302" s="24"/>
      <c r="L302" s="24"/>
      <c r="M302" s="156"/>
    </row>
    <row r="303" spans="1:13" ht="20.25">
      <c r="A303" s="416"/>
      <c r="B303" s="24"/>
      <c r="C303" s="414" t="s">
        <v>301</v>
      </c>
      <c r="D303" s="24"/>
      <c r="E303" s="24"/>
      <c r="F303" s="24"/>
      <c r="G303" s="24"/>
      <c r="H303" s="24"/>
      <c r="I303" s="24"/>
      <c r="J303" s="24"/>
      <c r="K303" s="24"/>
      <c r="L303" s="24"/>
      <c r="M303" s="156"/>
    </row>
    <row r="304" spans="1:13" ht="20.25" customHeight="1">
      <c r="A304" s="416" t="s">
        <v>115</v>
      </c>
      <c r="B304" s="24"/>
      <c r="C304" s="414" t="s">
        <v>117</v>
      </c>
      <c r="D304" s="24"/>
      <c r="E304" s="24"/>
      <c r="F304" s="24"/>
      <c r="G304" s="24"/>
      <c r="H304" s="24"/>
      <c r="I304" s="24"/>
      <c r="J304" s="24"/>
      <c r="K304" s="24"/>
      <c r="L304" s="24"/>
      <c r="M304" s="24"/>
    </row>
    <row r="305" spans="1:13" ht="20.25" customHeight="1">
      <c r="A305" s="416" t="s">
        <v>149</v>
      </c>
      <c r="C305" s="414" t="s">
        <v>292</v>
      </c>
      <c r="D305" s="1"/>
      <c r="E305" s="1"/>
      <c r="F305" s="1"/>
      <c r="G305" s="1"/>
      <c r="H305" s="1"/>
      <c r="I305" s="1"/>
      <c r="J305" s="1"/>
      <c r="K305" s="1"/>
      <c r="L305" s="1"/>
      <c r="M305" s="1"/>
    </row>
    <row r="306" spans="1:13" ht="20.25" customHeight="1">
      <c r="A306" s="428" t="s">
        <v>150</v>
      </c>
      <c r="C306" s="341" t="s">
        <v>634</v>
      </c>
      <c r="D306" s="93"/>
      <c r="E306" s="1"/>
      <c r="F306" s="1"/>
      <c r="G306" s="1"/>
      <c r="H306" s="1"/>
      <c r="I306" s="1"/>
      <c r="J306" s="1"/>
      <c r="K306" s="1"/>
      <c r="L306" s="1"/>
      <c r="M306" s="1"/>
    </row>
    <row r="307" spans="1:13" ht="20.25" customHeight="1">
      <c r="C307" s="341" t="s">
        <v>696</v>
      </c>
      <c r="D307" s="1"/>
      <c r="E307" s="1"/>
      <c r="F307" s="1"/>
      <c r="G307" s="1"/>
      <c r="H307" s="1"/>
      <c r="I307" s="1"/>
      <c r="J307" s="1"/>
      <c r="K307" s="1"/>
      <c r="L307" s="1"/>
      <c r="M307" s="158"/>
    </row>
    <row r="308" spans="1:13" ht="20.25" customHeight="1">
      <c r="C308" s="341" t="s">
        <v>365</v>
      </c>
      <c r="D308" s="1"/>
      <c r="E308" s="93"/>
      <c r="F308" s="1"/>
      <c r="G308" s="1"/>
      <c r="H308" s="1"/>
      <c r="I308" s="1"/>
      <c r="J308" s="1"/>
      <c r="K308" s="1"/>
      <c r="L308" s="1"/>
      <c r="M308" s="158"/>
    </row>
    <row r="309" spans="1:13" ht="20.25" customHeight="1">
      <c r="C309" s="341" t="s">
        <v>342</v>
      </c>
      <c r="D309" s="1"/>
      <c r="E309" s="93"/>
      <c r="F309" s="1"/>
      <c r="G309" s="1"/>
      <c r="H309" s="1"/>
      <c r="I309" s="1"/>
      <c r="J309" s="1"/>
      <c r="K309" s="1"/>
      <c r="L309" s="1"/>
      <c r="M309" s="158"/>
    </row>
    <row r="310" spans="1:13" ht="20.25" customHeight="1">
      <c r="C310" s="341"/>
      <c r="D310" s="1"/>
      <c r="E310" s="93"/>
      <c r="F310" s="1"/>
      <c r="G310" s="1"/>
      <c r="H310" s="1"/>
      <c r="I310" s="1"/>
      <c r="J310" s="1"/>
      <c r="K310" s="1"/>
      <c r="L310" s="1"/>
      <c r="M310" s="158"/>
    </row>
    <row r="311" spans="1:13" ht="18">
      <c r="A311" s="418"/>
      <c r="C311" s="414"/>
      <c r="D311" s="24"/>
      <c r="E311" s="25"/>
      <c r="F311" s="24"/>
      <c r="G311" s="24"/>
      <c r="H311" s="24"/>
      <c r="I311" s="24"/>
      <c r="J311" s="50" t="s">
        <v>296</v>
      </c>
      <c r="K311" s="60"/>
      <c r="M311" s="60"/>
    </row>
    <row r="312" spans="1:13">
      <c r="C312" s="414"/>
      <c r="D312" s="24"/>
      <c r="E312" s="25"/>
      <c r="F312" s="24"/>
      <c r="G312" s="24"/>
      <c r="H312" s="24"/>
      <c r="I312" s="24"/>
      <c r="J312" s="1031" t="s">
        <v>403</v>
      </c>
      <c r="M312" s="50"/>
    </row>
    <row r="313" spans="1:13">
      <c r="C313" s="414"/>
      <c r="D313" s="24"/>
      <c r="E313" s="25"/>
      <c r="F313" s="24"/>
      <c r="G313" s="24"/>
      <c r="H313" s="24"/>
      <c r="I313" s="24"/>
      <c r="J313" s="50"/>
      <c r="M313" s="50"/>
    </row>
    <row r="314" spans="1:13">
      <c r="C314" s="414"/>
      <c r="D314" s="24"/>
      <c r="E314" s="25"/>
      <c r="F314" s="24"/>
      <c r="G314" s="24"/>
      <c r="H314" s="24"/>
      <c r="I314" s="24"/>
      <c r="M314" s="50"/>
    </row>
    <row r="315" spans="1:13">
      <c r="C315" s="414"/>
      <c r="D315" s="24"/>
      <c r="E315" s="25"/>
      <c r="F315" s="24"/>
      <c r="G315" s="24"/>
      <c r="H315" s="24"/>
      <c r="I315" s="24"/>
      <c r="K315" s="1"/>
      <c r="M315" s="50"/>
    </row>
    <row r="316" spans="1:13">
      <c r="C316" s="414"/>
      <c r="D316" s="24"/>
      <c r="E316" s="25"/>
      <c r="F316" s="24"/>
      <c r="G316" s="24"/>
      <c r="H316" s="24"/>
      <c r="I316" s="24"/>
      <c r="J316" s="50"/>
      <c r="K316" s="1"/>
      <c r="M316" s="50"/>
    </row>
    <row r="317" spans="1:13">
      <c r="C317" s="414" t="s">
        <v>6</v>
      </c>
      <c r="D317" s="24"/>
      <c r="E317" s="25"/>
      <c r="F317" s="24"/>
      <c r="G317" s="24"/>
      <c r="H317" s="24"/>
      <c r="I317" s="24"/>
      <c r="J317" s="61" t="str">
        <f>$J$7</f>
        <v>For the 12 months ended: 12/31/2021</v>
      </c>
      <c r="K317" s="1"/>
      <c r="M317" s="50"/>
    </row>
    <row r="318" spans="1:13">
      <c r="A318" s="419" t="str">
        <f>$A$8</f>
        <v>Rate Formula Template</v>
      </c>
      <c r="B318" s="70"/>
      <c r="C318" s="172"/>
      <c r="D318" s="144"/>
      <c r="E318" s="70"/>
      <c r="F318" s="144"/>
      <c r="G318" s="144"/>
      <c r="H318" s="144"/>
      <c r="I318" s="144"/>
      <c r="J318" s="70"/>
      <c r="K318" s="24"/>
      <c r="L318" s="70"/>
      <c r="M318" s="1"/>
    </row>
    <row r="319" spans="1:13">
      <c r="A319" s="420" t="s">
        <v>267</v>
      </c>
      <c r="B319" s="70"/>
      <c r="C319" s="185"/>
      <c r="D319" s="145"/>
      <c r="E319" s="70"/>
      <c r="F319" s="145"/>
      <c r="G319" s="145"/>
      <c r="H319" s="145"/>
      <c r="I319" s="144"/>
      <c r="J319" s="144"/>
      <c r="K319" s="24"/>
      <c r="L319" s="146"/>
      <c r="M319" s="1"/>
    </row>
    <row r="320" spans="1:13">
      <c r="A320" s="420"/>
      <c r="B320" s="70"/>
      <c r="C320" s="226"/>
      <c r="D320" s="146"/>
      <c r="E320" s="70"/>
      <c r="F320" s="146"/>
      <c r="G320" s="146"/>
      <c r="H320" s="146"/>
      <c r="I320" s="146"/>
      <c r="J320" s="146"/>
      <c r="K320" s="24"/>
      <c r="L320" s="146"/>
      <c r="M320" s="24"/>
    </row>
    <row r="321" spans="1:13" ht="15.75">
      <c r="A321" s="421" t="str">
        <f>$A$11</f>
        <v>DUKE ENERGY OHIO (DEO)</v>
      </c>
      <c r="B321" s="70"/>
      <c r="C321" s="226"/>
      <c r="D321" s="146"/>
      <c r="E321" s="70"/>
      <c r="F321" s="146"/>
      <c r="G321" s="146"/>
      <c r="H321" s="146"/>
      <c r="I321" s="146"/>
      <c r="J321" s="146"/>
      <c r="K321" s="24"/>
      <c r="L321" s="146"/>
      <c r="M321" s="24"/>
    </row>
    <row r="322" spans="1:13">
      <c r="A322" s="416"/>
      <c r="B322" s="24"/>
      <c r="C322" s="415"/>
      <c r="D322" s="26"/>
      <c r="E322" s="2"/>
      <c r="F322" s="2"/>
      <c r="G322" s="2"/>
      <c r="H322" s="2"/>
      <c r="I322" s="24"/>
      <c r="J322" s="155"/>
      <c r="K322" s="24"/>
      <c r="L322" s="154"/>
      <c r="M322" s="24"/>
    </row>
    <row r="323" spans="1:13" ht="20.25">
      <c r="A323" s="416"/>
      <c r="B323" s="24"/>
      <c r="C323" s="414" t="s">
        <v>93</v>
      </c>
      <c r="D323" s="26"/>
      <c r="E323" s="2"/>
      <c r="F323" s="2"/>
      <c r="G323" s="2"/>
      <c r="H323" s="2"/>
      <c r="I323" s="24"/>
      <c r="J323" s="2"/>
      <c r="K323" s="24"/>
      <c r="L323" s="2"/>
      <c r="M323" s="156"/>
    </row>
    <row r="324" spans="1:13" ht="20.25">
      <c r="A324" s="416"/>
      <c r="B324" s="24"/>
      <c r="C324" s="414" t="s">
        <v>576</v>
      </c>
      <c r="D324" s="24"/>
      <c r="E324" s="2"/>
      <c r="F324" s="2"/>
      <c r="G324" s="2"/>
      <c r="H324" s="2"/>
      <c r="I324" s="24"/>
      <c r="J324" s="2"/>
      <c r="K324" s="24"/>
      <c r="L324" s="2"/>
      <c r="M324" s="156"/>
    </row>
    <row r="325" spans="1:13" ht="20.25">
      <c r="A325" s="422" t="s">
        <v>575</v>
      </c>
      <c r="B325" s="24"/>
      <c r="C325" s="414"/>
      <c r="D325" s="24"/>
      <c r="E325" s="2"/>
      <c r="F325" s="2"/>
      <c r="G325" s="2"/>
      <c r="H325" s="2"/>
      <c r="I325" s="24"/>
      <c r="J325" s="2"/>
      <c r="K325" s="24"/>
      <c r="L325" s="2"/>
      <c r="M325" s="156"/>
    </row>
    <row r="326" spans="1:13" ht="20.25" customHeight="1">
      <c r="A326" s="428" t="s">
        <v>169</v>
      </c>
      <c r="C326" s="341" t="s">
        <v>855</v>
      </c>
      <c r="D326" s="1"/>
      <c r="E326" s="1"/>
      <c r="F326" s="1"/>
      <c r="G326" s="1"/>
      <c r="H326" s="1"/>
      <c r="I326" s="1"/>
      <c r="J326" s="1"/>
      <c r="K326" s="1"/>
      <c r="L326" s="1"/>
      <c r="M326" s="158"/>
    </row>
    <row r="327" spans="1:13" ht="20.25" customHeight="1">
      <c r="A327" s="428"/>
      <c r="C327" s="341" t="s">
        <v>591</v>
      </c>
      <c r="D327" s="1"/>
      <c r="E327" s="1"/>
      <c r="F327" s="1"/>
      <c r="G327" s="1"/>
      <c r="H327" s="1"/>
      <c r="I327" s="1"/>
      <c r="J327" s="1"/>
      <c r="K327" s="1"/>
      <c r="L327" s="1"/>
      <c r="M327" s="158"/>
    </row>
    <row r="328" spans="1:13" ht="20.25" customHeight="1">
      <c r="A328" s="428"/>
      <c r="C328" s="341" t="s">
        <v>401</v>
      </c>
      <c r="D328" s="1"/>
      <c r="E328" s="1"/>
      <c r="F328" s="1"/>
      <c r="G328" s="1"/>
      <c r="H328" s="1"/>
      <c r="I328" s="1"/>
      <c r="J328" s="1"/>
      <c r="K328" s="1"/>
      <c r="L328" s="1"/>
      <c r="M328" s="158"/>
    </row>
    <row r="329" spans="1:13" ht="20.25" customHeight="1">
      <c r="A329" s="428" t="s">
        <v>3</v>
      </c>
      <c r="C329" s="341" t="s">
        <v>567</v>
      </c>
      <c r="D329" s="1"/>
      <c r="E329" s="1"/>
      <c r="F329" s="1"/>
      <c r="G329" s="1"/>
      <c r="H329" s="1"/>
      <c r="I329" s="1"/>
      <c r="J329" s="1"/>
      <c r="K329" s="1"/>
      <c r="L329" s="1"/>
      <c r="M329" s="158"/>
    </row>
    <row r="330" spans="1:13" ht="20.25" customHeight="1">
      <c r="A330" s="428" t="s">
        <v>364</v>
      </c>
      <c r="C330" s="341" t="s">
        <v>580</v>
      </c>
      <c r="D330" s="1"/>
      <c r="E330" s="1"/>
      <c r="F330" s="1"/>
      <c r="G330" s="1"/>
      <c r="H330" s="1"/>
      <c r="I330" s="1"/>
      <c r="J330" s="1"/>
      <c r="K330" s="1"/>
      <c r="L330" s="1"/>
      <c r="M330" s="158"/>
    </row>
    <row r="331" spans="1:13" ht="20.25" customHeight="1">
      <c r="A331" s="428"/>
      <c r="C331" s="341" t="s">
        <v>581</v>
      </c>
      <c r="D331" s="1"/>
      <c r="E331" s="1"/>
      <c r="F331" s="1"/>
      <c r="G331" s="1"/>
      <c r="H331" s="1"/>
      <c r="I331" s="1"/>
      <c r="J331" s="1"/>
      <c r="K331" s="1"/>
      <c r="L331" s="1"/>
      <c r="M331" s="158"/>
    </row>
    <row r="332" spans="1:13" ht="20.25" customHeight="1">
      <c r="A332" s="428" t="s">
        <v>464</v>
      </c>
      <c r="C332" s="342" t="s">
        <v>809</v>
      </c>
      <c r="D332" s="1"/>
      <c r="E332" s="1"/>
      <c r="F332" s="1"/>
      <c r="G332" s="1"/>
      <c r="H332" s="1"/>
      <c r="I332" s="1"/>
      <c r="J332" s="1"/>
      <c r="K332" s="1"/>
      <c r="L332" s="1"/>
      <c r="M332" s="158"/>
    </row>
    <row r="333" spans="1:13" ht="20.25" customHeight="1">
      <c r="C333" s="342" t="s">
        <v>810</v>
      </c>
      <c r="D333" s="1"/>
      <c r="E333" s="1"/>
      <c r="F333" s="1"/>
      <c r="G333" s="1"/>
      <c r="H333" s="1"/>
      <c r="I333" s="1"/>
      <c r="J333" s="1"/>
      <c r="K333" s="1"/>
      <c r="L333" s="1"/>
      <c r="M333" s="158"/>
    </row>
    <row r="334" spans="1:13" ht="20.25" customHeight="1">
      <c r="A334" s="428" t="s">
        <v>465</v>
      </c>
      <c r="C334" s="342" t="s">
        <v>527</v>
      </c>
      <c r="D334" s="1"/>
      <c r="E334" s="1"/>
      <c r="F334" s="1"/>
      <c r="G334" s="1"/>
      <c r="H334" s="1"/>
      <c r="I334" s="1"/>
      <c r="J334" s="1"/>
      <c r="K334" s="1"/>
      <c r="L334" s="1"/>
      <c r="M334" s="158"/>
    </row>
    <row r="335" spans="1:13" ht="20.25" customHeight="1">
      <c r="A335" s="428"/>
      <c r="C335" s="342" t="s">
        <v>528</v>
      </c>
      <c r="M335" s="52"/>
    </row>
    <row r="336" spans="1:13" ht="20.25" customHeight="1">
      <c r="A336" s="865" t="s">
        <v>971</v>
      </c>
      <c r="B336" s="342"/>
      <c r="C336" s="342" t="s">
        <v>972</v>
      </c>
      <c r="D336" s="342"/>
      <c r="E336" s="342"/>
      <c r="F336" s="342"/>
      <c r="G336" s="342"/>
      <c r="H336" s="342"/>
      <c r="I336" s="342"/>
      <c r="J336" s="342"/>
      <c r="K336" s="342"/>
      <c r="M336" s="52"/>
    </row>
    <row r="337" spans="1:13" ht="20.25" customHeight="1">
      <c r="A337" s="865"/>
      <c r="B337" s="342"/>
      <c r="C337" s="342" t="s">
        <v>973</v>
      </c>
      <c r="D337" s="342"/>
      <c r="E337" s="342"/>
      <c r="F337" s="342"/>
      <c r="G337" s="342"/>
      <c r="H337" s="342"/>
      <c r="I337" s="342"/>
      <c r="J337" s="342"/>
      <c r="K337" s="342"/>
      <c r="M337" s="52"/>
    </row>
    <row r="338" spans="1:13" ht="20.25" customHeight="1">
      <c r="A338" s="865"/>
      <c r="B338" s="342"/>
      <c r="C338" s="342" t="s">
        <v>975</v>
      </c>
      <c r="D338" s="342"/>
      <c r="E338" s="342"/>
      <c r="F338" s="342"/>
      <c r="G338" s="342"/>
      <c r="H338" s="342"/>
      <c r="I338" s="342"/>
      <c r="J338" s="342"/>
      <c r="K338" s="342"/>
      <c r="M338" s="52"/>
    </row>
    <row r="339" spans="1:13" ht="20.25" customHeight="1">
      <c r="A339" s="866"/>
      <c r="B339" s="342"/>
      <c r="C339" s="342" t="s">
        <v>974</v>
      </c>
      <c r="D339" s="342"/>
      <c r="E339" s="342"/>
      <c r="F339" s="342"/>
      <c r="G339" s="342"/>
      <c r="H339" s="342"/>
      <c r="I339" s="342"/>
      <c r="J339" s="342"/>
      <c r="K339" s="342"/>
      <c r="M339" s="52"/>
    </row>
    <row r="340" spans="1:13" ht="20.25" customHeight="1">
      <c r="A340" s="866"/>
      <c r="B340" s="342"/>
      <c r="C340" s="414"/>
      <c r="D340" s="342"/>
      <c r="E340" s="342"/>
      <c r="F340" s="342"/>
      <c r="G340" s="342"/>
      <c r="H340" s="342"/>
      <c r="I340" s="342"/>
      <c r="J340" s="342"/>
      <c r="K340" s="342"/>
      <c r="M340" s="52"/>
    </row>
    <row r="341" spans="1:13">
      <c r="C341" s="24"/>
      <c r="M341" s="52"/>
    </row>
    <row r="342" spans="1:13">
      <c r="C342" s="24"/>
      <c r="M342" s="52"/>
    </row>
    <row r="343" spans="1:13">
      <c r="C343" s="24"/>
      <c r="M343" s="52"/>
    </row>
    <row r="344" spans="1:13">
      <c r="C344" s="24"/>
      <c r="M344" s="52"/>
    </row>
    <row r="345" spans="1:13">
      <c r="C345" s="24"/>
      <c r="M345" s="52"/>
    </row>
    <row r="346" spans="1:13">
      <c r="M346" s="52"/>
    </row>
    <row r="347" spans="1:13">
      <c r="M347" s="52"/>
    </row>
    <row r="348" spans="1:13">
      <c r="M348" s="52"/>
    </row>
    <row r="349" spans="1:13">
      <c r="M349" s="52"/>
    </row>
    <row r="350" spans="1:13">
      <c r="M350" s="52"/>
    </row>
    <row r="351" spans="1:13">
      <c r="M351" s="52"/>
    </row>
    <row r="352" spans="1:13">
      <c r="M352" s="52"/>
    </row>
    <row r="353" spans="13:13">
      <c r="M353" s="52"/>
    </row>
    <row r="354" spans="13:13">
      <c r="M354" s="52"/>
    </row>
    <row r="355" spans="13:13">
      <c r="M355" s="52"/>
    </row>
    <row r="356" spans="13:13">
      <c r="M356" s="52"/>
    </row>
    <row r="357" spans="13:13">
      <c r="M357" s="52"/>
    </row>
    <row r="358" spans="13:13">
      <c r="M358" s="52"/>
    </row>
    <row r="359" spans="13:13">
      <c r="M359" s="52"/>
    </row>
    <row r="360" spans="13:13">
      <c r="M360" s="52"/>
    </row>
    <row r="361" spans="13:13">
      <c r="M361" s="52"/>
    </row>
    <row r="362" spans="13:13">
      <c r="M362" s="52"/>
    </row>
    <row r="363" spans="13:13">
      <c r="M363" s="52"/>
    </row>
    <row r="364" spans="13:13">
      <c r="M364" s="52"/>
    </row>
    <row r="365" spans="13:13">
      <c r="M365" s="52"/>
    </row>
    <row r="366" spans="13:13">
      <c r="M366" s="52"/>
    </row>
    <row r="367" spans="13:13">
      <c r="M367" s="52"/>
    </row>
    <row r="368" spans="13:13">
      <c r="M368" s="52"/>
    </row>
    <row r="369" spans="3:13">
      <c r="M369" s="52"/>
    </row>
    <row r="370" spans="3:13">
      <c r="M370" s="52"/>
    </row>
    <row r="371" spans="3:13">
      <c r="M371" s="52"/>
    </row>
    <row r="372" spans="3:13">
      <c r="M372" s="52"/>
    </row>
    <row r="373" spans="3:13">
      <c r="M373" s="52"/>
    </row>
    <row r="374" spans="3:13">
      <c r="M374" s="52"/>
    </row>
    <row r="375" spans="3:13">
      <c r="M375" s="52"/>
    </row>
    <row r="376" spans="3:13">
      <c r="M376" s="52"/>
    </row>
    <row r="377" spans="3:13">
      <c r="M377" s="52"/>
    </row>
    <row r="378" spans="3:13">
      <c r="M378" s="52"/>
    </row>
    <row r="379" spans="3:13">
      <c r="C379" s="52"/>
      <c r="D379" s="52"/>
      <c r="E379" s="52"/>
      <c r="F379" s="52"/>
      <c r="G379" s="52"/>
      <c r="H379" s="52"/>
      <c r="I379" s="52"/>
      <c r="J379" s="52"/>
      <c r="K379" s="52"/>
      <c r="L379" s="52"/>
      <c r="M379" s="52"/>
    </row>
    <row r="380" spans="3:13">
      <c r="C380" s="52"/>
      <c r="D380" s="52"/>
      <c r="E380" s="52"/>
      <c r="F380" s="52"/>
      <c r="G380" s="52"/>
      <c r="H380" s="52"/>
      <c r="I380" s="52"/>
      <c r="J380" s="52"/>
      <c r="K380" s="52"/>
      <c r="L380" s="52"/>
      <c r="M380" s="52"/>
    </row>
    <row r="381" spans="3:13">
      <c r="C381" s="52"/>
      <c r="D381" s="52"/>
      <c r="E381" s="52"/>
      <c r="F381" s="52"/>
      <c r="G381" s="52"/>
      <c r="H381" s="52"/>
      <c r="I381" s="52"/>
      <c r="J381" s="52"/>
      <c r="K381" s="52"/>
      <c r="L381" s="52"/>
      <c r="M381" s="52"/>
    </row>
    <row r="382" spans="3:13">
      <c r="C382" s="52"/>
      <c r="D382" s="52"/>
      <c r="E382" s="52"/>
      <c r="F382" s="52"/>
      <c r="G382" s="52"/>
      <c r="H382" s="52"/>
      <c r="I382" s="52"/>
      <c r="J382" s="52"/>
      <c r="K382" s="52"/>
      <c r="L382" s="52"/>
      <c r="M382" s="52"/>
    </row>
    <row r="383" spans="3:13">
      <c r="C383" s="52"/>
      <c r="D383" s="52"/>
      <c r="E383" s="52"/>
      <c r="F383" s="52"/>
      <c r="G383" s="52"/>
      <c r="H383" s="52"/>
      <c r="I383" s="52"/>
      <c r="J383" s="52"/>
      <c r="K383" s="52"/>
      <c r="L383" s="52"/>
      <c r="M383" s="52"/>
    </row>
    <row r="384" spans="3:13">
      <c r="C384" s="52"/>
      <c r="D384" s="52"/>
      <c r="E384" s="52"/>
      <c r="F384" s="52"/>
      <c r="G384" s="52"/>
      <c r="H384" s="52"/>
      <c r="I384" s="52"/>
      <c r="J384" s="52"/>
      <c r="K384" s="52"/>
      <c r="L384" s="52"/>
      <c r="M384" s="52"/>
    </row>
    <row r="385" spans="3:13">
      <c r="C385" s="52"/>
      <c r="D385" s="52"/>
      <c r="E385" s="52"/>
      <c r="F385" s="52"/>
      <c r="G385" s="52"/>
      <c r="H385" s="52"/>
      <c r="I385" s="52"/>
      <c r="J385" s="52"/>
      <c r="K385" s="52"/>
      <c r="L385" s="52"/>
      <c r="M385" s="52"/>
    </row>
    <row r="386" spans="3:13">
      <c r="C386" s="52"/>
      <c r="D386" s="52"/>
      <c r="E386" s="52"/>
      <c r="F386" s="52"/>
      <c r="G386" s="52"/>
      <c r="H386" s="52"/>
      <c r="I386" s="52"/>
      <c r="J386" s="52"/>
      <c r="K386" s="52"/>
      <c r="L386" s="52"/>
      <c r="M386" s="52"/>
    </row>
    <row r="387" spans="3:13">
      <c r="C387" s="52"/>
      <c r="D387" s="52"/>
      <c r="E387" s="52"/>
      <c r="F387" s="52"/>
      <c r="G387" s="52"/>
      <c r="H387" s="52"/>
      <c r="I387" s="52"/>
      <c r="J387" s="52"/>
      <c r="K387" s="52"/>
      <c r="L387" s="52"/>
      <c r="M387" s="52"/>
    </row>
    <row r="388" spans="3:13">
      <c r="C388" s="52"/>
      <c r="D388" s="52"/>
      <c r="E388" s="52"/>
      <c r="F388" s="52"/>
      <c r="G388" s="52"/>
      <c r="H388" s="52"/>
      <c r="I388" s="52"/>
      <c r="J388" s="52"/>
      <c r="K388" s="52"/>
      <c r="L388" s="52"/>
      <c r="M388" s="52"/>
    </row>
    <row r="389" spans="3:13">
      <c r="C389" s="52"/>
      <c r="D389" s="52"/>
      <c r="E389" s="52"/>
      <c r="F389" s="52"/>
      <c r="G389" s="52"/>
      <c r="H389" s="52"/>
      <c r="I389" s="52"/>
      <c r="J389" s="52"/>
      <c r="K389" s="52"/>
      <c r="L389" s="52"/>
      <c r="M389" s="52"/>
    </row>
    <row r="390" spans="3:13">
      <c r="C390" s="52"/>
      <c r="D390" s="52"/>
      <c r="E390" s="52"/>
      <c r="F390" s="52"/>
      <c r="G390" s="52"/>
      <c r="H390" s="52"/>
      <c r="I390" s="52"/>
      <c r="J390" s="52"/>
      <c r="K390" s="52"/>
      <c r="L390" s="52"/>
      <c r="M390" s="52"/>
    </row>
    <row r="391" spans="3:13">
      <c r="C391" s="52"/>
      <c r="D391" s="52"/>
      <c r="E391" s="52"/>
      <c r="F391" s="52"/>
      <c r="G391" s="52"/>
      <c r="H391" s="52"/>
      <c r="I391" s="52"/>
      <c r="J391" s="52"/>
      <c r="K391" s="52"/>
      <c r="L391" s="52"/>
      <c r="M391" s="52"/>
    </row>
    <row r="392" spans="3:13">
      <c r="C392" s="52"/>
      <c r="D392" s="52"/>
      <c r="E392" s="52"/>
      <c r="F392" s="52"/>
      <c r="G392" s="52"/>
      <c r="H392" s="52"/>
      <c r="I392" s="52"/>
      <c r="J392" s="52"/>
      <c r="K392" s="52"/>
      <c r="L392" s="52"/>
      <c r="M392" s="52"/>
    </row>
    <row r="393" spans="3:13">
      <c r="C393" s="52"/>
      <c r="D393" s="52"/>
      <c r="E393" s="52"/>
      <c r="F393" s="52"/>
      <c r="G393" s="52"/>
      <c r="H393" s="52"/>
      <c r="I393" s="52"/>
      <c r="J393" s="52"/>
      <c r="K393" s="52"/>
      <c r="L393" s="52"/>
      <c r="M393" s="52"/>
    </row>
    <row r="394" spans="3:13">
      <c r="C394" s="52"/>
      <c r="D394" s="52"/>
      <c r="E394" s="52"/>
      <c r="F394" s="52"/>
      <c r="G394" s="52"/>
      <c r="H394" s="52"/>
      <c r="I394" s="52"/>
      <c r="J394" s="52"/>
      <c r="K394" s="52"/>
      <c r="L394" s="52"/>
      <c r="M394" s="52"/>
    </row>
    <row r="395" spans="3:13">
      <c r="C395" s="52"/>
      <c r="D395" s="52"/>
      <c r="E395" s="52"/>
      <c r="F395" s="52"/>
      <c r="G395" s="52"/>
      <c r="H395" s="52"/>
      <c r="I395" s="52"/>
      <c r="J395" s="52"/>
      <c r="K395" s="52"/>
      <c r="L395" s="52"/>
      <c r="M395" s="52"/>
    </row>
    <row r="396" spans="3:13">
      <c r="C396" s="52"/>
      <c r="D396" s="52"/>
      <c r="E396" s="52"/>
      <c r="F396" s="52"/>
      <c r="G396" s="52"/>
      <c r="H396" s="52"/>
      <c r="I396" s="52"/>
      <c r="J396" s="52"/>
      <c r="K396" s="52"/>
      <c r="L396" s="52"/>
      <c r="M396" s="52"/>
    </row>
    <row r="397" spans="3:13">
      <c r="C397" s="52"/>
      <c r="D397" s="52"/>
      <c r="E397" s="52"/>
      <c r="F397" s="52"/>
      <c r="G397" s="52"/>
      <c r="H397" s="52"/>
      <c r="I397" s="52"/>
      <c r="J397" s="52"/>
      <c r="K397" s="52"/>
      <c r="L397" s="52"/>
      <c r="M397" s="52"/>
    </row>
    <row r="398" spans="3:13">
      <c r="C398" s="52"/>
      <c r="D398" s="52"/>
      <c r="E398" s="52"/>
      <c r="F398" s="52"/>
      <c r="G398" s="52"/>
      <c r="H398" s="52"/>
      <c r="I398" s="52"/>
      <c r="J398" s="52"/>
      <c r="K398" s="52"/>
      <c r="L398" s="52"/>
      <c r="M398" s="52"/>
    </row>
    <row r="399" spans="3:13">
      <c r="C399" s="52"/>
      <c r="D399" s="52"/>
      <c r="E399" s="52"/>
      <c r="F399" s="52"/>
      <c r="G399" s="52"/>
      <c r="H399" s="52"/>
      <c r="I399" s="52"/>
      <c r="J399" s="52"/>
      <c r="K399" s="52"/>
      <c r="L399" s="52"/>
      <c r="M399" s="52"/>
    </row>
    <row r="400" spans="3:13">
      <c r="C400" s="52"/>
      <c r="D400" s="52"/>
      <c r="E400" s="52"/>
      <c r="F400" s="52"/>
      <c r="G400" s="52"/>
      <c r="H400" s="52"/>
      <c r="I400" s="52"/>
      <c r="J400" s="52"/>
      <c r="K400" s="52"/>
      <c r="L400" s="52"/>
      <c r="M400" s="52"/>
    </row>
    <row r="401" spans="3:13">
      <c r="C401" s="52"/>
      <c r="D401" s="52"/>
      <c r="E401" s="52"/>
      <c r="F401" s="52"/>
      <c r="G401" s="52"/>
      <c r="H401" s="52"/>
      <c r="I401" s="52"/>
      <c r="J401" s="52"/>
      <c r="K401" s="52"/>
      <c r="L401" s="52"/>
      <c r="M401" s="52"/>
    </row>
    <row r="402" spans="3:13">
      <c r="C402" s="52"/>
      <c r="D402" s="52"/>
      <c r="E402" s="52"/>
      <c r="F402" s="52"/>
      <c r="G402" s="52"/>
      <c r="H402" s="52"/>
      <c r="I402" s="52"/>
      <c r="J402" s="52"/>
      <c r="K402" s="52"/>
      <c r="L402" s="52"/>
      <c r="M402" s="52"/>
    </row>
    <row r="403" spans="3:13">
      <c r="C403" s="52"/>
      <c r="D403" s="52"/>
      <c r="E403" s="52"/>
      <c r="F403" s="52"/>
      <c r="G403" s="52"/>
      <c r="H403" s="52"/>
      <c r="I403" s="52"/>
      <c r="J403" s="52"/>
      <c r="K403" s="52"/>
      <c r="L403" s="52"/>
      <c r="M403" s="52"/>
    </row>
    <row r="404" spans="3:13">
      <c r="C404" s="52"/>
      <c r="D404" s="52"/>
      <c r="E404" s="52"/>
      <c r="F404" s="52"/>
      <c r="G404" s="52"/>
      <c r="H404" s="52"/>
      <c r="I404" s="52"/>
      <c r="J404" s="52"/>
      <c r="K404" s="52"/>
      <c r="L404" s="52"/>
      <c r="M404" s="52"/>
    </row>
    <row r="405" spans="3:13">
      <c r="C405" s="52"/>
      <c r="D405" s="52"/>
      <c r="E405" s="52"/>
      <c r="F405" s="52"/>
      <c r="G405" s="52"/>
      <c r="H405" s="52"/>
      <c r="I405" s="52"/>
      <c r="J405" s="52"/>
      <c r="K405" s="52"/>
      <c r="L405" s="52"/>
      <c r="M405" s="52"/>
    </row>
    <row r="406" spans="3:13">
      <c r="C406" s="52"/>
      <c r="D406" s="52"/>
      <c r="E406" s="52"/>
      <c r="F406" s="52"/>
      <c r="G406" s="52"/>
      <c r="H406" s="52"/>
      <c r="I406" s="52"/>
      <c r="J406" s="52"/>
      <c r="K406" s="52"/>
      <c r="L406" s="52"/>
      <c r="M406" s="52"/>
    </row>
    <row r="407" spans="3:13">
      <c r="C407" s="52"/>
      <c r="D407" s="52"/>
      <c r="E407" s="52"/>
      <c r="F407" s="52"/>
      <c r="G407" s="52"/>
      <c r="H407" s="52"/>
      <c r="I407" s="52"/>
      <c r="J407" s="52"/>
      <c r="K407" s="52"/>
      <c r="L407" s="52"/>
      <c r="M407" s="52"/>
    </row>
    <row r="408" spans="3:13">
      <c r="C408" s="52"/>
      <c r="D408" s="52"/>
      <c r="E408" s="52"/>
      <c r="F408" s="52"/>
      <c r="G408" s="52"/>
      <c r="H408" s="52"/>
      <c r="I408" s="52"/>
      <c r="J408" s="52"/>
      <c r="K408" s="52"/>
      <c r="L408" s="52"/>
      <c r="M408" s="52"/>
    </row>
    <row r="409" spans="3:13">
      <c r="C409" s="52"/>
      <c r="D409" s="52"/>
      <c r="E409" s="52"/>
      <c r="F409" s="52"/>
      <c r="G409" s="52"/>
      <c r="H409" s="52"/>
      <c r="I409" s="52"/>
      <c r="J409" s="52"/>
      <c r="K409" s="52"/>
      <c r="L409" s="52"/>
      <c r="M409" s="52"/>
    </row>
    <row r="410" spans="3:13">
      <c r="C410" s="52"/>
      <c r="D410" s="52"/>
      <c r="E410" s="52"/>
      <c r="F410" s="52"/>
      <c r="G410" s="52"/>
      <c r="H410" s="52"/>
      <c r="I410" s="52"/>
      <c r="J410" s="52"/>
      <c r="K410" s="52"/>
      <c r="L410" s="52"/>
      <c r="M410" s="52"/>
    </row>
    <row r="411" spans="3:13">
      <c r="C411" s="52"/>
      <c r="D411" s="52"/>
      <c r="E411" s="52"/>
      <c r="F411" s="52"/>
      <c r="G411" s="52"/>
      <c r="H411" s="52"/>
      <c r="I411" s="52"/>
      <c r="J411" s="52"/>
      <c r="K411" s="52"/>
      <c r="L411" s="52"/>
      <c r="M411" s="52"/>
    </row>
    <row r="412" spans="3:13">
      <c r="C412" s="52"/>
      <c r="D412" s="52"/>
      <c r="E412" s="52"/>
      <c r="F412" s="52"/>
      <c r="G412" s="52"/>
      <c r="H412" s="52"/>
      <c r="I412" s="52"/>
      <c r="J412" s="52"/>
      <c r="K412" s="52"/>
      <c r="L412" s="52"/>
      <c r="M412" s="52"/>
    </row>
    <row r="413" spans="3:13">
      <c r="C413" s="52"/>
      <c r="D413" s="52"/>
      <c r="E413" s="52"/>
      <c r="F413" s="52"/>
      <c r="G413" s="52"/>
      <c r="H413" s="52"/>
      <c r="I413" s="52"/>
      <c r="J413" s="52"/>
      <c r="K413" s="52"/>
      <c r="L413" s="52"/>
      <c r="M413" s="52"/>
    </row>
    <row r="414" spans="3:13">
      <c r="C414" s="52"/>
      <c r="D414" s="52"/>
      <c r="E414" s="52"/>
      <c r="F414" s="52"/>
      <c r="G414" s="52"/>
      <c r="H414" s="52"/>
      <c r="I414" s="52"/>
      <c r="J414" s="52"/>
      <c r="K414" s="52"/>
      <c r="L414" s="52"/>
      <c r="M414" s="52"/>
    </row>
    <row r="415" spans="3:13">
      <c r="C415" s="52"/>
      <c r="D415" s="52"/>
      <c r="E415" s="52"/>
      <c r="F415" s="52"/>
      <c r="G415" s="52"/>
      <c r="H415" s="52"/>
      <c r="I415" s="52"/>
      <c r="J415" s="52"/>
      <c r="K415" s="52"/>
      <c r="L415" s="52"/>
      <c r="M415" s="52"/>
    </row>
    <row r="416" spans="3:13">
      <c r="C416" s="52"/>
      <c r="D416" s="52"/>
      <c r="E416" s="52"/>
      <c r="F416" s="52"/>
      <c r="G416" s="52"/>
      <c r="H416" s="52"/>
      <c r="I416" s="52"/>
      <c r="J416" s="52"/>
      <c r="K416" s="52"/>
      <c r="L416" s="52"/>
      <c r="M416" s="52"/>
    </row>
    <row r="417" spans="3:13">
      <c r="C417" s="52"/>
      <c r="D417" s="52"/>
      <c r="E417" s="52"/>
      <c r="F417" s="52"/>
      <c r="G417" s="52"/>
      <c r="H417" s="52"/>
      <c r="I417" s="52"/>
      <c r="J417" s="52"/>
      <c r="K417" s="52"/>
      <c r="L417" s="52"/>
      <c r="M417" s="52"/>
    </row>
    <row r="418" spans="3:13">
      <c r="C418" s="52"/>
      <c r="D418" s="52"/>
      <c r="E418" s="52"/>
      <c r="F418" s="52"/>
      <c r="G418" s="52"/>
      <c r="H418" s="52"/>
      <c r="I418" s="52"/>
      <c r="J418" s="52"/>
      <c r="K418" s="52"/>
      <c r="L418" s="52"/>
      <c r="M418" s="52"/>
    </row>
    <row r="419" spans="3:13">
      <c r="C419" s="52"/>
      <c r="D419" s="52"/>
      <c r="E419" s="52"/>
      <c r="F419" s="52"/>
      <c r="G419" s="52"/>
      <c r="H419" s="52"/>
      <c r="I419" s="52"/>
      <c r="J419" s="52"/>
      <c r="K419" s="52"/>
      <c r="L419" s="52"/>
      <c r="M419" s="52"/>
    </row>
    <row r="420" spans="3:13">
      <c r="C420" s="52"/>
      <c r="D420" s="52"/>
      <c r="E420" s="52"/>
      <c r="F420" s="52"/>
      <c r="G420" s="52"/>
      <c r="H420" s="52"/>
      <c r="I420" s="52"/>
      <c r="J420" s="52"/>
      <c r="K420" s="52"/>
      <c r="L420" s="52"/>
      <c r="M420" s="52"/>
    </row>
    <row r="421" spans="3:13">
      <c r="C421" s="52"/>
      <c r="D421" s="52"/>
      <c r="E421" s="52"/>
      <c r="F421" s="52"/>
      <c r="G421" s="52"/>
      <c r="H421" s="52"/>
      <c r="I421" s="52"/>
      <c r="J421" s="52"/>
      <c r="K421" s="52"/>
      <c r="L421" s="52"/>
      <c r="M421" s="52"/>
    </row>
    <row r="422" spans="3:13">
      <c r="C422" s="52"/>
      <c r="D422" s="52"/>
      <c r="E422" s="52"/>
      <c r="F422" s="52"/>
      <c r="G422" s="52"/>
      <c r="H422" s="52"/>
      <c r="I422" s="52"/>
      <c r="J422" s="52"/>
      <c r="K422" s="52"/>
      <c r="L422" s="52"/>
      <c r="M422" s="52"/>
    </row>
    <row r="423" spans="3:13">
      <c r="C423" s="52"/>
      <c r="D423" s="52"/>
      <c r="E423" s="52"/>
      <c r="F423" s="52"/>
      <c r="G423" s="52"/>
      <c r="H423" s="52"/>
      <c r="I423" s="52"/>
      <c r="J423" s="52"/>
      <c r="K423" s="52"/>
      <c r="L423" s="52"/>
      <c r="M423" s="52"/>
    </row>
    <row r="424" spans="3:13">
      <c r="C424" s="52"/>
      <c r="D424" s="52"/>
      <c r="E424" s="52"/>
      <c r="F424" s="52"/>
      <c r="G424" s="52"/>
      <c r="H424" s="52"/>
      <c r="I424" s="52"/>
      <c r="J424" s="52"/>
      <c r="K424" s="52"/>
      <c r="L424" s="52"/>
      <c r="M424" s="52"/>
    </row>
    <row r="425" spans="3:13">
      <c r="C425" s="52"/>
      <c r="D425" s="52"/>
      <c r="E425" s="52"/>
      <c r="F425" s="52"/>
      <c r="G425" s="52"/>
      <c r="H425" s="52"/>
      <c r="I425" s="52"/>
      <c r="J425" s="52"/>
      <c r="K425" s="52"/>
      <c r="L425" s="52"/>
      <c r="M425" s="52"/>
    </row>
    <row r="426" spans="3:13">
      <c r="C426" s="52"/>
      <c r="D426" s="52"/>
      <c r="E426" s="52"/>
      <c r="F426" s="52"/>
      <c r="G426" s="52"/>
      <c r="H426" s="52"/>
      <c r="I426" s="52"/>
      <c r="J426" s="52"/>
      <c r="K426" s="52"/>
      <c r="L426" s="52"/>
      <c r="M426" s="52"/>
    </row>
    <row r="427" spans="3:13">
      <c r="C427" s="52"/>
      <c r="D427" s="52"/>
      <c r="E427" s="52"/>
      <c r="F427" s="52"/>
      <c r="G427" s="52"/>
      <c r="H427" s="52"/>
      <c r="I427" s="52"/>
      <c r="J427" s="52"/>
      <c r="K427" s="52"/>
      <c r="L427" s="52"/>
      <c r="M427" s="52"/>
    </row>
    <row r="428" spans="3:13">
      <c r="C428" s="52"/>
      <c r="D428" s="52"/>
      <c r="E428" s="52"/>
      <c r="F428" s="52"/>
      <c r="G428" s="52"/>
      <c r="H428" s="52"/>
      <c r="I428" s="52"/>
      <c r="J428" s="52"/>
      <c r="K428" s="52"/>
      <c r="L428" s="52"/>
      <c r="M428" s="52"/>
    </row>
    <row r="429" spans="3:13">
      <c r="C429" s="52"/>
      <c r="D429" s="52"/>
      <c r="E429" s="52"/>
      <c r="F429" s="52"/>
      <c r="G429" s="52"/>
      <c r="H429" s="52"/>
      <c r="I429" s="52"/>
      <c r="J429" s="52"/>
      <c r="K429" s="52"/>
      <c r="L429" s="52"/>
      <c r="M429" s="52"/>
    </row>
    <row r="430" spans="3:13">
      <c r="C430" s="52"/>
      <c r="D430" s="52"/>
      <c r="E430" s="52"/>
      <c r="F430" s="52"/>
      <c r="G430" s="52"/>
      <c r="H430" s="52"/>
      <c r="I430" s="52"/>
      <c r="J430" s="52"/>
      <c r="K430" s="52"/>
      <c r="L430" s="52"/>
      <c r="M430" s="52"/>
    </row>
    <row r="431" spans="3:13">
      <c r="C431" s="52"/>
      <c r="D431" s="52"/>
      <c r="E431" s="52"/>
      <c r="F431" s="52"/>
      <c r="G431" s="52"/>
      <c r="H431" s="52"/>
      <c r="I431" s="52"/>
      <c r="J431" s="52"/>
      <c r="K431" s="52"/>
      <c r="L431" s="52"/>
      <c r="M431" s="52"/>
    </row>
    <row r="432" spans="3:13">
      <c r="C432" s="52"/>
      <c r="D432" s="52"/>
      <c r="E432" s="52"/>
      <c r="F432" s="52"/>
      <c r="G432" s="52"/>
      <c r="H432" s="52"/>
      <c r="I432" s="52"/>
      <c r="J432" s="52"/>
      <c r="K432" s="52"/>
      <c r="L432" s="52"/>
      <c r="M432" s="52"/>
    </row>
    <row r="433" spans="3:13">
      <c r="C433" s="52"/>
      <c r="D433" s="52"/>
      <c r="E433" s="52"/>
      <c r="F433" s="52"/>
      <c r="G433" s="52"/>
      <c r="H433" s="52"/>
      <c r="I433" s="52"/>
      <c r="J433" s="52"/>
      <c r="K433" s="52"/>
      <c r="L433" s="52"/>
      <c r="M433" s="52"/>
    </row>
    <row r="434" spans="3:13">
      <c r="C434" s="52"/>
      <c r="D434" s="52"/>
      <c r="E434" s="52"/>
      <c r="F434" s="52"/>
      <c r="G434" s="52"/>
      <c r="H434" s="52"/>
      <c r="I434" s="52"/>
      <c r="J434" s="52"/>
      <c r="K434" s="52"/>
      <c r="L434" s="52"/>
      <c r="M434" s="52"/>
    </row>
    <row r="435" spans="3:13">
      <c r="C435" s="52"/>
      <c r="D435" s="52"/>
      <c r="E435" s="52"/>
      <c r="F435" s="52"/>
      <c r="G435" s="52"/>
      <c r="H435" s="52"/>
      <c r="I435" s="52"/>
      <c r="J435" s="52"/>
      <c r="K435" s="52"/>
      <c r="L435" s="52"/>
      <c r="M435" s="52"/>
    </row>
    <row r="436" spans="3:13">
      <c r="C436" s="52"/>
      <c r="D436" s="52"/>
      <c r="E436" s="52"/>
      <c r="F436" s="52"/>
      <c r="G436" s="52"/>
      <c r="H436" s="52"/>
      <c r="I436" s="52"/>
      <c r="J436" s="52"/>
      <c r="K436" s="52"/>
      <c r="L436" s="52"/>
      <c r="M436" s="52"/>
    </row>
    <row r="437" spans="3:13">
      <c r="C437" s="52"/>
      <c r="D437" s="52"/>
      <c r="E437" s="52"/>
      <c r="F437" s="52"/>
      <c r="G437" s="52"/>
      <c r="H437" s="52"/>
      <c r="I437" s="52"/>
      <c r="J437" s="52"/>
      <c r="K437" s="52"/>
      <c r="L437" s="52"/>
      <c r="M437" s="52"/>
    </row>
    <row r="438" spans="3:13">
      <c r="C438" s="52"/>
      <c r="D438" s="52"/>
      <c r="E438" s="52"/>
      <c r="F438" s="52"/>
      <c r="G438" s="52"/>
      <c r="H438" s="52"/>
      <c r="I438" s="52"/>
      <c r="J438" s="52"/>
      <c r="K438" s="52"/>
      <c r="L438" s="52"/>
      <c r="M438" s="52"/>
    </row>
    <row r="439" spans="3:13">
      <c r="C439" s="52"/>
      <c r="D439" s="52"/>
      <c r="E439" s="52"/>
      <c r="F439" s="52"/>
      <c r="G439" s="52"/>
      <c r="H439" s="52"/>
      <c r="I439" s="52"/>
      <c r="J439" s="52"/>
      <c r="K439" s="52"/>
      <c r="L439" s="52"/>
      <c r="M439" s="52"/>
    </row>
    <row r="440" spans="3:13">
      <c r="C440" s="52"/>
      <c r="D440" s="52"/>
      <c r="E440" s="52"/>
      <c r="F440" s="52"/>
      <c r="G440" s="52"/>
      <c r="H440" s="52"/>
      <c r="I440" s="52"/>
      <c r="J440" s="52"/>
      <c r="K440" s="52"/>
      <c r="L440" s="52"/>
      <c r="M440" s="52"/>
    </row>
    <row r="441" spans="3:13">
      <c r="C441" s="52"/>
      <c r="D441" s="52"/>
      <c r="E441" s="52"/>
      <c r="F441" s="52"/>
      <c r="G441" s="52"/>
      <c r="H441" s="52"/>
      <c r="I441" s="52"/>
      <c r="J441" s="52"/>
      <c r="K441" s="52"/>
      <c r="L441" s="52"/>
      <c r="M441" s="52"/>
    </row>
    <row r="442" spans="3:13">
      <c r="C442" s="52"/>
      <c r="D442" s="52"/>
      <c r="E442" s="52"/>
      <c r="F442" s="52"/>
      <c r="G442" s="52"/>
      <c r="H442" s="52"/>
      <c r="I442" s="52"/>
      <c r="J442" s="52"/>
      <c r="K442" s="52"/>
      <c r="L442" s="52"/>
      <c r="M442" s="52"/>
    </row>
    <row r="443" spans="3:13">
      <c r="C443" s="52"/>
      <c r="D443" s="52"/>
      <c r="E443" s="52"/>
      <c r="F443" s="52"/>
      <c r="G443" s="52"/>
      <c r="H443" s="52"/>
      <c r="I443" s="52"/>
      <c r="J443" s="52"/>
      <c r="K443" s="52"/>
      <c r="L443" s="52"/>
      <c r="M443" s="52"/>
    </row>
    <row r="444" spans="3:13">
      <c r="C444" s="52"/>
      <c r="D444" s="52"/>
      <c r="E444" s="52"/>
      <c r="F444" s="52"/>
      <c r="G444" s="52"/>
      <c r="H444" s="52"/>
      <c r="I444" s="52"/>
      <c r="J444" s="52"/>
      <c r="K444" s="52"/>
      <c r="L444" s="52"/>
      <c r="M444" s="52"/>
    </row>
    <row r="445" spans="3:13">
      <c r="C445" s="52"/>
      <c r="D445" s="52"/>
      <c r="E445" s="52"/>
      <c r="F445" s="52"/>
      <c r="G445" s="52"/>
      <c r="H445" s="52"/>
      <c r="I445" s="52"/>
      <c r="J445" s="52"/>
      <c r="K445" s="52"/>
      <c r="L445" s="52"/>
      <c r="M445" s="52"/>
    </row>
    <row r="446" spans="3:13">
      <c r="C446" s="52"/>
      <c r="D446" s="52"/>
      <c r="E446" s="52"/>
      <c r="F446" s="52"/>
      <c r="G446" s="52"/>
      <c r="H446" s="52"/>
      <c r="I446" s="52"/>
      <c r="J446" s="52"/>
      <c r="K446" s="52"/>
      <c r="L446" s="52"/>
      <c r="M446" s="52"/>
    </row>
    <row r="447" spans="3:13">
      <c r="C447" s="52"/>
      <c r="D447" s="52"/>
      <c r="E447" s="52"/>
      <c r="F447" s="52"/>
      <c r="G447" s="52"/>
      <c r="H447" s="52"/>
      <c r="I447" s="52"/>
      <c r="J447" s="52"/>
      <c r="K447" s="52"/>
      <c r="L447" s="52"/>
      <c r="M447" s="52"/>
    </row>
    <row r="448" spans="3:13">
      <c r="C448" s="52"/>
      <c r="D448" s="52"/>
      <c r="E448" s="52"/>
      <c r="F448" s="52"/>
      <c r="G448" s="52"/>
      <c r="H448" s="52"/>
      <c r="I448" s="52"/>
      <c r="J448" s="52"/>
      <c r="K448" s="52"/>
      <c r="L448" s="52"/>
      <c r="M448" s="52"/>
    </row>
    <row r="449" spans="3:13">
      <c r="C449" s="52"/>
      <c r="D449" s="52"/>
      <c r="E449" s="52"/>
      <c r="F449" s="52"/>
      <c r="G449" s="52"/>
      <c r="H449" s="52"/>
      <c r="I449" s="52"/>
      <c r="J449" s="52"/>
      <c r="K449" s="52"/>
      <c r="L449" s="52"/>
      <c r="M449" s="52"/>
    </row>
    <row r="450" spans="3:13">
      <c r="C450" s="52"/>
      <c r="D450" s="52"/>
      <c r="E450" s="52"/>
      <c r="F450" s="52"/>
      <c r="G450" s="52"/>
      <c r="H450" s="52"/>
      <c r="I450" s="52"/>
      <c r="J450" s="52"/>
      <c r="K450" s="52"/>
      <c r="L450" s="52"/>
      <c r="M450" s="52"/>
    </row>
    <row r="451" spans="3:13">
      <c r="C451" s="52"/>
      <c r="D451" s="52"/>
      <c r="E451" s="52"/>
      <c r="F451" s="52"/>
      <c r="G451" s="52"/>
      <c r="H451" s="52"/>
      <c r="I451" s="52"/>
      <c r="J451" s="52"/>
      <c r="K451" s="52"/>
      <c r="L451" s="52"/>
      <c r="M451" s="52"/>
    </row>
    <row r="452" spans="3:13">
      <c r="C452" s="52"/>
      <c r="D452" s="52"/>
      <c r="E452" s="52"/>
      <c r="F452" s="52"/>
      <c r="G452" s="52"/>
      <c r="H452" s="52"/>
      <c r="I452" s="52"/>
      <c r="J452" s="52"/>
      <c r="K452" s="52"/>
      <c r="L452" s="52"/>
      <c r="M452" s="52"/>
    </row>
    <row r="453" spans="3:13">
      <c r="C453" s="52"/>
      <c r="D453" s="52"/>
      <c r="E453" s="52"/>
      <c r="F453" s="52"/>
      <c r="G453" s="52"/>
      <c r="H453" s="52"/>
      <c r="I453" s="52"/>
      <c r="J453" s="52"/>
      <c r="K453" s="52"/>
      <c r="L453" s="52"/>
      <c r="M453" s="52"/>
    </row>
    <row r="454" spans="3:13">
      <c r="C454" s="52"/>
      <c r="D454" s="52"/>
      <c r="E454" s="52"/>
      <c r="F454" s="52"/>
      <c r="G454" s="52"/>
      <c r="H454" s="52"/>
      <c r="I454" s="52"/>
      <c r="J454" s="52"/>
      <c r="K454" s="52"/>
      <c r="L454" s="52"/>
      <c r="M454" s="52"/>
    </row>
    <row r="455" spans="3:13">
      <c r="C455" s="52"/>
      <c r="D455" s="52"/>
      <c r="E455" s="52"/>
      <c r="F455" s="52"/>
      <c r="G455" s="52"/>
      <c r="H455" s="52"/>
      <c r="I455" s="52"/>
      <c r="J455" s="52"/>
      <c r="K455" s="52"/>
      <c r="L455" s="52"/>
      <c r="M455" s="52"/>
    </row>
    <row r="456" spans="3:13">
      <c r="C456" s="52"/>
      <c r="D456" s="52"/>
      <c r="E456" s="52"/>
      <c r="F456" s="52"/>
      <c r="G456" s="52"/>
      <c r="H456" s="52"/>
      <c r="I456" s="52"/>
      <c r="J456" s="52"/>
      <c r="K456" s="52"/>
      <c r="L456" s="52"/>
      <c r="M456" s="52"/>
    </row>
    <row r="457" spans="3:13">
      <c r="C457" s="52"/>
      <c r="D457" s="52"/>
      <c r="E457" s="52"/>
      <c r="F457" s="52"/>
      <c r="G457" s="52"/>
      <c r="H457" s="52"/>
      <c r="I457" s="52"/>
      <c r="J457" s="52"/>
      <c r="K457" s="52"/>
      <c r="L457" s="52"/>
      <c r="M457" s="52"/>
    </row>
    <row r="458" spans="3:13">
      <c r="C458" s="52"/>
      <c r="D458" s="52"/>
      <c r="E458" s="52"/>
      <c r="F458" s="52"/>
      <c r="G458" s="52"/>
      <c r="H458" s="52"/>
      <c r="I458" s="52"/>
      <c r="J458" s="52"/>
      <c r="K458" s="52"/>
      <c r="L458" s="52"/>
      <c r="M458" s="52"/>
    </row>
    <row r="459" spans="3:13">
      <c r="C459" s="52"/>
      <c r="D459" s="52"/>
      <c r="E459" s="52"/>
      <c r="F459" s="52"/>
      <c r="G459" s="52"/>
      <c r="H459" s="52"/>
      <c r="I459" s="52"/>
      <c r="J459" s="52"/>
      <c r="K459" s="52"/>
      <c r="L459" s="52"/>
      <c r="M459" s="52"/>
    </row>
    <row r="460" spans="3:13">
      <c r="C460" s="52"/>
      <c r="D460" s="52"/>
      <c r="E460" s="52"/>
      <c r="F460" s="52"/>
      <c r="G460" s="52"/>
      <c r="H460" s="52"/>
      <c r="I460" s="52"/>
      <c r="J460" s="52"/>
      <c r="K460" s="52"/>
      <c r="L460" s="52"/>
      <c r="M460" s="52"/>
    </row>
    <row r="461" spans="3:13">
      <c r="C461" s="52"/>
      <c r="D461" s="52"/>
      <c r="E461" s="52"/>
      <c r="F461" s="52"/>
      <c r="G461" s="52"/>
      <c r="H461" s="52"/>
      <c r="I461" s="52"/>
      <c r="J461" s="52"/>
      <c r="K461" s="52"/>
      <c r="L461" s="52"/>
      <c r="M461" s="52"/>
    </row>
    <row r="462" spans="3:13">
      <c r="C462" s="52"/>
      <c r="D462" s="52"/>
      <c r="E462" s="52"/>
      <c r="F462" s="52"/>
      <c r="G462" s="52"/>
      <c r="H462" s="52"/>
      <c r="I462" s="52"/>
      <c r="J462" s="52"/>
      <c r="K462" s="52"/>
      <c r="L462" s="52"/>
      <c r="M462" s="52"/>
    </row>
    <row r="463" spans="3:13">
      <c r="C463" s="52"/>
      <c r="D463" s="52"/>
      <c r="E463" s="52"/>
      <c r="F463" s="52"/>
      <c r="G463" s="52"/>
      <c r="H463" s="52"/>
      <c r="I463" s="52"/>
      <c r="J463" s="52"/>
      <c r="K463" s="52"/>
      <c r="L463" s="52"/>
      <c r="M463" s="52"/>
    </row>
    <row r="464" spans="3:13">
      <c r="C464" s="52"/>
      <c r="D464" s="52"/>
      <c r="E464" s="52"/>
      <c r="F464" s="52"/>
      <c r="G464" s="52"/>
      <c r="H464" s="52"/>
      <c r="I464" s="52"/>
      <c r="J464" s="52"/>
      <c r="K464" s="52"/>
      <c r="L464" s="52"/>
      <c r="M464" s="52"/>
    </row>
    <row r="465" spans="3:13">
      <c r="C465" s="52"/>
      <c r="D465" s="52"/>
      <c r="E465" s="52"/>
      <c r="F465" s="52"/>
      <c r="G465" s="52"/>
      <c r="H465" s="52"/>
      <c r="I465" s="52"/>
      <c r="J465" s="52"/>
      <c r="K465" s="52"/>
      <c r="L465" s="52"/>
      <c r="M465" s="52"/>
    </row>
    <row r="466" spans="3:13">
      <c r="C466" s="52"/>
      <c r="D466" s="52"/>
      <c r="E466" s="52"/>
      <c r="F466" s="52"/>
      <c r="G466" s="52"/>
      <c r="H466" s="52"/>
      <c r="I466" s="52"/>
      <c r="J466" s="52"/>
      <c r="K466" s="52"/>
      <c r="L466" s="52"/>
      <c r="M466" s="52"/>
    </row>
    <row r="467" spans="3:13">
      <c r="C467" s="52"/>
      <c r="D467" s="52"/>
      <c r="E467" s="52"/>
      <c r="F467" s="52"/>
      <c r="G467" s="52"/>
      <c r="H467" s="52"/>
      <c r="I467" s="52"/>
      <c r="J467" s="52"/>
      <c r="K467" s="52"/>
      <c r="L467" s="52"/>
      <c r="M467" s="52"/>
    </row>
    <row r="468" spans="3:13">
      <c r="C468" s="52"/>
      <c r="D468" s="52"/>
      <c r="E468" s="52"/>
      <c r="F468" s="52"/>
      <c r="G468" s="52"/>
      <c r="H468" s="52"/>
      <c r="I468" s="52"/>
      <c r="J468" s="52"/>
      <c r="K468" s="52"/>
      <c r="L468" s="52"/>
      <c r="M468" s="52"/>
    </row>
    <row r="469" spans="3:13">
      <c r="C469" s="52"/>
      <c r="D469" s="52"/>
      <c r="E469" s="52"/>
      <c r="F469" s="52"/>
      <c r="G469" s="52"/>
      <c r="H469" s="52"/>
      <c r="I469" s="52"/>
      <c r="J469" s="52"/>
      <c r="K469" s="52"/>
      <c r="L469" s="52"/>
      <c r="M469" s="52"/>
    </row>
    <row r="470" spans="3:13">
      <c r="C470" s="52"/>
      <c r="D470" s="52"/>
      <c r="E470" s="52"/>
      <c r="F470" s="52"/>
      <c r="G470" s="52"/>
      <c r="H470" s="52"/>
      <c r="I470" s="52"/>
      <c r="J470" s="52"/>
      <c r="K470" s="52"/>
      <c r="L470" s="52"/>
      <c r="M470" s="52"/>
    </row>
    <row r="471" spans="3:13">
      <c r="C471" s="52"/>
      <c r="D471" s="52"/>
      <c r="E471" s="52"/>
      <c r="F471" s="52"/>
      <c r="G471" s="52"/>
      <c r="H471" s="52"/>
      <c r="I471" s="52"/>
      <c r="J471" s="52"/>
      <c r="K471" s="52"/>
      <c r="L471" s="52"/>
      <c r="M471" s="52"/>
    </row>
    <row r="472" spans="3:13">
      <c r="C472" s="52"/>
      <c r="D472" s="52"/>
      <c r="E472" s="52"/>
      <c r="F472" s="52"/>
      <c r="G472" s="52"/>
      <c r="H472" s="52"/>
      <c r="I472" s="52"/>
      <c r="J472" s="52"/>
      <c r="K472" s="52"/>
      <c r="L472" s="52"/>
      <c r="M472" s="52"/>
    </row>
    <row r="473" spans="3:13">
      <c r="C473" s="52"/>
      <c r="D473" s="52"/>
      <c r="E473" s="52"/>
      <c r="F473" s="52"/>
      <c r="G473" s="52"/>
      <c r="H473" s="52"/>
      <c r="I473" s="52"/>
      <c r="J473" s="52"/>
      <c r="K473" s="52"/>
      <c r="L473" s="52"/>
      <c r="M473" s="52"/>
    </row>
    <row r="474" spans="3:13">
      <c r="C474" s="52"/>
      <c r="D474" s="52"/>
      <c r="E474" s="52"/>
      <c r="F474" s="52"/>
      <c r="G474" s="52"/>
      <c r="H474" s="52"/>
      <c r="I474" s="52"/>
      <c r="J474" s="52"/>
      <c r="K474" s="52"/>
      <c r="L474" s="52"/>
      <c r="M474" s="52"/>
    </row>
    <row r="475" spans="3:13">
      <c r="C475" s="52"/>
      <c r="D475" s="52"/>
      <c r="E475" s="52"/>
      <c r="F475" s="52"/>
      <c r="G475" s="52"/>
      <c r="H475" s="52"/>
      <c r="I475" s="52"/>
      <c r="J475" s="52"/>
      <c r="K475" s="52"/>
      <c r="L475" s="52"/>
      <c r="M475" s="52"/>
    </row>
    <row r="476" spans="3:13">
      <c r="C476" s="52"/>
      <c r="D476" s="52"/>
      <c r="E476" s="52"/>
      <c r="F476" s="52"/>
      <c r="G476" s="52"/>
      <c r="H476" s="52"/>
      <c r="I476" s="52"/>
      <c r="J476" s="52"/>
      <c r="K476" s="52"/>
      <c r="L476" s="52"/>
      <c r="M476" s="52"/>
    </row>
    <row r="477" spans="3:13">
      <c r="C477" s="52"/>
      <c r="D477" s="52"/>
      <c r="E477" s="52"/>
      <c r="F477" s="52"/>
      <c r="G477" s="52"/>
      <c r="H477" s="52"/>
      <c r="I477" s="52"/>
      <c r="J477" s="52"/>
      <c r="K477" s="52"/>
      <c r="L477" s="52"/>
      <c r="M477" s="52"/>
    </row>
    <row r="478" spans="3:13">
      <c r="C478" s="52"/>
      <c r="D478" s="52"/>
      <c r="E478" s="52"/>
      <c r="F478" s="52"/>
      <c r="G478" s="52"/>
      <c r="H478" s="52"/>
      <c r="I478" s="52"/>
      <c r="J478" s="52"/>
      <c r="K478" s="52"/>
      <c r="L478" s="52"/>
      <c r="M478" s="52"/>
    </row>
    <row r="479" spans="3:13">
      <c r="C479" s="52"/>
      <c r="D479" s="52"/>
      <c r="E479" s="52"/>
      <c r="F479" s="52"/>
      <c r="G479" s="52"/>
      <c r="H479" s="52"/>
      <c r="I479" s="52"/>
      <c r="J479" s="52"/>
      <c r="K479" s="52"/>
      <c r="L479" s="52"/>
      <c r="M479" s="52"/>
    </row>
    <row r="480" spans="3:13">
      <c r="C480" s="52"/>
      <c r="D480" s="52"/>
      <c r="E480" s="52"/>
      <c r="F480" s="52"/>
      <c r="G480" s="52"/>
      <c r="H480" s="52"/>
      <c r="I480" s="52"/>
      <c r="J480" s="52"/>
      <c r="K480" s="52"/>
      <c r="L480" s="52"/>
      <c r="M480" s="52"/>
    </row>
    <row r="481" spans="3:13">
      <c r="C481" s="52"/>
      <c r="D481" s="52"/>
      <c r="E481" s="52"/>
      <c r="F481" s="52"/>
      <c r="G481" s="52"/>
      <c r="H481" s="52"/>
      <c r="I481" s="52"/>
      <c r="J481" s="52"/>
      <c r="K481" s="52"/>
      <c r="L481" s="52"/>
      <c r="M481" s="52"/>
    </row>
    <row r="482" spans="3:13">
      <c r="C482" s="52"/>
      <c r="D482" s="52"/>
      <c r="E482" s="52"/>
      <c r="F482" s="52"/>
      <c r="G482" s="52"/>
      <c r="H482" s="52"/>
      <c r="I482" s="52"/>
      <c r="J482" s="52"/>
      <c r="K482" s="52"/>
      <c r="L482" s="52"/>
      <c r="M482" s="52"/>
    </row>
    <row r="483" spans="3:13">
      <c r="C483" s="52"/>
      <c r="D483" s="52"/>
      <c r="E483" s="52"/>
      <c r="F483" s="52"/>
      <c r="G483" s="52"/>
      <c r="H483" s="52"/>
      <c r="I483" s="52"/>
      <c r="J483" s="52"/>
      <c r="K483" s="52"/>
      <c r="L483" s="52"/>
      <c r="M483" s="52"/>
    </row>
    <row r="484" spans="3:13">
      <c r="C484" s="52"/>
      <c r="D484" s="52"/>
      <c r="E484" s="52"/>
      <c r="F484" s="52"/>
      <c r="G484" s="52"/>
      <c r="H484" s="52"/>
      <c r="I484" s="52"/>
      <c r="J484" s="52"/>
      <c r="K484" s="52"/>
      <c r="L484" s="52"/>
      <c r="M484" s="52"/>
    </row>
    <row r="485" spans="3:13">
      <c r="C485" s="52"/>
      <c r="D485" s="52"/>
      <c r="E485" s="52"/>
      <c r="F485" s="52"/>
      <c r="G485" s="52"/>
      <c r="H485" s="52"/>
      <c r="I485" s="52"/>
      <c r="J485" s="52"/>
      <c r="K485" s="52"/>
      <c r="L485" s="52"/>
      <c r="M485" s="52"/>
    </row>
    <row r="486" spans="3:13">
      <c r="C486" s="52"/>
      <c r="D486" s="52"/>
      <c r="E486" s="52"/>
      <c r="F486" s="52"/>
      <c r="G486" s="52"/>
      <c r="H486" s="52"/>
      <c r="I486" s="52"/>
      <c r="J486" s="52"/>
      <c r="K486" s="52"/>
      <c r="L486" s="52"/>
      <c r="M486" s="52"/>
    </row>
    <row r="487" spans="3:13">
      <c r="C487" s="52"/>
      <c r="D487" s="52"/>
      <c r="E487" s="52"/>
      <c r="F487" s="52"/>
      <c r="G487" s="52"/>
      <c r="H487" s="52"/>
      <c r="I487" s="52"/>
      <c r="J487" s="52"/>
      <c r="K487" s="52"/>
      <c r="L487" s="52"/>
      <c r="M487" s="52"/>
    </row>
    <row r="488" spans="3:13">
      <c r="C488" s="52"/>
      <c r="D488" s="52"/>
      <c r="E488" s="52"/>
      <c r="F488" s="52"/>
      <c r="G488" s="52"/>
      <c r="H488" s="52"/>
      <c r="I488" s="52"/>
      <c r="J488" s="52"/>
      <c r="K488" s="52"/>
      <c r="L488" s="52"/>
      <c r="M488" s="52"/>
    </row>
    <row r="489" spans="3:13">
      <c r="C489" s="52"/>
      <c r="D489" s="52"/>
      <c r="E489" s="52"/>
      <c r="F489" s="52"/>
      <c r="G489" s="52"/>
      <c r="H489" s="52"/>
      <c r="I489" s="52"/>
      <c r="J489" s="52"/>
      <c r="K489" s="52"/>
      <c r="L489" s="52"/>
      <c r="M489" s="52"/>
    </row>
    <row r="490" spans="3:13">
      <c r="C490" s="52"/>
      <c r="D490" s="52"/>
      <c r="E490" s="52"/>
      <c r="F490" s="52"/>
      <c r="G490" s="52"/>
      <c r="H490" s="52"/>
      <c r="I490" s="52"/>
      <c r="J490" s="52"/>
      <c r="K490" s="52"/>
      <c r="L490" s="52"/>
      <c r="M490" s="52"/>
    </row>
    <row r="491" spans="3:13">
      <c r="C491" s="52"/>
      <c r="D491" s="52"/>
      <c r="E491" s="52"/>
      <c r="F491" s="52"/>
      <c r="G491" s="52"/>
      <c r="H491" s="52"/>
      <c r="I491" s="52"/>
      <c r="J491" s="52"/>
      <c r="K491" s="52"/>
      <c r="L491" s="52"/>
      <c r="M491" s="52"/>
    </row>
    <row r="492" spans="3:13">
      <c r="C492" s="52"/>
      <c r="D492" s="52"/>
      <c r="E492" s="52"/>
      <c r="F492" s="52"/>
      <c r="G492" s="52"/>
      <c r="H492" s="52"/>
      <c r="I492" s="52"/>
      <c r="J492" s="52"/>
      <c r="K492" s="52"/>
      <c r="L492" s="52"/>
      <c r="M492" s="52"/>
    </row>
    <row r="493" spans="3:13">
      <c r="C493" s="52"/>
      <c r="D493" s="52"/>
      <c r="E493" s="52"/>
      <c r="F493" s="52"/>
      <c r="G493" s="52"/>
      <c r="H493" s="52"/>
      <c r="I493" s="52"/>
      <c r="J493" s="52"/>
      <c r="K493" s="52"/>
      <c r="L493" s="52"/>
      <c r="M493" s="52"/>
    </row>
    <row r="494" spans="3:13">
      <c r="C494" s="52"/>
      <c r="D494" s="52"/>
      <c r="E494" s="52"/>
      <c r="F494" s="52"/>
      <c r="G494" s="52"/>
      <c r="H494" s="52"/>
      <c r="I494" s="52"/>
      <c r="J494" s="52"/>
      <c r="K494" s="52"/>
      <c r="L494" s="52"/>
      <c r="M494" s="52"/>
    </row>
    <row r="495" spans="3:13">
      <c r="C495" s="52"/>
      <c r="D495" s="52"/>
      <c r="E495" s="52"/>
      <c r="F495" s="52"/>
      <c r="G495" s="52"/>
      <c r="H495" s="52"/>
      <c r="I495" s="52"/>
      <c r="J495" s="52"/>
      <c r="K495" s="52"/>
      <c r="L495" s="52"/>
      <c r="M495" s="52"/>
    </row>
    <row r="496" spans="3:13">
      <c r="C496" s="52"/>
      <c r="D496" s="52"/>
      <c r="E496" s="52"/>
      <c r="F496" s="52"/>
      <c r="G496" s="52"/>
      <c r="H496" s="52"/>
      <c r="I496" s="52"/>
      <c r="J496" s="52"/>
      <c r="K496" s="52"/>
      <c r="L496" s="52"/>
      <c r="M496" s="52"/>
    </row>
    <row r="497" spans="3:13">
      <c r="C497" s="52"/>
      <c r="D497" s="52"/>
      <c r="E497" s="52"/>
      <c r="F497" s="52"/>
      <c r="G497" s="52"/>
      <c r="H497" s="52"/>
      <c r="I497" s="52"/>
      <c r="J497" s="52"/>
      <c r="K497" s="52"/>
      <c r="L497" s="52"/>
      <c r="M497" s="52"/>
    </row>
    <row r="498" spans="3:13">
      <c r="C498" s="52"/>
      <c r="D498" s="52"/>
      <c r="E498" s="52"/>
      <c r="F498" s="52"/>
      <c r="G498" s="52"/>
      <c r="H498" s="52"/>
      <c r="I498" s="52"/>
      <c r="J498" s="52"/>
      <c r="K498" s="52"/>
      <c r="L498" s="52"/>
      <c r="M498" s="52"/>
    </row>
    <row r="499" spans="3:13">
      <c r="C499" s="52"/>
      <c r="D499" s="52"/>
      <c r="E499" s="52"/>
      <c r="F499" s="52"/>
      <c r="G499" s="52"/>
      <c r="H499" s="52"/>
      <c r="I499" s="52"/>
      <c r="J499" s="52"/>
      <c r="K499" s="52"/>
      <c r="L499" s="52"/>
      <c r="M499" s="52"/>
    </row>
    <row r="500" spans="3:13">
      <c r="C500" s="52"/>
      <c r="D500" s="52"/>
      <c r="E500" s="52"/>
      <c r="F500" s="52"/>
      <c r="G500" s="52"/>
      <c r="H500" s="52"/>
      <c r="I500" s="52"/>
      <c r="J500" s="52"/>
      <c r="K500" s="52"/>
      <c r="L500" s="52"/>
      <c r="M500" s="52"/>
    </row>
    <row r="501" spans="3:13">
      <c r="C501" s="52"/>
      <c r="D501" s="52"/>
      <c r="E501" s="52"/>
      <c r="F501" s="52"/>
      <c r="G501" s="52"/>
      <c r="H501" s="52"/>
      <c r="I501" s="52"/>
      <c r="J501" s="52"/>
      <c r="K501" s="52"/>
      <c r="L501" s="52"/>
      <c r="M501" s="52"/>
    </row>
    <row r="502" spans="3:13">
      <c r="C502" s="52"/>
      <c r="D502" s="52"/>
      <c r="E502" s="52"/>
      <c r="F502" s="52"/>
      <c r="G502" s="52"/>
      <c r="H502" s="52"/>
      <c r="I502" s="52"/>
      <c r="J502" s="52"/>
      <c r="K502" s="52"/>
      <c r="L502" s="52"/>
      <c r="M502" s="52"/>
    </row>
    <row r="503" spans="3:13">
      <c r="C503" s="52"/>
      <c r="D503" s="52"/>
      <c r="E503" s="52"/>
      <c r="F503" s="52"/>
      <c r="G503" s="52"/>
      <c r="H503" s="52"/>
      <c r="I503" s="52"/>
      <c r="J503" s="52"/>
      <c r="K503" s="52"/>
      <c r="L503" s="52"/>
      <c r="M503" s="52"/>
    </row>
    <row r="504" spans="3:13">
      <c r="C504" s="52"/>
      <c r="D504" s="52"/>
      <c r="E504" s="52"/>
      <c r="F504" s="52"/>
      <c r="G504" s="52"/>
      <c r="H504" s="52"/>
      <c r="I504" s="52"/>
      <c r="J504" s="52"/>
      <c r="K504" s="52"/>
      <c r="L504" s="52"/>
      <c r="M504" s="52"/>
    </row>
    <row r="505" spans="3:13">
      <c r="C505" s="52"/>
      <c r="D505" s="52"/>
      <c r="E505" s="52"/>
      <c r="F505" s="52"/>
      <c r="G505" s="52"/>
      <c r="H505" s="52"/>
      <c r="I505" s="52"/>
      <c r="J505" s="52"/>
      <c r="K505" s="52"/>
      <c r="L505" s="52"/>
      <c r="M505" s="52"/>
    </row>
    <row r="506" spans="3:13">
      <c r="C506" s="52"/>
      <c r="D506" s="52"/>
      <c r="E506" s="52"/>
      <c r="F506" s="52"/>
      <c r="G506" s="52"/>
      <c r="H506" s="52"/>
      <c r="I506" s="52"/>
      <c r="J506" s="52"/>
      <c r="K506" s="52"/>
      <c r="L506" s="52"/>
      <c r="M506" s="52"/>
    </row>
    <row r="507" spans="3:13">
      <c r="C507" s="52"/>
      <c r="D507" s="52"/>
      <c r="E507" s="52"/>
      <c r="F507" s="52"/>
      <c r="G507" s="52"/>
      <c r="H507" s="52"/>
      <c r="I507" s="52"/>
      <c r="J507" s="52"/>
      <c r="K507" s="52"/>
      <c r="L507" s="52"/>
      <c r="M507" s="52"/>
    </row>
    <row r="508" spans="3:13">
      <c r="C508" s="52"/>
      <c r="D508" s="52"/>
      <c r="E508" s="52"/>
      <c r="F508" s="52"/>
      <c r="G508" s="52"/>
      <c r="H508" s="52"/>
      <c r="I508" s="52"/>
      <c r="J508" s="52"/>
      <c r="K508" s="52"/>
      <c r="L508" s="52"/>
      <c r="M508" s="52"/>
    </row>
    <row r="509" spans="3:13">
      <c r="C509" s="52"/>
      <c r="D509" s="52"/>
      <c r="E509" s="52"/>
      <c r="F509" s="52"/>
      <c r="G509" s="52"/>
      <c r="H509" s="52"/>
      <c r="I509" s="52"/>
      <c r="J509" s="52"/>
      <c r="K509" s="52"/>
      <c r="L509" s="52"/>
      <c r="M509" s="52"/>
    </row>
    <row r="510" spans="3:13">
      <c r="C510" s="52"/>
      <c r="D510" s="52"/>
      <c r="E510" s="52"/>
      <c r="F510" s="52"/>
      <c r="G510" s="52"/>
      <c r="H510" s="52"/>
      <c r="I510" s="52"/>
      <c r="J510" s="52"/>
      <c r="K510" s="52"/>
      <c r="L510" s="52"/>
      <c r="M510" s="52"/>
    </row>
    <row r="511" spans="3:13">
      <c r="C511" s="52"/>
      <c r="D511" s="52"/>
      <c r="E511" s="52"/>
      <c r="F511" s="52"/>
      <c r="G511" s="52"/>
      <c r="H511" s="52"/>
      <c r="I511" s="52"/>
      <c r="J511" s="52"/>
      <c r="K511" s="52"/>
      <c r="L511" s="52"/>
      <c r="M511" s="52"/>
    </row>
    <row r="512" spans="3:13">
      <c r="C512" s="52"/>
      <c r="D512" s="52"/>
      <c r="E512" s="52"/>
      <c r="F512" s="52"/>
      <c r="G512" s="52"/>
      <c r="H512" s="52"/>
      <c r="I512" s="52"/>
      <c r="J512" s="52"/>
      <c r="K512" s="52"/>
      <c r="L512" s="52"/>
      <c r="M512" s="52"/>
    </row>
    <row r="513" spans="3:13">
      <c r="C513" s="52"/>
      <c r="D513" s="52"/>
      <c r="E513" s="52"/>
      <c r="F513" s="52"/>
      <c r="G513" s="52"/>
      <c r="H513" s="52"/>
      <c r="I513" s="52"/>
      <c r="J513" s="52"/>
      <c r="K513" s="52"/>
      <c r="L513" s="52"/>
      <c r="M513" s="52"/>
    </row>
    <row r="514" spans="3:13">
      <c r="C514" s="52"/>
      <c r="D514" s="52"/>
      <c r="E514" s="52"/>
      <c r="F514" s="52"/>
      <c r="G514" s="52"/>
      <c r="H514" s="52"/>
      <c r="I514" s="52"/>
      <c r="J514" s="52"/>
      <c r="K514" s="52"/>
      <c r="L514" s="52"/>
      <c r="M514" s="52"/>
    </row>
    <row r="515" spans="3:13">
      <c r="C515" s="52"/>
      <c r="D515" s="52"/>
      <c r="E515" s="52"/>
      <c r="F515" s="52"/>
      <c r="G515" s="52"/>
      <c r="H515" s="52"/>
      <c r="I515" s="52"/>
      <c r="J515" s="52"/>
      <c r="K515" s="52"/>
      <c r="L515" s="52"/>
      <c r="M515" s="52"/>
    </row>
    <row r="516" spans="3:13">
      <c r="C516" s="52"/>
      <c r="D516" s="52"/>
      <c r="E516" s="52"/>
      <c r="F516" s="52"/>
      <c r="G516" s="52"/>
      <c r="H516" s="52"/>
      <c r="I516" s="52"/>
      <c r="J516" s="52"/>
      <c r="K516" s="52"/>
      <c r="L516" s="52"/>
      <c r="M516" s="52"/>
    </row>
    <row r="517" spans="3:13">
      <c r="C517" s="52"/>
      <c r="D517" s="52"/>
      <c r="E517" s="52"/>
      <c r="F517" s="52"/>
      <c r="G517" s="52"/>
      <c r="H517" s="52"/>
      <c r="I517" s="52"/>
      <c r="J517" s="52"/>
      <c r="K517" s="52"/>
      <c r="L517" s="52"/>
      <c r="M517" s="52"/>
    </row>
    <row r="518" spans="3:13">
      <c r="C518" s="52"/>
      <c r="D518" s="52"/>
      <c r="E518" s="52"/>
      <c r="F518" s="52"/>
      <c r="G518" s="52"/>
      <c r="H518" s="52"/>
      <c r="I518" s="52"/>
      <c r="J518" s="52"/>
      <c r="K518" s="52"/>
      <c r="L518" s="52"/>
      <c r="M518" s="52"/>
    </row>
    <row r="519" spans="3:13">
      <c r="C519" s="52"/>
      <c r="D519" s="52"/>
      <c r="E519" s="52"/>
      <c r="F519" s="52"/>
      <c r="G519" s="52"/>
      <c r="H519" s="52"/>
      <c r="I519" s="52"/>
      <c r="J519" s="52"/>
      <c r="K519" s="52"/>
      <c r="L519" s="52"/>
      <c r="M519" s="52"/>
    </row>
    <row r="520" spans="3:13">
      <c r="C520" s="52"/>
      <c r="D520" s="52"/>
      <c r="E520" s="52"/>
      <c r="F520" s="52"/>
      <c r="G520" s="52"/>
      <c r="H520" s="52"/>
      <c r="I520" s="52"/>
      <c r="J520" s="52"/>
      <c r="K520" s="52"/>
      <c r="L520" s="52"/>
      <c r="M520" s="52"/>
    </row>
    <row r="521" spans="3:13">
      <c r="C521" s="52"/>
      <c r="D521" s="52"/>
      <c r="E521" s="52"/>
      <c r="F521" s="52"/>
      <c r="G521" s="52"/>
      <c r="H521" s="52"/>
      <c r="I521" s="52"/>
      <c r="J521" s="52"/>
      <c r="K521" s="52"/>
      <c r="L521" s="52"/>
      <c r="M521" s="52"/>
    </row>
    <row r="522" spans="3:13">
      <c r="C522" s="52"/>
      <c r="D522" s="52"/>
      <c r="E522" s="52"/>
      <c r="F522" s="52"/>
      <c r="G522" s="52"/>
      <c r="H522" s="52"/>
      <c r="I522" s="52"/>
      <c r="J522" s="52"/>
      <c r="K522" s="52"/>
      <c r="L522" s="52"/>
      <c r="M522" s="52"/>
    </row>
    <row r="523" spans="3:13">
      <c r="C523" s="52"/>
      <c r="D523" s="52"/>
      <c r="E523" s="52"/>
      <c r="F523" s="52"/>
      <c r="G523" s="52"/>
      <c r="H523" s="52"/>
      <c r="I523" s="52"/>
      <c r="J523" s="52"/>
      <c r="K523" s="52"/>
      <c r="L523" s="52"/>
      <c r="M523" s="52"/>
    </row>
    <row r="524" spans="3:13">
      <c r="C524" s="52"/>
      <c r="D524" s="52"/>
      <c r="E524" s="52"/>
      <c r="F524" s="52"/>
      <c r="G524" s="52"/>
      <c r="H524" s="52"/>
      <c r="I524" s="52"/>
      <c r="J524" s="52"/>
      <c r="K524" s="52"/>
      <c r="L524" s="52"/>
      <c r="M524" s="52"/>
    </row>
    <row r="525" spans="3:13">
      <c r="C525" s="52"/>
      <c r="D525" s="52"/>
      <c r="E525" s="52"/>
      <c r="F525" s="52"/>
      <c r="G525" s="52"/>
      <c r="H525" s="52"/>
      <c r="I525" s="52"/>
      <c r="J525" s="52"/>
      <c r="K525" s="52"/>
      <c r="L525" s="52"/>
      <c r="M525" s="52"/>
    </row>
    <row r="526" spans="3:13">
      <c r="C526" s="52"/>
      <c r="D526" s="52"/>
      <c r="E526" s="52"/>
      <c r="F526" s="52"/>
      <c r="G526" s="52"/>
      <c r="H526" s="52"/>
      <c r="I526" s="52"/>
      <c r="J526" s="52"/>
      <c r="K526" s="52"/>
      <c r="L526" s="52"/>
      <c r="M526" s="52"/>
    </row>
    <row r="527" spans="3:13">
      <c r="C527" s="52"/>
      <c r="D527" s="52"/>
      <c r="E527" s="52"/>
      <c r="F527" s="52"/>
      <c r="G527" s="52"/>
      <c r="H527" s="52"/>
      <c r="I527" s="52"/>
      <c r="J527" s="52"/>
      <c r="K527" s="52"/>
      <c r="L527" s="52"/>
      <c r="M527" s="52"/>
    </row>
    <row r="528" spans="3:13">
      <c r="C528" s="52"/>
      <c r="D528" s="52"/>
      <c r="E528" s="52"/>
      <c r="F528" s="52"/>
      <c r="G528" s="52"/>
      <c r="H528" s="52"/>
      <c r="I528" s="52"/>
      <c r="J528" s="52"/>
      <c r="K528" s="52"/>
      <c r="L528" s="52"/>
      <c r="M528" s="52"/>
    </row>
    <row r="529" spans="3:13">
      <c r="C529" s="52"/>
      <c r="D529" s="52"/>
      <c r="E529" s="52"/>
      <c r="F529" s="52"/>
      <c r="G529" s="52"/>
      <c r="H529" s="52"/>
      <c r="I529" s="52"/>
      <c r="J529" s="52"/>
      <c r="K529" s="52"/>
      <c r="L529" s="52"/>
      <c r="M529" s="52"/>
    </row>
    <row r="530" spans="3:13">
      <c r="C530" s="52"/>
      <c r="D530" s="52"/>
      <c r="E530" s="52"/>
      <c r="F530" s="52"/>
      <c r="G530" s="52"/>
      <c r="H530" s="52"/>
      <c r="I530" s="52"/>
      <c r="J530" s="52"/>
      <c r="K530" s="52"/>
      <c r="L530" s="52"/>
      <c r="M530" s="52"/>
    </row>
    <row r="531" spans="3:13">
      <c r="C531" s="52"/>
      <c r="D531" s="52"/>
      <c r="E531" s="52"/>
      <c r="F531" s="52"/>
      <c r="G531" s="52"/>
      <c r="H531" s="52"/>
      <c r="I531" s="52"/>
      <c r="J531" s="52"/>
      <c r="K531" s="52"/>
      <c r="L531" s="52"/>
      <c r="M531" s="52"/>
    </row>
    <row r="532" spans="3:13">
      <c r="C532" s="52"/>
      <c r="D532" s="52"/>
      <c r="E532" s="52"/>
      <c r="F532" s="52"/>
      <c r="G532" s="52"/>
      <c r="H532" s="52"/>
      <c r="I532" s="52"/>
      <c r="J532" s="52"/>
      <c r="K532" s="52"/>
      <c r="L532" s="52"/>
      <c r="M532" s="52"/>
    </row>
    <row r="533" spans="3:13">
      <c r="C533" s="52"/>
      <c r="D533" s="52"/>
      <c r="E533" s="52"/>
      <c r="F533" s="52"/>
      <c r="G533" s="52"/>
      <c r="H533" s="52"/>
      <c r="I533" s="52"/>
      <c r="J533" s="52"/>
      <c r="K533" s="52"/>
      <c r="L533" s="52"/>
      <c r="M533" s="52"/>
    </row>
    <row r="534" spans="3:13">
      <c r="C534" s="52"/>
      <c r="D534" s="52"/>
      <c r="E534" s="52"/>
      <c r="F534" s="52"/>
      <c r="G534" s="52"/>
      <c r="H534" s="52"/>
      <c r="I534" s="52"/>
      <c r="J534" s="52"/>
      <c r="K534" s="52"/>
      <c r="L534" s="52"/>
      <c r="M534" s="52"/>
    </row>
    <row r="535" spans="3:13">
      <c r="C535" s="52"/>
      <c r="D535" s="52"/>
      <c r="E535" s="52"/>
      <c r="F535" s="52"/>
      <c r="G535" s="52"/>
      <c r="H535" s="52"/>
      <c r="I535" s="52"/>
      <c r="J535" s="52"/>
      <c r="K535" s="52"/>
      <c r="L535" s="52"/>
      <c r="M535" s="52"/>
    </row>
    <row r="536" spans="3:13">
      <c r="C536" s="52"/>
      <c r="D536" s="52"/>
      <c r="E536" s="52"/>
      <c r="F536" s="52"/>
      <c r="G536" s="52"/>
      <c r="H536" s="52"/>
      <c r="I536" s="52"/>
      <c r="J536" s="52"/>
      <c r="K536" s="52"/>
      <c r="L536" s="52"/>
      <c r="M536" s="52"/>
    </row>
    <row r="537" spans="3:13">
      <c r="C537" s="52"/>
      <c r="D537" s="52"/>
      <c r="E537" s="52"/>
      <c r="F537" s="52"/>
      <c r="G537" s="52"/>
      <c r="H537" s="52"/>
      <c r="I537" s="52"/>
      <c r="J537" s="52"/>
      <c r="K537" s="52"/>
      <c r="L537" s="52"/>
      <c r="M537" s="52"/>
    </row>
    <row r="538" spans="3:13">
      <c r="C538" s="52"/>
      <c r="D538" s="52"/>
      <c r="E538" s="52"/>
      <c r="F538" s="52"/>
      <c r="G538" s="52"/>
      <c r="H538" s="52"/>
      <c r="I538" s="52"/>
      <c r="J538" s="52"/>
      <c r="K538" s="52"/>
      <c r="L538" s="52"/>
      <c r="M538" s="52"/>
    </row>
    <row r="539" spans="3:13">
      <c r="C539" s="52"/>
      <c r="D539" s="52"/>
      <c r="E539" s="52"/>
      <c r="F539" s="52"/>
      <c r="G539" s="52"/>
      <c r="H539" s="52"/>
      <c r="I539" s="52"/>
      <c r="J539" s="52"/>
      <c r="K539" s="52"/>
      <c r="L539" s="52"/>
      <c r="M539" s="52"/>
    </row>
    <row r="540" spans="3:13">
      <c r="C540" s="52"/>
      <c r="D540" s="52"/>
      <c r="E540" s="52"/>
      <c r="F540" s="52"/>
      <c r="G540" s="52"/>
      <c r="H540" s="52"/>
      <c r="I540" s="52"/>
      <c r="J540" s="52"/>
      <c r="K540" s="52"/>
      <c r="L540" s="52"/>
      <c r="M540" s="52"/>
    </row>
    <row r="541" spans="3:13">
      <c r="C541" s="52"/>
      <c r="D541" s="52"/>
      <c r="E541" s="52"/>
      <c r="F541" s="52"/>
      <c r="G541" s="52"/>
      <c r="H541" s="52"/>
      <c r="I541" s="52"/>
      <c r="J541" s="52"/>
      <c r="K541" s="52"/>
      <c r="L541" s="52"/>
      <c r="M541" s="52"/>
    </row>
    <row r="542" spans="3:13">
      <c r="C542" s="52"/>
      <c r="D542" s="52"/>
      <c r="E542" s="52"/>
      <c r="F542" s="52"/>
      <c r="G542" s="52"/>
      <c r="H542" s="52"/>
      <c r="I542" s="52"/>
      <c r="J542" s="52"/>
      <c r="K542" s="52"/>
      <c r="L542" s="52"/>
      <c r="M542" s="52"/>
    </row>
    <row r="543" spans="3:13">
      <c r="C543" s="52"/>
      <c r="D543" s="52"/>
      <c r="E543" s="52"/>
      <c r="F543" s="52"/>
      <c r="G543" s="52"/>
      <c r="H543" s="52"/>
      <c r="I543" s="52"/>
      <c r="J543" s="52"/>
      <c r="K543" s="52"/>
      <c r="L543" s="52"/>
      <c r="M543" s="52"/>
    </row>
    <row r="544" spans="3:13">
      <c r="C544" s="52"/>
      <c r="D544" s="52"/>
      <c r="E544" s="52"/>
      <c r="F544" s="52"/>
      <c r="G544" s="52"/>
      <c r="H544" s="52"/>
      <c r="I544" s="52"/>
      <c r="J544" s="52"/>
      <c r="K544" s="52"/>
      <c r="L544" s="52"/>
      <c r="M544" s="52"/>
    </row>
    <row r="545" spans="3:13">
      <c r="C545" s="52"/>
      <c r="D545" s="52"/>
      <c r="E545" s="52"/>
      <c r="F545" s="52"/>
      <c r="G545" s="52"/>
      <c r="H545" s="52"/>
      <c r="I545" s="52"/>
      <c r="J545" s="52"/>
      <c r="K545" s="52"/>
      <c r="L545" s="52"/>
      <c r="M545" s="52"/>
    </row>
    <row r="546" spans="3:13">
      <c r="C546" s="52"/>
      <c r="D546" s="52"/>
      <c r="E546" s="52"/>
      <c r="F546" s="52"/>
      <c r="G546" s="52"/>
      <c r="H546" s="52"/>
      <c r="I546" s="52"/>
      <c r="J546" s="52"/>
      <c r="K546" s="52"/>
      <c r="L546" s="52"/>
      <c r="M546" s="52"/>
    </row>
    <row r="547" spans="3:13">
      <c r="C547" s="52"/>
      <c r="D547" s="52"/>
      <c r="E547" s="52"/>
      <c r="F547" s="52"/>
      <c r="G547" s="52"/>
      <c r="H547" s="52"/>
      <c r="I547" s="52"/>
      <c r="J547" s="52"/>
      <c r="K547" s="52"/>
      <c r="L547" s="52"/>
      <c r="M547" s="52"/>
    </row>
    <row r="548" spans="3:13">
      <c r="C548" s="52"/>
      <c r="D548" s="52"/>
      <c r="E548" s="52"/>
      <c r="F548" s="52"/>
      <c r="G548" s="52"/>
      <c r="H548" s="52"/>
      <c r="I548" s="52"/>
      <c r="J548" s="52"/>
      <c r="K548" s="52"/>
      <c r="L548" s="52"/>
      <c r="M548" s="52"/>
    </row>
    <row r="549" spans="3:13">
      <c r="C549" s="52"/>
      <c r="D549" s="52"/>
      <c r="E549" s="52"/>
      <c r="F549" s="52"/>
      <c r="G549" s="52"/>
      <c r="H549" s="52"/>
      <c r="I549" s="52"/>
      <c r="J549" s="52"/>
      <c r="K549" s="52"/>
      <c r="L549" s="52"/>
      <c r="M549" s="52"/>
    </row>
    <row r="550" spans="3:13">
      <c r="C550" s="52"/>
      <c r="D550" s="52"/>
      <c r="E550" s="52"/>
      <c r="F550" s="52"/>
      <c r="G550" s="52"/>
      <c r="H550" s="52"/>
      <c r="I550" s="52"/>
      <c r="J550" s="52"/>
      <c r="K550" s="52"/>
      <c r="L550" s="52"/>
      <c r="M550" s="52"/>
    </row>
    <row r="551" spans="3:13">
      <c r="C551" s="52"/>
      <c r="D551" s="52"/>
      <c r="E551" s="52"/>
      <c r="F551" s="52"/>
      <c r="G551" s="52"/>
      <c r="H551" s="52"/>
      <c r="I551" s="52"/>
      <c r="J551" s="52"/>
      <c r="K551" s="52"/>
      <c r="L551" s="52"/>
      <c r="M551" s="52"/>
    </row>
    <row r="552" spans="3:13">
      <c r="C552" s="52"/>
      <c r="D552" s="52"/>
      <c r="E552" s="52"/>
      <c r="F552" s="52"/>
      <c r="G552" s="52"/>
      <c r="H552" s="52"/>
      <c r="I552" s="52"/>
      <c r="J552" s="52"/>
      <c r="K552" s="52"/>
      <c r="L552" s="52"/>
      <c r="M552" s="52"/>
    </row>
    <row r="553" spans="3:13">
      <c r="C553" s="52"/>
      <c r="D553" s="52"/>
      <c r="E553" s="52"/>
      <c r="F553" s="52"/>
      <c r="G553" s="52"/>
      <c r="H553" s="52"/>
      <c r="I553" s="52"/>
      <c r="J553" s="52"/>
      <c r="K553" s="52"/>
      <c r="L553" s="52"/>
      <c r="M553" s="52"/>
    </row>
    <row r="554" spans="3:13">
      <c r="C554" s="52"/>
      <c r="D554" s="52"/>
      <c r="E554" s="52"/>
      <c r="F554" s="52"/>
      <c r="G554" s="52"/>
      <c r="H554" s="52"/>
      <c r="I554" s="52"/>
      <c r="J554" s="52"/>
      <c r="K554" s="52"/>
      <c r="L554" s="52"/>
      <c r="M554" s="52"/>
    </row>
    <row r="555" spans="3:13">
      <c r="C555" s="52"/>
      <c r="D555" s="52"/>
      <c r="E555" s="52"/>
      <c r="F555" s="52"/>
      <c r="G555" s="52"/>
      <c r="H555" s="52"/>
      <c r="I555" s="52"/>
      <c r="J555" s="52"/>
      <c r="K555" s="52"/>
      <c r="L555" s="52"/>
      <c r="M555" s="52"/>
    </row>
    <row r="556" spans="3:13">
      <c r="C556" s="52"/>
      <c r="D556" s="52"/>
      <c r="E556" s="52"/>
      <c r="F556" s="52"/>
      <c r="G556" s="52"/>
      <c r="H556" s="52"/>
      <c r="I556" s="52"/>
      <c r="J556" s="52"/>
      <c r="K556" s="52"/>
      <c r="L556" s="52"/>
      <c r="M556" s="52"/>
    </row>
    <row r="557" spans="3:13">
      <c r="C557" s="52"/>
      <c r="D557" s="52"/>
      <c r="E557" s="52"/>
      <c r="F557" s="52"/>
      <c r="G557" s="52"/>
      <c r="H557" s="52"/>
      <c r="I557" s="52"/>
      <c r="J557" s="52"/>
      <c r="K557" s="52"/>
      <c r="L557" s="52"/>
      <c r="M557" s="52"/>
    </row>
    <row r="558" spans="3:13">
      <c r="C558" s="52"/>
      <c r="D558" s="52"/>
      <c r="E558" s="52"/>
      <c r="F558" s="52"/>
      <c r="G558" s="52"/>
      <c r="H558" s="52"/>
      <c r="I558" s="52"/>
      <c r="J558" s="52"/>
      <c r="K558" s="52"/>
      <c r="L558" s="52"/>
      <c r="M558" s="52"/>
    </row>
    <row r="559" spans="3:13">
      <c r="C559" s="52"/>
      <c r="D559" s="52"/>
      <c r="E559" s="52"/>
      <c r="F559" s="52"/>
      <c r="G559" s="52"/>
      <c r="H559" s="52"/>
      <c r="I559" s="52"/>
      <c r="J559" s="52"/>
      <c r="K559" s="52"/>
      <c r="L559" s="52"/>
      <c r="M559" s="52"/>
    </row>
    <row r="560" spans="3:13">
      <c r="C560" s="52"/>
      <c r="D560" s="52"/>
      <c r="E560" s="52"/>
      <c r="F560" s="52"/>
      <c r="G560" s="52"/>
      <c r="H560" s="52"/>
      <c r="I560" s="52"/>
      <c r="J560" s="52"/>
      <c r="K560" s="52"/>
      <c r="L560" s="52"/>
      <c r="M560" s="52"/>
    </row>
    <row r="561" spans="3:13">
      <c r="C561" s="52"/>
      <c r="D561" s="52"/>
      <c r="E561" s="52"/>
      <c r="F561" s="52"/>
      <c r="G561" s="52"/>
      <c r="H561" s="52"/>
      <c r="I561" s="52"/>
      <c r="J561" s="52"/>
      <c r="K561" s="52"/>
      <c r="L561" s="52"/>
      <c r="M561" s="52"/>
    </row>
    <row r="562" spans="3:13">
      <c r="C562" s="52"/>
      <c r="D562" s="52"/>
      <c r="E562" s="52"/>
      <c r="F562" s="52"/>
      <c r="G562" s="52"/>
      <c r="H562" s="52"/>
      <c r="I562" s="52"/>
      <c r="J562" s="52"/>
      <c r="K562" s="52"/>
      <c r="L562" s="52"/>
      <c r="M562" s="52"/>
    </row>
    <row r="563" spans="3:13">
      <c r="C563" s="52"/>
      <c r="D563" s="52"/>
      <c r="E563" s="52"/>
      <c r="F563" s="52"/>
      <c r="G563" s="52"/>
      <c r="H563" s="52"/>
      <c r="I563" s="52"/>
      <c r="J563" s="52"/>
      <c r="K563" s="52"/>
      <c r="L563" s="52"/>
      <c r="M563" s="52"/>
    </row>
    <row r="564" spans="3:13">
      <c r="C564" s="52"/>
      <c r="D564" s="52"/>
      <c r="E564" s="52"/>
      <c r="F564" s="52"/>
      <c r="G564" s="52"/>
      <c r="H564" s="52"/>
      <c r="I564" s="52"/>
      <c r="J564" s="52"/>
      <c r="K564" s="52"/>
      <c r="L564" s="52"/>
      <c r="M564" s="52"/>
    </row>
  </sheetData>
  <phoneticPr fontId="0" type="noConversion"/>
  <printOptions horizontalCentered="1"/>
  <pageMargins left="0.2" right="0.18" top="0.75" bottom="0.5" header="0.25" footer="0.25"/>
  <pageSetup scale="45" orientation="portrait" r:id="rId1"/>
  <headerFooter alignWithMargins="0"/>
  <rowBreaks count="5" manualBreakCount="5">
    <brk id="33" max="16383" man="1"/>
    <brk id="94" max="16383" man="1"/>
    <brk id="168" max="16383" man="1"/>
    <brk id="245" max="16383" man="1"/>
    <brk id="309" max="16383" man="1"/>
  </row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rgb="FF7030A0"/>
    <pageSetUpPr fitToPage="1"/>
  </sheetPr>
  <dimension ref="A1:AE298"/>
  <sheetViews>
    <sheetView view="pageBreakPreview" zoomScale="80" zoomScaleNormal="75" zoomScaleSheetLayoutView="80" workbookViewId="0"/>
  </sheetViews>
  <sheetFormatPr defaultRowHeight="15"/>
  <cols>
    <col min="1" max="1" width="6" customWidth="1"/>
    <col min="2" max="2" width="1.44140625" customWidth="1"/>
    <col min="3" max="3" width="50" customWidth="1"/>
    <col min="4" max="4" width="1.44140625" customWidth="1"/>
    <col min="5" max="5" width="37.109375" customWidth="1"/>
    <col min="6" max="6" width="1.109375" customWidth="1"/>
    <col min="7" max="7" width="14.109375" customWidth="1"/>
    <col min="8" max="8" width="1" customWidth="1"/>
    <col min="9" max="10" width="12.77734375" customWidth="1"/>
    <col min="11" max="11" width="5.21875" customWidth="1"/>
    <col min="12" max="12" width="2.21875" customWidth="1"/>
    <col min="13" max="13" width="31.77734375" customWidth="1"/>
    <col min="14" max="14" width="9.77734375" customWidth="1"/>
    <col min="15" max="15" width="13.33203125" customWidth="1"/>
    <col min="16" max="16" width="14" customWidth="1"/>
    <col min="17" max="17" width="13.21875" customWidth="1"/>
    <col min="18" max="18" width="12.44140625" customWidth="1"/>
    <col min="19" max="19" width="14.77734375" customWidth="1"/>
    <col min="20" max="20" width="13.44140625" customWidth="1"/>
    <col min="21" max="21" width="12.109375" customWidth="1"/>
    <col min="22" max="22" width="16.77734375" customWidth="1"/>
    <col min="23" max="23" width="11.5546875" customWidth="1"/>
    <col min="24" max="24" width="15.77734375" customWidth="1"/>
    <col min="25" max="242" width="8.77734375"/>
    <col min="243" max="243" width="6" customWidth="1"/>
    <col min="244" max="244" width="1.44140625" customWidth="1"/>
    <col min="245" max="245" width="39.109375" customWidth="1"/>
    <col min="246" max="246" width="12" customWidth="1"/>
    <col min="247" max="247" width="14.44140625" customWidth="1"/>
    <col min="248" max="248" width="11.77734375" customWidth="1"/>
    <col min="249" max="249" width="14.109375" customWidth="1"/>
    <col min="250" max="250" width="13.77734375" customWidth="1"/>
    <col min="251" max="252" width="12.77734375" customWidth="1"/>
    <col min="253" max="253" width="13.5546875" customWidth="1"/>
    <col min="254" max="254" width="15.21875" customWidth="1"/>
    <col min="255" max="255" width="12.77734375" customWidth="1"/>
    <col min="256" max="256" width="13.77734375" customWidth="1"/>
    <col min="257" max="257" width="1.77734375" customWidth="1"/>
    <col min="258" max="258" width="13" customWidth="1"/>
    <col min="259" max="498" width="8.77734375"/>
    <col min="499" max="499" width="6" customWidth="1"/>
    <col min="500" max="500" width="1.44140625" customWidth="1"/>
    <col min="501" max="501" width="39.109375" customWidth="1"/>
    <col min="502" max="502" width="12" customWidth="1"/>
    <col min="503" max="503" width="14.44140625" customWidth="1"/>
    <col min="504" max="504" width="11.77734375" customWidth="1"/>
    <col min="505" max="505" width="14.109375" customWidth="1"/>
    <col min="506" max="506" width="13.77734375" customWidth="1"/>
    <col min="507" max="508" width="12.77734375" customWidth="1"/>
    <col min="509" max="509" width="13.5546875" customWidth="1"/>
    <col min="510" max="510" width="15.21875" customWidth="1"/>
    <col min="511" max="511" width="12.77734375" customWidth="1"/>
    <col min="512" max="512" width="13.77734375" customWidth="1"/>
    <col min="513" max="513" width="1.77734375" customWidth="1"/>
    <col min="514" max="514" width="13" customWidth="1"/>
    <col min="515" max="754" width="8.77734375"/>
    <col min="755" max="755" width="6" customWidth="1"/>
    <col min="756" max="756" width="1.44140625" customWidth="1"/>
    <col min="757" max="757" width="39.109375" customWidth="1"/>
    <col min="758" max="758" width="12" customWidth="1"/>
    <col min="759" max="759" width="14.44140625" customWidth="1"/>
    <col min="760" max="760" width="11.77734375" customWidth="1"/>
    <col min="761" max="761" width="14.109375" customWidth="1"/>
    <col min="762" max="762" width="13.77734375" customWidth="1"/>
    <col min="763" max="764" width="12.77734375" customWidth="1"/>
    <col min="765" max="765" width="13.5546875" customWidth="1"/>
    <col min="766" max="766" width="15.21875" customWidth="1"/>
    <col min="767" max="767" width="12.77734375" customWidth="1"/>
    <col min="768" max="768" width="13.77734375" customWidth="1"/>
    <col min="769" max="769" width="1.77734375" customWidth="1"/>
    <col min="770" max="770" width="13" customWidth="1"/>
    <col min="771" max="1010" width="8.77734375"/>
    <col min="1011" max="1011" width="6" customWidth="1"/>
    <col min="1012" max="1012" width="1.44140625" customWidth="1"/>
    <col min="1013" max="1013" width="39.109375" customWidth="1"/>
    <col min="1014" max="1014" width="12" customWidth="1"/>
    <col min="1015" max="1015" width="14.44140625" customWidth="1"/>
    <col min="1016" max="1016" width="11.77734375" customWidth="1"/>
    <col min="1017" max="1017" width="14.109375" customWidth="1"/>
    <col min="1018" max="1018" width="13.77734375" customWidth="1"/>
    <col min="1019" max="1020" width="12.77734375" customWidth="1"/>
    <col min="1021" max="1021" width="13.5546875" customWidth="1"/>
    <col min="1022" max="1022" width="15.21875" customWidth="1"/>
    <col min="1023" max="1023" width="12.77734375" customWidth="1"/>
    <col min="1024" max="1024" width="13.77734375" customWidth="1"/>
    <col min="1025" max="1025" width="1.77734375" customWidth="1"/>
    <col min="1026" max="1026" width="13" customWidth="1"/>
    <col min="1027" max="1266" width="8.77734375"/>
    <col min="1267" max="1267" width="6" customWidth="1"/>
    <col min="1268" max="1268" width="1.44140625" customWidth="1"/>
    <col min="1269" max="1269" width="39.109375" customWidth="1"/>
    <col min="1270" max="1270" width="12" customWidth="1"/>
    <col min="1271" max="1271" width="14.44140625" customWidth="1"/>
    <col min="1272" max="1272" width="11.77734375" customWidth="1"/>
    <col min="1273" max="1273" width="14.109375" customWidth="1"/>
    <col min="1274" max="1274" width="13.77734375" customWidth="1"/>
    <col min="1275" max="1276" width="12.77734375" customWidth="1"/>
    <col min="1277" max="1277" width="13.5546875" customWidth="1"/>
    <col min="1278" max="1278" width="15.21875" customWidth="1"/>
    <col min="1279" max="1279" width="12.77734375" customWidth="1"/>
    <col min="1280" max="1280" width="13.77734375" customWidth="1"/>
    <col min="1281" max="1281" width="1.77734375" customWidth="1"/>
    <col min="1282" max="1282" width="13" customWidth="1"/>
    <col min="1283" max="1522" width="8.77734375"/>
    <col min="1523" max="1523" width="6" customWidth="1"/>
    <col min="1524" max="1524" width="1.44140625" customWidth="1"/>
    <col min="1525" max="1525" width="39.109375" customWidth="1"/>
    <col min="1526" max="1526" width="12" customWidth="1"/>
    <col min="1527" max="1527" width="14.44140625" customWidth="1"/>
    <col min="1528" max="1528" width="11.77734375" customWidth="1"/>
    <col min="1529" max="1529" width="14.109375" customWidth="1"/>
    <col min="1530" max="1530" width="13.77734375" customWidth="1"/>
    <col min="1531" max="1532" width="12.77734375" customWidth="1"/>
    <col min="1533" max="1533" width="13.5546875" customWidth="1"/>
    <col min="1534" max="1534" width="15.21875" customWidth="1"/>
    <col min="1535" max="1535" width="12.77734375" customWidth="1"/>
    <col min="1536" max="1536" width="13.77734375" customWidth="1"/>
    <col min="1537" max="1537" width="1.77734375" customWidth="1"/>
    <col min="1538" max="1538" width="13" customWidth="1"/>
    <col min="1539" max="1778" width="8.77734375"/>
    <col min="1779" max="1779" width="6" customWidth="1"/>
    <col min="1780" max="1780" width="1.44140625" customWidth="1"/>
    <col min="1781" max="1781" width="39.109375" customWidth="1"/>
    <col min="1782" max="1782" width="12" customWidth="1"/>
    <col min="1783" max="1783" width="14.44140625" customWidth="1"/>
    <col min="1784" max="1784" width="11.77734375" customWidth="1"/>
    <col min="1785" max="1785" width="14.109375" customWidth="1"/>
    <col min="1786" max="1786" width="13.77734375" customWidth="1"/>
    <col min="1787" max="1788" width="12.77734375" customWidth="1"/>
    <col min="1789" max="1789" width="13.5546875" customWidth="1"/>
    <col min="1790" max="1790" width="15.21875" customWidth="1"/>
    <col min="1791" max="1791" width="12.77734375" customWidth="1"/>
    <col min="1792" max="1792" width="13.77734375" customWidth="1"/>
    <col min="1793" max="1793" width="1.77734375" customWidth="1"/>
    <col min="1794" max="1794" width="13" customWidth="1"/>
    <col min="1795" max="2034" width="8.77734375"/>
    <col min="2035" max="2035" width="6" customWidth="1"/>
    <col min="2036" max="2036" width="1.44140625" customWidth="1"/>
    <col min="2037" max="2037" width="39.109375" customWidth="1"/>
    <col min="2038" max="2038" width="12" customWidth="1"/>
    <col min="2039" max="2039" width="14.44140625" customWidth="1"/>
    <col min="2040" max="2040" width="11.77734375" customWidth="1"/>
    <col min="2041" max="2041" width="14.109375" customWidth="1"/>
    <col min="2042" max="2042" width="13.77734375" customWidth="1"/>
    <col min="2043" max="2044" width="12.77734375" customWidth="1"/>
    <col min="2045" max="2045" width="13.5546875" customWidth="1"/>
    <col min="2046" max="2046" width="15.21875" customWidth="1"/>
    <col min="2047" max="2047" width="12.77734375" customWidth="1"/>
    <col min="2048" max="2048" width="13.77734375" customWidth="1"/>
    <col min="2049" max="2049" width="1.77734375" customWidth="1"/>
    <col min="2050" max="2050" width="13" customWidth="1"/>
    <col min="2051" max="2290" width="8.77734375"/>
    <col min="2291" max="2291" width="6" customWidth="1"/>
    <col min="2292" max="2292" width="1.44140625" customWidth="1"/>
    <col min="2293" max="2293" width="39.109375" customWidth="1"/>
    <col min="2294" max="2294" width="12" customWidth="1"/>
    <col min="2295" max="2295" width="14.44140625" customWidth="1"/>
    <col min="2296" max="2296" width="11.77734375" customWidth="1"/>
    <col min="2297" max="2297" width="14.109375" customWidth="1"/>
    <col min="2298" max="2298" width="13.77734375" customWidth="1"/>
    <col min="2299" max="2300" width="12.77734375" customWidth="1"/>
    <col min="2301" max="2301" width="13.5546875" customWidth="1"/>
    <col min="2302" max="2302" width="15.21875" customWidth="1"/>
    <col min="2303" max="2303" width="12.77734375" customWidth="1"/>
    <col min="2304" max="2304" width="13.77734375" customWidth="1"/>
    <col min="2305" max="2305" width="1.77734375" customWidth="1"/>
    <col min="2306" max="2306" width="13" customWidth="1"/>
    <col min="2307" max="2546" width="8.77734375"/>
    <col min="2547" max="2547" width="6" customWidth="1"/>
    <col min="2548" max="2548" width="1.44140625" customWidth="1"/>
    <col min="2549" max="2549" width="39.109375" customWidth="1"/>
    <col min="2550" max="2550" width="12" customWidth="1"/>
    <col min="2551" max="2551" width="14.44140625" customWidth="1"/>
    <col min="2552" max="2552" width="11.77734375" customWidth="1"/>
    <col min="2553" max="2553" width="14.109375" customWidth="1"/>
    <col min="2554" max="2554" width="13.77734375" customWidth="1"/>
    <col min="2555" max="2556" width="12.77734375" customWidth="1"/>
    <col min="2557" max="2557" width="13.5546875" customWidth="1"/>
    <col min="2558" max="2558" width="15.21875" customWidth="1"/>
    <col min="2559" max="2559" width="12.77734375" customWidth="1"/>
    <col min="2560" max="2560" width="13.77734375" customWidth="1"/>
    <col min="2561" max="2561" width="1.77734375" customWidth="1"/>
    <col min="2562" max="2562" width="13" customWidth="1"/>
    <col min="2563" max="2802" width="8.77734375"/>
    <col min="2803" max="2803" width="6" customWidth="1"/>
    <col min="2804" max="2804" width="1.44140625" customWidth="1"/>
    <col min="2805" max="2805" width="39.109375" customWidth="1"/>
    <col min="2806" max="2806" width="12" customWidth="1"/>
    <col min="2807" max="2807" width="14.44140625" customWidth="1"/>
    <col min="2808" max="2808" width="11.77734375" customWidth="1"/>
    <col min="2809" max="2809" width="14.109375" customWidth="1"/>
    <col min="2810" max="2810" width="13.77734375" customWidth="1"/>
    <col min="2811" max="2812" width="12.77734375" customWidth="1"/>
    <col min="2813" max="2813" width="13.5546875" customWidth="1"/>
    <col min="2814" max="2814" width="15.21875" customWidth="1"/>
    <col min="2815" max="2815" width="12.77734375" customWidth="1"/>
    <col min="2816" max="2816" width="13.77734375" customWidth="1"/>
    <col min="2817" max="2817" width="1.77734375" customWidth="1"/>
    <col min="2818" max="2818" width="13" customWidth="1"/>
    <col min="2819" max="3058" width="8.77734375"/>
    <col min="3059" max="3059" width="6" customWidth="1"/>
    <col min="3060" max="3060" width="1.44140625" customWidth="1"/>
    <col min="3061" max="3061" width="39.109375" customWidth="1"/>
    <col min="3062" max="3062" width="12" customWidth="1"/>
    <col min="3063" max="3063" width="14.44140625" customWidth="1"/>
    <col min="3064" max="3064" width="11.77734375" customWidth="1"/>
    <col min="3065" max="3065" width="14.109375" customWidth="1"/>
    <col min="3066" max="3066" width="13.77734375" customWidth="1"/>
    <col min="3067" max="3068" width="12.77734375" customWidth="1"/>
    <col min="3069" max="3069" width="13.5546875" customWidth="1"/>
    <col min="3070" max="3070" width="15.21875" customWidth="1"/>
    <col min="3071" max="3071" width="12.77734375" customWidth="1"/>
    <col min="3072" max="3072" width="13.77734375" customWidth="1"/>
    <col min="3073" max="3073" width="1.77734375" customWidth="1"/>
    <col min="3074" max="3074" width="13" customWidth="1"/>
    <col min="3075" max="3314" width="8.77734375"/>
    <col min="3315" max="3315" width="6" customWidth="1"/>
    <col min="3316" max="3316" width="1.44140625" customWidth="1"/>
    <col min="3317" max="3317" width="39.109375" customWidth="1"/>
    <col min="3318" max="3318" width="12" customWidth="1"/>
    <col min="3319" max="3319" width="14.44140625" customWidth="1"/>
    <col min="3320" max="3320" width="11.77734375" customWidth="1"/>
    <col min="3321" max="3321" width="14.109375" customWidth="1"/>
    <col min="3322" max="3322" width="13.77734375" customWidth="1"/>
    <col min="3323" max="3324" width="12.77734375" customWidth="1"/>
    <col min="3325" max="3325" width="13.5546875" customWidth="1"/>
    <col min="3326" max="3326" width="15.21875" customWidth="1"/>
    <col min="3327" max="3327" width="12.77734375" customWidth="1"/>
    <col min="3328" max="3328" width="13.77734375" customWidth="1"/>
    <col min="3329" max="3329" width="1.77734375" customWidth="1"/>
    <col min="3330" max="3330" width="13" customWidth="1"/>
    <col min="3331" max="3570" width="8.77734375"/>
    <col min="3571" max="3571" width="6" customWidth="1"/>
    <col min="3572" max="3572" width="1.44140625" customWidth="1"/>
    <col min="3573" max="3573" width="39.109375" customWidth="1"/>
    <col min="3574" max="3574" width="12" customWidth="1"/>
    <col min="3575" max="3575" width="14.44140625" customWidth="1"/>
    <col min="3576" max="3576" width="11.77734375" customWidth="1"/>
    <col min="3577" max="3577" width="14.109375" customWidth="1"/>
    <col min="3578" max="3578" width="13.77734375" customWidth="1"/>
    <col min="3579" max="3580" width="12.77734375" customWidth="1"/>
    <col min="3581" max="3581" width="13.5546875" customWidth="1"/>
    <col min="3582" max="3582" width="15.21875" customWidth="1"/>
    <col min="3583" max="3583" width="12.77734375" customWidth="1"/>
    <col min="3584" max="3584" width="13.77734375" customWidth="1"/>
    <col min="3585" max="3585" width="1.77734375" customWidth="1"/>
    <col min="3586" max="3586" width="13" customWidth="1"/>
    <col min="3587" max="3826" width="8.77734375"/>
    <col min="3827" max="3827" width="6" customWidth="1"/>
    <col min="3828" max="3828" width="1.44140625" customWidth="1"/>
    <col min="3829" max="3829" width="39.109375" customWidth="1"/>
    <col min="3830" max="3830" width="12" customWidth="1"/>
    <col min="3831" max="3831" width="14.44140625" customWidth="1"/>
    <col min="3832" max="3832" width="11.77734375" customWidth="1"/>
    <col min="3833" max="3833" width="14.109375" customWidth="1"/>
    <col min="3834" max="3834" width="13.77734375" customWidth="1"/>
    <col min="3835" max="3836" width="12.77734375" customWidth="1"/>
    <col min="3837" max="3837" width="13.5546875" customWidth="1"/>
    <col min="3838" max="3838" width="15.21875" customWidth="1"/>
    <col min="3839" max="3839" width="12.77734375" customWidth="1"/>
    <col min="3840" max="3840" width="13.77734375" customWidth="1"/>
    <col min="3841" max="3841" width="1.77734375" customWidth="1"/>
    <col min="3842" max="3842" width="13" customWidth="1"/>
    <col min="3843" max="4082" width="8.77734375"/>
    <col min="4083" max="4083" width="6" customWidth="1"/>
    <col min="4084" max="4084" width="1.44140625" customWidth="1"/>
    <col min="4085" max="4085" width="39.109375" customWidth="1"/>
    <col min="4086" max="4086" width="12" customWidth="1"/>
    <col min="4087" max="4087" width="14.44140625" customWidth="1"/>
    <col min="4088" max="4088" width="11.77734375" customWidth="1"/>
    <col min="4089" max="4089" width="14.109375" customWidth="1"/>
    <col min="4090" max="4090" width="13.77734375" customWidth="1"/>
    <col min="4091" max="4092" width="12.77734375" customWidth="1"/>
    <col min="4093" max="4093" width="13.5546875" customWidth="1"/>
    <col min="4094" max="4094" width="15.21875" customWidth="1"/>
    <col min="4095" max="4095" width="12.77734375" customWidth="1"/>
    <col min="4096" max="4096" width="13.77734375" customWidth="1"/>
    <col min="4097" max="4097" width="1.77734375" customWidth="1"/>
    <col min="4098" max="4098" width="13" customWidth="1"/>
    <col min="4099" max="4338" width="8.77734375"/>
    <col min="4339" max="4339" width="6" customWidth="1"/>
    <col min="4340" max="4340" width="1.44140625" customWidth="1"/>
    <col min="4341" max="4341" width="39.109375" customWidth="1"/>
    <col min="4342" max="4342" width="12" customWidth="1"/>
    <col min="4343" max="4343" width="14.44140625" customWidth="1"/>
    <col min="4344" max="4344" width="11.77734375" customWidth="1"/>
    <col min="4345" max="4345" width="14.109375" customWidth="1"/>
    <col min="4346" max="4346" width="13.77734375" customWidth="1"/>
    <col min="4347" max="4348" width="12.77734375" customWidth="1"/>
    <col min="4349" max="4349" width="13.5546875" customWidth="1"/>
    <col min="4350" max="4350" width="15.21875" customWidth="1"/>
    <col min="4351" max="4351" width="12.77734375" customWidth="1"/>
    <col min="4352" max="4352" width="13.77734375" customWidth="1"/>
    <col min="4353" max="4353" width="1.77734375" customWidth="1"/>
    <col min="4354" max="4354" width="13" customWidth="1"/>
    <col min="4355" max="4594" width="8.77734375"/>
    <col min="4595" max="4595" width="6" customWidth="1"/>
    <col min="4596" max="4596" width="1.44140625" customWidth="1"/>
    <col min="4597" max="4597" width="39.109375" customWidth="1"/>
    <col min="4598" max="4598" width="12" customWidth="1"/>
    <col min="4599" max="4599" width="14.44140625" customWidth="1"/>
    <col min="4600" max="4600" width="11.77734375" customWidth="1"/>
    <col min="4601" max="4601" width="14.109375" customWidth="1"/>
    <col min="4602" max="4602" width="13.77734375" customWidth="1"/>
    <col min="4603" max="4604" width="12.77734375" customWidth="1"/>
    <col min="4605" max="4605" width="13.5546875" customWidth="1"/>
    <col min="4606" max="4606" width="15.21875" customWidth="1"/>
    <col min="4607" max="4607" width="12.77734375" customWidth="1"/>
    <col min="4608" max="4608" width="13.77734375" customWidth="1"/>
    <col min="4609" max="4609" width="1.77734375" customWidth="1"/>
    <col min="4610" max="4610" width="13" customWidth="1"/>
    <col min="4611" max="4850" width="8.77734375"/>
    <col min="4851" max="4851" width="6" customWidth="1"/>
    <col min="4852" max="4852" width="1.44140625" customWidth="1"/>
    <col min="4853" max="4853" width="39.109375" customWidth="1"/>
    <col min="4854" max="4854" width="12" customWidth="1"/>
    <col min="4855" max="4855" width="14.44140625" customWidth="1"/>
    <col min="4856" max="4856" width="11.77734375" customWidth="1"/>
    <col min="4857" max="4857" width="14.109375" customWidth="1"/>
    <col min="4858" max="4858" width="13.77734375" customWidth="1"/>
    <col min="4859" max="4860" width="12.77734375" customWidth="1"/>
    <col min="4861" max="4861" width="13.5546875" customWidth="1"/>
    <col min="4862" max="4862" width="15.21875" customWidth="1"/>
    <col min="4863" max="4863" width="12.77734375" customWidth="1"/>
    <col min="4864" max="4864" width="13.77734375" customWidth="1"/>
    <col min="4865" max="4865" width="1.77734375" customWidth="1"/>
    <col min="4866" max="4866" width="13" customWidth="1"/>
    <col min="4867" max="5106" width="8.77734375"/>
    <col min="5107" max="5107" width="6" customWidth="1"/>
    <col min="5108" max="5108" width="1.44140625" customWidth="1"/>
    <col min="5109" max="5109" width="39.109375" customWidth="1"/>
    <col min="5110" max="5110" width="12" customWidth="1"/>
    <col min="5111" max="5111" width="14.44140625" customWidth="1"/>
    <col min="5112" max="5112" width="11.77734375" customWidth="1"/>
    <col min="5113" max="5113" width="14.109375" customWidth="1"/>
    <col min="5114" max="5114" width="13.77734375" customWidth="1"/>
    <col min="5115" max="5116" width="12.77734375" customWidth="1"/>
    <col min="5117" max="5117" width="13.5546875" customWidth="1"/>
    <col min="5118" max="5118" width="15.21875" customWidth="1"/>
    <col min="5119" max="5119" width="12.77734375" customWidth="1"/>
    <col min="5120" max="5120" width="13.77734375" customWidth="1"/>
    <col min="5121" max="5121" width="1.77734375" customWidth="1"/>
    <col min="5122" max="5122" width="13" customWidth="1"/>
    <col min="5123" max="5362" width="8.77734375"/>
    <col min="5363" max="5363" width="6" customWidth="1"/>
    <col min="5364" max="5364" width="1.44140625" customWidth="1"/>
    <col min="5365" max="5365" width="39.109375" customWidth="1"/>
    <col min="5366" max="5366" width="12" customWidth="1"/>
    <col min="5367" max="5367" width="14.44140625" customWidth="1"/>
    <col min="5368" max="5368" width="11.77734375" customWidth="1"/>
    <col min="5369" max="5369" width="14.109375" customWidth="1"/>
    <col min="5370" max="5370" width="13.77734375" customWidth="1"/>
    <col min="5371" max="5372" width="12.77734375" customWidth="1"/>
    <col min="5373" max="5373" width="13.5546875" customWidth="1"/>
    <col min="5374" max="5374" width="15.21875" customWidth="1"/>
    <col min="5375" max="5375" width="12.77734375" customWidth="1"/>
    <col min="5376" max="5376" width="13.77734375" customWidth="1"/>
    <col min="5377" max="5377" width="1.77734375" customWidth="1"/>
    <col min="5378" max="5378" width="13" customWidth="1"/>
    <col min="5379" max="5618" width="8.77734375"/>
    <col min="5619" max="5619" width="6" customWidth="1"/>
    <col min="5620" max="5620" width="1.44140625" customWidth="1"/>
    <col min="5621" max="5621" width="39.109375" customWidth="1"/>
    <col min="5622" max="5622" width="12" customWidth="1"/>
    <col min="5623" max="5623" width="14.44140625" customWidth="1"/>
    <col min="5624" max="5624" width="11.77734375" customWidth="1"/>
    <col min="5625" max="5625" width="14.109375" customWidth="1"/>
    <col min="5626" max="5626" width="13.77734375" customWidth="1"/>
    <col min="5627" max="5628" width="12.77734375" customWidth="1"/>
    <col min="5629" max="5629" width="13.5546875" customWidth="1"/>
    <col min="5630" max="5630" width="15.21875" customWidth="1"/>
    <col min="5631" max="5631" width="12.77734375" customWidth="1"/>
    <col min="5632" max="5632" width="13.77734375" customWidth="1"/>
    <col min="5633" max="5633" width="1.77734375" customWidth="1"/>
    <col min="5634" max="5634" width="13" customWidth="1"/>
    <col min="5635" max="5874" width="8.77734375"/>
    <col min="5875" max="5875" width="6" customWidth="1"/>
    <col min="5876" max="5876" width="1.44140625" customWidth="1"/>
    <col min="5877" max="5877" width="39.109375" customWidth="1"/>
    <col min="5878" max="5878" width="12" customWidth="1"/>
    <col min="5879" max="5879" width="14.44140625" customWidth="1"/>
    <col min="5880" max="5880" width="11.77734375" customWidth="1"/>
    <col min="5881" max="5881" width="14.109375" customWidth="1"/>
    <col min="5882" max="5882" width="13.77734375" customWidth="1"/>
    <col min="5883" max="5884" width="12.77734375" customWidth="1"/>
    <col min="5885" max="5885" width="13.5546875" customWidth="1"/>
    <col min="5886" max="5886" width="15.21875" customWidth="1"/>
    <col min="5887" max="5887" width="12.77734375" customWidth="1"/>
    <col min="5888" max="5888" width="13.77734375" customWidth="1"/>
    <col min="5889" max="5889" width="1.77734375" customWidth="1"/>
    <col min="5890" max="5890" width="13" customWidth="1"/>
    <col min="5891" max="6130" width="8.77734375"/>
    <col min="6131" max="6131" width="6" customWidth="1"/>
    <col min="6132" max="6132" width="1.44140625" customWidth="1"/>
    <col min="6133" max="6133" width="39.109375" customWidth="1"/>
    <col min="6134" max="6134" width="12" customWidth="1"/>
    <col min="6135" max="6135" width="14.44140625" customWidth="1"/>
    <col min="6136" max="6136" width="11.77734375" customWidth="1"/>
    <col min="6137" max="6137" width="14.109375" customWidth="1"/>
    <col min="6138" max="6138" width="13.77734375" customWidth="1"/>
    <col min="6139" max="6140" width="12.77734375" customWidth="1"/>
    <col min="6141" max="6141" width="13.5546875" customWidth="1"/>
    <col min="6142" max="6142" width="15.21875" customWidth="1"/>
    <col min="6143" max="6143" width="12.77734375" customWidth="1"/>
    <col min="6144" max="6144" width="13.77734375" customWidth="1"/>
    <col min="6145" max="6145" width="1.77734375" customWidth="1"/>
    <col min="6146" max="6146" width="13" customWidth="1"/>
    <col min="6147" max="6386" width="8.77734375"/>
    <col min="6387" max="6387" width="6" customWidth="1"/>
    <col min="6388" max="6388" width="1.44140625" customWidth="1"/>
    <col min="6389" max="6389" width="39.109375" customWidth="1"/>
    <col min="6390" max="6390" width="12" customWidth="1"/>
    <col min="6391" max="6391" width="14.44140625" customWidth="1"/>
    <col min="6392" max="6392" width="11.77734375" customWidth="1"/>
    <col min="6393" max="6393" width="14.109375" customWidth="1"/>
    <col min="6394" max="6394" width="13.77734375" customWidth="1"/>
    <col min="6395" max="6396" width="12.77734375" customWidth="1"/>
    <col min="6397" max="6397" width="13.5546875" customWidth="1"/>
    <col min="6398" max="6398" width="15.21875" customWidth="1"/>
    <col min="6399" max="6399" width="12.77734375" customWidth="1"/>
    <col min="6400" max="6400" width="13.77734375" customWidth="1"/>
    <col min="6401" max="6401" width="1.77734375" customWidth="1"/>
    <col min="6402" max="6402" width="13" customWidth="1"/>
    <col min="6403" max="6642" width="8.77734375"/>
    <col min="6643" max="6643" width="6" customWidth="1"/>
    <col min="6644" max="6644" width="1.44140625" customWidth="1"/>
    <col min="6645" max="6645" width="39.109375" customWidth="1"/>
    <col min="6646" max="6646" width="12" customWidth="1"/>
    <col min="6647" max="6647" width="14.44140625" customWidth="1"/>
    <col min="6648" max="6648" width="11.77734375" customWidth="1"/>
    <col min="6649" max="6649" width="14.109375" customWidth="1"/>
    <col min="6650" max="6650" width="13.77734375" customWidth="1"/>
    <col min="6651" max="6652" width="12.77734375" customWidth="1"/>
    <col min="6653" max="6653" width="13.5546875" customWidth="1"/>
    <col min="6654" max="6654" width="15.21875" customWidth="1"/>
    <col min="6655" max="6655" width="12.77734375" customWidth="1"/>
    <col min="6656" max="6656" width="13.77734375" customWidth="1"/>
    <col min="6657" max="6657" width="1.77734375" customWidth="1"/>
    <col min="6658" max="6658" width="13" customWidth="1"/>
    <col min="6659" max="6898" width="8.77734375"/>
    <col min="6899" max="6899" width="6" customWidth="1"/>
    <col min="6900" max="6900" width="1.44140625" customWidth="1"/>
    <col min="6901" max="6901" width="39.109375" customWidth="1"/>
    <col min="6902" max="6902" width="12" customWidth="1"/>
    <col min="6903" max="6903" width="14.44140625" customWidth="1"/>
    <col min="6904" max="6904" width="11.77734375" customWidth="1"/>
    <col min="6905" max="6905" width="14.109375" customWidth="1"/>
    <col min="6906" max="6906" width="13.77734375" customWidth="1"/>
    <col min="6907" max="6908" width="12.77734375" customWidth="1"/>
    <col min="6909" max="6909" width="13.5546875" customWidth="1"/>
    <col min="6910" max="6910" width="15.21875" customWidth="1"/>
    <col min="6911" max="6911" width="12.77734375" customWidth="1"/>
    <col min="6912" max="6912" width="13.77734375" customWidth="1"/>
    <col min="6913" max="6913" width="1.77734375" customWidth="1"/>
    <col min="6914" max="6914" width="13" customWidth="1"/>
    <col min="6915" max="7154" width="8.77734375"/>
    <col min="7155" max="7155" width="6" customWidth="1"/>
    <col min="7156" max="7156" width="1.44140625" customWidth="1"/>
    <col min="7157" max="7157" width="39.109375" customWidth="1"/>
    <col min="7158" max="7158" width="12" customWidth="1"/>
    <col min="7159" max="7159" width="14.44140625" customWidth="1"/>
    <col min="7160" max="7160" width="11.77734375" customWidth="1"/>
    <col min="7161" max="7161" width="14.109375" customWidth="1"/>
    <col min="7162" max="7162" width="13.77734375" customWidth="1"/>
    <col min="7163" max="7164" width="12.77734375" customWidth="1"/>
    <col min="7165" max="7165" width="13.5546875" customWidth="1"/>
    <col min="7166" max="7166" width="15.21875" customWidth="1"/>
    <col min="7167" max="7167" width="12.77734375" customWidth="1"/>
    <col min="7168" max="7168" width="13.77734375" customWidth="1"/>
    <col min="7169" max="7169" width="1.77734375" customWidth="1"/>
    <col min="7170" max="7170" width="13" customWidth="1"/>
    <col min="7171" max="7410" width="8.77734375"/>
    <col min="7411" max="7411" width="6" customWidth="1"/>
    <col min="7412" max="7412" width="1.44140625" customWidth="1"/>
    <col min="7413" max="7413" width="39.109375" customWidth="1"/>
    <col min="7414" max="7414" width="12" customWidth="1"/>
    <col min="7415" max="7415" width="14.44140625" customWidth="1"/>
    <col min="7416" max="7416" width="11.77734375" customWidth="1"/>
    <col min="7417" max="7417" width="14.109375" customWidth="1"/>
    <col min="7418" max="7418" width="13.77734375" customWidth="1"/>
    <col min="7419" max="7420" width="12.77734375" customWidth="1"/>
    <col min="7421" max="7421" width="13.5546875" customWidth="1"/>
    <col min="7422" max="7422" width="15.21875" customWidth="1"/>
    <col min="7423" max="7423" width="12.77734375" customWidth="1"/>
    <col min="7424" max="7424" width="13.77734375" customWidth="1"/>
    <col min="7425" max="7425" width="1.77734375" customWidth="1"/>
    <col min="7426" max="7426" width="13" customWidth="1"/>
    <col min="7427" max="7666" width="8.77734375"/>
    <col min="7667" max="7667" width="6" customWidth="1"/>
    <col min="7668" max="7668" width="1.44140625" customWidth="1"/>
    <col min="7669" max="7669" width="39.109375" customWidth="1"/>
    <col min="7670" max="7670" width="12" customWidth="1"/>
    <col min="7671" max="7671" width="14.44140625" customWidth="1"/>
    <col min="7672" max="7672" width="11.77734375" customWidth="1"/>
    <col min="7673" max="7673" width="14.109375" customWidth="1"/>
    <col min="7674" max="7674" width="13.77734375" customWidth="1"/>
    <col min="7675" max="7676" width="12.77734375" customWidth="1"/>
    <col min="7677" max="7677" width="13.5546875" customWidth="1"/>
    <col min="7678" max="7678" width="15.21875" customWidth="1"/>
    <col min="7679" max="7679" width="12.77734375" customWidth="1"/>
    <col min="7680" max="7680" width="13.77734375" customWidth="1"/>
    <col min="7681" max="7681" width="1.77734375" customWidth="1"/>
    <col min="7682" max="7682" width="13" customWidth="1"/>
    <col min="7683" max="7922" width="8.77734375"/>
    <col min="7923" max="7923" width="6" customWidth="1"/>
    <col min="7924" max="7924" width="1.44140625" customWidth="1"/>
    <col min="7925" max="7925" width="39.109375" customWidth="1"/>
    <col min="7926" max="7926" width="12" customWidth="1"/>
    <col min="7927" max="7927" width="14.44140625" customWidth="1"/>
    <col min="7928" max="7928" width="11.77734375" customWidth="1"/>
    <col min="7929" max="7929" width="14.109375" customWidth="1"/>
    <col min="7930" max="7930" width="13.77734375" customWidth="1"/>
    <col min="7931" max="7932" width="12.77734375" customWidth="1"/>
    <col min="7933" max="7933" width="13.5546875" customWidth="1"/>
    <col min="7934" max="7934" width="15.21875" customWidth="1"/>
    <col min="7935" max="7935" width="12.77734375" customWidth="1"/>
    <col min="7936" max="7936" width="13.77734375" customWidth="1"/>
    <col min="7937" max="7937" width="1.77734375" customWidth="1"/>
    <col min="7938" max="7938" width="13" customWidth="1"/>
    <col min="7939" max="8178" width="8.77734375"/>
    <col min="8179" max="8179" width="6" customWidth="1"/>
    <col min="8180" max="8180" width="1.44140625" customWidth="1"/>
    <col min="8181" max="8181" width="39.109375" customWidth="1"/>
    <col min="8182" max="8182" width="12" customWidth="1"/>
    <col min="8183" max="8183" width="14.44140625" customWidth="1"/>
    <col min="8184" max="8184" width="11.77734375" customWidth="1"/>
    <col min="8185" max="8185" width="14.109375" customWidth="1"/>
    <col min="8186" max="8186" width="13.77734375" customWidth="1"/>
    <col min="8187" max="8188" width="12.77734375" customWidth="1"/>
    <col min="8189" max="8189" width="13.5546875" customWidth="1"/>
    <col min="8190" max="8190" width="15.21875" customWidth="1"/>
    <col min="8191" max="8191" width="12.77734375" customWidth="1"/>
    <col min="8192" max="8192" width="13.77734375" customWidth="1"/>
    <col min="8193" max="8193" width="1.77734375" customWidth="1"/>
    <col min="8194" max="8194" width="13" customWidth="1"/>
    <col min="8195" max="8434" width="8.77734375"/>
    <col min="8435" max="8435" width="6" customWidth="1"/>
    <col min="8436" max="8436" width="1.44140625" customWidth="1"/>
    <col min="8437" max="8437" width="39.109375" customWidth="1"/>
    <col min="8438" max="8438" width="12" customWidth="1"/>
    <col min="8439" max="8439" width="14.44140625" customWidth="1"/>
    <col min="8440" max="8440" width="11.77734375" customWidth="1"/>
    <col min="8441" max="8441" width="14.109375" customWidth="1"/>
    <col min="8442" max="8442" width="13.77734375" customWidth="1"/>
    <col min="8443" max="8444" width="12.77734375" customWidth="1"/>
    <col min="8445" max="8445" width="13.5546875" customWidth="1"/>
    <col min="8446" max="8446" width="15.21875" customWidth="1"/>
    <col min="8447" max="8447" width="12.77734375" customWidth="1"/>
    <col min="8448" max="8448" width="13.77734375" customWidth="1"/>
    <col min="8449" max="8449" width="1.77734375" customWidth="1"/>
    <col min="8450" max="8450" width="13" customWidth="1"/>
    <col min="8451" max="8690" width="8.77734375"/>
    <col min="8691" max="8691" width="6" customWidth="1"/>
    <col min="8692" max="8692" width="1.44140625" customWidth="1"/>
    <col min="8693" max="8693" width="39.109375" customWidth="1"/>
    <col min="8694" max="8694" width="12" customWidth="1"/>
    <col min="8695" max="8695" width="14.44140625" customWidth="1"/>
    <col min="8696" max="8696" width="11.77734375" customWidth="1"/>
    <col min="8697" max="8697" width="14.109375" customWidth="1"/>
    <col min="8698" max="8698" width="13.77734375" customWidth="1"/>
    <col min="8699" max="8700" width="12.77734375" customWidth="1"/>
    <col min="8701" max="8701" width="13.5546875" customWidth="1"/>
    <col min="8702" max="8702" width="15.21875" customWidth="1"/>
    <col min="8703" max="8703" width="12.77734375" customWidth="1"/>
    <col min="8704" max="8704" width="13.77734375" customWidth="1"/>
    <col min="8705" max="8705" width="1.77734375" customWidth="1"/>
    <col min="8706" max="8706" width="13" customWidth="1"/>
    <col min="8707" max="8946" width="8.77734375"/>
    <col min="8947" max="8947" width="6" customWidth="1"/>
    <col min="8948" max="8948" width="1.44140625" customWidth="1"/>
    <col min="8949" max="8949" width="39.109375" customWidth="1"/>
    <col min="8950" max="8950" width="12" customWidth="1"/>
    <col min="8951" max="8951" width="14.44140625" customWidth="1"/>
    <col min="8952" max="8952" width="11.77734375" customWidth="1"/>
    <col min="8953" max="8953" width="14.109375" customWidth="1"/>
    <col min="8954" max="8954" width="13.77734375" customWidth="1"/>
    <col min="8955" max="8956" width="12.77734375" customWidth="1"/>
    <col min="8957" max="8957" width="13.5546875" customWidth="1"/>
    <col min="8958" max="8958" width="15.21875" customWidth="1"/>
    <col min="8959" max="8959" width="12.77734375" customWidth="1"/>
    <col min="8960" max="8960" width="13.77734375" customWidth="1"/>
    <col min="8961" max="8961" width="1.77734375" customWidth="1"/>
    <col min="8962" max="8962" width="13" customWidth="1"/>
    <col min="8963" max="9202" width="8.77734375"/>
    <col min="9203" max="9203" width="6" customWidth="1"/>
    <col min="9204" max="9204" width="1.44140625" customWidth="1"/>
    <col min="9205" max="9205" width="39.109375" customWidth="1"/>
    <col min="9206" max="9206" width="12" customWidth="1"/>
    <col min="9207" max="9207" width="14.44140625" customWidth="1"/>
    <col min="9208" max="9208" width="11.77734375" customWidth="1"/>
    <col min="9209" max="9209" width="14.109375" customWidth="1"/>
    <col min="9210" max="9210" width="13.77734375" customWidth="1"/>
    <col min="9211" max="9212" width="12.77734375" customWidth="1"/>
    <col min="9213" max="9213" width="13.5546875" customWidth="1"/>
    <col min="9214" max="9214" width="15.21875" customWidth="1"/>
    <col min="9215" max="9215" width="12.77734375" customWidth="1"/>
    <col min="9216" max="9216" width="13.77734375" customWidth="1"/>
    <col min="9217" max="9217" width="1.77734375" customWidth="1"/>
    <col min="9218" max="9218" width="13" customWidth="1"/>
    <col min="9219" max="9458" width="8.77734375"/>
    <col min="9459" max="9459" width="6" customWidth="1"/>
    <col min="9460" max="9460" width="1.44140625" customWidth="1"/>
    <col min="9461" max="9461" width="39.109375" customWidth="1"/>
    <col min="9462" max="9462" width="12" customWidth="1"/>
    <col min="9463" max="9463" width="14.44140625" customWidth="1"/>
    <col min="9464" max="9464" width="11.77734375" customWidth="1"/>
    <col min="9465" max="9465" width="14.109375" customWidth="1"/>
    <col min="9466" max="9466" width="13.77734375" customWidth="1"/>
    <col min="9467" max="9468" width="12.77734375" customWidth="1"/>
    <col min="9469" max="9469" width="13.5546875" customWidth="1"/>
    <col min="9470" max="9470" width="15.21875" customWidth="1"/>
    <col min="9471" max="9471" width="12.77734375" customWidth="1"/>
    <col min="9472" max="9472" width="13.77734375" customWidth="1"/>
    <col min="9473" max="9473" width="1.77734375" customWidth="1"/>
    <col min="9474" max="9474" width="13" customWidth="1"/>
    <col min="9475" max="9714" width="8.77734375"/>
    <col min="9715" max="9715" width="6" customWidth="1"/>
    <col min="9716" max="9716" width="1.44140625" customWidth="1"/>
    <col min="9717" max="9717" width="39.109375" customWidth="1"/>
    <col min="9718" max="9718" width="12" customWidth="1"/>
    <col min="9719" max="9719" width="14.44140625" customWidth="1"/>
    <col min="9720" max="9720" width="11.77734375" customWidth="1"/>
    <col min="9721" max="9721" width="14.109375" customWidth="1"/>
    <col min="9722" max="9722" width="13.77734375" customWidth="1"/>
    <col min="9723" max="9724" width="12.77734375" customWidth="1"/>
    <col min="9725" max="9725" width="13.5546875" customWidth="1"/>
    <col min="9726" max="9726" width="15.21875" customWidth="1"/>
    <col min="9727" max="9727" width="12.77734375" customWidth="1"/>
    <col min="9728" max="9728" width="13.77734375" customWidth="1"/>
    <col min="9729" max="9729" width="1.77734375" customWidth="1"/>
    <col min="9730" max="9730" width="13" customWidth="1"/>
    <col min="9731" max="9970" width="8.77734375"/>
    <col min="9971" max="9971" width="6" customWidth="1"/>
    <col min="9972" max="9972" width="1.44140625" customWidth="1"/>
    <col min="9973" max="9973" width="39.109375" customWidth="1"/>
    <col min="9974" max="9974" width="12" customWidth="1"/>
    <col min="9975" max="9975" width="14.44140625" customWidth="1"/>
    <col min="9976" max="9976" width="11.77734375" customWidth="1"/>
    <col min="9977" max="9977" width="14.109375" customWidth="1"/>
    <col min="9978" max="9978" width="13.77734375" customWidth="1"/>
    <col min="9979" max="9980" width="12.77734375" customWidth="1"/>
    <col min="9981" max="9981" width="13.5546875" customWidth="1"/>
    <col min="9982" max="9982" width="15.21875" customWidth="1"/>
    <col min="9983" max="9983" width="12.77734375" customWidth="1"/>
    <col min="9984" max="9984" width="13.77734375" customWidth="1"/>
    <col min="9985" max="9985" width="1.77734375" customWidth="1"/>
    <col min="9986" max="9986" width="13" customWidth="1"/>
    <col min="9987" max="10226" width="8.77734375"/>
    <col min="10227" max="10227" width="6" customWidth="1"/>
    <col min="10228" max="10228" width="1.44140625" customWidth="1"/>
    <col min="10229" max="10229" width="39.109375" customWidth="1"/>
    <col min="10230" max="10230" width="12" customWidth="1"/>
    <col min="10231" max="10231" width="14.44140625" customWidth="1"/>
    <col min="10232" max="10232" width="11.77734375" customWidth="1"/>
    <col min="10233" max="10233" width="14.109375" customWidth="1"/>
    <col min="10234" max="10234" width="13.77734375" customWidth="1"/>
    <col min="10235" max="10236" width="12.77734375" customWidth="1"/>
    <col min="10237" max="10237" width="13.5546875" customWidth="1"/>
    <col min="10238" max="10238" width="15.21875" customWidth="1"/>
    <col min="10239" max="10239" width="12.77734375" customWidth="1"/>
    <col min="10240" max="10240" width="13.77734375" customWidth="1"/>
    <col min="10241" max="10241" width="1.77734375" customWidth="1"/>
    <col min="10242" max="10242" width="13" customWidth="1"/>
    <col min="10243" max="10482" width="8.77734375"/>
    <col min="10483" max="10483" width="6" customWidth="1"/>
    <col min="10484" max="10484" width="1.44140625" customWidth="1"/>
    <col min="10485" max="10485" width="39.109375" customWidth="1"/>
    <col min="10486" max="10486" width="12" customWidth="1"/>
    <col min="10487" max="10487" width="14.44140625" customWidth="1"/>
    <col min="10488" max="10488" width="11.77734375" customWidth="1"/>
    <col min="10489" max="10489" width="14.109375" customWidth="1"/>
    <col min="10490" max="10490" width="13.77734375" customWidth="1"/>
    <col min="10491" max="10492" width="12.77734375" customWidth="1"/>
    <col min="10493" max="10493" width="13.5546875" customWidth="1"/>
    <col min="10494" max="10494" width="15.21875" customWidth="1"/>
    <col min="10495" max="10495" width="12.77734375" customWidth="1"/>
    <col min="10496" max="10496" width="13.77734375" customWidth="1"/>
    <col min="10497" max="10497" width="1.77734375" customWidth="1"/>
    <col min="10498" max="10498" width="13" customWidth="1"/>
    <col min="10499" max="10738" width="8.77734375"/>
    <col min="10739" max="10739" width="6" customWidth="1"/>
    <col min="10740" max="10740" width="1.44140625" customWidth="1"/>
    <col min="10741" max="10741" width="39.109375" customWidth="1"/>
    <col min="10742" max="10742" width="12" customWidth="1"/>
    <col min="10743" max="10743" width="14.44140625" customWidth="1"/>
    <col min="10744" max="10744" width="11.77734375" customWidth="1"/>
    <col min="10745" max="10745" width="14.109375" customWidth="1"/>
    <col min="10746" max="10746" width="13.77734375" customWidth="1"/>
    <col min="10747" max="10748" width="12.77734375" customWidth="1"/>
    <col min="10749" max="10749" width="13.5546875" customWidth="1"/>
    <col min="10750" max="10750" width="15.21875" customWidth="1"/>
    <col min="10751" max="10751" width="12.77734375" customWidth="1"/>
    <col min="10752" max="10752" width="13.77734375" customWidth="1"/>
    <col min="10753" max="10753" width="1.77734375" customWidth="1"/>
    <col min="10754" max="10754" width="13" customWidth="1"/>
    <col min="10755" max="10994" width="8.77734375"/>
    <col min="10995" max="10995" width="6" customWidth="1"/>
    <col min="10996" max="10996" width="1.44140625" customWidth="1"/>
    <col min="10997" max="10997" width="39.109375" customWidth="1"/>
    <col min="10998" max="10998" width="12" customWidth="1"/>
    <col min="10999" max="10999" width="14.44140625" customWidth="1"/>
    <col min="11000" max="11000" width="11.77734375" customWidth="1"/>
    <col min="11001" max="11001" width="14.109375" customWidth="1"/>
    <col min="11002" max="11002" width="13.77734375" customWidth="1"/>
    <col min="11003" max="11004" width="12.77734375" customWidth="1"/>
    <col min="11005" max="11005" width="13.5546875" customWidth="1"/>
    <col min="11006" max="11006" width="15.21875" customWidth="1"/>
    <col min="11007" max="11007" width="12.77734375" customWidth="1"/>
    <col min="11008" max="11008" width="13.77734375" customWidth="1"/>
    <col min="11009" max="11009" width="1.77734375" customWidth="1"/>
    <col min="11010" max="11010" width="13" customWidth="1"/>
    <col min="11011" max="11250" width="8.77734375"/>
    <col min="11251" max="11251" width="6" customWidth="1"/>
    <col min="11252" max="11252" width="1.44140625" customWidth="1"/>
    <col min="11253" max="11253" width="39.109375" customWidth="1"/>
    <col min="11254" max="11254" width="12" customWidth="1"/>
    <col min="11255" max="11255" width="14.44140625" customWidth="1"/>
    <col min="11256" max="11256" width="11.77734375" customWidth="1"/>
    <col min="11257" max="11257" width="14.109375" customWidth="1"/>
    <col min="11258" max="11258" width="13.77734375" customWidth="1"/>
    <col min="11259" max="11260" width="12.77734375" customWidth="1"/>
    <col min="11261" max="11261" width="13.5546875" customWidth="1"/>
    <col min="11262" max="11262" width="15.21875" customWidth="1"/>
    <col min="11263" max="11263" width="12.77734375" customWidth="1"/>
    <col min="11264" max="11264" width="13.77734375" customWidth="1"/>
    <col min="11265" max="11265" width="1.77734375" customWidth="1"/>
    <col min="11266" max="11266" width="13" customWidth="1"/>
    <col min="11267" max="11506" width="8.77734375"/>
    <col min="11507" max="11507" width="6" customWidth="1"/>
    <col min="11508" max="11508" width="1.44140625" customWidth="1"/>
    <col min="11509" max="11509" width="39.109375" customWidth="1"/>
    <col min="11510" max="11510" width="12" customWidth="1"/>
    <col min="11511" max="11511" width="14.44140625" customWidth="1"/>
    <col min="11512" max="11512" width="11.77734375" customWidth="1"/>
    <col min="11513" max="11513" width="14.109375" customWidth="1"/>
    <col min="11514" max="11514" width="13.77734375" customWidth="1"/>
    <col min="11515" max="11516" width="12.77734375" customWidth="1"/>
    <col min="11517" max="11517" width="13.5546875" customWidth="1"/>
    <col min="11518" max="11518" width="15.21875" customWidth="1"/>
    <col min="11519" max="11519" width="12.77734375" customWidth="1"/>
    <col min="11520" max="11520" width="13.77734375" customWidth="1"/>
    <col min="11521" max="11521" width="1.77734375" customWidth="1"/>
    <col min="11522" max="11522" width="13" customWidth="1"/>
    <col min="11523" max="11762" width="8.77734375"/>
    <col min="11763" max="11763" width="6" customWidth="1"/>
    <col min="11764" max="11764" width="1.44140625" customWidth="1"/>
    <col min="11765" max="11765" width="39.109375" customWidth="1"/>
    <col min="11766" max="11766" width="12" customWidth="1"/>
    <col min="11767" max="11767" width="14.44140625" customWidth="1"/>
    <col min="11768" max="11768" width="11.77734375" customWidth="1"/>
    <col min="11769" max="11769" width="14.109375" customWidth="1"/>
    <col min="11770" max="11770" width="13.77734375" customWidth="1"/>
    <col min="11771" max="11772" width="12.77734375" customWidth="1"/>
    <col min="11773" max="11773" width="13.5546875" customWidth="1"/>
    <col min="11774" max="11774" width="15.21875" customWidth="1"/>
    <col min="11775" max="11775" width="12.77734375" customWidth="1"/>
    <col min="11776" max="11776" width="13.77734375" customWidth="1"/>
    <col min="11777" max="11777" width="1.77734375" customWidth="1"/>
    <col min="11778" max="11778" width="13" customWidth="1"/>
    <col min="11779" max="12018" width="8.77734375"/>
    <col min="12019" max="12019" width="6" customWidth="1"/>
    <col min="12020" max="12020" width="1.44140625" customWidth="1"/>
    <col min="12021" max="12021" width="39.109375" customWidth="1"/>
    <col min="12022" max="12022" width="12" customWidth="1"/>
    <col min="12023" max="12023" width="14.44140625" customWidth="1"/>
    <col min="12024" max="12024" width="11.77734375" customWidth="1"/>
    <col min="12025" max="12025" width="14.109375" customWidth="1"/>
    <col min="12026" max="12026" width="13.77734375" customWidth="1"/>
    <col min="12027" max="12028" width="12.77734375" customWidth="1"/>
    <col min="12029" max="12029" width="13.5546875" customWidth="1"/>
    <col min="12030" max="12030" width="15.21875" customWidth="1"/>
    <col min="12031" max="12031" width="12.77734375" customWidth="1"/>
    <col min="12032" max="12032" width="13.77734375" customWidth="1"/>
    <col min="12033" max="12033" width="1.77734375" customWidth="1"/>
    <col min="12034" max="12034" width="13" customWidth="1"/>
    <col min="12035" max="12274" width="8.77734375"/>
    <col min="12275" max="12275" width="6" customWidth="1"/>
    <col min="12276" max="12276" width="1.44140625" customWidth="1"/>
    <col min="12277" max="12277" width="39.109375" customWidth="1"/>
    <col min="12278" max="12278" width="12" customWidth="1"/>
    <col min="12279" max="12279" width="14.44140625" customWidth="1"/>
    <col min="12280" max="12280" width="11.77734375" customWidth="1"/>
    <col min="12281" max="12281" width="14.109375" customWidth="1"/>
    <col min="12282" max="12282" width="13.77734375" customWidth="1"/>
    <col min="12283" max="12284" width="12.77734375" customWidth="1"/>
    <col min="12285" max="12285" width="13.5546875" customWidth="1"/>
    <col min="12286" max="12286" width="15.21875" customWidth="1"/>
    <col min="12287" max="12287" width="12.77734375" customWidth="1"/>
    <col min="12288" max="12288" width="13.77734375" customWidth="1"/>
    <col min="12289" max="12289" width="1.77734375" customWidth="1"/>
    <col min="12290" max="12290" width="13" customWidth="1"/>
    <col min="12291" max="12530" width="8.77734375"/>
    <col min="12531" max="12531" width="6" customWidth="1"/>
    <col min="12532" max="12532" width="1.44140625" customWidth="1"/>
    <col min="12533" max="12533" width="39.109375" customWidth="1"/>
    <col min="12534" max="12534" width="12" customWidth="1"/>
    <col min="12535" max="12535" width="14.44140625" customWidth="1"/>
    <col min="12536" max="12536" width="11.77734375" customWidth="1"/>
    <col min="12537" max="12537" width="14.109375" customWidth="1"/>
    <col min="12538" max="12538" width="13.77734375" customWidth="1"/>
    <col min="12539" max="12540" width="12.77734375" customWidth="1"/>
    <col min="12541" max="12541" width="13.5546875" customWidth="1"/>
    <col min="12542" max="12542" width="15.21875" customWidth="1"/>
    <col min="12543" max="12543" width="12.77734375" customWidth="1"/>
    <col min="12544" max="12544" width="13.77734375" customWidth="1"/>
    <col min="12545" max="12545" width="1.77734375" customWidth="1"/>
    <col min="12546" max="12546" width="13" customWidth="1"/>
    <col min="12547" max="12786" width="8.77734375"/>
    <col min="12787" max="12787" width="6" customWidth="1"/>
    <col min="12788" max="12788" width="1.44140625" customWidth="1"/>
    <col min="12789" max="12789" width="39.109375" customWidth="1"/>
    <col min="12790" max="12790" width="12" customWidth="1"/>
    <col min="12791" max="12791" width="14.44140625" customWidth="1"/>
    <col min="12792" max="12792" width="11.77734375" customWidth="1"/>
    <col min="12793" max="12793" width="14.109375" customWidth="1"/>
    <col min="12794" max="12794" width="13.77734375" customWidth="1"/>
    <col min="12795" max="12796" width="12.77734375" customWidth="1"/>
    <col min="12797" max="12797" width="13.5546875" customWidth="1"/>
    <col min="12798" max="12798" width="15.21875" customWidth="1"/>
    <col min="12799" max="12799" width="12.77734375" customWidth="1"/>
    <col min="12800" max="12800" width="13.77734375" customWidth="1"/>
    <col min="12801" max="12801" width="1.77734375" customWidth="1"/>
    <col min="12802" max="12802" width="13" customWidth="1"/>
    <col min="12803" max="13042" width="8.77734375"/>
    <col min="13043" max="13043" width="6" customWidth="1"/>
    <col min="13044" max="13044" width="1.44140625" customWidth="1"/>
    <col min="13045" max="13045" width="39.109375" customWidth="1"/>
    <col min="13046" max="13046" width="12" customWidth="1"/>
    <col min="13047" max="13047" width="14.44140625" customWidth="1"/>
    <col min="13048" max="13048" width="11.77734375" customWidth="1"/>
    <col min="13049" max="13049" width="14.109375" customWidth="1"/>
    <col min="13050" max="13050" width="13.77734375" customWidth="1"/>
    <col min="13051" max="13052" width="12.77734375" customWidth="1"/>
    <col min="13053" max="13053" width="13.5546875" customWidth="1"/>
    <col min="13054" max="13054" width="15.21875" customWidth="1"/>
    <col min="13055" max="13055" width="12.77734375" customWidth="1"/>
    <col min="13056" max="13056" width="13.77734375" customWidth="1"/>
    <col min="13057" max="13057" width="1.77734375" customWidth="1"/>
    <col min="13058" max="13058" width="13" customWidth="1"/>
    <col min="13059" max="13298" width="8.77734375"/>
    <col min="13299" max="13299" width="6" customWidth="1"/>
    <col min="13300" max="13300" width="1.44140625" customWidth="1"/>
    <col min="13301" max="13301" width="39.109375" customWidth="1"/>
    <col min="13302" max="13302" width="12" customWidth="1"/>
    <col min="13303" max="13303" width="14.44140625" customWidth="1"/>
    <col min="13304" max="13304" width="11.77734375" customWidth="1"/>
    <col min="13305" max="13305" width="14.109375" customWidth="1"/>
    <col min="13306" max="13306" width="13.77734375" customWidth="1"/>
    <col min="13307" max="13308" width="12.77734375" customWidth="1"/>
    <col min="13309" max="13309" width="13.5546875" customWidth="1"/>
    <col min="13310" max="13310" width="15.21875" customWidth="1"/>
    <col min="13311" max="13311" width="12.77734375" customWidth="1"/>
    <col min="13312" max="13312" width="13.77734375" customWidth="1"/>
    <col min="13313" max="13313" width="1.77734375" customWidth="1"/>
    <col min="13314" max="13314" width="13" customWidth="1"/>
    <col min="13315" max="13554" width="8.77734375"/>
    <col min="13555" max="13555" width="6" customWidth="1"/>
    <col min="13556" max="13556" width="1.44140625" customWidth="1"/>
    <col min="13557" max="13557" width="39.109375" customWidth="1"/>
    <col min="13558" max="13558" width="12" customWidth="1"/>
    <col min="13559" max="13559" width="14.44140625" customWidth="1"/>
    <col min="13560" max="13560" width="11.77734375" customWidth="1"/>
    <col min="13561" max="13561" width="14.109375" customWidth="1"/>
    <col min="13562" max="13562" width="13.77734375" customWidth="1"/>
    <col min="13563" max="13564" width="12.77734375" customWidth="1"/>
    <col min="13565" max="13565" width="13.5546875" customWidth="1"/>
    <col min="13566" max="13566" width="15.21875" customWidth="1"/>
    <col min="13567" max="13567" width="12.77734375" customWidth="1"/>
    <col min="13568" max="13568" width="13.77734375" customWidth="1"/>
    <col min="13569" max="13569" width="1.77734375" customWidth="1"/>
    <col min="13570" max="13570" width="13" customWidth="1"/>
    <col min="13571" max="13810" width="8.77734375"/>
    <col min="13811" max="13811" width="6" customWidth="1"/>
    <col min="13812" max="13812" width="1.44140625" customWidth="1"/>
    <col min="13813" max="13813" width="39.109375" customWidth="1"/>
    <col min="13814" max="13814" width="12" customWidth="1"/>
    <col min="13815" max="13815" width="14.44140625" customWidth="1"/>
    <col min="13816" max="13816" width="11.77734375" customWidth="1"/>
    <col min="13817" max="13817" width="14.109375" customWidth="1"/>
    <col min="13818" max="13818" width="13.77734375" customWidth="1"/>
    <col min="13819" max="13820" width="12.77734375" customWidth="1"/>
    <col min="13821" max="13821" width="13.5546875" customWidth="1"/>
    <col min="13822" max="13822" width="15.21875" customWidth="1"/>
    <col min="13823" max="13823" width="12.77734375" customWidth="1"/>
    <col min="13824" max="13824" width="13.77734375" customWidth="1"/>
    <col min="13825" max="13825" width="1.77734375" customWidth="1"/>
    <col min="13826" max="13826" width="13" customWidth="1"/>
    <col min="13827" max="14066" width="8.77734375"/>
    <col min="14067" max="14067" width="6" customWidth="1"/>
    <col min="14068" max="14068" width="1.44140625" customWidth="1"/>
    <col min="14069" max="14069" width="39.109375" customWidth="1"/>
    <col min="14070" max="14070" width="12" customWidth="1"/>
    <col min="14071" max="14071" width="14.44140625" customWidth="1"/>
    <col min="14072" max="14072" width="11.77734375" customWidth="1"/>
    <col min="14073" max="14073" width="14.109375" customWidth="1"/>
    <col min="14074" max="14074" width="13.77734375" customWidth="1"/>
    <col min="14075" max="14076" width="12.77734375" customWidth="1"/>
    <col min="14077" max="14077" width="13.5546875" customWidth="1"/>
    <col min="14078" max="14078" width="15.21875" customWidth="1"/>
    <col min="14079" max="14079" width="12.77734375" customWidth="1"/>
    <col min="14080" max="14080" width="13.77734375" customWidth="1"/>
    <col min="14081" max="14081" width="1.77734375" customWidth="1"/>
    <col min="14082" max="14082" width="13" customWidth="1"/>
    <col min="14083" max="14322" width="8.77734375"/>
    <col min="14323" max="14323" width="6" customWidth="1"/>
    <col min="14324" max="14324" width="1.44140625" customWidth="1"/>
    <col min="14325" max="14325" width="39.109375" customWidth="1"/>
    <col min="14326" max="14326" width="12" customWidth="1"/>
    <col min="14327" max="14327" width="14.44140625" customWidth="1"/>
    <col min="14328" max="14328" width="11.77734375" customWidth="1"/>
    <col min="14329" max="14329" width="14.109375" customWidth="1"/>
    <col min="14330" max="14330" width="13.77734375" customWidth="1"/>
    <col min="14331" max="14332" width="12.77734375" customWidth="1"/>
    <col min="14333" max="14333" width="13.5546875" customWidth="1"/>
    <col min="14334" max="14334" width="15.21875" customWidth="1"/>
    <col min="14335" max="14335" width="12.77734375" customWidth="1"/>
    <col min="14336" max="14336" width="13.77734375" customWidth="1"/>
    <col min="14337" max="14337" width="1.77734375" customWidth="1"/>
    <col min="14338" max="14338" width="13" customWidth="1"/>
    <col min="14339" max="14578" width="8.77734375"/>
    <col min="14579" max="14579" width="6" customWidth="1"/>
    <col min="14580" max="14580" width="1.44140625" customWidth="1"/>
    <col min="14581" max="14581" width="39.109375" customWidth="1"/>
    <col min="14582" max="14582" width="12" customWidth="1"/>
    <col min="14583" max="14583" width="14.44140625" customWidth="1"/>
    <col min="14584" max="14584" width="11.77734375" customWidth="1"/>
    <col min="14585" max="14585" width="14.109375" customWidth="1"/>
    <col min="14586" max="14586" width="13.77734375" customWidth="1"/>
    <col min="14587" max="14588" width="12.77734375" customWidth="1"/>
    <col min="14589" max="14589" width="13.5546875" customWidth="1"/>
    <col min="14590" max="14590" width="15.21875" customWidth="1"/>
    <col min="14591" max="14591" width="12.77734375" customWidth="1"/>
    <col min="14592" max="14592" width="13.77734375" customWidth="1"/>
    <col min="14593" max="14593" width="1.77734375" customWidth="1"/>
    <col min="14594" max="14594" width="13" customWidth="1"/>
    <col min="14595" max="14834" width="8.77734375"/>
    <col min="14835" max="14835" width="6" customWidth="1"/>
    <col min="14836" max="14836" width="1.44140625" customWidth="1"/>
    <col min="14837" max="14837" width="39.109375" customWidth="1"/>
    <col min="14838" max="14838" width="12" customWidth="1"/>
    <col min="14839" max="14839" width="14.44140625" customWidth="1"/>
    <col min="14840" max="14840" width="11.77734375" customWidth="1"/>
    <col min="14841" max="14841" width="14.109375" customWidth="1"/>
    <col min="14842" max="14842" width="13.77734375" customWidth="1"/>
    <col min="14843" max="14844" width="12.77734375" customWidth="1"/>
    <col min="14845" max="14845" width="13.5546875" customWidth="1"/>
    <col min="14846" max="14846" width="15.21875" customWidth="1"/>
    <col min="14847" max="14847" width="12.77734375" customWidth="1"/>
    <col min="14848" max="14848" width="13.77734375" customWidth="1"/>
    <col min="14849" max="14849" width="1.77734375" customWidth="1"/>
    <col min="14850" max="14850" width="13" customWidth="1"/>
    <col min="14851" max="15090" width="8.77734375"/>
    <col min="15091" max="15091" width="6" customWidth="1"/>
    <col min="15092" max="15092" width="1.44140625" customWidth="1"/>
    <col min="15093" max="15093" width="39.109375" customWidth="1"/>
    <col min="15094" max="15094" width="12" customWidth="1"/>
    <col min="15095" max="15095" width="14.44140625" customWidth="1"/>
    <col min="15096" max="15096" width="11.77734375" customWidth="1"/>
    <col min="15097" max="15097" width="14.109375" customWidth="1"/>
    <col min="15098" max="15098" width="13.77734375" customWidth="1"/>
    <col min="15099" max="15100" width="12.77734375" customWidth="1"/>
    <col min="15101" max="15101" width="13.5546875" customWidth="1"/>
    <col min="15102" max="15102" width="15.21875" customWidth="1"/>
    <col min="15103" max="15103" width="12.77734375" customWidth="1"/>
    <col min="15104" max="15104" width="13.77734375" customWidth="1"/>
    <col min="15105" max="15105" width="1.77734375" customWidth="1"/>
    <col min="15106" max="15106" width="13" customWidth="1"/>
    <col min="15107" max="15346" width="8.77734375"/>
    <col min="15347" max="15347" width="6" customWidth="1"/>
    <col min="15348" max="15348" width="1.44140625" customWidth="1"/>
    <col min="15349" max="15349" width="39.109375" customWidth="1"/>
    <col min="15350" max="15350" width="12" customWidth="1"/>
    <col min="15351" max="15351" width="14.44140625" customWidth="1"/>
    <col min="15352" max="15352" width="11.77734375" customWidth="1"/>
    <col min="15353" max="15353" width="14.109375" customWidth="1"/>
    <col min="15354" max="15354" width="13.77734375" customWidth="1"/>
    <col min="15355" max="15356" width="12.77734375" customWidth="1"/>
    <col min="15357" max="15357" width="13.5546875" customWidth="1"/>
    <col min="15358" max="15358" width="15.21875" customWidth="1"/>
    <col min="15359" max="15359" width="12.77734375" customWidth="1"/>
    <col min="15360" max="15360" width="13.77734375" customWidth="1"/>
    <col min="15361" max="15361" width="1.77734375" customWidth="1"/>
    <col min="15362" max="15362" width="13" customWidth="1"/>
    <col min="15363" max="15602" width="8.77734375"/>
    <col min="15603" max="15603" width="6" customWidth="1"/>
    <col min="15604" max="15604" width="1.44140625" customWidth="1"/>
    <col min="15605" max="15605" width="39.109375" customWidth="1"/>
    <col min="15606" max="15606" width="12" customWidth="1"/>
    <col min="15607" max="15607" width="14.44140625" customWidth="1"/>
    <col min="15608" max="15608" width="11.77734375" customWidth="1"/>
    <col min="15609" max="15609" width="14.109375" customWidth="1"/>
    <col min="15610" max="15610" width="13.77734375" customWidth="1"/>
    <col min="15611" max="15612" width="12.77734375" customWidth="1"/>
    <col min="15613" max="15613" width="13.5546875" customWidth="1"/>
    <col min="15614" max="15614" width="15.21875" customWidth="1"/>
    <col min="15615" max="15615" width="12.77734375" customWidth="1"/>
    <col min="15616" max="15616" width="13.77734375" customWidth="1"/>
    <col min="15617" max="15617" width="1.77734375" customWidth="1"/>
    <col min="15618" max="15618" width="13" customWidth="1"/>
    <col min="15619" max="15858" width="8.77734375"/>
    <col min="15859" max="15859" width="6" customWidth="1"/>
    <col min="15860" max="15860" width="1.44140625" customWidth="1"/>
    <col min="15861" max="15861" width="39.109375" customWidth="1"/>
    <col min="15862" max="15862" width="12" customWidth="1"/>
    <col min="15863" max="15863" width="14.44140625" customWidth="1"/>
    <col min="15864" max="15864" width="11.77734375" customWidth="1"/>
    <col min="15865" max="15865" width="14.109375" customWidth="1"/>
    <col min="15866" max="15866" width="13.77734375" customWidth="1"/>
    <col min="15867" max="15868" width="12.77734375" customWidth="1"/>
    <col min="15869" max="15869" width="13.5546875" customWidth="1"/>
    <col min="15870" max="15870" width="15.21875" customWidth="1"/>
    <col min="15871" max="15871" width="12.77734375" customWidth="1"/>
    <col min="15872" max="15872" width="13.77734375" customWidth="1"/>
    <col min="15873" max="15873" width="1.77734375" customWidth="1"/>
    <col min="15874" max="15874" width="13" customWidth="1"/>
    <col min="15875" max="16114" width="8.77734375"/>
    <col min="16115" max="16115" width="6" customWidth="1"/>
    <col min="16116" max="16116" width="1.44140625" customWidth="1"/>
    <col min="16117" max="16117" width="39.109375" customWidth="1"/>
    <col min="16118" max="16118" width="12" customWidth="1"/>
    <col min="16119" max="16119" width="14.44140625" customWidth="1"/>
    <col min="16120" max="16120" width="11.77734375" customWidth="1"/>
    <col min="16121" max="16121" width="14.109375" customWidth="1"/>
    <col min="16122" max="16122" width="13.77734375" customWidth="1"/>
    <col min="16123" max="16124" width="12.77734375" customWidth="1"/>
    <col min="16125" max="16125" width="13.5546875" customWidth="1"/>
    <col min="16126" max="16126" width="15.21875" customWidth="1"/>
    <col min="16127" max="16127" width="12.77734375" customWidth="1"/>
    <col min="16128" max="16128" width="13.77734375" customWidth="1"/>
    <col min="16129" max="16129" width="1.77734375" customWidth="1"/>
    <col min="16130" max="16130" width="13" customWidth="1"/>
    <col min="16131" max="16370" width="8.77734375"/>
    <col min="16371" max="16384" width="8.77734375" customWidth="1"/>
  </cols>
  <sheetData>
    <row r="1" spans="1:14">
      <c r="I1" s="50" t="s">
        <v>296</v>
      </c>
      <c r="M1" s="785"/>
    </row>
    <row r="2" spans="1:14">
      <c r="I2" s="50" t="s">
        <v>338</v>
      </c>
      <c r="M2" s="785"/>
      <c r="N2" s="785"/>
    </row>
    <row r="3" spans="1:14">
      <c r="I3" s="50" t="s">
        <v>192</v>
      </c>
    </row>
    <row r="4" spans="1:14">
      <c r="I4" s="61" t="str">
        <f>"For the 12 months ended: "&amp;TEXT(INPUT!B1,"mm/dd/yyyy")</f>
        <v>For the 12 months ended: 12/31/2021</v>
      </c>
    </row>
    <row r="5" spans="1:14">
      <c r="C5" s="24"/>
    </row>
    <row r="6" spans="1:14">
      <c r="A6" s="144" t="s">
        <v>255</v>
      </c>
      <c r="B6" s="174"/>
      <c r="C6" s="174"/>
      <c r="D6" s="144"/>
      <c r="E6" s="144"/>
      <c r="F6" s="144"/>
      <c r="G6" s="174"/>
      <c r="H6" s="144"/>
      <c r="I6" s="144"/>
      <c r="J6" s="1"/>
    </row>
    <row r="7" spans="1:14">
      <c r="A7" s="145" t="s">
        <v>297</v>
      </c>
      <c r="B7" s="174"/>
      <c r="C7" s="174"/>
      <c r="D7" s="146"/>
      <c r="E7" s="146"/>
      <c r="F7" s="146"/>
      <c r="G7" s="174"/>
      <c r="H7" s="146"/>
      <c r="I7" s="146"/>
      <c r="J7" s="1"/>
    </row>
    <row r="8" spans="1:14">
      <c r="A8" s="146"/>
      <c r="B8" s="174"/>
      <c r="C8" s="174"/>
      <c r="D8" s="146"/>
      <c r="E8" s="146"/>
      <c r="F8" s="146"/>
      <c r="G8" s="174"/>
      <c r="H8" s="146"/>
      <c r="I8" s="146"/>
      <c r="J8" s="1"/>
    </row>
    <row r="9" spans="1:14">
      <c r="A9" s="258" t="str">
        <f>DEO!A11</f>
        <v>DUKE ENERGY OHIO (DEO)</v>
      </c>
      <c r="B9" s="174"/>
      <c r="C9" s="174"/>
      <c r="D9" s="146"/>
      <c r="E9" s="146"/>
      <c r="F9" s="146"/>
      <c r="G9" s="174"/>
      <c r="H9" s="177"/>
      <c r="I9" s="146"/>
      <c r="J9" s="1"/>
    </row>
    <row r="10" spans="1:14">
      <c r="A10" s="226" t="s">
        <v>295</v>
      </c>
      <c r="B10" s="174"/>
      <c r="C10" s="174"/>
      <c r="D10" s="146"/>
      <c r="E10" s="146"/>
      <c r="F10" s="146"/>
      <c r="G10" s="174"/>
      <c r="H10" s="177"/>
      <c r="I10" s="146"/>
      <c r="J10" s="1"/>
    </row>
    <row r="11" spans="1:14">
      <c r="A11" s="250"/>
      <c r="B11" s="174"/>
      <c r="C11" s="146"/>
      <c r="D11" s="146"/>
      <c r="E11" s="146"/>
      <c r="F11" s="146"/>
      <c r="G11" s="177"/>
      <c r="H11" s="146"/>
      <c r="I11" s="146"/>
      <c r="J11" s="1"/>
    </row>
    <row r="12" spans="1:14">
      <c r="A12" s="146" t="s">
        <v>497</v>
      </c>
      <c r="B12" s="174"/>
      <c r="C12" s="174"/>
      <c r="D12" s="146"/>
      <c r="E12" s="146"/>
      <c r="F12" s="146"/>
      <c r="G12" s="177"/>
      <c r="H12" s="146"/>
      <c r="I12" s="146"/>
      <c r="J12" s="1"/>
    </row>
    <row r="13" spans="1:14">
      <c r="A13" s="86"/>
      <c r="C13" s="1"/>
      <c r="D13" s="1"/>
      <c r="E13" s="1"/>
      <c r="F13" s="1"/>
      <c r="G13" s="17"/>
    </row>
    <row r="14" spans="1:14">
      <c r="A14" s="86"/>
      <c r="C14" s="1"/>
      <c r="D14" s="1"/>
      <c r="E14" s="1"/>
      <c r="F14" s="1"/>
      <c r="G14" s="1"/>
    </row>
    <row r="15" spans="1:14">
      <c r="C15" s="3" t="s">
        <v>18</v>
      </c>
      <c r="D15" s="3"/>
      <c r="E15" s="3" t="s">
        <v>19</v>
      </c>
      <c r="F15" s="3"/>
      <c r="G15" s="3" t="s">
        <v>20</v>
      </c>
      <c r="I15" s="5" t="s">
        <v>21</v>
      </c>
    </row>
    <row r="16" spans="1:14" ht="15.75">
      <c r="C16" s="1"/>
      <c r="D16" s="1"/>
      <c r="I16" s="27"/>
    </row>
    <row r="17" spans="1:12">
      <c r="A17" s="26" t="s">
        <v>8</v>
      </c>
      <c r="C17" s="1"/>
      <c r="D17" s="1"/>
      <c r="E17" s="4" t="s">
        <v>296</v>
      </c>
      <c r="F17" s="4"/>
      <c r="G17" s="2"/>
    </row>
    <row r="18" spans="1:12">
      <c r="A18" s="180" t="s">
        <v>10</v>
      </c>
      <c r="B18" s="249"/>
      <c r="C18" s="184"/>
      <c r="D18" s="184"/>
      <c r="E18" s="238" t="s">
        <v>25</v>
      </c>
      <c r="F18" s="238"/>
      <c r="G18" s="180" t="s">
        <v>24</v>
      </c>
      <c r="H18" s="249"/>
      <c r="I18" s="180" t="s">
        <v>13</v>
      </c>
    </row>
    <row r="19" spans="1:12" ht="15.75">
      <c r="A19" s="90"/>
      <c r="C19" s="1" t="s">
        <v>335</v>
      </c>
      <c r="D19" s="1"/>
      <c r="E19" s="2"/>
      <c r="F19" s="2"/>
      <c r="G19" s="2"/>
      <c r="I19" s="2"/>
    </row>
    <row r="20" spans="1:12">
      <c r="A20" s="91">
        <v>1</v>
      </c>
      <c r="C20" s="1" t="s">
        <v>212</v>
      </c>
      <c r="D20" s="1"/>
      <c r="E20" s="4" t="s">
        <v>643</v>
      </c>
      <c r="F20" s="4"/>
      <c r="G20" s="92">
        <f>DEO!J54</f>
        <v>1262220857</v>
      </c>
    </row>
    <row r="21" spans="1:12">
      <c r="A21" s="91">
        <v>2</v>
      </c>
      <c r="C21" s="1" t="s">
        <v>213</v>
      </c>
      <c r="D21" s="1"/>
      <c r="E21" s="4" t="s">
        <v>644</v>
      </c>
      <c r="F21" s="4"/>
      <c r="G21" s="92">
        <f>DEO!J70</f>
        <v>1078093884</v>
      </c>
      <c r="I21" s="2"/>
    </row>
    <row r="22" spans="1:12">
      <c r="A22" s="91"/>
      <c r="E22" s="4"/>
      <c r="F22" s="4"/>
    </row>
    <row r="23" spans="1:12">
      <c r="A23" s="91"/>
      <c r="C23" s="1" t="s">
        <v>193</v>
      </c>
      <c r="D23" s="1"/>
      <c r="E23" s="4"/>
      <c r="F23" s="4"/>
      <c r="G23" s="2"/>
    </row>
    <row r="24" spans="1:12">
      <c r="A24" s="91">
        <v>3</v>
      </c>
      <c r="C24" s="1" t="s">
        <v>214</v>
      </c>
      <c r="D24" s="1"/>
      <c r="E24" s="4" t="s">
        <v>642</v>
      </c>
      <c r="F24" s="4"/>
      <c r="G24" s="92">
        <f>DEO!J127</f>
        <v>27348835</v>
      </c>
    </row>
    <row r="25" spans="1:12">
      <c r="A25" s="91">
        <v>4</v>
      </c>
      <c r="C25" s="1" t="s">
        <v>215</v>
      </c>
      <c r="D25" s="1"/>
      <c r="E25" s="4" t="s">
        <v>649</v>
      </c>
      <c r="F25" s="4"/>
      <c r="G25" s="93">
        <f>ROUND(IF(G24=0,0,G24/G20),4)</f>
        <v>2.1700000000000001E-2</v>
      </c>
      <c r="I25" s="94">
        <f>G25</f>
        <v>2.1700000000000001E-2</v>
      </c>
    </row>
    <row r="26" spans="1:12">
      <c r="A26" s="91"/>
      <c r="E26" s="4"/>
      <c r="F26" s="4"/>
    </row>
    <row r="27" spans="1:12" ht="30">
      <c r="A27" s="97"/>
      <c r="C27" s="381" t="s">
        <v>569</v>
      </c>
      <c r="D27" s="1"/>
      <c r="E27" s="67"/>
      <c r="F27" s="4"/>
    </row>
    <row r="28" spans="1:12">
      <c r="A28" s="97" t="s">
        <v>216</v>
      </c>
      <c r="C28" s="1" t="s">
        <v>570</v>
      </c>
      <c r="D28" s="1"/>
      <c r="E28" s="4" t="s">
        <v>535</v>
      </c>
      <c r="F28" s="4"/>
      <c r="G28" s="92">
        <f>DEO!J131+DEO!J132</f>
        <v>7334290</v>
      </c>
    </row>
    <row r="29" spans="1:12" ht="30">
      <c r="A29" s="382" t="s">
        <v>217</v>
      </c>
      <c r="C29" s="381" t="s">
        <v>571</v>
      </c>
      <c r="D29" s="1"/>
      <c r="E29" s="383" t="s">
        <v>646</v>
      </c>
      <c r="F29" s="383"/>
      <c r="G29" s="384">
        <f>ROUND(IF(G28=0,0,G28/G20),4)</f>
        <v>5.7999999999999996E-3</v>
      </c>
      <c r="H29" s="385"/>
      <c r="I29" s="386">
        <f>G29</f>
        <v>5.7999999999999996E-3</v>
      </c>
      <c r="K29" s="87"/>
      <c r="L29" s="84"/>
    </row>
    <row r="30" spans="1:12">
      <c r="A30" s="91"/>
      <c r="E30" s="4"/>
      <c r="F30" s="4"/>
    </row>
    <row r="31" spans="1:12">
      <c r="A31" s="97"/>
      <c r="C31" s="1" t="s">
        <v>196</v>
      </c>
      <c r="D31" s="1"/>
      <c r="E31" s="67"/>
      <c r="F31" s="67"/>
      <c r="G31" s="2"/>
    </row>
    <row r="32" spans="1:12">
      <c r="A32" s="97" t="s">
        <v>219</v>
      </c>
      <c r="C32" s="1" t="s">
        <v>198</v>
      </c>
      <c r="D32" s="1"/>
      <c r="E32" s="4" t="s">
        <v>641</v>
      </c>
      <c r="F32" s="4"/>
      <c r="G32" s="92">
        <f>DEO!J144</f>
        <v>52162325</v>
      </c>
    </row>
    <row r="33" spans="1:10">
      <c r="A33" s="97" t="s">
        <v>221</v>
      </c>
      <c r="C33" s="1" t="s">
        <v>218</v>
      </c>
      <c r="D33" s="1"/>
      <c r="E33" s="4" t="s">
        <v>647</v>
      </c>
      <c r="F33" s="4"/>
      <c r="G33" s="93">
        <f>ROUND(IF(G32=0,0,G32/G20),4)</f>
        <v>4.1300000000000003E-2</v>
      </c>
      <c r="I33" s="94">
        <f>G33</f>
        <v>4.1300000000000003E-2</v>
      </c>
    </row>
    <row r="34" spans="1:10">
      <c r="A34" s="97"/>
      <c r="C34" s="1"/>
      <c r="D34" s="1"/>
      <c r="E34" s="4"/>
      <c r="F34" s="4"/>
      <c r="G34" s="2"/>
      <c r="I34" s="2"/>
    </row>
    <row r="35" spans="1:10" ht="15.75">
      <c r="A35" s="98" t="s">
        <v>194</v>
      </c>
      <c r="B35" s="99"/>
      <c r="C35" s="10" t="s">
        <v>220</v>
      </c>
      <c r="D35" s="10"/>
      <c r="E35" s="88" t="s">
        <v>402</v>
      </c>
      <c r="F35" s="88"/>
      <c r="G35" s="100"/>
      <c r="I35" s="101">
        <f>I25+I29+I33</f>
        <v>6.88E-2</v>
      </c>
    </row>
    <row r="36" spans="1:10">
      <c r="A36" s="229"/>
      <c r="C36" s="1"/>
      <c r="D36" s="1"/>
      <c r="E36" s="4"/>
      <c r="F36" s="4"/>
      <c r="G36" s="2"/>
      <c r="I36" s="2"/>
    </row>
    <row r="37" spans="1:10">
      <c r="A37" s="97"/>
      <c r="B37" s="102"/>
      <c r="C37" s="2" t="s">
        <v>200</v>
      </c>
      <c r="D37" s="2"/>
      <c r="E37" s="4"/>
      <c r="F37" s="4"/>
      <c r="G37" s="2"/>
    </row>
    <row r="38" spans="1:10">
      <c r="A38" s="97" t="s">
        <v>195</v>
      </c>
      <c r="B38" s="102"/>
      <c r="C38" s="2" t="s">
        <v>125</v>
      </c>
      <c r="D38" s="2"/>
      <c r="E38" s="4" t="s">
        <v>801</v>
      </c>
      <c r="F38" s="4"/>
      <c r="G38" s="92">
        <f>DEO!J161</f>
        <v>8847140</v>
      </c>
      <c r="I38" s="2"/>
    </row>
    <row r="39" spans="1:10">
      <c r="A39" s="97" t="s">
        <v>197</v>
      </c>
      <c r="B39" s="102"/>
      <c r="C39" s="2" t="s">
        <v>222</v>
      </c>
      <c r="D39" s="2"/>
      <c r="E39" s="4" t="s">
        <v>648</v>
      </c>
      <c r="F39" s="4"/>
      <c r="G39" s="93">
        <f>ROUND(IF(G38=0,0,G38/G21),4)</f>
        <v>8.2000000000000007E-3</v>
      </c>
      <c r="I39" s="94">
        <f>G39</f>
        <v>8.2000000000000007E-3</v>
      </c>
    </row>
    <row r="40" spans="1:10">
      <c r="A40" s="97"/>
      <c r="C40" s="2"/>
      <c r="D40" s="2"/>
      <c r="E40" s="4"/>
      <c r="F40" s="4"/>
      <c r="G40" s="2"/>
      <c r="I40" s="2"/>
    </row>
    <row r="41" spans="1:10">
      <c r="A41" s="97"/>
      <c r="C41" s="1" t="s">
        <v>59</v>
      </c>
      <c r="D41" s="1"/>
      <c r="E41" s="15"/>
      <c r="F41" s="15"/>
    </row>
    <row r="42" spans="1:10">
      <c r="A42" s="97" t="s">
        <v>199</v>
      </c>
      <c r="C42" s="1" t="s">
        <v>201</v>
      </c>
      <c r="D42" s="1"/>
      <c r="E42" s="4" t="s">
        <v>802</v>
      </c>
      <c r="F42" s="4"/>
      <c r="G42" s="92">
        <f>DEO!J163</f>
        <v>72280102</v>
      </c>
    </row>
    <row r="43" spans="1:10">
      <c r="A43" s="97" t="s">
        <v>260</v>
      </c>
      <c r="B43" s="102"/>
      <c r="C43" s="2" t="s">
        <v>223</v>
      </c>
      <c r="D43" s="2"/>
      <c r="E43" s="4" t="s">
        <v>645</v>
      </c>
      <c r="F43" s="4"/>
      <c r="G43" s="103">
        <f>ROUND(IF(G42=0,0,G42/G21),4)</f>
        <v>6.7000000000000004E-2</v>
      </c>
      <c r="I43" s="94">
        <f>G43</f>
        <v>6.7000000000000004E-2</v>
      </c>
    </row>
    <row r="44" spans="1:10">
      <c r="A44" s="97"/>
      <c r="C44" s="1"/>
      <c r="D44" s="1"/>
      <c r="E44" s="4"/>
      <c r="F44" s="4"/>
      <c r="G44" s="2"/>
      <c r="I44" s="2"/>
    </row>
    <row r="45" spans="1:10" ht="15.75">
      <c r="A45" s="98" t="s">
        <v>261</v>
      </c>
      <c r="B45" s="99"/>
      <c r="C45" s="10" t="s">
        <v>224</v>
      </c>
      <c r="D45" s="10"/>
      <c r="E45" s="88" t="s">
        <v>337</v>
      </c>
      <c r="F45" s="88"/>
      <c r="G45" s="100"/>
      <c r="I45" s="101">
        <f>I39+I43</f>
        <v>7.5200000000000003E-2</v>
      </c>
    </row>
    <row r="47" spans="1:10">
      <c r="A47" s="106"/>
      <c r="C47" s="97"/>
      <c r="D47" s="97"/>
      <c r="E47" s="67"/>
      <c r="F47" s="67"/>
      <c r="G47" s="2"/>
      <c r="H47" s="9"/>
      <c r="I47" s="9"/>
      <c r="J47" s="93"/>
    </row>
    <row r="48" spans="1:10">
      <c r="A48" s="86"/>
      <c r="C48" s="9"/>
      <c r="D48" s="9"/>
      <c r="E48" s="9"/>
      <c r="F48" s="9"/>
      <c r="G48" s="2"/>
      <c r="H48" s="9"/>
      <c r="I48" s="9"/>
      <c r="J48" s="9"/>
    </row>
    <row r="49" spans="11:29">
      <c r="X49" s="50" t="s">
        <v>296</v>
      </c>
    </row>
    <row r="50" spans="11:29">
      <c r="X50" s="50" t="s">
        <v>338</v>
      </c>
    </row>
    <row r="51" spans="11:29">
      <c r="X51" s="107" t="s">
        <v>202</v>
      </c>
    </row>
    <row r="52" spans="11:29">
      <c r="K52" s="86"/>
      <c r="M52" s="9"/>
      <c r="N52" s="9"/>
      <c r="O52" s="9"/>
      <c r="P52" s="9"/>
      <c r="Q52" s="2"/>
      <c r="R52" s="9"/>
      <c r="S52" s="9"/>
      <c r="T52" s="9"/>
      <c r="U52" s="9"/>
      <c r="W52" s="2"/>
      <c r="X52" s="107" t="str">
        <f>I4</f>
        <v>For the 12 months ended: 12/31/2021</v>
      </c>
      <c r="Y52" s="87"/>
      <c r="Z52" s="84"/>
      <c r="AA52" s="87"/>
      <c r="AB52" s="84"/>
    </row>
    <row r="53" spans="11:29">
      <c r="K53" s="86"/>
      <c r="M53" s="1"/>
      <c r="N53" s="9"/>
      <c r="O53" s="9"/>
      <c r="P53" s="9"/>
      <c r="Q53" s="2"/>
      <c r="R53" s="9"/>
      <c r="S53" s="9"/>
      <c r="T53" s="9"/>
      <c r="U53" s="9"/>
      <c r="W53" s="2"/>
      <c r="Y53" s="87"/>
      <c r="Z53" s="84"/>
      <c r="AA53" s="87"/>
      <c r="AB53" s="84"/>
    </row>
    <row r="54" spans="11:29">
      <c r="K54" s="70" t="str">
        <f>A6</f>
        <v>Rate Formula Template</v>
      </c>
      <c r="L54" s="174"/>
      <c r="M54" s="174"/>
      <c r="N54" s="146"/>
      <c r="O54" s="70"/>
      <c r="P54" s="70"/>
      <c r="Q54" s="174"/>
      <c r="R54" s="70"/>
      <c r="S54" s="70"/>
      <c r="T54" s="70"/>
      <c r="U54" s="70"/>
      <c r="V54" s="174"/>
      <c r="W54" s="145"/>
      <c r="X54" s="174"/>
      <c r="Y54" s="87"/>
      <c r="Z54" s="84"/>
      <c r="AA54" s="87"/>
      <c r="AB54" s="84"/>
    </row>
    <row r="55" spans="11:29">
      <c r="K55" s="70" t="str">
        <f>A7</f>
        <v>Utilizing Attachment H-22A Data</v>
      </c>
      <c r="L55" s="174"/>
      <c r="M55" s="146"/>
      <c r="N55" s="146"/>
      <c r="O55" s="70"/>
      <c r="P55" s="70"/>
      <c r="Q55" s="174"/>
      <c r="R55" s="70"/>
      <c r="S55" s="70"/>
      <c r="T55" s="70"/>
      <c r="U55" s="70"/>
      <c r="V55" s="145"/>
      <c r="W55" s="145"/>
      <c r="X55" s="174"/>
      <c r="Y55" s="87"/>
      <c r="Z55" s="84"/>
      <c r="AA55" s="87"/>
      <c r="AB55" s="84"/>
    </row>
    <row r="56" spans="11:29" ht="14.25" customHeight="1">
      <c r="K56" s="173"/>
      <c r="M56" s="9"/>
      <c r="N56" s="9"/>
      <c r="O56" s="9"/>
      <c r="P56" s="9"/>
      <c r="R56" s="70"/>
      <c r="S56" s="9"/>
      <c r="T56" s="9"/>
      <c r="U56" s="9"/>
      <c r="W56" s="2"/>
      <c r="X56" s="9"/>
      <c r="Y56" s="87"/>
      <c r="Z56" s="84"/>
      <c r="AA56" s="87"/>
      <c r="AB56" s="84"/>
    </row>
    <row r="57" spans="11:29">
      <c r="K57" s="70" t="str">
        <f>A9</f>
        <v>DUKE ENERGY OHIO (DEO)</v>
      </c>
      <c r="L57" s="174"/>
      <c r="M57" s="174"/>
      <c r="N57" s="174"/>
      <c r="O57" s="70"/>
      <c r="P57" s="70"/>
      <c r="Q57" s="174"/>
      <c r="R57" s="70"/>
      <c r="S57" s="70"/>
      <c r="T57" s="70"/>
      <c r="U57" s="70"/>
      <c r="V57" s="70"/>
      <c r="W57" s="145"/>
      <c r="X57" s="145"/>
      <c r="Y57" s="87"/>
      <c r="Z57" s="84"/>
      <c r="AA57" s="87"/>
      <c r="AB57" s="84"/>
    </row>
    <row r="58" spans="11:29">
      <c r="K58" s="70" t="str">
        <f>A10</f>
        <v>RTEP - Transmission Enhancement Charges</v>
      </c>
      <c r="L58" s="174"/>
      <c r="M58" s="174"/>
      <c r="N58" s="174"/>
      <c r="O58" s="70"/>
      <c r="P58" s="70"/>
      <c r="Q58" s="174"/>
      <c r="R58" s="70"/>
      <c r="S58" s="70"/>
      <c r="T58" s="70"/>
      <c r="U58" s="70"/>
      <c r="V58" s="70"/>
      <c r="W58" s="145"/>
      <c r="X58" s="145"/>
      <c r="Y58" s="87"/>
      <c r="Z58" s="84"/>
      <c r="AA58" s="87"/>
      <c r="AB58" s="84"/>
    </row>
    <row r="59" spans="11:29">
      <c r="K59" s="86"/>
      <c r="O59" s="1"/>
      <c r="P59" s="1"/>
      <c r="Q59" s="1"/>
      <c r="R59" s="1"/>
      <c r="S59" s="1"/>
      <c r="T59" s="1"/>
      <c r="U59" s="1"/>
      <c r="V59" s="1"/>
      <c r="W59" s="1"/>
      <c r="X59" s="1"/>
      <c r="Y59" s="87"/>
      <c r="Z59" s="84"/>
      <c r="AA59" s="84"/>
      <c r="AB59" s="87"/>
      <c r="AC59" s="84"/>
    </row>
    <row r="60" spans="11:29" ht="15.75">
      <c r="K60" s="175" t="s">
        <v>269</v>
      </c>
      <c r="L60" s="174"/>
      <c r="M60" s="70"/>
      <c r="N60" s="70"/>
      <c r="O60" s="174"/>
      <c r="P60" s="175"/>
      <c r="Q60" s="174"/>
      <c r="R60" s="146"/>
      <c r="S60" s="146"/>
      <c r="T60" s="146"/>
      <c r="U60" s="146"/>
      <c r="V60" s="146"/>
      <c r="W60" s="145"/>
      <c r="X60" s="145"/>
      <c r="Y60" s="87"/>
      <c r="Z60" s="84"/>
      <c r="AA60" s="87"/>
      <c r="AB60" s="84"/>
    </row>
    <row r="61" spans="11:29" ht="15.75">
      <c r="K61" s="86"/>
      <c r="M61" s="9"/>
      <c r="N61" s="9"/>
      <c r="O61" s="10"/>
      <c r="P61" s="10"/>
      <c r="R61" s="1"/>
      <c r="S61" s="1"/>
      <c r="T61" s="1"/>
      <c r="U61" s="1"/>
      <c r="V61" s="1"/>
      <c r="W61" s="2"/>
      <c r="X61" s="2"/>
      <c r="Y61" s="87"/>
      <c r="Z61" s="84"/>
      <c r="AA61" s="87"/>
      <c r="AB61" s="84"/>
    </row>
    <row r="62" spans="11:29" ht="15.75">
      <c r="K62" s="86"/>
      <c r="M62" s="108">
        <v>-1</v>
      </c>
      <c r="N62" s="108">
        <v>-2</v>
      </c>
      <c r="O62" s="108">
        <v>-3</v>
      </c>
      <c r="P62" s="108">
        <v>-4</v>
      </c>
      <c r="Q62" s="108">
        <v>-5</v>
      </c>
      <c r="R62" s="108">
        <v>-6</v>
      </c>
      <c r="S62" s="108">
        <v>-7</v>
      </c>
      <c r="T62" s="108">
        <v>-8</v>
      </c>
      <c r="U62" s="108">
        <v>-9</v>
      </c>
      <c r="V62" s="108">
        <v>-10</v>
      </c>
      <c r="W62" s="108">
        <v>-11</v>
      </c>
      <c r="X62" s="108">
        <v>-12</v>
      </c>
      <c r="Y62" s="87"/>
      <c r="Z62" s="84"/>
      <c r="AA62" s="87"/>
      <c r="AB62" s="84"/>
    </row>
    <row r="63" spans="11:29" ht="63">
      <c r="K63" s="109" t="s">
        <v>225</v>
      </c>
      <c r="L63" s="110"/>
      <c r="M63" s="110" t="s">
        <v>206</v>
      </c>
      <c r="N63" s="111" t="s">
        <v>336</v>
      </c>
      <c r="O63" s="112" t="s">
        <v>227</v>
      </c>
      <c r="P63" s="112" t="s">
        <v>220</v>
      </c>
      <c r="Q63" s="113" t="s">
        <v>228</v>
      </c>
      <c r="R63" s="112" t="s">
        <v>229</v>
      </c>
      <c r="S63" s="112" t="s">
        <v>224</v>
      </c>
      <c r="T63" s="113" t="s">
        <v>230</v>
      </c>
      <c r="U63" s="112" t="s">
        <v>231</v>
      </c>
      <c r="V63" s="114" t="s">
        <v>232</v>
      </c>
      <c r="W63" s="115" t="s">
        <v>233</v>
      </c>
      <c r="X63" s="114" t="s">
        <v>234</v>
      </c>
      <c r="Y63" s="96"/>
      <c r="Z63" s="84"/>
      <c r="AA63" s="87"/>
      <c r="AB63" s="84"/>
    </row>
    <row r="64" spans="11:29" ht="46.5" customHeight="1">
      <c r="K64" s="116"/>
      <c r="L64" s="117"/>
      <c r="M64" s="117"/>
      <c r="N64" s="117"/>
      <c r="O64" s="118" t="s">
        <v>16</v>
      </c>
      <c r="P64" s="118" t="s">
        <v>694</v>
      </c>
      <c r="Q64" s="119" t="s">
        <v>235</v>
      </c>
      <c r="R64" s="118" t="s">
        <v>17</v>
      </c>
      <c r="S64" s="118" t="s">
        <v>695</v>
      </c>
      <c r="T64" s="119" t="s">
        <v>236</v>
      </c>
      <c r="U64" s="118" t="s">
        <v>237</v>
      </c>
      <c r="V64" s="119" t="s">
        <v>238</v>
      </c>
      <c r="W64" s="120" t="s">
        <v>203</v>
      </c>
      <c r="X64" s="121" t="s">
        <v>239</v>
      </c>
      <c r="Y64" s="87"/>
      <c r="Z64" s="84"/>
      <c r="AA64" s="87"/>
      <c r="AB64" s="84"/>
    </row>
    <row r="65" spans="11:31">
      <c r="K65" s="122"/>
      <c r="L65" s="1"/>
      <c r="M65" s="1"/>
      <c r="N65" s="1"/>
      <c r="O65" s="1"/>
      <c r="P65" s="1"/>
      <c r="Q65" s="123"/>
      <c r="R65" s="1"/>
      <c r="S65" s="1"/>
      <c r="T65" s="123"/>
      <c r="U65" s="1"/>
      <c r="V65" s="123"/>
      <c r="W65" s="2"/>
      <c r="X65" s="124"/>
      <c r="Y65" s="87"/>
      <c r="Z65" s="84"/>
      <c r="AA65" s="87"/>
      <c r="AB65" s="84"/>
    </row>
    <row r="66" spans="11:31">
      <c r="K66" s="609" t="s">
        <v>1</v>
      </c>
      <c r="L66" s="351"/>
      <c r="M66" s="352" t="s">
        <v>996</v>
      </c>
      <c r="N66" s="882" t="s">
        <v>997</v>
      </c>
      <c r="O66" s="353">
        <v>21145094</v>
      </c>
      <c r="P66" s="354">
        <f>$I$35</f>
        <v>6.88E-2</v>
      </c>
      <c r="Q66" s="565">
        <f>ROUND(O66*P66,0)</f>
        <v>1454782</v>
      </c>
      <c r="R66" s="126">
        <v>20999679</v>
      </c>
      <c r="S66" s="94">
        <f>$I$45</f>
        <v>7.5200000000000003E-2</v>
      </c>
      <c r="T66" s="565">
        <f>ROUND(R66*S66,0)</f>
        <v>1579176</v>
      </c>
      <c r="U66" s="566">
        <v>201284</v>
      </c>
      <c r="V66" s="565">
        <f>Q66+T66+U66</f>
        <v>3235242</v>
      </c>
      <c r="W66" s="128">
        <v>0</v>
      </c>
      <c r="X66" s="565">
        <f>V66+W66</f>
        <v>3235242</v>
      </c>
      <c r="Y66" s="129"/>
      <c r="Z66" s="129"/>
      <c r="AA66" s="129"/>
      <c r="AB66" s="129"/>
      <c r="AC66" s="129"/>
      <c r="AD66" s="129"/>
      <c r="AE66" s="129"/>
    </row>
    <row r="67" spans="11:31">
      <c r="K67" s="609" t="s">
        <v>242</v>
      </c>
      <c r="L67" s="351"/>
      <c r="M67" s="351"/>
      <c r="N67" s="351"/>
      <c r="O67" s="353">
        <v>0</v>
      </c>
      <c r="P67" s="354">
        <f>$I$35</f>
        <v>6.88E-2</v>
      </c>
      <c r="Q67" s="565">
        <f t="shared" ref="Q67:Q68" si="0">ROUND(O67*P67,0)</f>
        <v>0</v>
      </c>
      <c r="R67" s="126">
        <v>0</v>
      </c>
      <c r="S67" s="94">
        <f>$I$45</f>
        <v>7.5200000000000003E-2</v>
      </c>
      <c r="T67" s="565">
        <f t="shared" ref="T67:T68" si="1">ROUND(R67*S67,0)</f>
        <v>0</v>
      </c>
      <c r="U67" s="566">
        <v>0</v>
      </c>
      <c r="V67" s="565">
        <f>Q67+T67+U67</f>
        <v>0</v>
      </c>
      <c r="W67" s="128">
        <v>0</v>
      </c>
      <c r="X67" s="565">
        <f>V67+W67</f>
        <v>0</v>
      </c>
      <c r="Y67" s="129"/>
      <c r="Z67" s="129"/>
      <c r="AA67" s="129"/>
      <c r="AB67" s="129"/>
      <c r="AC67" s="129"/>
      <c r="AD67" s="129"/>
      <c r="AE67" s="129"/>
    </row>
    <row r="68" spans="11:31">
      <c r="K68" s="609" t="s">
        <v>245</v>
      </c>
      <c r="L68" s="351"/>
      <c r="M68" s="351"/>
      <c r="N68" s="351"/>
      <c r="O68" s="353">
        <v>0</v>
      </c>
      <c r="P68" s="354">
        <f>$I$35</f>
        <v>6.88E-2</v>
      </c>
      <c r="Q68" s="565">
        <f t="shared" si="0"/>
        <v>0</v>
      </c>
      <c r="R68" s="126">
        <v>0</v>
      </c>
      <c r="S68" s="94">
        <f>$I$45</f>
        <v>7.5200000000000003E-2</v>
      </c>
      <c r="T68" s="565">
        <f t="shared" si="1"/>
        <v>0</v>
      </c>
      <c r="U68" s="566">
        <v>0</v>
      </c>
      <c r="V68" s="565">
        <f>Q68+T68+U68</f>
        <v>0</v>
      </c>
      <c r="W68" s="126">
        <v>0</v>
      </c>
      <c r="X68" s="565">
        <f>V68+W68</f>
        <v>0</v>
      </c>
      <c r="Y68" s="129"/>
      <c r="Z68" s="129"/>
      <c r="AA68" s="129"/>
      <c r="AB68" s="129"/>
      <c r="AC68" s="129"/>
      <c r="AD68" s="129"/>
      <c r="AE68" s="129"/>
    </row>
    <row r="69" spans="11:31">
      <c r="K69" s="125"/>
      <c r="Q69" s="127"/>
      <c r="T69" s="127"/>
      <c r="V69" s="127"/>
      <c r="X69" s="127"/>
      <c r="Y69" s="129"/>
      <c r="Z69" s="129"/>
      <c r="AA69" s="129"/>
      <c r="AB69" s="129"/>
      <c r="AC69" s="129"/>
      <c r="AD69" s="129"/>
      <c r="AE69" s="129"/>
    </row>
    <row r="70" spans="11:31">
      <c r="K70" s="125"/>
      <c r="Q70" s="127"/>
      <c r="T70" s="127"/>
      <c r="V70" s="127"/>
      <c r="X70" s="127"/>
      <c r="Y70" s="129"/>
      <c r="Z70" s="129"/>
      <c r="AA70" s="129"/>
      <c r="AB70" s="129"/>
      <c r="AC70" s="129"/>
      <c r="AD70" s="129"/>
      <c r="AE70" s="129"/>
    </row>
    <row r="71" spans="11:31">
      <c r="K71" s="125"/>
      <c r="Q71" s="127"/>
      <c r="T71" s="127"/>
      <c r="V71" s="127"/>
      <c r="X71" s="127"/>
      <c r="Y71" s="129"/>
      <c r="Z71" s="129"/>
      <c r="AA71" s="129"/>
      <c r="AB71" s="129"/>
      <c r="AC71" s="129"/>
      <c r="AD71" s="129"/>
      <c r="AE71" s="129"/>
    </row>
    <row r="72" spans="11:31">
      <c r="K72" s="125"/>
      <c r="Q72" s="127"/>
      <c r="T72" s="127"/>
      <c r="V72" s="127"/>
      <c r="X72" s="127"/>
      <c r="Y72" s="129"/>
      <c r="Z72" s="129"/>
      <c r="AA72" s="129"/>
      <c r="AB72" s="129"/>
      <c r="AC72" s="129"/>
      <c r="AD72" s="129"/>
      <c r="AE72" s="129"/>
    </row>
    <row r="73" spans="11:31">
      <c r="K73" s="125"/>
      <c r="Q73" s="127"/>
      <c r="T73" s="127"/>
      <c r="V73" s="127"/>
      <c r="X73" s="127"/>
      <c r="Y73" s="129"/>
      <c r="Z73" s="129"/>
      <c r="AA73" s="129"/>
      <c r="AB73" s="129"/>
      <c r="AC73" s="129"/>
      <c r="AD73" s="129"/>
      <c r="AE73" s="129"/>
    </row>
    <row r="74" spans="11:31">
      <c r="K74" s="125"/>
      <c r="M74" s="129"/>
      <c r="N74" s="129"/>
      <c r="O74" s="129"/>
      <c r="P74" s="129"/>
      <c r="Q74" s="130"/>
      <c r="R74" s="129"/>
      <c r="S74" s="129"/>
      <c r="T74" s="130"/>
      <c r="U74" s="129"/>
      <c r="V74" s="130"/>
      <c r="W74" s="129"/>
      <c r="X74" s="130"/>
      <c r="Y74" s="129"/>
      <c r="Z74" s="129"/>
      <c r="AA74" s="129"/>
      <c r="AB74" s="129"/>
      <c r="AC74" s="129"/>
      <c r="AD74" s="129"/>
      <c r="AE74" s="129"/>
    </row>
    <row r="75" spans="11:31">
      <c r="K75" s="125"/>
      <c r="M75" s="129"/>
      <c r="N75" s="129"/>
      <c r="O75" s="129"/>
      <c r="P75" s="129"/>
      <c r="Q75" s="130"/>
      <c r="R75" s="129"/>
      <c r="S75" s="129"/>
      <c r="T75" s="130"/>
      <c r="U75" s="129"/>
      <c r="V75" s="130"/>
      <c r="W75" s="129"/>
      <c r="X75" s="130"/>
      <c r="Y75" s="129"/>
      <c r="Z75" s="129"/>
      <c r="AA75" s="129"/>
      <c r="AB75" s="129"/>
      <c r="AC75" s="129"/>
      <c r="AD75" s="129"/>
      <c r="AE75" s="129"/>
    </row>
    <row r="76" spans="11:31">
      <c r="K76" s="125"/>
      <c r="M76" s="129"/>
      <c r="N76" s="129"/>
      <c r="O76" s="129"/>
      <c r="P76" s="129"/>
      <c r="Q76" s="130"/>
      <c r="R76" s="129"/>
      <c r="S76" s="129"/>
      <c r="T76" s="130"/>
      <c r="U76" s="129"/>
      <c r="V76" s="130"/>
      <c r="W76" s="129"/>
      <c r="X76" s="130"/>
      <c r="Y76" s="129"/>
      <c r="Z76" s="129"/>
      <c r="AA76" s="129"/>
      <c r="AB76" s="129"/>
      <c r="AC76" s="129"/>
      <c r="AD76" s="129"/>
      <c r="AE76" s="129"/>
    </row>
    <row r="77" spans="11:31">
      <c r="K77" s="125"/>
      <c r="M77" s="129"/>
      <c r="N77" s="129"/>
      <c r="O77" s="129"/>
      <c r="P77" s="129"/>
      <c r="Q77" s="130"/>
      <c r="R77" s="129"/>
      <c r="S77" s="129"/>
      <c r="T77" s="130"/>
      <c r="U77" s="129"/>
      <c r="V77" s="130"/>
      <c r="W77" s="129"/>
      <c r="X77" s="130"/>
      <c r="Y77" s="129"/>
      <c r="Z77" s="129"/>
      <c r="AA77" s="129"/>
      <c r="AB77" s="129"/>
      <c r="AC77" s="129"/>
      <c r="AD77" s="129"/>
      <c r="AE77" s="129"/>
    </row>
    <row r="78" spans="11:31">
      <c r="K78" s="125"/>
      <c r="M78" s="129"/>
      <c r="N78" s="129"/>
      <c r="O78" s="129"/>
      <c r="P78" s="129"/>
      <c r="Q78" s="130"/>
      <c r="R78" s="129"/>
      <c r="S78" s="129"/>
      <c r="T78" s="130"/>
      <c r="U78" s="129"/>
      <c r="V78" s="130"/>
      <c r="W78" s="129"/>
      <c r="X78" s="130"/>
      <c r="Y78" s="129"/>
      <c r="Z78" s="129"/>
      <c r="AA78" s="129"/>
      <c r="AB78" s="129"/>
      <c r="AC78" s="129"/>
      <c r="AD78" s="129"/>
      <c r="AE78" s="129"/>
    </row>
    <row r="79" spans="11:31">
      <c r="K79" s="125"/>
      <c r="M79" s="129"/>
      <c r="N79" s="129"/>
      <c r="O79" s="129"/>
      <c r="P79" s="129"/>
      <c r="Q79" s="130"/>
      <c r="R79" s="129"/>
      <c r="S79" s="129"/>
      <c r="T79" s="130"/>
      <c r="U79" s="129"/>
      <c r="V79" s="130"/>
      <c r="W79" s="129"/>
      <c r="X79" s="130"/>
      <c r="Y79" s="129"/>
      <c r="Z79" s="129"/>
      <c r="AA79" s="129"/>
      <c r="AB79" s="129"/>
      <c r="AC79" s="129"/>
      <c r="AD79" s="129"/>
      <c r="AE79" s="129"/>
    </row>
    <row r="80" spans="11:31">
      <c r="K80" s="125"/>
      <c r="M80" s="129"/>
      <c r="N80" s="129"/>
      <c r="O80" s="129"/>
      <c r="P80" s="129"/>
      <c r="Q80" s="130"/>
      <c r="R80" s="129"/>
      <c r="S80" s="129"/>
      <c r="T80" s="130"/>
      <c r="U80" s="129"/>
      <c r="V80" s="130"/>
      <c r="W80" s="129"/>
      <c r="X80" s="130"/>
      <c r="Y80" s="129"/>
      <c r="Z80" s="129"/>
      <c r="AA80" s="129"/>
      <c r="AB80" s="129"/>
      <c r="AC80" s="129"/>
      <c r="AD80" s="129"/>
      <c r="AE80" s="129"/>
    </row>
    <row r="81" spans="11:31">
      <c r="K81" s="125"/>
      <c r="M81" s="129"/>
      <c r="N81" s="129"/>
      <c r="O81" s="129"/>
      <c r="P81" s="129"/>
      <c r="Q81" s="130"/>
      <c r="R81" s="129"/>
      <c r="S81" s="129"/>
      <c r="T81" s="130"/>
      <c r="U81" s="129"/>
      <c r="V81" s="130"/>
      <c r="W81" s="129"/>
      <c r="X81" s="130"/>
      <c r="Y81" s="129"/>
      <c r="Z81" s="129"/>
      <c r="AA81" s="129"/>
      <c r="AB81" s="129"/>
      <c r="AC81" s="129"/>
      <c r="AD81" s="129"/>
      <c r="AE81" s="129"/>
    </row>
    <row r="82" spans="11:31">
      <c r="K82" s="125"/>
      <c r="M82" s="129"/>
      <c r="N82" s="129"/>
      <c r="O82" s="129"/>
      <c r="P82" s="129"/>
      <c r="Q82" s="130"/>
      <c r="R82" s="129"/>
      <c r="S82" s="129"/>
      <c r="T82" s="130"/>
      <c r="U82" s="129"/>
      <c r="V82" s="130"/>
      <c r="W82" s="129"/>
      <c r="X82" s="130"/>
      <c r="Y82" s="129"/>
      <c r="Z82" s="129"/>
      <c r="AA82" s="129"/>
      <c r="AB82" s="129"/>
      <c r="AC82" s="129"/>
      <c r="AD82" s="129"/>
      <c r="AE82" s="129"/>
    </row>
    <row r="83" spans="11:31">
      <c r="K83" s="125"/>
      <c r="M83" s="129"/>
      <c r="N83" s="129"/>
      <c r="O83" s="129"/>
      <c r="P83" s="129"/>
      <c r="Q83" s="130"/>
      <c r="R83" s="129"/>
      <c r="S83" s="129"/>
      <c r="T83" s="130"/>
      <c r="U83" s="129"/>
      <c r="V83" s="130"/>
      <c r="W83" s="129"/>
      <c r="X83" s="130"/>
      <c r="Y83" s="129"/>
      <c r="Z83" s="129"/>
      <c r="AA83" s="129"/>
      <c r="AB83" s="129"/>
      <c r="AC83" s="129"/>
      <c r="AD83" s="129"/>
      <c r="AE83" s="129"/>
    </row>
    <row r="84" spans="11:31">
      <c r="K84" s="125"/>
      <c r="M84" s="129"/>
      <c r="N84" s="129"/>
      <c r="O84" s="129"/>
      <c r="P84" s="129"/>
      <c r="Q84" s="130"/>
      <c r="R84" s="129"/>
      <c r="S84" s="129"/>
      <c r="T84" s="130"/>
      <c r="U84" s="129"/>
      <c r="V84" s="130"/>
      <c r="W84" s="129"/>
      <c r="X84" s="130"/>
      <c r="Y84" s="129"/>
      <c r="Z84" s="129"/>
      <c r="AA84" s="129"/>
      <c r="AB84" s="129"/>
      <c r="AC84" s="129"/>
      <c r="AD84" s="129"/>
      <c r="AE84" s="129"/>
    </row>
    <row r="85" spans="11:31">
      <c r="K85" s="131"/>
      <c r="L85" s="132"/>
      <c r="M85" s="133"/>
      <c r="N85" s="133"/>
      <c r="O85" s="133"/>
      <c r="P85" s="133"/>
      <c r="Q85" s="134"/>
      <c r="R85" s="133"/>
      <c r="S85" s="133"/>
      <c r="T85" s="134"/>
      <c r="U85" s="133"/>
      <c r="V85" s="134"/>
      <c r="W85" s="133"/>
      <c r="X85" s="134"/>
      <c r="Y85" s="129"/>
      <c r="Z85" s="129"/>
      <c r="AA85" s="129"/>
      <c r="AB85" s="129"/>
      <c r="AC85" s="129"/>
      <c r="AD85" s="129"/>
      <c r="AE85" s="129"/>
    </row>
    <row r="86" spans="11:31">
      <c r="K86" s="5" t="s">
        <v>248</v>
      </c>
      <c r="L86" s="102"/>
      <c r="M86" s="1" t="s">
        <v>249</v>
      </c>
      <c r="N86" s="1"/>
      <c r="O86" s="67"/>
      <c r="P86" s="67"/>
      <c r="Q86" s="2"/>
      <c r="R86" s="2"/>
      <c r="S86" s="2"/>
      <c r="T86" s="2"/>
      <c r="U86" s="2"/>
      <c r="V86" s="544">
        <f>SUM(V66:V85)</f>
        <v>3235242</v>
      </c>
      <c r="W86" s="544">
        <f>SUM(W66:W85)</f>
        <v>0</v>
      </c>
      <c r="X86" s="544">
        <f>SUM(X66:X85)</f>
        <v>3235242</v>
      </c>
      <c r="Y86" s="129"/>
      <c r="Z86" s="129"/>
      <c r="AA86" s="129"/>
      <c r="AB86" s="129"/>
      <c r="AC86" s="129"/>
      <c r="AD86" s="129"/>
      <c r="AE86" s="129"/>
    </row>
    <row r="87" spans="11:31">
      <c r="K87" s="52"/>
      <c r="L87" s="129"/>
      <c r="M87" s="129"/>
      <c r="N87" s="129"/>
      <c r="O87" s="129"/>
      <c r="P87" s="129"/>
      <c r="Q87" s="129"/>
      <c r="R87" s="129"/>
      <c r="S87" s="129"/>
      <c r="T87" s="129"/>
      <c r="U87" s="129"/>
      <c r="V87" s="564"/>
      <c r="W87" s="564"/>
      <c r="X87" s="564"/>
      <c r="Y87" s="129"/>
      <c r="Z87" s="129"/>
      <c r="AA87" s="129"/>
      <c r="AB87" s="129"/>
      <c r="AC87" s="129"/>
      <c r="AD87" s="129"/>
      <c r="AE87" s="129"/>
    </row>
    <row r="88" spans="11:31">
      <c r="K88" s="135">
        <v>3</v>
      </c>
      <c r="L88" s="129"/>
      <c r="M88" s="9" t="s">
        <v>534</v>
      </c>
      <c r="N88" s="129"/>
      <c r="O88" s="129"/>
      <c r="P88" s="129"/>
      <c r="Q88" s="129"/>
      <c r="R88" s="129"/>
      <c r="S88" s="129"/>
      <c r="T88" s="129"/>
      <c r="U88" s="129"/>
      <c r="V88" s="544"/>
      <c r="W88" s="564"/>
      <c r="X88" s="544">
        <f>X86</f>
        <v>3235242</v>
      </c>
      <c r="Y88" s="129"/>
      <c r="Z88" s="129"/>
      <c r="AA88" s="129"/>
      <c r="AB88" s="129"/>
      <c r="AC88" s="129"/>
      <c r="AD88" s="129"/>
      <c r="AE88" s="129"/>
    </row>
    <row r="89" spans="11:31">
      <c r="K89" s="129"/>
      <c r="L89" s="129"/>
      <c r="M89" s="129"/>
      <c r="N89" s="129"/>
      <c r="O89" s="129"/>
      <c r="P89" s="129"/>
      <c r="Q89" s="129"/>
      <c r="R89" s="129"/>
      <c r="S89" s="129"/>
      <c r="T89" s="129"/>
      <c r="U89" s="129"/>
      <c r="V89" s="129"/>
      <c r="W89" s="129"/>
      <c r="X89" s="129"/>
      <c r="Y89" s="129"/>
      <c r="Z89" s="129"/>
      <c r="AA89" s="129"/>
      <c r="AB89" s="129"/>
      <c r="AC89" s="129"/>
      <c r="AD89" s="129"/>
      <c r="AE89" s="129"/>
    </row>
    <row r="90" spans="11:31">
      <c r="K90" s="129"/>
      <c r="L90" s="129"/>
      <c r="M90" s="129"/>
      <c r="N90" s="129"/>
      <c r="O90" s="129"/>
      <c r="P90" s="129"/>
      <c r="Q90" s="129"/>
      <c r="R90" s="129"/>
      <c r="S90" s="129"/>
      <c r="T90" s="129"/>
      <c r="U90" s="129"/>
      <c r="V90" s="129"/>
      <c r="W90" s="129"/>
      <c r="X90" s="129"/>
      <c r="Y90" s="129"/>
      <c r="Z90" s="129"/>
      <c r="AA90" s="129"/>
      <c r="AB90" s="129"/>
      <c r="AC90" s="129"/>
      <c r="AD90" s="129"/>
      <c r="AE90" s="129"/>
    </row>
    <row r="91" spans="11:31">
      <c r="K91" s="67" t="s">
        <v>94</v>
      </c>
      <c r="L91" s="129"/>
      <c r="M91" s="129"/>
      <c r="N91" s="129"/>
      <c r="O91" s="129"/>
      <c r="P91" s="129"/>
      <c r="Q91" s="129"/>
      <c r="R91" s="129"/>
      <c r="S91" s="129"/>
      <c r="T91" s="129"/>
      <c r="U91" s="129"/>
      <c r="V91" s="129"/>
      <c r="W91" s="129"/>
      <c r="X91" s="129"/>
      <c r="Y91" s="129"/>
      <c r="Z91" s="129"/>
      <c r="AA91" s="129"/>
      <c r="AB91" s="129"/>
      <c r="AC91" s="129"/>
      <c r="AD91" s="129"/>
      <c r="AE91" s="129"/>
    </row>
    <row r="92" spans="11:31" ht="15.75" thickBot="1">
      <c r="K92" s="492" t="s">
        <v>95</v>
      </c>
      <c r="L92" s="129"/>
      <c r="M92" s="129"/>
      <c r="N92" s="129"/>
      <c r="O92" s="129"/>
      <c r="P92" s="129"/>
      <c r="Q92" s="129"/>
      <c r="R92" s="129"/>
      <c r="S92" s="129"/>
      <c r="T92" s="129"/>
      <c r="U92" s="129"/>
      <c r="V92" s="129"/>
      <c r="W92" s="129"/>
      <c r="X92" s="129"/>
      <c r="Y92" s="129"/>
      <c r="Z92" s="129"/>
      <c r="AA92" s="129"/>
      <c r="AB92" s="129"/>
      <c r="AC92" s="129"/>
      <c r="AD92" s="129"/>
      <c r="AE92" s="129"/>
    </row>
    <row r="93" spans="11:31">
      <c r="K93" s="136" t="s">
        <v>96</v>
      </c>
      <c r="L93" s="66"/>
      <c r="M93" s="1033" t="s">
        <v>573</v>
      </c>
      <c r="N93" s="1034"/>
      <c r="O93" s="1034"/>
      <c r="P93" s="1034"/>
      <c r="Q93" s="1034"/>
      <c r="R93" s="1034"/>
      <c r="S93" s="1034"/>
      <c r="T93" s="1034"/>
      <c r="U93" s="1034"/>
      <c r="V93" s="1034"/>
      <c r="W93" s="1034"/>
      <c r="X93" s="1034"/>
      <c r="Y93" s="129"/>
      <c r="Z93" s="129"/>
      <c r="AA93" s="129"/>
      <c r="AB93" s="129"/>
      <c r="AC93" s="129"/>
      <c r="AD93" s="129"/>
      <c r="AE93" s="129"/>
    </row>
    <row r="94" spans="11:31">
      <c r="K94" s="136" t="s">
        <v>97</v>
      </c>
      <c r="L94" s="66"/>
      <c r="M94" s="1033" t="s">
        <v>574</v>
      </c>
      <c r="N94" s="1034"/>
      <c r="O94" s="1034"/>
      <c r="P94" s="1034"/>
      <c r="Q94" s="1034"/>
      <c r="R94" s="1034"/>
      <c r="S94" s="1034"/>
      <c r="T94" s="1034"/>
      <c r="U94" s="1034"/>
      <c r="V94" s="1034"/>
      <c r="W94" s="1034"/>
      <c r="X94" s="1034"/>
      <c r="Y94" s="129"/>
      <c r="Z94" s="129"/>
      <c r="AA94" s="129"/>
      <c r="AB94" s="129"/>
      <c r="AC94" s="129"/>
      <c r="AD94" s="129"/>
      <c r="AE94" s="129"/>
    </row>
    <row r="95" spans="11:31" ht="27.75" customHeight="1">
      <c r="K95" s="137" t="s">
        <v>98</v>
      </c>
      <c r="L95" s="66"/>
      <c r="M95" s="1035" t="s">
        <v>250</v>
      </c>
      <c r="N95" s="1035"/>
      <c r="O95" s="1035"/>
      <c r="P95" s="1035"/>
      <c r="Q95" s="1035"/>
      <c r="R95" s="1035"/>
      <c r="S95" s="1035"/>
      <c r="T95" s="1035"/>
      <c r="U95" s="1035"/>
      <c r="V95" s="1035"/>
      <c r="W95" s="1035"/>
      <c r="X95" s="1035"/>
      <c r="Y95" s="129"/>
      <c r="Z95" s="129"/>
      <c r="AA95" s="129"/>
      <c r="AB95" s="129"/>
      <c r="AC95" s="129"/>
      <c r="AD95" s="129"/>
      <c r="AE95" s="129"/>
    </row>
    <row r="96" spans="11:31" ht="15" customHeight="1">
      <c r="K96" s="137" t="s">
        <v>99</v>
      </c>
      <c r="L96" s="66"/>
      <c r="M96" s="1035" t="s">
        <v>251</v>
      </c>
      <c r="N96" s="1035"/>
      <c r="O96" s="1035"/>
      <c r="P96" s="1035"/>
      <c r="Q96" s="1035"/>
      <c r="R96" s="1035"/>
      <c r="S96" s="1035"/>
      <c r="T96" s="1035"/>
      <c r="U96" s="1035"/>
      <c r="V96" s="1035"/>
      <c r="W96" s="1035"/>
      <c r="X96" s="1035"/>
      <c r="Y96" s="129"/>
      <c r="Z96" s="129"/>
      <c r="AA96" s="129"/>
      <c r="AB96" s="129"/>
      <c r="AC96" s="129"/>
      <c r="AD96" s="129"/>
      <c r="AE96" s="129"/>
    </row>
    <row r="97" spans="1:31">
      <c r="K97" s="136" t="s">
        <v>100</v>
      </c>
      <c r="L97" s="66"/>
      <c r="M97" s="1034" t="s">
        <v>312</v>
      </c>
      <c r="N97" s="1034"/>
      <c r="O97" s="1034"/>
      <c r="P97" s="1034"/>
      <c r="Q97" s="1034"/>
      <c r="R97" s="1034"/>
      <c r="S97" s="1034"/>
      <c r="T97" s="1034"/>
      <c r="U97" s="1034"/>
      <c r="V97" s="1034"/>
      <c r="W97" s="1034"/>
      <c r="X97" s="1034"/>
      <c r="Y97" s="129"/>
      <c r="Z97" s="129"/>
      <c r="AA97" s="129"/>
      <c r="AB97" s="129"/>
      <c r="AC97" s="129"/>
      <c r="AD97" s="129"/>
      <c r="AE97" s="129"/>
    </row>
    <row r="98" spans="1:31">
      <c r="K98" s="136" t="s">
        <v>101</v>
      </c>
      <c r="L98" s="66"/>
      <c r="M98" s="1034" t="s">
        <v>252</v>
      </c>
      <c r="N98" s="1034"/>
      <c r="O98" s="1034"/>
      <c r="P98" s="1034"/>
      <c r="Q98" s="1034"/>
      <c r="R98" s="1034"/>
      <c r="S98" s="1034"/>
      <c r="T98" s="1034"/>
      <c r="U98" s="1034"/>
      <c r="V98" s="1034"/>
      <c r="W98" s="1034"/>
      <c r="X98" s="1034"/>
      <c r="Y98" s="129"/>
      <c r="Z98" s="129"/>
      <c r="AA98" s="129"/>
      <c r="AB98" s="129"/>
      <c r="AC98" s="129"/>
      <c r="AD98" s="129"/>
      <c r="AE98" s="129"/>
    </row>
    <row r="99" spans="1:31">
      <c r="K99" s="136" t="s">
        <v>102</v>
      </c>
      <c r="L99" s="66"/>
      <c r="M99" s="1033" t="s">
        <v>533</v>
      </c>
      <c r="N99" s="1034"/>
      <c r="O99" s="1034"/>
      <c r="P99" s="1034"/>
      <c r="Q99" s="1034"/>
      <c r="R99" s="1034"/>
      <c r="S99" s="1034"/>
      <c r="T99" s="1034"/>
      <c r="U99" s="1034"/>
      <c r="V99" s="1034"/>
      <c r="W99" s="1034"/>
      <c r="X99" s="1034"/>
      <c r="Y99" s="129"/>
      <c r="Z99" s="129"/>
      <c r="AA99" s="129"/>
      <c r="AB99" s="129"/>
      <c r="AC99" s="129"/>
      <c r="AD99" s="129"/>
      <c r="AE99" s="129"/>
    </row>
    <row r="100" spans="1:31">
      <c r="K100" s="248" t="s">
        <v>103</v>
      </c>
      <c r="M100" s="1033" t="s">
        <v>334</v>
      </c>
      <c r="N100" s="1033"/>
      <c r="O100" s="1033"/>
      <c r="P100" s="1033"/>
      <c r="Q100" s="1033"/>
      <c r="R100" s="1033"/>
      <c r="S100" s="1033"/>
      <c r="T100" s="1033"/>
      <c r="U100" s="1033"/>
      <c r="V100" s="1033"/>
      <c r="W100" s="1033"/>
      <c r="X100" s="1033"/>
      <c r="Y100" s="129"/>
      <c r="Z100" s="129"/>
      <c r="AA100" s="129"/>
      <c r="AB100" s="129"/>
      <c r="AC100" s="129"/>
      <c r="AD100" s="129"/>
      <c r="AE100" s="129"/>
    </row>
    <row r="101" spans="1:31" ht="15.75">
      <c r="K101" s="104"/>
      <c r="L101" s="138"/>
      <c r="M101" s="139"/>
      <c r="N101" s="97"/>
      <c r="O101" s="67"/>
      <c r="P101" s="67"/>
      <c r="Q101" s="2"/>
      <c r="R101" s="9"/>
      <c r="S101" s="9"/>
      <c r="T101" s="93"/>
      <c r="U101" s="9"/>
      <c r="W101" s="2"/>
      <c r="X101" s="105"/>
      <c r="Y101" s="129"/>
      <c r="Z101" s="129"/>
      <c r="AA101" s="129"/>
      <c r="AB101" s="129"/>
      <c r="AC101" s="129"/>
      <c r="AD101" s="129"/>
      <c r="AE101" s="129"/>
    </row>
    <row r="102" spans="1:31" ht="15.75">
      <c r="A102" s="104"/>
      <c r="B102" s="138"/>
      <c r="C102" s="139"/>
      <c r="D102" s="97"/>
      <c r="E102" s="67"/>
      <c r="F102" s="67"/>
      <c r="G102" s="2"/>
      <c r="H102" s="9"/>
      <c r="I102" s="9"/>
      <c r="J102" s="93"/>
    </row>
    <row r="103" spans="1:31">
      <c r="C103" s="129"/>
      <c r="D103" s="129"/>
      <c r="E103" s="129"/>
      <c r="F103" s="129"/>
      <c r="G103" s="129"/>
      <c r="H103" s="129"/>
      <c r="I103" s="129"/>
      <c r="J103" s="129"/>
    </row>
    <row r="104" spans="1:31">
      <c r="C104" s="129"/>
      <c r="D104" s="129"/>
      <c r="E104" s="129"/>
      <c r="F104" s="129"/>
      <c r="G104" s="129"/>
      <c r="H104" s="129"/>
      <c r="I104" s="129"/>
      <c r="J104" s="129"/>
    </row>
    <row r="105" spans="1:31">
      <c r="C105" s="129"/>
      <c r="D105" s="129"/>
      <c r="E105" s="129"/>
      <c r="F105" s="129"/>
      <c r="G105" s="129"/>
      <c r="H105" s="129"/>
      <c r="I105" s="129"/>
      <c r="J105" s="129"/>
    </row>
    <row r="106" spans="1:31">
      <c r="C106" s="129"/>
      <c r="D106" s="129"/>
      <c r="E106" s="129"/>
      <c r="F106" s="129"/>
      <c r="G106" s="129"/>
      <c r="H106" s="129"/>
      <c r="I106" s="129"/>
      <c r="J106" s="129"/>
    </row>
    <row r="107" spans="1:31">
      <c r="C107" s="129"/>
      <c r="D107" s="129"/>
      <c r="E107" s="129"/>
      <c r="F107" s="129"/>
      <c r="G107" s="129"/>
      <c r="H107" s="129"/>
      <c r="I107" s="129"/>
      <c r="J107" s="129"/>
    </row>
    <row r="108" spans="1:31">
      <c r="C108" s="129"/>
      <c r="D108" s="129"/>
      <c r="E108" s="129"/>
      <c r="F108" s="129"/>
      <c r="G108" s="129"/>
      <c r="H108" s="129"/>
      <c r="I108" s="129"/>
      <c r="J108" s="129"/>
    </row>
    <row r="109" spans="1:31">
      <c r="C109" s="129"/>
      <c r="D109" s="129"/>
      <c r="E109" s="129"/>
      <c r="F109" s="129"/>
      <c r="G109" s="129"/>
      <c r="H109" s="129"/>
      <c r="I109" s="129"/>
      <c r="J109" s="129"/>
    </row>
    <row r="110" spans="1:31">
      <c r="C110" s="129"/>
      <c r="D110" s="129"/>
      <c r="E110" s="129"/>
      <c r="F110" s="129"/>
      <c r="G110" s="129"/>
      <c r="H110" s="129"/>
      <c r="I110" s="129"/>
      <c r="J110" s="129"/>
    </row>
    <row r="111" spans="1:31">
      <c r="C111" s="129"/>
      <c r="D111" s="129"/>
      <c r="E111" s="129"/>
      <c r="F111" s="129"/>
      <c r="G111" s="129"/>
      <c r="H111" s="129"/>
      <c r="I111" s="129"/>
      <c r="J111" s="129"/>
    </row>
    <row r="112" spans="1:31">
      <c r="C112" s="129"/>
      <c r="D112" s="129"/>
      <c r="E112" s="129"/>
      <c r="F112" s="129"/>
      <c r="G112" s="129"/>
      <c r="H112" s="129"/>
      <c r="I112" s="129"/>
      <c r="J112" s="129"/>
    </row>
    <row r="113" spans="3:10">
      <c r="C113" s="129"/>
      <c r="D113" s="129"/>
      <c r="E113" s="129"/>
      <c r="F113" s="129"/>
      <c r="G113" s="129"/>
      <c r="H113" s="129"/>
      <c r="I113" s="129"/>
      <c r="J113" s="129"/>
    </row>
    <row r="114" spans="3:10">
      <c r="C114" s="129"/>
      <c r="D114" s="129"/>
      <c r="E114" s="129"/>
      <c r="F114" s="129"/>
      <c r="G114" s="129"/>
      <c r="H114" s="129"/>
      <c r="I114" s="129"/>
      <c r="J114" s="129"/>
    </row>
    <row r="115" spans="3:10">
      <c r="C115" s="129"/>
      <c r="D115" s="129"/>
      <c r="E115" s="129"/>
      <c r="F115" s="129"/>
      <c r="G115" s="129"/>
      <c r="H115" s="129"/>
      <c r="I115" s="129"/>
      <c r="J115" s="129"/>
    </row>
    <row r="116" spans="3:10">
      <c r="C116" s="129"/>
      <c r="D116" s="129"/>
      <c r="E116" s="129"/>
      <c r="F116" s="129"/>
      <c r="G116" s="129"/>
      <c r="H116" s="129"/>
      <c r="I116" s="129"/>
      <c r="J116" s="129"/>
    </row>
    <row r="117" spans="3:10">
      <c r="C117" s="129"/>
      <c r="D117" s="129"/>
      <c r="E117" s="129"/>
      <c r="F117" s="129"/>
      <c r="G117" s="129"/>
      <c r="H117" s="129"/>
      <c r="I117" s="129"/>
      <c r="J117" s="129"/>
    </row>
    <row r="118" spans="3:10">
      <c r="C118" s="129"/>
      <c r="D118" s="129"/>
      <c r="E118" s="129"/>
      <c r="F118" s="129"/>
      <c r="G118" s="129"/>
      <c r="H118" s="129"/>
      <c r="I118" s="129"/>
      <c r="J118" s="129"/>
    </row>
    <row r="119" spans="3:10">
      <c r="C119" s="129"/>
      <c r="D119" s="129"/>
      <c r="E119" s="129"/>
      <c r="F119" s="129"/>
      <c r="G119" s="129"/>
      <c r="H119" s="129"/>
      <c r="I119" s="129"/>
      <c r="J119" s="129"/>
    </row>
    <row r="120" spans="3:10">
      <c r="C120" s="129"/>
      <c r="D120" s="129"/>
      <c r="E120" s="129"/>
      <c r="F120" s="129"/>
      <c r="G120" s="129"/>
      <c r="H120" s="129"/>
      <c r="I120" s="129"/>
      <c r="J120" s="129"/>
    </row>
    <row r="121" spans="3:10">
      <c r="C121" s="129"/>
      <c r="D121" s="129"/>
      <c r="E121" s="129"/>
      <c r="F121" s="129"/>
      <c r="G121" s="129"/>
      <c r="H121" s="129"/>
      <c r="I121" s="129"/>
      <c r="J121" s="129"/>
    </row>
    <row r="122" spans="3:10">
      <c r="C122" s="129"/>
      <c r="D122" s="129"/>
      <c r="E122" s="129"/>
      <c r="F122" s="129"/>
      <c r="G122" s="129"/>
      <c r="H122" s="129"/>
      <c r="I122" s="129"/>
      <c r="J122" s="129"/>
    </row>
    <row r="123" spans="3:10">
      <c r="C123" s="129"/>
      <c r="D123" s="129"/>
      <c r="E123" s="129"/>
      <c r="F123" s="129"/>
      <c r="G123" s="129"/>
      <c r="H123" s="129"/>
      <c r="I123" s="129"/>
      <c r="J123" s="129"/>
    </row>
    <row r="124" spans="3:10">
      <c r="C124" s="129"/>
      <c r="D124" s="129"/>
      <c r="E124" s="129"/>
      <c r="F124" s="129"/>
      <c r="G124" s="129"/>
      <c r="H124" s="129"/>
      <c r="I124" s="129"/>
      <c r="J124" s="129"/>
    </row>
    <row r="125" spans="3:10">
      <c r="C125" s="129"/>
      <c r="D125" s="129"/>
      <c r="E125" s="129"/>
      <c r="F125" s="129"/>
      <c r="G125" s="129"/>
      <c r="H125" s="129"/>
      <c r="I125" s="129"/>
      <c r="J125" s="129"/>
    </row>
    <row r="126" spans="3:10">
      <c r="C126" s="129"/>
      <c r="D126" s="129"/>
      <c r="E126" s="129"/>
      <c r="F126" s="129"/>
      <c r="G126" s="129"/>
      <c r="H126" s="129"/>
      <c r="I126" s="129"/>
      <c r="J126" s="129"/>
    </row>
    <row r="127" spans="3:10">
      <c r="C127" s="129"/>
      <c r="D127" s="129"/>
      <c r="E127" s="129"/>
      <c r="F127" s="129"/>
      <c r="G127" s="129"/>
      <c r="H127" s="129"/>
      <c r="I127" s="129"/>
      <c r="J127" s="129"/>
    </row>
    <row r="128" spans="3:10">
      <c r="C128" s="129"/>
      <c r="D128" s="129"/>
      <c r="E128" s="129"/>
      <c r="F128" s="129"/>
      <c r="G128" s="129"/>
      <c r="H128" s="129"/>
      <c r="I128" s="129"/>
      <c r="J128" s="129"/>
    </row>
    <row r="129" spans="3:10">
      <c r="C129" s="129"/>
      <c r="D129" s="129"/>
      <c r="E129" s="129"/>
      <c r="F129" s="129"/>
      <c r="G129" s="129"/>
      <c r="H129" s="129"/>
      <c r="I129" s="129"/>
      <c r="J129" s="129"/>
    </row>
    <row r="130" spans="3:10">
      <c r="C130" s="129"/>
      <c r="D130" s="129"/>
      <c r="E130" s="129"/>
      <c r="F130" s="129"/>
      <c r="G130" s="129"/>
      <c r="H130" s="129"/>
      <c r="I130" s="129"/>
      <c r="J130" s="129"/>
    </row>
    <row r="131" spans="3:10">
      <c r="C131" s="129"/>
      <c r="D131" s="129"/>
      <c r="E131" s="129"/>
      <c r="F131" s="129"/>
      <c r="G131" s="129"/>
      <c r="H131" s="129"/>
      <c r="I131" s="129"/>
      <c r="J131" s="129"/>
    </row>
    <row r="132" spans="3:10">
      <c r="C132" s="129"/>
      <c r="D132" s="129"/>
      <c r="E132" s="129"/>
      <c r="F132" s="129"/>
      <c r="G132" s="129"/>
      <c r="H132" s="129"/>
      <c r="I132" s="129"/>
      <c r="J132" s="129"/>
    </row>
    <row r="133" spans="3:10">
      <c r="C133" s="129"/>
      <c r="D133" s="129"/>
      <c r="E133" s="129"/>
      <c r="F133" s="129"/>
      <c r="G133" s="129"/>
      <c r="H133" s="129"/>
      <c r="I133" s="129"/>
      <c r="J133" s="129"/>
    </row>
    <row r="134" spans="3:10">
      <c r="C134" s="129"/>
      <c r="D134" s="129"/>
      <c r="E134" s="129"/>
      <c r="F134" s="129"/>
      <c r="G134" s="129"/>
      <c r="H134" s="129"/>
      <c r="I134" s="129"/>
      <c r="J134" s="129"/>
    </row>
    <row r="135" spans="3:10">
      <c r="C135" s="129"/>
      <c r="D135" s="129"/>
      <c r="E135" s="129"/>
      <c r="F135" s="129"/>
      <c r="G135" s="129"/>
      <c r="H135" s="129"/>
      <c r="I135" s="129"/>
      <c r="J135" s="129"/>
    </row>
    <row r="136" spans="3:10">
      <c r="C136" s="129"/>
      <c r="D136" s="129"/>
      <c r="E136" s="129"/>
      <c r="F136" s="129"/>
      <c r="G136" s="129"/>
      <c r="H136" s="129"/>
      <c r="I136" s="129"/>
      <c r="J136" s="129"/>
    </row>
    <row r="137" spans="3:10">
      <c r="C137" s="129"/>
      <c r="D137" s="129"/>
      <c r="E137" s="129"/>
      <c r="F137" s="129"/>
      <c r="G137" s="129"/>
      <c r="H137" s="129"/>
      <c r="I137" s="129"/>
      <c r="J137" s="129"/>
    </row>
    <row r="138" spans="3:10">
      <c r="C138" s="129"/>
      <c r="D138" s="129"/>
      <c r="E138" s="129"/>
      <c r="F138" s="129"/>
      <c r="G138" s="129"/>
      <c r="H138" s="129"/>
      <c r="I138" s="129"/>
      <c r="J138" s="129"/>
    </row>
    <row r="139" spans="3:10">
      <c r="C139" s="129"/>
      <c r="D139" s="129"/>
      <c r="E139" s="129"/>
      <c r="F139" s="129"/>
      <c r="G139" s="129"/>
      <c r="H139" s="129"/>
      <c r="I139" s="129"/>
      <c r="J139" s="129"/>
    </row>
    <row r="140" spans="3:10">
      <c r="C140" s="129"/>
      <c r="D140" s="129"/>
      <c r="E140" s="129"/>
      <c r="F140" s="129"/>
      <c r="G140" s="129"/>
      <c r="H140" s="129"/>
      <c r="I140" s="129"/>
      <c r="J140" s="129"/>
    </row>
    <row r="141" spans="3:10">
      <c r="C141" s="129"/>
      <c r="D141" s="129"/>
      <c r="E141" s="129"/>
      <c r="F141" s="129"/>
      <c r="G141" s="129"/>
      <c r="H141" s="129"/>
      <c r="I141" s="129"/>
      <c r="J141" s="129"/>
    </row>
    <row r="142" spans="3:10">
      <c r="C142" s="129"/>
      <c r="D142" s="129"/>
      <c r="E142" s="129"/>
      <c r="F142" s="129"/>
      <c r="G142" s="129"/>
      <c r="H142" s="129"/>
      <c r="I142" s="129"/>
      <c r="J142" s="129"/>
    </row>
    <row r="143" spans="3:10">
      <c r="C143" s="129"/>
      <c r="D143" s="129"/>
      <c r="E143" s="129"/>
      <c r="F143" s="129"/>
      <c r="G143" s="129"/>
      <c r="H143" s="129"/>
      <c r="I143" s="129"/>
      <c r="J143" s="129"/>
    </row>
    <row r="144" spans="3:10">
      <c r="C144" s="129"/>
      <c r="D144" s="129"/>
      <c r="E144" s="129"/>
      <c r="F144" s="129"/>
      <c r="G144" s="129"/>
      <c r="H144" s="129"/>
      <c r="I144" s="129"/>
      <c r="J144" s="129"/>
    </row>
    <row r="145" spans="3:10">
      <c r="C145" s="129"/>
      <c r="D145" s="129"/>
      <c r="E145" s="129"/>
      <c r="F145" s="129"/>
      <c r="G145" s="129"/>
      <c r="H145" s="129"/>
      <c r="I145" s="129"/>
      <c r="J145" s="129"/>
    </row>
    <row r="146" spans="3:10">
      <c r="C146" s="129"/>
      <c r="D146" s="129"/>
      <c r="E146" s="129"/>
      <c r="F146" s="129"/>
      <c r="G146" s="129"/>
      <c r="H146" s="129"/>
      <c r="I146" s="129"/>
      <c r="J146" s="129"/>
    </row>
    <row r="147" spans="3:10">
      <c r="C147" s="129"/>
      <c r="D147" s="129"/>
      <c r="E147" s="129"/>
      <c r="F147" s="129"/>
      <c r="G147" s="129"/>
      <c r="H147" s="129"/>
      <c r="I147" s="129"/>
      <c r="J147" s="129"/>
    </row>
    <row r="148" spans="3:10">
      <c r="C148" s="129"/>
      <c r="D148" s="129"/>
      <c r="E148" s="129"/>
      <c r="F148" s="129"/>
      <c r="G148" s="129"/>
      <c r="H148" s="129"/>
      <c r="I148" s="129"/>
      <c r="J148" s="129"/>
    </row>
    <row r="149" spans="3:10">
      <c r="C149" s="129"/>
      <c r="D149" s="129"/>
      <c r="E149" s="129"/>
      <c r="F149" s="129"/>
      <c r="G149" s="129"/>
      <c r="H149" s="129"/>
      <c r="I149" s="129"/>
      <c r="J149" s="129"/>
    </row>
    <row r="150" spans="3:10">
      <c r="C150" s="129"/>
      <c r="D150" s="129"/>
      <c r="E150" s="129"/>
      <c r="F150" s="129"/>
      <c r="G150" s="129"/>
      <c r="H150" s="129"/>
      <c r="I150" s="129"/>
      <c r="J150" s="129"/>
    </row>
    <row r="151" spans="3:10">
      <c r="C151" s="129"/>
      <c r="D151" s="129"/>
      <c r="E151" s="129"/>
      <c r="F151" s="129"/>
      <c r="G151" s="129"/>
      <c r="H151" s="129"/>
      <c r="I151" s="129"/>
      <c r="J151" s="129"/>
    </row>
    <row r="152" spans="3:10">
      <c r="C152" s="129"/>
      <c r="D152" s="129"/>
      <c r="E152" s="129"/>
      <c r="F152" s="129"/>
      <c r="G152" s="129"/>
      <c r="H152" s="129"/>
      <c r="I152" s="129"/>
      <c r="J152" s="129"/>
    </row>
    <row r="153" spans="3:10">
      <c r="C153" s="129"/>
      <c r="D153" s="129"/>
      <c r="E153" s="129"/>
      <c r="F153" s="129"/>
      <c r="G153" s="129"/>
      <c r="H153" s="129"/>
      <c r="I153" s="129"/>
      <c r="J153" s="129"/>
    </row>
    <row r="154" spans="3:10">
      <c r="C154" s="129"/>
      <c r="D154" s="129"/>
      <c r="E154" s="129"/>
      <c r="F154" s="129"/>
      <c r="G154" s="129"/>
      <c r="H154" s="129"/>
      <c r="I154" s="129"/>
      <c r="J154" s="129"/>
    </row>
    <row r="155" spans="3:10">
      <c r="C155" s="129"/>
      <c r="D155" s="129"/>
      <c r="E155" s="129"/>
      <c r="F155" s="129"/>
      <c r="G155" s="129"/>
      <c r="H155" s="129"/>
      <c r="I155" s="129"/>
      <c r="J155" s="129"/>
    </row>
    <row r="156" spans="3:10">
      <c r="C156" s="129"/>
      <c r="D156" s="129"/>
      <c r="E156" s="129"/>
      <c r="F156" s="129"/>
      <c r="G156" s="129"/>
      <c r="H156" s="129"/>
      <c r="I156" s="129"/>
      <c r="J156" s="129"/>
    </row>
    <row r="157" spans="3:10">
      <c r="C157" s="129"/>
      <c r="D157" s="129"/>
      <c r="E157" s="129"/>
      <c r="F157" s="129"/>
      <c r="G157" s="129"/>
      <c r="H157" s="129"/>
      <c r="I157" s="129"/>
      <c r="J157" s="129"/>
    </row>
    <row r="158" spans="3:10">
      <c r="C158" s="129"/>
      <c r="D158" s="129"/>
      <c r="E158" s="129"/>
      <c r="F158" s="129"/>
      <c r="G158" s="129"/>
      <c r="H158" s="129"/>
      <c r="I158" s="129"/>
      <c r="J158" s="129"/>
    </row>
    <row r="159" spans="3:10">
      <c r="C159" s="129"/>
      <c r="D159" s="129"/>
      <c r="E159" s="129"/>
      <c r="F159" s="129"/>
      <c r="G159" s="129"/>
      <c r="H159" s="129"/>
      <c r="I159" s="129"/>
      <c r="J159" s="129"/>
    </row>
    <row r="160" spans="3:10">
      <c r="C160" s="129"/>
      <c r="D160" s="129"/>
      <c r="E160" s="129"/>
      <c r="F160" s="129"/>
      <c r="G160" s="129"/>
      <c r="H160" s="129"/>
      <c r="I160" s="129"/>
      <c r="J160" s="129"/>
    </row>
    <row r="161" spans="3:10">
      <c r="C161" s="129"/>
      <c r="D161" s="129"/>
      <c r="E161" s="129"/>
      <c r="F161" s="129"/>
      <c r="G161" s="129"/>
      <c r="H161" s="129"/>
      <c r="I161" s="129"/>
      <c r="J161" s="129"/>
    </row>
    <row r="162" spans="3:10">
      <c r="C162" s="129"/>
      <c r="D162" s="129"/>
      <c r="E162" s="129"/>
      <c r="F162" s="129"/>
      <c r="G162" s="129"/>
      <c r="H162" s="129"/>
      <c r="I162" s="129"/>
      <c r="J162" s="129"/>
    </row>
    <row r="163" spans="3:10">
      <c r="C163" s="129"/>
      <c r="D163" s="129"/>
      <c r="E163" s="129"/>
      <c r="F163" s="129"/>
      <c r="G163" s="129"/>
      <c r="H163" s="129"/>
      <c r="I163" s="129"/>
      <c r="J163" s="129"/>
    </row>
    <row r="164" spans="3:10">
      <c r="C164" s="129"/>
      <c r="D164" s="129"/>
      <c r="E164" s="129"/>
      <c r="F164" s="129"/>
      <c r="G164" s="129"/>
      <c r="H164" s="129"/>
      <c r="I164" s="129"/>
      <c r="J164" s="129"/>
    </row>
    <row r="165" spans="3:10">
      <c r="C165" s="129"/>
      <c r="D165" s="129"/>
      <c r="E165" s="129"/>
      <c r="F165" s="129"/>
      <c r="G165" s="129"/>
      <c r="H165" s="129"/>
      <c r="I165" s="129"/>
      <c r="J165" s="129"/>
    </row>
    <row r="166" spans="3:10">
      <c r="C166" s="129"/>
      <c r="D166" s="129"/>
      <c r="E166" s="129"/>
      <c r="F166" s="129"/>
      <c r="G166" s="129"/>
      <c r="H166" s="129"/>
      <c r="I166" s="129"/>
      <c r="J166" s="129"/>
    </row>
    <row r="167" spans="3:10">
      <c r="C167" s="129"/>
      <c r="D167" s="129"/>
      <c r="E167" s="129"/>
      <c r="F167" s="129"/>
      <c r="G167" s="129"/>
      <c r="H167" s="129"/>
      <c r="I167" s="129"/>
      <c r="J167" s="129"/>
    </row>
    <row r="168" spans="3:10">
      <c r="C168" s="129"/>
      <c r="D168" s="129"/>
      <c r="E168" s="129"/>
      <c r="F168" s="129"/>
      <c r="G168" s="129"/>
      <c r="H168" s="129"/>
      <c r="I168" s="129"/>
      <c r="J168" s="129"/>
    </row>
    <row r="169" spans="3:10">
      <c r="C169" s="129"/>
      <c r="D169" s="129"/>
      <c r="E169" s="129"/>
      <c r="F169" s="129"/>
      <c r="G169" s="129"/>
      <c r="H169" s="129"/>
      <c r="I169" s="129"/>
      <c r="J169" s="129"/>
    </row>
    <row r="170" spans="3:10">
      <c r="C170" s="129"/>
      <c r="D170" s="129"/>
      <c r="E170" s="129"/>
      <c r="F170" s="129"/>
      <c r="G170" s="129"/>
      <c r="H170" s="129"/>
      <c r="I170" s="129"/>
      <c r="J170" s="129"/>
    </row>
    <row r="171" spans="3:10">
      <c r="C171" s="129"/>
      <c r="D171" s="129"/>
      <c r="E171" s="129"/>
      <c r="F171" s="129"/>
      <c r="G171" s="129"/>
      <c r="H171" s="129"/>
      <c r="I171" s="129"/>
      <c r="J171" s="129"/>
    </row>
    <row r="172" spans="3:10">
      <c r="C172" s="129"/>
      <c r="D172" s="129"/>
      <c r="E172" s="129"/>
      <c r="F172" s="129"/>
      <c r="G172" s="129"/>
      <c r="H172" s="129"/>
      <c r="I172" s="129"/>
      <c r="J172" s="129"/>
    </row>
    <row r="173" spans="3:10">
      <c r="C173" s="129"/>
      <c r="D173" s="129"/>
      <c r="E173" s="129"/>
      <c r="F173" s="129"/>
      <c r="G173" s="129"/>
      <c r="H173" s="129"/>
      <c r="I173" s="129"/>
      <c r="J173" s="129"/>
    </row>
    <row r="174" spans="3:10">
      <c r="C174" s="129"/>
      <c r="D174" s="129"/>
      <c r="E174" s="129"/>
      <c r="F174" s="129"/>
      <c r="G174" s="129"/>
      <c r="H174" s="129"/>
      <c r="I174" s="129"/>
      <c r="J174" s="129"/>
    </row>
    <row r="175" spans="3:10">
      <c r="C175" s="129"/>
      <c r="D175" s="129"/>
      <c r="E175" s="129"/>
      <c r="F175" s="129"/>
      <c r="G175" s="129"/>
      <c r="H175" s="129"/>
      <c r="I175" s="129"/>
      <c r="J175" s="129"/>
    </row>
    <row r="176" spans="3:10">
      <c r="C176" s="129"/>
      <c r="D176" s="129"/>
      <c r="E176" s="129"/>
      <c r="F176" s="129"/>
      <c r="G176" s="129"/>
      <c r="H176" s="129"/>
      <c r="I176" s="129"/>
      <c r="J176" s="129"/>
    </row>
    <row r="177" spans="3:10">
      <c r="C177" s="129"/>
      <c r="D177" s="129"/>
      <c r="E177" s="129"/>
      <c r="F177" s="129"/>
      <c r="G177" s="129"/>
      <c r="H177" s="129"/>
      <c r="I177" s="129"/>
      <c r="J177" s="129"/>
    </row>
    <row r="178" spans="3:10">
      <c r="C178" s="129"/>
      <c r="D178" s="129"/>
      <c r="E178" s="129"/>
      <c r="F178" s="129"/>
      <c r="G178" s="129"/>
      <c r="H178" s="129"/>
      <c r="I178" s="129"/>
      <c r="J178" s="129"/>
    </row>
    <row r="179" spans="3:10">
      <c r="C179" s="129"/>
      <c r="D179" s="129"/>
      <c r="E179" s="129"/>
      <c r="F179" s="129"/>
      <c r="G179" s="129"/>
      <c r="H179" s="129"/>
      <c r="I179" s="129"/>
      <c r="J179" s="129"/>
    </row>
    <row r="180" spans="3:10">
      <c r="C180" s="129"/>
      <c r="D180" s="129"/>
      <c r="E180" s="129"/>
      <c r="F180" s="129"/>
      <c r="G180" s="129"/>
      <c r="H180" s="129"/>
      <c r="I180" s="129"/>
      <c r="J180" s="129"/>
    </row>
    <row r="181" spans="3:10">
      <c r="C181" s="129"/>
      <c r="D181" s="129"/>
      <c r="E181" s="129"/>
      <c r="F181" s="129"/>
      <c r="G181" s="129"/>
      <c r="H181" s="129"/>
      <c r="I181" s="129"/>
      <c r="J181" s="129"/>
    </row>
    <row r="182" spans="3:10">
      <c r="C182" s="129"/>
      <c r="D182" s="129"/>
      <c r="E182" s="129"/>
      <c r="F182" s="129"/>
      <c r="G182" s="129"/>
      <c r="H182" s="129"/>
      <c r="I182" s="129"/>
      <c r="J182" s="129"/>
    </row>
    <row r="183" spans="3:10">
      <c r="C183" s="129"/>
      <c r="D183" s="129"/>
      <c r="E183" s="129"/>
      <c r="F183" s="129"/>
      <c r="G183" s="129"/>
      <c r="H183" s="129"/>
      <c r="I183" s="129"/>
      <c r="J183" s="129"/>
    </row>
    <row r="184" spans="3:10">
      <c r="C184" s="129"/>
      <c r="D184" s="129"/>
      <c r="E184" s="129"/>
      <c r="F184" s="129"/>
      <c r="G184" s="129"/>
      <c r="H184" s="129"/>
      <c r="I184" s="129"/>
      <c r="J184" s="129"/>
    </row>
    <row r="185" spans="3:10">
      <c r="C185" s="129"/>
      <c r="D185" s="129"/>
      <c r="E185" s="129"/>
      <c r="F185" s="129"/>
      <c r="G185" s="129"/>
      <c r="H185" s="129"/>
      <c r="I185" s="129"/>
      <c r="J185" s="129"/>
    </row>
    <row r="186" spans="3:10">
      <c r="C186" s="129"/>
      <c r="D186" s="129"/>
      <c r="E186" s="129"/>
      <c r="F186" s="129"/>
      <c r="G186" s="129"/>
      <c r="H186" s="129"/>
      <c r="I186" s="129"/>
      <c r="J186" s="129"/>
    </row>
    <row r="187" spans="3:10">
      <c r="C187" s="129"/>
      <c r="D187" s="129"/>
      <c r="E187" s="129"/>
      <c r="F187" s="129"/>
      <c r="G187" s="129"/>
      <c r="H187" s="129"/>
      <c r="I187" s="129"/>
      <c r="J187" s="129"/>
    </row>
    <row r="188" spans="3:10">
      <c r="C188" s="129"/>
      <c r="D188" s="129"/>
      <c r="E188" s="129"/>
      <c r="F188" s="129"/>
      <c r="G188" s="129"/>
      <c r="H188" s="129"/>
      <c r="I188" s="129"/>
      <c r="J188" s="129"/>
    </row>
    <row r="189" spans="3:10">
      <c r="C189" s="129"/>
      <c r="D189" s="129"/>
      <c r="E189" s="129"/>
      <c r="F189" s="129"/>
      <c r="G189" s="129"/>
      <c r="H189" s="129"/>
      <c r="I189" s="129"/>
      <c r="J189" s="129"/>
    </row>
    <row r="190" spans="3:10">
      <c r="C190" s="129"/>
      <c r="D190" s="129"/>
      <c r="E190" s="129"/>
      <c r="F190" s="129"/>
      <c r="G190" s="129"/>
      <c r="H190" s="129"/>
      <c r="I190" s="129"/>
      <c r="J190" s="129"/>
    </row>
    <row r="191" spans="3:10">
      <c r="C191" s="129"/>
      <c r="D191" s="129"/>
      <c r="E191" s="129"/>
      <c r="F191" s="129"/>
      <c r="G191" s="129"/>
      <c r="H191" s="129"/>
      <c r="I191" s="129"/>
      <c r="J191" s="129"/>
    </row>
    <row r="192" spans="3:10">
      <c r="C192" s="129"/>
      <c r="D192" s="129"/>
      <c r="E192" s="129"/>
      <c r="F192" s="129"/>
      <c r="G192" s="129"/>
      <c r="H192" s="129"/>
      <c r="I192" s="129"/>
      <c r="J192" s="129"/>
    </row>
    <row r="193" spans="3:10">
      <c r="C193" s="129"/>
      <c r="D193" s="129"/>
      <c r="E193" s="129"/>
      <c r="F193" s="129"/>
      <c r="G193" s="129"/>
      <c r="H193" s="129"/>
      <c r="I193" s="129"/>
      <c r="J193" s="129"/>
    </row>
    <row r="194" spans="3:10">
      <c r="C194" s="129"/>
      <c r="D194" s="129"/>
      <c r="E194" s="129"/>
      <c r="F194" s="129"/>
      <c r="G194" s="129"/>
      <c r="H194" s="129"/>
      <c r="I194" s="129"/>
      <c r="J194" s="129"/>
    </row>
    <row r="195" spans="3:10">
      <c r="C195" s="129"/>
      <c r="D195" s="129"/>
      <c r="E195" s="129"/>
      <c r="F195" s="129"/>
      <c r="G195" s="129"/>
      <c r="H195" s="129"/>
      <c r="I195" s="129"/>
      <c r="J195" s="129"/>
    </row>
    <row r="196" spans="3:10">
      <c r="C196" s="129"/>
      <c r="D196" s="129"/>
      <c r="E196" s="129"/>
      <c r="F196" s="129"/>
      <c r="G196" s="129"/>
      <c r="H196" s="129"/>
      <c r="I196" s="129"/>
      <c r="J196" s="129"/>
    </row>
    <row r="197" spans="3:10">
      <c r="C197" s="129"/>
      <c r="D197" s="129"/>
      <c r="E197" s="129"/>
      <c r="F197" s="129"/>
      <c r="G197" s="129"/>
      <c r="H197" s="129"/>
      <c r="I197" s="129"/>
      <c r="J197" s="129"/>
    </row>
    <row r="198" spans="3:10">
      <c r="C198" s="129"/>
      <c r="D198" s="129"/>
      <c r="E198" s="129"/>
      <c r="F198" s="129"/>
      <c r="G198" s="129"/>
      <c r="H198" s="129"/>
      <c r="I198" s="129"/>
      <c r="J198" s="129"/>
    </row>
    <row r="199" spans="3:10">
      <c r="C199" s="129"/>
      <c r="D199" s="129"/>
      <c r="E199" s="129"/>
      <c r="F199" s="129"/>
      <c r="G199" s="129"/>
      <c r="H199" s="129"/>
      <c r="I199" s="129"/>
      <c r="J199" s="129"/>
    </row>
    <row r="200" spans="3:10">
      <c r="C200" s="129"/>
      <c r="D200" s="129"/>
      <c r="E200" s="129"/>
      <c r="F200" s="129"/>
      <c r="G200" s="129"/>
      <c r="H200" s="129"/>
      <c r="I200" s="129"/>
      <c r="J200" s="129"/>
    </row>
    <row r="201" spans="3:10">
      <c r="C201" s="129"/>
      <c r="D201" s="129"/>
      <c r="E201" s="129"/>
      <c r="F201" s="129"/>
      <c r="G201" s="129"/>
      <c r="H201" s="129"/>
      <c r="I201" s="129"/>
      <c r="J201" s="129"/>
    </row>
    <row r="202" spans="3:10">
      <c r="C202" s="129"/>
      <c r="D202" s="129"/>
      <c r="E202" s="129"/>
      <c r="F202" s="129"/>
      <c r="G202" s="129"/>
      <c r="H202" s="129"/>
      <c r="I202" s="129"/>
      <c r="J202" s="129"/>
    </row>
    <row r="203" spans="3:10">
      <c r="C203" s="129"/>
      <c r="D203" s="129"/>
      <c r="E203" s="129"/>
      <c r="F203" s="129"/>
      <c r="G203" s="129"/>
      <c r="H203" s="129"/>
      <c r="I203" s="129"/>
      <c r="J203" s="129"/>
    </row>
    <row r="204" spans="3:10">
      <c r="C204" s="129"/>
      <c r="D204" s="129"/>
      <c r="E204" s="129"/>
      <c r="F204" s="129"/>
      <c r="G204" s="129"/>
      <c r="H204" s="129"/>
      <c r="I204" s="129"/>
      <c r="J204" s="129"/>
    </row>
    <row r="205" spans="3:10">
      <c r="C205" s="129"/>
      <c r="D205" s="129"/>
      <c r="E205" s="129"/>
      <c r="F205" s="129"/>
      <c r="G205" s="129"/>
      <c r="H205" s="129"/>
      <c r="I205" s="129"/>
      <c r="J205" s="129"/>
    </row>
    <row r="206" spans="3:10">
      <c r="C206" s="129"/>
      <c r="D206" s="129"/>
      <c r="E206" s="129"/>
      <c r="F206" s="129"/>
      <c r="G206" s="129"/>
      <c r="H206" s="129"/>
      <c r="I206" s="129"/>
      <c r="J206" s="129"/>
    </row>
    <row r="207" spans="3:10">
      <c r="C207" s="129"/>
      <c r="D207" s="129"/>
      <c r="E207" s="129"/>
      <c r="F207" s="129"/>
      <c r="G207" s="129"/>
      <c r="H207" s="129"/>
      <c r="I207" s="129"/>
      <c r="J207" s="129"/>
    </row>
    <row r="208" spans="3:10">
      <c r="C208" s="129"/>
      <c r="D208" s="129"/>
      <c r="E208" s="129"/>
      <c r="F208" s="129"/>
      <c r="G208" s="129"/>
      <c r="H208" s="129"/>
      <c r="I208" s="129"/>
      <c r="J208" s="129"/>
    </row>
    <row r="209" spans="3:10">
      <c r="C209" s="129"/>
      <c r="D209" s="129"/>
      <c r="E209" s="129"/>
      <c r="F209" s="129"/>
      <c r="G209" s="129"/>
      <c r="H209" s="129"/>
      <c r="I209" s="129"/>
      <c r="J209" s="129"/>
    </row>
    <row r="210" spans="3:10">
      <c r="C210" s="129"/>
      <c r="D210" s="129"/>
      <c r="E210" s="129"/>
      <c r="F210" s="129"/>
      <c r="G210" s="129"/>
      <c r="H210" s="129"/>
      <c r="I210" s="129"/>
      <c r="J210" s="129"/>
    </row>
    <row r="211" spans="3:10">
      <c r="C211" s="129"/>
      <c r="D211" s="129"/>
      <c r="E211" s="129"/>
      <c r="F211" s="129"/>
      <c r="G211" s="129"/>
      <c r="H211" s="129"/>
      <c r="I211" s="129"/>
      <c r="J211" s="129"/>
    </row>
    <row r="212" spans="3:10">
      <c r="C212" s="129"/>
      <c r="D212" s="129"/>
      <c r="E212" s="129"/>
      <c r="F212" s="129"/>
      <c r="G212" s="129"/>
      <c r="H212" s="129"/>
      <c r="I212" s="129"/>
      <c r="J212" s="129"/>
    </row>
    <row r="213" spans="3:10">
      <c r="C213" s="129"/>
      <c r="D213" s="129"/>
      <c r="E213" s="129"/>
      <c r="F213" s="129"/>
      <c r="G213" s="129"/>
      <c r="H213" s="129"/>
      <c r="I213" s="129"/>
      <c r="J213" s="129"/>
    </row>
    <row r="214" spans="3:10">
      <c r="C214" s="129"/>
      <c r="D214" s="129"/>
      <c r="E214" s="129"/>
      <c r="F214" s="129"/>
      <c r="G214" s="129"/>
      <c r="H214" s="129"/>
      <c r="I214" s="129"/>
      <c r="J214" s="129"/>
    </row>
    <row r="215" spans="3:10">
      <c r="C215" s="129"/>
      <c r="D215" s="129"/>
      <c r="E215" s="129"/>
      <c r="F215" s="129"/>
      <c r="G215" s="129"/>
      <c r="H215" s="129"/>
      <c r="I215" s="129"/>
      <c r="J215" s="129"/>
    </row>
    <row r="216" spans="3:10">
      <c r="C216" s="129"/>
      <c r="D216" s="129"/>
      <c r="E216" s="129"/>
      <c r="F216" s="129"/>
      <c r="G216" s="129"/>
      <c r="H216" s="129"/>
      <c r="I216" s="129"/>
      <c r="J216" s="129"/>
    </row>
    <row r="217" spans="3:10">
      <c r="C217" s="129"/>
      <c r="D217" s="129"/>
      <c r="E217" s="129"/>
      <c r="F217" s="129"/>
      <c r="G217" s="129"/>
      <c r="H217" s="129"/>
      <c r="I217" s="129"/>
      <c r="J217" s="129"/>
    </row>
    <row r="218" spans="3:10">
      <c r="C218" s="129"/>
      <c r="D218" s="129"/>
      <c r="E218" s="129"/>
      <c r="F218" s="129"/>
      <c r="G218" s="129"/>
      <c r="H218" s="129"/>
      <c r="I218" s="129"/>
      <c r="J218" s="129"/>
    </row>
    <row r="219" spans="3:10">
      <c r="C219" s="129"/>
      <c r="D219" s="129"/>
      <c r="E219" s="129"/>
      <c r="F219" s="129"/>
      <c r="G219" s="129"/>
      <c r="H219" s="129"/>
      <c r="I219" s="129"/>
      <c r="J219" s="129"/>
    </row>
    <row r="220" spans="3:10">
      <c r="C220" s="129"/>
      <c r="D220" s="129"/>
      <c r="E220" s="129"/>
      <c r="F220" s="129"/>
      <c r="G220" s="129"/>
      <c r="H220" s="129"/>
      <c r="I220" s="129"/>
      <c r="J220" s="129"/>
    </row>
    <row r="221" spans="3:10">
      <c r="C221" s="129"/>
      <c r="D221" s="129"/>
      <c r="E221" s="129"/>
      <c r="F221" s="129"/>
      <c r="G221" s="129"/>
      <c r="H221" s="129"/>
      <c r="I221" s="129"/>
      <c r="J221" s="129"/>
    </row>
    <row r="222" spans="3:10">
      <c r="C222" s="129"/>
      <c r="D222" s="129"/>
      <c r="E222" s="129"/>
      <c r="F222" s="129"/>
      <c r="G222" s="129"/>
      <c r="H222" s="129"/>
      <c r="I222" s="129"/>
      <c r="J222" s="129"/>
    </row>
    <row r="223" spans="3:10">
      <c r="C223" s="129"/>
      <c r="D223" s="129"/>
      <c r="E223" s="129"/>
      <c r="F223" s="129"/>
      <c r="G223" s="129"/>
      <c r="H223" s="129"/>
      <c r="I223" s="129"/>
      <c r="J223" s="129"/>
    </row>
    <row r="224" spans="3:10">
      <c r="C224" s="129"/>
      <c r="D224" s="129"/>
      <c r="E224" s="129"/>
      <c r="F224" s="129"/>
      <c r="G224" s="129"/>
      <c r="H224" s="129"/>
      <c r="I224" s="129"/>
      <c r="J224" s="129"/>
    </row>
    <row r="225" spans="3:10">
      <c r="C225" s="129"/>
      <c r="D225" s="129"/>
      <c r="E225" s="129"/>
      <c r="F225" s="129"/>
      <c r="G225" s="129"/>
      <c r="H225" s="129"/>
      <c r="I225" s="129"/>
      <c r="J225" s="129"/>
    </row>
    <row r="226" spans="3:10">
      <c r="C226" s="129"/>
      <c r="D226" s="129"/>
      <c r="E226" s="129"/>
      <c r="F226" s="129"/>
      <c r="G226" s="129"/>
      <c r="H226" s="129"/>
      <c r="I226" s="129"/>
      <c r="J226" s="129"/>
    </row>
    <row r="227" spans="3:10">
      <c r="C227" s="129"/>
      <c r="D227" s="129"/>
      <c r="E227" s="129"/>
      <c r="F227" s="129"/>
      <c r="G227" s="129"/>
      <c r="H227" s="129"/>
      <c r="I227" s="129"/>
      <c r="J227" s="129"/>
    </row>
    <row r="228" spans="3:10">
      <c r="C228" s="129"/>
      <c r="D228" s="129"/>
      <c r="E228" s="129"/>
      <c r="F228" s="129"/>
      <c r="G228" s="129"/>
      <c r="H228" s="129"/>
      <c r="I228" s="129"/>
      <c r="J228" s="129"/>
    </row>
    <row r="229" spans="3:10">
      <c r="C229" s="129"/>
      <c r="D229" s="129"/>
      <c r="E229" s="129"/>
      <c r="F229" s="129"/>
      <c r="G229" s="129"/>
      <c r="H229" s="129"/>
      <c r="I229" s="129"/>
      <c r="J229" s="129"/>
    </row>
    <row r="230" spans="3:10">
      <c r="C230" s="129"/>
      <c r="D230" s="129"/>
      <c r="E230" s="129"/>
      <c r="F230" s="129"/>
      <c r="G230" s="129"/>
      <c r="H230" s="129"/>
      <c r="I230" s="129"/>
      <c r="J230" s="129"/>
    </row>
    <row r="231" spans="3:10">
      <c r="C231" s="129"/>
      <c r="D231" s="129"/>
      <c r="E231" s="129"/>
      <c r="F231" s="129"/>
      <c r="G231" s="129"/>
      <c r="H231" s="129"/>
      <c r="I231" s="129"/>
      <c r="J231" s="129"/>
    </row>
    <row r="232" spans="3:10">
      <c r="C232" s="129"/>
      <c r="D232" s="129"/>
      <c r="E232" s="129"/>
      <c r="F232" s="129"/>
      <c r="G232" s="129"/>
      <c r="H232" s="129"/>
      <c r="I232" s="129"/>
      <c r="J232" s="129"/>
    </row>
    <row r="233" spans="3:10">
      <c r="C233" s="129"/>
      <c r="D233" s="129"/>
      <c r="E233" s="129"/>
      <c r="F233" s="129"/>
      <c r="G233" s="129"/>
      <c r="H233" s="129"/>
      <c r="I233" s="129"/>
      <c r="J233" s="129"/>
    </row>
    <row r="234" spans="3:10">
      <c r="C234" s="129"/>
      <c r="D234" s="129"/>
      <c r="E234" s="129"/>
      <c r="F234" s="129"/>
      <c r="G234" s="129"/>
      <c r="H234" s="129"/>
      <c r="I234" s="129"/>
      <c r="J234" s="129"/>
    </row>
    <row r="235" spans="3:10">
      <c r="C235" s="129"/>
      <c r="D235" s="129"/>
      <c r="E235" s="129"/>
      <c r="F235" s="129"/>
      <c r="G235" s="129"/>
      <c r="H235" s="129"/>
      <c r="I235" s="129"/>
      <c r="J235" s="129"/>
    </row>
    <row r="236" spans="3:10">
      <c r="C236" s="129"/>
      <c r="D236" s="129"/>
      <c r="E236" s="129"/>
      <c r="F236" s="129"/>
      <c r="G236" s="129"/>
      <c r="H236" s="129"/>
      <c r="I236" s="129"/>
      <c r="J236" s="129"/>
    </row>
    <row r="237" spans="3:10">
      <c r="C237" s="129"/>
      <c r="D237" s="129"/>
      <c r="E237" s="129"/>
      <c r="F237" s="129"/>
      <c r="G237" s="129"/>
      <c r="H237" s="129"/>
      <c r="I237" s="129"/>
      <c r="J237" s="129"/>
    </row>
    <row r="238" spans="3:10">
      <c r="C238" s="129"/>
      <c r="D238" s="129"/>
      <c r="E238" s="129"/>
      <c r="F238" s="129"/>
      <c r="G238" s="129"/>
      <c r="H238" s="129"/>
      <c r="I238" s="129"/>
      <c r="J238" s="129"/>
    </row>
    <row r="239" spans="3:10">
      <c r="C239" s="129"/>
      <c r="D239" s="129"/>
      <c r="E239" s="129"/>
      <c r="F239" s="129"/>
      <c r="G239" s="129"/>
      <c r="H239" s="129"/>
      <c r="I239" s="129"/>
      <c r="J239" s="129"/>
    </row>
    <row r="240" spans="3:10">
      <c r="C240" s="129"/>
      <c r="D240" s="129"/>
      <c r="E240" s="129"/>
      <c r="F240" s="129"/>
      <c r="G240" s="129"/>
      <c r="H240" s="129"/>
      <c r="I240" s="129"/>
      <c r="J240" s="129"/>
    </row>
    <row r="241" spans="3:10">
      <c r="C241" s="129"/>
      <c r="D241" s="129"/>
      <c r="E241" s="129"/>
      <c r="F241" s="129"/>
      <c r="G241" s="129"/>
      <c r="H241" s="129"/>
      <c r="I241" s="129"/>
      <c r="J241" s="129"/>
    </row>
    <row r="242" spans="3:10">
      <c r="C242" s="129"/>
      <c r="D242" s="129"/>
      <c r="E242" s="129"/>
      <c r="F242" s="129"/>
      <c r="G242" s="129"/>
      <c r="H242" s="129"/>
      <c r="I242" s="129"/>
      <c r="J242" s="129"/>
    </row>
    <row r="243" spans="3:10">
      <c r="C243" s="129"/>
      <c r="D243" s="129"/>
      <c r="E243" s="129"/>
      <c r="F243" s="129"/>
      <c r="G243" s="129"/>
      <c r="H243" s="129"/>
      <c r="I243" s="129"/>
      <c r="J243" s="129"/>
    </row>
    <row r="244" spans="3:10">
      <c r="C244" s="129"/>
      <c r="D244" s="129"/>
      <c r="E244" s="129"/>
      <c r="F244" s="129"/>
      <c r="G244" s="129"/>
      <c r="H244" s="129"/>
      <c r="I244" s="129"/>
      <c r="J244" s="129"/>
    </row>
    <row r="245" spans="3:10">
      <c r="C245" s="129"/>
      <c r="D245" s="129"/>
      <c r="E245" s="129"/>
      <c r="F245" s="129"/>
      <c r="G245" s="129"/>
      <c r="H245" s="129"/>
      <c r="I245" s="129"/>
      <c r="J245" s="129"/>
    </row>
    <row r="246" spans="3:10">
      <c r="C246" s="129"/>
      <c r="D246" s="129"/>
      <c r="E246" s="129"/>
      <c r="F246" s="129"/>
      <c r="G246" s="129"/>
      <c r="H246" s="129"/>
      <c r="I246" s="129"/>
      <c r="J246" s="129"/>
    </row>
    <row r="247" spans="3:10">
      <c r="C247" s="129"/>
      <c r="D247" s="129"/>
      <c r="E247" s="129"/>
      <c r="F247" s="129"/>
      <c r="G247" s="129"/>
      <c r="H247" s="129"/>
      <c r="I247" s="129"/>
      <c r="J247" s="129"/>
    </row>
    <row r="248" spans="3:10">
      <c r="C248" s="129"/>
      <c r="D248" s="129"/>
      <c r="E248" s="129"/>
      <c r="F248" s="129"/>
      <c r="G248" s="129"/>
      <c r="H248" s="129"/>
      <c r="I248" s="129"/>
      <c r="J248" s="129"/>
    </row>
    <row r="249" spans="3:10">
      <c r="C249" s="129"/>
      <c r="D249" s="129"/>
      <c r="E249" s="129"/>
      <c r="F249" s="129"/>
      <c r="G249" s="129"/>
      <c r="H249" s="129"/>
      <c r="I249" s="129"/>
      <c r="J249" s="129"/>
    </row>
    <row r="250" spans="3:10">
      <c r="C250" s="129"/>
      <c r="D250" s="129"/>
      <c r="E250" s="129"/>
      <c r="F250" s="129"/>
      <c r="G250" s="129"/>
      <c r="H250" s="129"/>
      <c r="I250" s="129"/>
      <c r="J250" s="129"/>
    </row>
    <row r="251" spans="3:10">
      <c r="C251" s="129"/>
      <c r="D251" s="129"/>
      <c r="E251" s="129"/>
      <c r="F251" s="129"/>
      <c r="G251" s="129"/>
      <c r="H251" s="129"/>
      <c r="I251" s="129"/>
      <c r="J251" s="129"/>
    </row>
    <row r="252" spans="3:10">
      <c r="C252" s="129"/>
      <c r="D252" s="129"/>
      <c r="E252" s="129"/>
      <c r="F252" s="129"/>
      <c r="G252" s="129"/>
      <c r="H252" s="129"/>
      <c r="I252" s="129"/>
      <c r="J252" s="129"/>
    </row>
    <row r="253" spans="3:10">
      <c r="C253" s="129"/>
      <c r="D253" s="129"/>
      <c r="E253" s="129"/>
      <c r="F253" s="129"/>
      <c r="G253" s="129"/>
      <c r="H253" s="129"/>
      <c r="I253" s="129"/>
      <c r="J253" s="129"/>
    </row>
    <row r="254" spans="3:10">
      <c r="C254" s="129"/>
      <c r="D254" s="129"/>
      <c r="E254" s="129"/>
      <c r="F254" s="129"/>
      <c r="G254" s="129"/>
      <c r="H254" s="129"/>
      <c r="I254" s="129"/>
      <c r="J254" s="129"/>
    </row>
    <row r="255" spans="3:10">
      <c r="C255" s="129"/>
      <c r="D255" s="129"/>
      <c r="E255" s="129"/>
      <c r="F255" s="129"/>
      <c r="G255" s="129"/>
      <c r="H255" s="129"/>
      <c r="I255" s="129"/>
      <c r="J255" s="129"/>
    </row>
    <row r="256" spans="3:10">
      <c r="C256" s="129"/>
      <c r="D256" s="129"/>
      <c r="E256" s="129"/>
      <c r="F256" s="129"/>
      <c r="G256" s="129"/>
      <c r="H256" s="129"/>
      <c r="I256" s="129"/>
      <c r="J256" s="129"/>
    </row>
    <row r="257" spans="3:10">
      <c r="C257" s="129"/>
      <c r="D257" s="129"/>
      <c r="E257" s="129"/>
      <c r="F257" s="129"/>
      <c r="G257" s="129"/>
      <c r="H257" s="129"/>
      <c r="I257" s="129"/>
      <c r="J257" s="129"/>
    </row>
    <row r="258" spans="3:10">
      <c r="C258" s="129"/>
      <c r="D258" s="129"/>
      <c r="E258" s="129"/>
      <c r="F258" s="129"/>
      <c r="G258" s="129"/>
      <c r="H258" s="129"/>
      <c r="I258" s="129"/>
      <c r="J258" s="129"/>
    </row>
    <row r="259" spans="3:10">
      <c r="C259" s="129"/>
      <c r="D259" s="129"/>
      <c r="E259" s="129"/>
      <c r="F259" s="129"/>
      <c r="G259" s="129"/>
      <c r="H259" s="129"/>
      <c r="I259" s="129"/>
      <c r="J259" s="129"/>
    </row>
    <row r="260" spans="3:10">
      <c r="C260" s="129"/>
      <c r="D260" s="129"/>
      <c r="E260" s="129"/>
      <c r="F260" s="129"/>
      <c r="G260" s="129"/>
      <c r="H260" s="129"/>
      <c r="I260" s="129"/>
      <c r="J260" s="129"/>
    </row>
    <row r="261" spans="3:10">
      <c r="C261" s="129"/>
      <c r="D261" s="129"/>
      <c r="E261" s="129"/>
      <c r="F261" s="129"/>
      <c r="G261" s="129"/>
      <c r="H261" s="129"/>
      <c r="I261" s="129"/>
      <c r="J261" s="129"/>
    </row>
    <row r="262" spans="3:10">
      <c r="C262" s="129"/>
      <c r="D262" s="129"/>
      <c r="E262" s="129"/>
      <c r="F262" s="129"/>
      <c r="G262" s="129"/>
      <c r="H262" s="129"/>
      <c r="I262" s="129"/>
      <c r="J262" s="129"/>
    </row>
    <row r="263" spans="3:10">
      <c r="C263" s="129"/>
      <c r="D263" s="129"/>
      <c r="E263" s="129"/>
      <c r="F263" s="129"/>
      <c r="G263" s="129"/>
      <c r="H263" s="129"/>
      <c r="I263" s="129"/>
      <c r="J263" s="129"/>
    </row>
    <row r="264" spans="3:10">
      <c r="C264" s="129"/>
      <c r="D264" s="129"/>
      <c r="E264" s="129"/>
      <c r="F264" s="129"/>
      <c r="G264" s="129"/>
      <c r="H264" s="129"/>
      <c r="I264" s="129"/>
      <c r="J264" s="129"/>
    </row>
    <row r="265" spans="3:10">
      <c r="C265" s="129"/>
      <c r="D265" s="129"/>
      <c r="E265" s="129"/>
      <c r="F265" s="129"/>
      <c r="G265" s="129"/>
      <c r="H265" s="129"/>
      <c r="I265" s="129"/>
      <c r="J265" s="129"/>
    </row>
    <row r="266" spans="3:10">
      <c r="C266" s="129"/>
      <c r="D266" s="129"/>
      <c r="E266" s="129"/>
      <c r="F266" s="129"/>
      <c r="G266" s="129"/>
      <c r="H266" s="129"/>
      <c r="I266" s="129"/>
      <c r="J266" s="129"/>
    </row>
    <row r="267" spans="3:10">
      <c r="C267" s="129"/>
      <c r="D267" s="129"/>
      <c r="E267" s="129"/>
      <c r="F267" s="129"/>
      <c r="G267" s="129"/>
      <c r="H267" s="129"/>
      <c r="I267" s="129"/>
      <c r="J267" s="129"/>
    </row>
    <row r="268" spans="3:10">
      <c r="C268" s="129"/>
      <c r="D268" s="129"/>
      <c r="E268" s="129"/>
      <c r="F268" s="129"/>
      <c r="G268" s="129"/>
      <c r="H268" s="129"/>
      <c r="I268" s="129"/>
      <c r="J268" s="129"/>
    </row>
    <row r="269" spans="3:10">
      <c r="C269" s="129"/>
      <c r="D269" s="129"/>
      <c r="E269" s="129"/>
      <c r="F269" s="129"/>
      <c r="G269" s="129"/>
      <c r="H269" s="129"/>
      <c r="I269" s="129"/>
      <c r="J269" s="129"/>
    </row>
    <row r="270" spans="3:10">
      <c r="C270" s="129"/>
      <c r="D270" s="129"/>
      <c r="E270" s="129"/>
      <c r="F270" s="129"/>
      <c r="G270" s="129"/>
      <c r="H270" s="129"/>
      <c r="I270" s="129"/>
      <c r="J270" s="129"/>
    </row>
    <row r="271" spans="3:10">
      <c r="C271" s="129"/>
      <c r="D271" s="129"/>
      <c r="E271" s="129"/>
      <c r="F271" s="129"/>
      <c r="G271" s="129"/>
      <c r="H271" s="129"/>
      <c r="I271" s="129"/>
      <c r="J271" s="129"/>
    </row>
    <row r="272" spans="3:10">
      <c r="C272" s="129"/>
      <c r="D272" s="129"/>
      <c r="E272" s="129"/>
      <c r="F272" s="129"/>
      <c r="G272" s="129"/>
      <c r="H272" s="129"/>
      <c r="I272" s="129"/>
      <c r="J272" s="129"/>
    </row>
    <row r="273" spans="3:10">
      <c r="C273" s="129"/>
      <c r="D273" s="129"/>
      <c r="E273" s="129"/>
      <c r="F273" s="129"/>
      <c r="G273" s="129"/>
      <c r="H273" s="129"/>
      <c r="I273" s="129"/>
      <c r="J273" s="129"/>
    </row>
    <row r="274" spans="3:10">
      <c r="C274" s="129"/>
      <c r="D274" s="129"/>
      <c r="E274" s="129"/>
      <c r="F274" s="129"/>
      <c r="G274" s="129"/>
      <c r="H274" s="129"/>
      <c r="I274" s="129"/>
      <c r="J274" s="129"/>
    </row>
    <row r="275" spans="3:10">
      <c r="C275" s="129"/>
      <c r="D275" s="129"/>
      <c r="E275" s="129"/>
      <c r="F275" s="129"/>
      <c r="G275" s="129"/>
      <c r="H275" s="129"/>
      <c r="I275" s="129"/>
      <c r="J275" s="129"/>
    </row>
    <row r="276" spans="3:10">
      <c r="C276" s="129"/>
      <c r="D276" s="129"/>
      <c r="E276" s="129"/>
      <c r="F276" s="129"/>
      <c r="G276" s="129"/>
      <c r="H276" s="129"/>
      <c r="I276" s="129"/>
      <c r="J276" s="129"/>
    </row>
    <row r="277" spans="3:10">
      <c r="C277" s="129"/>
      <c r="D277" s="129"/>
      <c r="E277" s="129"/>
      <c r="F277" s="129"/>
      <c r="G277" s="129"/>
      <c r="H277" s="129"/>
      <c r="I277" s="129"/>
      <c r="J277" s="129"/>
    </row>
    <row r="278" spans="3:10">
      <c r="C278" s="129"/>
      <c r="D278" s="129"/>
      <c r="E278" s="129"/>
      <c r="F278" s="129"/>
      <c r="G278" s="129"/>
      <c r="H278" s="129"/>
      <c r="I278" s="129"/>
      <c r="J278" s="129"/>
    </row>
    <row r="279" spans="3:10">
      <c r="C279" s="129"/>
      <c r="D279" s="129"/>
      <c r="E279" s="129"/>
      <c r="F279" s="129"/>
      <c r="G279" s="129"/>
      <c r="H279" s="129"/>
      <c r="I279" s="129"/>
      <c r="J279" s="129"/>
    </row>
    <row r="280" spans="3:10">
      <c r="C280" s="129"/>
      <c r="D280" s="129"/>
      <c r="E280" s="129"/>
      <c r="F280" s="129"/>
      <c r="G280" s="129"/>
      <c r="H280" s="129"/>
      <c r="I280" s="129"/>
      <c r="J280" s="129"/>
    </row>
    <row r="281" spans="3:10">
      <c r="C281" s="129"/>
      <c r="D281" s="129"/>
      <c r="E281" s="129"/>
      <c r="F281" s="129"/>
      <c r="G281" s="129"/>
      <c r="H281" s="129"/>
      <c r="I281" s="129"/>
      <c r="J281" s="129"/>
    </row>
    <row r="282" spans="3:10">
      <c r="C282" s="129"/>
      <c r="D282" s="129"/>
      <c r="E282" s="129"/>
      <c r="F282" s="129"/>
      <c r="G282" s="129"/>
      <c r="H282" s="129"/>
      <c r="I282" s="129"/>
      <c r="J282" s="129"/>
    </row>
    <row r="283" spans="3:10">
      <c r="C283" s="129"/>
      <c r="D283" s="129"/>
      <c r="E283" s="129"/>
      <c r="F283" s="129"/>
      <c r="G283" s="129"/>
      <c r="H283" s="129"/>
      <c r="I283" s="129"/>
      <c r="J283" s="129"/>
    </row>
    <row r="284" spans="3:10">
      <c r="C284" s="129"/>
      <c r="D284" s="129"/>
      <c r="E284" s="129"/>
      <c r="F284" s="129"/>
      <c r="G284" s="129"/>
      <c r="H284" s="129"/>
      <c r="I284" s="129"/>
      <c r="J284" s="129"/>
    </row>
    <row r="285" spans="3:10">
      <c r="C285" s="129"/>
      <c r="D285" s="129"/>
      <c r="E285" s="129"/>
      <c r="F285" s="129"/>
      <c r="G285" s="129"/>
      <c r="H285" s="129"/>
      <c r="I285" s="129"/>
      <c r="J285" s="129"/>
    </row>
    <row r="286" spans="3:10">
      <c r="C286" s="129"/>
      <c r="D286" s="129"/>
      <c r="E286" s="129"/>
      <c r="F286" s="129"/>
      <c r="G286" s="129"/>
      <c r="H286" s="129"/>
      <c r="I286" s="129"/>
      <c r="J286" s="129"/>
    </row>
    <row r="287" spans="3:10">
      <c r="C287" s="129"/>
      <c r="D287" s="129"/>
      <c r="E287" s="129"/>
      <c r="F287" s="129"/>
      <c r="G287" s="129"/>
      <c r="H287" s="129"/>
      <c r="I287" s="129"/>
      <c r="J287" s="129"/>
    </row>
    <row r="288" spans="3:10">
      <c r="C288" s="129"/>
      <c r="D288" s="129"/>
      <c r="E288" s="129"/>
      <c r="F288" s="129"/>
      <c r="G288" s="129"/>
      <c r="H288" s="129"/>
      <c r="I288" s="129"/>
      <c r="J288" s="129"/>
    </row>
    <row r="289" spans="3:10">
      <c r="C289" s="129"/>
      <c r="D289" s="129"/>
      <c r="E289" s="129"/>
      <c r="F289" s="129"/>
      <c r="G289" s="129"/>
      <c r="H289" s="129"/>
      <c r="I289" s="129"/>
      <c r="J289" s="129"/>
    </row>
    <row r="290" spans="3:10">
      <c r="C290" s="129"/>
      <c r="D290" s="129"/>
      <c r="E290" s="129"/>
      <c r="F290" s="129"/>
      <c r="G290" s="129"/>
      <c r="H290" s="129"/>
      <c r="I290" s="129"/>
      <c r="J290" s="129"/>
    </row>
    <row r="291" spans="3:10">
      <c r="C291" s="129"/>
      <c r="D291" s="129"/>
      <c r="E291" s="129"/>
      <c r="F291" s="129"/>
      <c r="G291" s="129"/>
      <c r="H291" s="129"/>
      <c r="I291" s="129"/>
      <c r="J291" s="129"/>
    </row>
    <row r="292" spans="3:10">
      <c r="C292" s="129"/>
      <c r="D292" s="129"/>
      <c r="E292" s="129"/>
      <c r="F292" s="129"/>
      <c r="G292" s="129"/>
      <c r="H292" s="129"/>
      <c r="I292" s="129"/>
      <c r="J292" s="129"/>
    </row>
    <row r="293" spans="3:10">
      <c r="C293" s="129"/>
      <c r="D293" s="129"/>
      <c r="E293" s="129"/>
      <c r="F293" s="129"/>
      <c r="G293" s="129"/>
      <c r="H293" s="129"/>
      <c r="I293" s="129"/>
      <c r="J293" s="129"/>
    </row>
    <row r="294" spans="3:10">
      <c r="C294" s="129"/>
      <c r="D294" s="129"/>
      <c r="E294" s="129"/>
      <c r="F294" s="129"/>
      <c r="G294" s="129"/>
      <c r="H294" s="129"/>
      <c r="I294" s="129"/>
      <c r="J294" s="129"/>
    </row>
    <row r="295" spans="3:10">
      <c r="C295" s="129"/>
      <c r="D295" s="129"/>
      <c r="E295" s="129"/>
      <c r="F295" s="129"/>
      <c r="G295" s="129"/>
      <c r="H295" s="129"/>
      <c r="I295" s="129"/>
      <c r="J295" s="129"/>
    </row>
    <row r="296" spans="3:10">
      <c r="C296" s="129"/>
      <c r="D296" s="129"/>
      <c r="E296" s="129"/>
      <c r="F296" s="129"/>
      <c r="G296" s="129"/>
      <c r="H296" s="129"/>
      <c r="I296" s="129"/>
      <c r="J296" s="129"/>
    </row>
    <row r="297" spans="3:10">
      <c r="C297" s="129"/>
      <c r="D297" s="129"/>
      <c r="E297" s="129"/>
      <c r="F297" s="129"/>
      <c r="G297" s="129"/>
      <c r="H297" s="129"/>
      <c r="I297" s="129"/>
      <c r="J297" s="129"/>
    </row>
    <row r="298" spans="3:10">
      <c r="C298" s="129"/>
      <c r="D298" s="129"/>
      <c r="E298" s="129"/>
      <c r="F298" s="129"/>
      <c r="G298" s="129"/>
      <c r="H298" s="129"/>
      <c r="I298" s="129"/>
      <c r="J298" s="129"/>
    </row>
  </sheetData>
  <mergeCells count="8">
    <mergeCell ref="M100:X100"/>
    <mergeCell ref="M99:X99"/>
    <mergeCell ref="M93:X93"/>
    <mergeCell ref="M94:X94"/>
    <mergeCell ref="M95:X95"/>
    <mergeCell ref="M96:X96"/>
    <mergeCell ref="M97:X97"/>
    <mergeCell ref="M98:X98"/>
  </mergeCells>
  <printOptions horizontalCentered="1"/>
  <pageMargins left="0.75" right="0.75" top="0.75" bottom="0.5" header="0.5" footer="0.5"/>
  <pageSetup scale="59" orientation="portrait" horizontalDpi="300" verticalDpi="300" r:id="rId1"/>
  <headerFooter alignWithMargins="0"/>
  <rowBreaks count="1" manualBreakCount="1">
    <brk id="48" min="10" max="2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92608-7894-4222-9FF0-FE43118EC5E1}">
  <sheetPr codeName="Sheet39">
    <tabColor rgb="FF7030A0"/>
    <pageSetUpPr fitToPage="1"/>
  </sheetPr>
  <dimension ref="A1:AE298"/>
  <sheetViews>
    <sheetView view="pageBreakPreview" topLeftCell="K49" zoomScale="80" zoomScaleNormal="75" zoomScaleSheetLayoutView="80" workbookViewId="0"/>
  </sheetViews>
  <sheetFormatPr defaultRowHeight="15"/>
  <cols>
    <col min="1" max="1" width="6" customWidth="1"/>
    <col min="2" max="2" width="1.44140625" customWidth="1"/>
    <col min="3" max="3" width="50" customWidth="1"/>
    <col min="4" max="4" width="1.44140625" customWidth="1"/>
    <col min="5" max="5" width="37.109375" customWidth="1"/>
    <col min="6" max="6" width="1.109375" customWidth="1"/>
    <col min="7" max="7" width="14.109375" customWidth="1"/>
    <col min="8" max="8" width="1" customWidth="1"/>
    <col min="9" max="10" width="12.77734375" customWidth="1"/>
    <col min="11" max="11" width="5.21875" customWidth="1"/>
    <col min="12" max="12" width="2.21875" customWidth="1"/>
    <col min="13" max="13" width="31.77734375" customWidth="1"/>
    <col min="14" max="14" width="9.77734375" customWidth="1"/>
    <col min="15" max="15" width="13.33203125" customWidth="1"/>
    <col min="16" max="16" width="14" customWidth="1"/>
    <col min="17" max="17" width="13.21875" customWidth="1"/>
    <col min="18" max="18" width="12.44140625" customWidth="1"/>
    <col min="19" max="19" width="14.77734375" customWidth="1"/>
    <col min="20" max="20" width="13.44140625" customWidth="1"/>
    <col min="21" max="21" width="12.109375" customWidth="1"/>
    <col min="22" max="22" width="16.77734375" customWidth="1"/>
    <col min="23" max="23" width="11.5546875" customWidth="1"/>
    <col min="24" max="24" width="15.77734375" customWidth="1"/>
    <col min="243" max="243" width="6" customWidth="1"/>
    <col min="244" max="244" width="1.44140625" customWidth="1"/>
    <col min="245" max="245" width="39.109375" customWidth="1"/>
    <col min="246" max="246" width="12" customWidth="1"/>
    <col min="247" max="247" width="14.44140625" customWidth="1"/>
    <col min="248" max="248" width="11.77734375" customWidth="1"/>
    <col min="249" max="249" width="14.109375" customWidth="1"/>
    <col min="250" max="250" width="13.77734375" customWidth="1"/>
    <col min="251" max="252" width="12.77734375" customWidth="1"/>
    <col min="253" max="253" width="13.5546875" customWidth="1"/>
    <col min="254" max="254" width="15.21875" customWidth="1"/>
    <col min="255" max="255" width="12.77734375" customWidth="1"/>
    <col min="256" max="256" width="13.77734375" customWidth="1"/>
    <col min="257" max="257" width="1.77734375" customWidth="1"/>
    <col min="258" max="258" width="13" customWidth="1"/>
    <col min="499" max="499" width="6" customWidth="1"/>
    <col min="500" max="500" width="1.44140625" customWidth="1"/>
    <col min="501" max="501" width="39.109375" customWidth="1"/>
    <col min="502" max="502" width="12" customWidth="1"/>
    <col min="503" max="503" width="14.44140625" customWidth="1"/>
    <col min="504" max="504" width="11.77734375" customWidth="1"/>
    <col min="505" max="505" width="14.109375" customWidth="1"/>
    <col min="506" max="506" width="13.77734375" customWidth="1"/>
    <col min="507" max="508" width="12.77734375" customWidth="1"/>
    <col min="509" max="509" width="13.5546875" customWidth="1"/>
    <col min="510" max="510" width="15.21875" customWidth="1"/>
    <col min="511" max="511" width="12.77734375" customWidth="1"/>
    <col min="512" max="512" width="13.77734375" customWidth="1"/>
    <col min="513" max="513" width="1.77734375" customWidth="1"/>
    <col min="514" max="514" width="13" customWidth="1"/>
    <col min="755" max="755" width="6" customWidth="1"/>
    <col min="756" max="756" width="1.44140625" customWidth="1"/>
    <col min="757" max="757" width="39.109375" customWidth="1"/>
    <col min="758" max="758" width="12" customWidth="1"/>
    <col min="759" max="759" width="14.44140625" customWidth="1"/>
    <col min="760" max="760" width="11.77734375" customWidth="1"/>
    <col min="761" max="761" width="14.109375" customWidth="1"/>
    <col min="762" max="762" width="13.77734375" customWidth="1"/>
    <col min="763" max="764" width="12.77734375" customWidth="1"/>
    <col min="765" max="765" width="13.5546875" customWidth="1"/>
    <col min="766" max="766" width="15.21875" customWidth="1"/>
    <col min="767" max="767" width="12.77734375" customWidth="1"/>
    <col min="768" max="768" width="13.77734375" customWidth="1"/>
    <col min="769" max="769" width="1.77734375" customWidth="1"/>
    <col min="770" max="770" width="13" customWidth="1"/>
    <col min="1011" max="1011" width="6" customWidth="1"/>
    <col min="1012" max="1012" width="1.44140625" customWidth="1"/>
    <col min="1013" max="1013" width="39.109375" customWidth="1"/>
    <col min="1014" max="1014" width="12" customWidth="1"/>
    <col min="1015" max="1015" width="14.44140625" customWidth="1"/>
    <col min="1016" max="1016" width="11.77734375" customWidth="1"/>
    <col min="1017" max="1017" width="14.109375" customWidth="1"/>
    <col min="1018" max="1018" width="13.77734375" customWidth="1"/>
    <col min="1019" max="1020" width="12.77734375" customWidth="1"/>
    <col min="1021" max="1021" width="13.5546875" customWidth="1"/>
    <col min="1022" max="1022" width="15.21875" customWidth="1"/>
    <col min="1023" max="1023" width="12.77734375" customWidth="1"/>
    <col min="1024" max="1024" width="13.77734375" customWidth="1"/>
    <col min="1025" max="1025" width="1.77734375" customWidth="1"/>
    <col min="1026" max="1026" width="13" customWidth="1"/>
    <col min="1267" max="1267" width="6" customWidth="1"/>
    <col min="1268" max="1268" width="1.44140625" customWidth="1"/>
    <col min="1269" max="1269" width="39.109375" customWidth="1"/>
    <col min="1270" max="1270" width="12" customWidth="1"/>
    <col min="1271" max="1271" width="14.44140625" customWidth="1"/>
    <col min="1272" max="1272" width="11.77734375" customWidth="1"/>
    <col min="1273" max="1273" width="14.109375" customWidth="1"/>
    <col min="1274" max="1274" width="13.77734375" customWidth="1"/>
    <col min="1275" max="1276" width="12.77734375" customWidth="1"/>
    <col min="1277" max="1277" width="13.5546875" customWidth="1"/>
    <col min="1278" max="1278" width="15.21875" customWidth="1"/>
    <col min="1279" max="1279" width="12.77734375" customWidth="1"/>
    <col min="1280" max="1280" width="13.77734375" customWidth="1"/>
    <col min="1281" max="1281" width="1.77734375" customWidth="1"/>
    <col min="1282" max="1282" width="13" customWidth="1"/>
    <col min="1523" max="1523" width="6" customWidth="1"/>
    <col min="1524" max="1524" width="1.44140625" customWidth="1"/>
    <col min="1525" max="1525" width="39.109375" customWidth="1"/>
    <col min="1526" max="1526" width="12" customWidth="1"/>
    <col min="1527" max="1527" width="14.44140625" customWidth="1"/>
    <col min="1528" max="1528" width="11.77734375" customWidth="1"/>
    <col min="1529" max="1529" width="14.109375" customWidth="1"/>
    <col min="1530" max="1530" width="13.77734375" customWidth="1"/>
    <col min="1531" max="1532" width="12.77734375" customWidth="1"/>
    <col min="1533" max="1533" width="13.5546875" customWidth="1"/>
    <col min="1534" max="1534" width="15.21875" customWidth="1"/>
    <col min="1535" max="1535" width="12.77734375" customWidth="1"/>
    <col min="1536" max="1536" width="13.77734375" customWidth="1"/>
    <col min="1537" max="1537" width="1.77734375" customWidth="1"/>
    <col min="1538" max="1538" width="13" customWidth="1"/>
    <col min="1779" max="1779" width="6" customWidth="1"/>
    <col min="1780" max="1780" width="1.44140625" customWidth="1"/>
    <col min="1781" max="1781" width="39.109375" customWidth="1"/>
    <col min="1782" max="1782" width="12" customWidth="1"/>
    <col min="1783" max="1783" width="14.44140625" customWidth="1"/>
    <col min="1784" max="1784" width="11.77734375" customWidth="1"/>
    <col min="1785" max="1785" width="14.109375" customWidth="1"/>
    <col min="1786" max="1786" width="13.77734375" customWidth="1"/>
    <col min="1787" max="1788" width="12.77734375" customWidth="1"/>
    <col min="1789" max="1789" width="13.5546875" customWidth="1"/>
    <col min="1790" max="1790" width="15.21875" customWidth="1"/>
    <col min="1791" max="1791" width="12.77734375" customWidth="1"/>
    <col min="1792" max="1792" width="13.77734375" customWidth="1"/>
    <col min="1793" max="1793" width="1.77734375" customWidth="1"/>
    <col min="1794" max="1794" width="13" customWidth="1"/>
    <col min="2035" max="2035" width="6" customWidth="1"/>
    <col min="2036" max="2036" width="1.44140625" customWidth="1"/>
    <col min="2037" max="2037" width="39.109375" customWidth="1"/>
    <col min="2038" max="2038" width="12" customWidth="1"/>
    <col min="2039" max="2039" width="14.44140625" customWidth="1"/>
    <col min="2040" max="2040" width="11.77734375" customWidth="1"/>
    <col min="2041" max="2041" width="14.109375" customWidth="1"/>
    <col min="2042" max="2042" width="13.77734375" customWidth="1"/>
    <col min="2043" max="2044" width="12.77734375" customWidth="1"/>
    <col min="2045" max="2045" width="13.5546875" customWidth="1"/>
    <col min="2046" max="2046" width="15.21875" customWidth="1"/>
    <col min="2047" max="2047" width="12.77734375" customWidth="1"/>
    <col min="2048" max="2048" width="13.77734375" customWidth="1"/>
    <col min="2049" max="2049" width="1.77734375" customWidth="1"/>
    <col min="2050" max="2050" width="13" customWidth="1"/>
    <col min="2291" max="2291" width="6" customWidth="1"/>
    <col min="2292" max="2292" width="1.44140625" customWidth="1"/>
    <col min="2293" max="2293" width="39.109375" customWidth="1"/>
    <col min="2294" max="2294" width="12" customWidth="1"/>
    <col min="2295" max="2295" width="14.44140625" customWidth="1"/>
    <col min="2296" max="2296" width="11.77734375" customWidth="1"/>
    <col min="2297" max="2297" width="14.109375" customWidth="1"/>
    <col min="2298" max="2298" width="13.77734375" customWidth="1"/>
    <col min="2299" max="2300" width="12.77734375" customWidth="1"/>
    <col min="2301" max="2301" width="13.5546875" customWidth="1"/>
    <col min="2302" max="2302" width="15.21875" customWidth="1"/>
    <col min="2303" max="2303" width="12.77734375" customWidth="1"/>
    <col min="2304" max="2304" width="13.77734375" customWidth="1"/>
    <col min="2305" max="2305" width="1.77734375" customWidth="1"/>
    <col min="2306" max="2306" width="13" customWidth="1"/>
    <col min="2547" max="2547" width="6" customWidth="1"/>
    <col min="2548" max="2548" width="1.44140625" customWidth="1"/>
    <col min="2549" max="2549" width="39.109375" customWidth="1"/>
    <col min="2550" max="2550" width="12" customWidth="1"/>
    <col min="2551" max="2551" width="14.44140625" customWidth="1"/>
    <col min="2552" max="2552" width="11.77734375" customWidth="1"/>
    <col min="2553" max="2553" width="14.109375" customWidth="1"/>
    <col min="2554" max="2554" width="13.77734375" customWidth="1"/>
    <col min="2555" max="2556" width="12.77734375" customWidth="1"/>
    <col min="2557" max="2557" width="13.5546875" customWidth="1"/>
    <col min="2558" max="2558" width="15.21875" customWidth="1"/>
    <col min="2559" max="2559" width="12.77734375" customWidth="1"/>
    <col min="2560" max="2560" width="13.77734375" customWidth="1"/>
    <col min="2561" max="2561" width="1.77734375" customWidth="1"/>
    <col min="2562" max="2562" width="13" customWidth="1"/>
    <col min="2803" max="2803" width="6" customWidth="1"/>
    <col min="2804" max="2804" width="1.44140625" customWidth="1"/>
    <col min="2805" max="2805" width="39.109375" customWidth="1"/>
    <col min="2806" max="2806" width="12" customWidth="1"/>
    <col min="2807" max="2807" width="14.44140625" customWidth="1"/>
    <col min="2808" max="2808" width="11.77734375" customWidth="1"/>
    <col min="2809" max="2809" width="14.109375" customWidth="1"/>
    <col min="2810" max="2810" width="13.77734375" customWidth="1"/>
    <col min="2811" max="2812" width="12.77734375" customWidth="1"/>
    <col min="2813" max="2813" width="13.5546875" customWidth="1"/>
    <col min="2814" max="2814" width="15.21875" customWidth="1"/>
    <col min="2815" max="2815" width="12.77734375" customWidth="1"/>
    <col min="2816" max="2816" width="13.77734375" customWidth="1"/>
    <col min="2817" max="2817" width="1.77734375" customWidth="1"/>
    <col min="2818" max="2818" width="13" customWidth="1"/>
    <col min="3059" max="3059" width="6" customWidth="1"/>
    <col min="3060" max="3060" width="1.44140625" customWidth="1"/>
    <col min="3061" max="3061" width="39.109375" customWidth="1"/>
    <col min="3062" max="3062" width="12" customWidth="1"/>
    <col min="3063" max="3063" width="14.44140625" customWidth="1"/>
    <col min="3064" max="3064" width="11.77734375" customWidth="1"/>
    <col min="3065" max="3065" width="14.109375" customWidth="1"/>
    <col min="3066" max="3066" width="13.77734375" customWidth="1"/>
    <col min="3067" max="3068" width="12.77734375" customWidth="1"/>
    <col min="3069" max="3069" width="13.5546875" customWidth="1"/>
    <col min="3070" max="3070" width="15.21875" customWidth="1"/>
    <col min="3071" max="3071" width="12.77734375" customWidth="1"/>
    <col min="3072" max="3072" width="13.77734375" customWidth="1"/>
    <col min="3073" max="3073" width="1.77734375" customWidth="1"/>
    <col min="3074" max="3074" width="13" customWidth="1"/>
    <col min="3315" max="3315" width="6" customWidth="1"/>
    <col min="3316" max="3316" width="1.44140625" customWidth="1"/>
    <col min="3317" max="3317" width="39.109375" customWidth="1"/>
    <col min="3318" max="3318" width="12" customWidth="1"/>
    <col min="3319" max="3319" width="14.44140625" customWidth="1"/>
    <col min="3320" max="3320" width="11.77734375" customWidth="1"/>
    <col min="3321" max="3321" width="14.109375" customWidth="1"/>
    <col min="3322" max="3322" width="13.77734375" customWidth="1"/>
    <col min="3323" max="3324" width="12.77734375" customWidth="1"/>
    <col min="3325" max="3325" width="13.5546875" customWidth="1"/>
    <col min="3326" max="3326" width="15.21875" customWidth="1"/>
    <col min="3327" max="3327" width="12.77734375" customWidth="1"/>
    <col min="3328" max="3328" width="13.77734375" customWidth="1"/>
    <col min="3329" max="3329" width="1.77734375" customWidth="1"/>
    <col min="3330" max="3330" width="13" customWidth="1"/>
    <col min="3571" max="3571" width="6" customWidth="1"/>
    <col min="3572" max="3572" width="1.44140625" customWidth="1"/>
    <col min="3573" max="3573" width="39.109375" customWidth="1"/>
    <col min="3574" max="3574" width="12" customWidth="1"/>
    <col min="3575" max="3575" width="14.44140625" customWidth="1"/>
    <col min="3576" max="3576" width="11.77734375" customWidth="1"/>
    <col min="3577" max="3577" width="14.109375" customWidth="1"/>
    <col min="3578" max="3578" width="13.77734375" customWidth="1"/>
    <col min="3579" max="3580" width="12.77734375" customWidth="1"/>
    <col min="3581" max="3581" width="13.5546875" customWidth="1"/>
    <col min="3582" max="3582" width="15.21875" customWidth="1"/>
    <col min="3583" max="3583" width="12.77734375" customWidth="1"/>
    <col min="3584" max="3584" width="13.77734375" customWidth="1"/>
    <col min="3585" max="3585" width="1.77734375" customWidth="1"/>
    <col min="3586" max="3586" width="13" customWidth="1"/>
    <col min="3827" max="3827" width="6" customWidth="1"/>
    <col min="3828" max="3828" width="1.44140625" customWidth="1"/>
    <col min="3829" max="3829" width="39.109375" customWidth="1"/>
    <col min="3830" max="3830" width="12" customWidth="1"/>
    <col min="3831" max="3831" width="14.44140625" customWidth="1"/>
    <col min="3832" max="3832" width="11.77734375" customWidth="1"/>
    <col min="3833" max="3833" width="14.109375" customWidth="1"/>
    <col min="3834" max="3834" width="13.77734375" customWidth="1"/>
    <col min="3835" max="3836" width="12.77734375" customWidth="1"/>
    <col min="3837" max="3837" width="13.5546875" customWidth="1"/>
    <col min="3838" max="3838" width="15.21875" customWidth="1"/>
    <col min="3839" max="3839" width="12.77734375" customWidth="1"/>
    <col min="3840" max="3840" width="13.77734375" customWidth="1"/>
    <col min="3841" max="3841" width="1.77734375" customWidth="1"/>
    <col min="3842" max="3842" width="13" customWidth="1"/>
    <col min="4083" max="4083" width="6" customWidth="1"/>
    <col min="4084" max="4084" width="1.44140625" customWidth="1"/>
    <col min="4085" max="4085" width="39.109375" customWidth="1"/>
    <col min="4086" max="4086" width="12" customWidth="1"/>
    <col min="4087" max="4087" width="14.44140625" customWidth="1"/>
    <col min="4088" max="4088" width="11.77734375" customWidth="1"/>
    <col min="4089" max="4089" width="14.109375" customWidth="1"/>
    <col min="4090" max="4090" width="13.77734375" customWidth="1"/>
    <col min="4091" max="4092" width="12.77734375" customWidth="1"/>
    <col min="4093" max="4093" width="13.5546875" customWidth="1"/>
    <col min="4094" max="4094" width="15.21875" customWidth="1"/>
    <col min="4095" max="4095" width="12.77734375" customWidth="1"/>
    <col min="4096" max="4096" width="13.77734375" customWidth="1"/>
    <col min="4097" max="4097" width="1.77734375" customWidth="1"/>
    <col min="4098" max="4098" width="13" customWidth="1"/>
    <col min="4339" max="4339" width="6" customWidth="1"/>
    <col min="4340" max="4340" width="1.44140625" customWidth="1"/>
    <col min="4341" max="4341" width="39.109375" customWidth="1"/>
    <col min="4342" max="4342" width="12" customWidth="1"/>
    <col min="4343" max="4343" width="14.44140625" customWidth="1"/>
    <col min="4344" max="4344" width="11.77734375" customWidth="1"/>
    <col min="4345" max="4345" width="14.109375" customWidth="1"/>
    <col min="4346" max="4346" width="13.77734375" customWidth="1"/>
    <col min="4347" max="4348" width="12.77734375" customWidth="1"/>
    <col min="4349" max="4349" width="13.5546875" customWidth="1"/>
    <col min="4350" max="4350" width="15.21875" customWidth="1"/>
    <col min="4351" max="4351" width="12.77734375" customWidth="1"/>
    <col min="4352" max="4352" width="13.77734375" customWidth="1"/>
    <col min="4353" max="4353" width="1.77734375" customWidth="1"/>
    <col min="4354" max="4354" width="13" customWidth="1"/>
    <col min="4595" max="4595" width="6" customWidth="1"/>
    <col min="4596" max="4596" width="1.44140625" customWidth="1"/>
    <col min="4597" max="4597" width="39.109375" customWidth="1"/>
    <col min="4598" max="4598" width="12" customWidth="1"/>
    <col min="4599" max="4599" width="14.44140625" customWidth="1"/>
    <col min="4600" max="4600" width="11.77734375" customWidth="1"/>
    <col min="4601" max="4601" width="14.109375" customWidth="1"/>
    <col min="4602" max="4602" width="13.77734375" customWidth="1"/>
    <col min="4603" max="4604" width="12.77734375" customWidth="1"/>
    <col min="4605" max="4605" width="13.5546875" customWidth="1"/>
    <col min="4606" max="4606" width="15.21875" customWidth="1"/>
    <col min="4607" max="4607" width="12.77734375" customWidth="1"/>
    <col min="4608" max="4608" width="13.77734375" customWidth="1"/>
    <col min="4609" max="4609" width="1.77734375" customWidth="1"/>
    <col min="4610" max="4610" width="13" customWidth="1"/>
    <col min="4851" max="4851" width="6" customWidth="1"/>
    <col min="4852" max="4852" width="1.44140625" customWidth="1"/>
    <col min="4853" max="4853" width="39.109375" customWidth="1"/>
    <col min="4854" max="4854" width="12" customWidth="1"/>
    <col min="4855" max="4855" width="14.44140625" customWidth="1"/>
    <col min="4856" max="4856" width="11.77734375" customWidth="1"/>
    <col min="4857" max="4857" width="14.109375" customWidth="1"/>
    <col min="4858" max="4858" width="13.77734375" customWidth="1"/>
    <col min="4859" max="4860" width="12.77734375" customWidth="1"/>
    <col min="4861" max="4861" width="13.5546875" customWidth="1"/>
    <col min="4862" max="4862" width="15.21875" customWidth="1"/>
    <col min="4863" max="4863" width="12.77734375" customWidth="1"/>
    <col min="4864" max="4864" width="13.77734375" customWidth="1"/>
    <col min="4865" max="4865" width="1.77734375" customWidth="1"/>
    <col min="4866" max="4866" width="13" customWidth="1"/>
    <col min="5107" max="5107" width="6" customWidth="1"/>
    <col min="5108" max="5108" width="1.44140625" customWidth="1"/>
    <col min="5109" max="5109" width="39.109375" customWidth="1"/>
    <col min="5110" max="5110" width="12" customWidth="1"/>
    <col min="5111" max="5111" width="14.44140625" customWidth="1"/>
    <col min="5112" max="5112" width="11.77734375" customWidth="1"/>
    <col min="5113" max="5113" width="14.109375" customWidth="1"/>
    <col min="5114" max="5114" width="13.77734375" customWidth="1"/>
    <col min="5115" max="5116" width="12.77734375" customWidth="1"/>
    <col min="5117" max="5117" width="13.5546875" customWidth="1"/>
    <col min="5118" max="5118" width="15.21875" customWidth="1"/>
    <col min="5119" max="5119" width="12.77734375" customWidth="1"/>
    <col min="5120" max="5120" width="13.77734375" customWidth="1"/>
    <col min="5121" max="5121" width="1.77734375" customWidth="1"/>
    <col min="5122" max="5122" width="13" customWidth="1"/>
    <col min="5363" max="5363" width="6" customWidth="1"/>
    <col min="5364" max="5364" width="1.44140625" customWidth="1"/>
    <col min="5365" max="5365" width="39.109375" customWidth="1"/>
    <col min="5366" max="5366" width="12" customWidth="1"/>
    <col min="5367" max="5367" width="14.44140625" customWidth="1"/>
    <col min="5368" max="5368" width="11.77734375" customWidth="1"/>
    <col min="5369" max="5369" width="14.109375" customWidth="1"/>
    <col min="5370" max="5370" width="13.77734375" customWidth="1"/>
    <col min="5371" max="5372" width="12.77734375" customWidth="1"/>
    <col min="5373" max="5373" width="13.5546875" customWidth="1"/>
    <col min="5374" max="5374" width="15.21875" customWidth="1"/>
    <col min="5375" max="5375" width="12.77734375" customWidth="1"/>
    <col min="5376" max="5376" width="13.77734375" customWidth="1"/>
    <col min="5377" max="5377" width="1.77734375" customWidth="1"/>
    <col min="5378" max="5378" width="13" customWidth="1"/>
    <col min="5619" max="5619" width="6" customWidth="1"/>
    <col min="5620" max="5620" width="1.44140625" customWidth="1"/>
    <col min="5621" max="5621" width="39.109375" customWidth="1"/>
    <col min="5622" max="5622" width="12" customWidth="1"/>
    <col min="5623" max="5623" width="14.44140625" customWidth="1"/>
    <col min="5624" max="5624" width="11.77734375" customWidth="1"/>
    <col min="5625" max="5625" width="14.109375" customWidth="1"/>
    <col min="5626" max="5626" width="13.77734375" customWidth="1"/>
    <col min="5627" max="5628" width="12.77734375" customWidth="1"/>
    <col min="5629" max="5629" width="13.5546875" customWidth="1"/>
    <col min="5630" max="5630" width="15.21875" customWidth="1"/>
    <col min="5631" max="5631" width="12.77734375" customWidth="1"/>
    <col min="5632" max="5632" width="13.77734375" customWidth="1"/>
    <col min="5633" max="5633" width="1.77734375" customWidth="1"/>
    <col min="5634" max="5634" width="13" customWidth="1"/>
    <col min="5875" max="5875" width="6" customWidth="1"/>
    <col min="5876" max="5876" width="1.44140625" customWidth="1"/>
    <col min="5877" max="5877" width="39.109375" customWidth="1"/>
    <col min="5878" max="5878" width="12" customWidth="1"/>
    <col min="5879" max="5879" width="14.44140625" customWidth="1"/>
    <col min="5880" max="5880" width="11.77734375" customWidth="1"/>
    <col min="5881" max="5881" width="14.109375" customWidth="1"/>
    <col min="5882" max="5882" width="13.77734375" customWidth="1"/>
    <col min="5883" max="5884" width="12.77734375" customWidth="1"/>
    <col min="5885" max="5885" width="13.5546875" customWidth="1"/>
    <col min="5886" max="5886" width="15.21875" customWidth="1"/>
    <col min="5887" max="5887" width="12.77734375" customWidth="1"/>
    <col min="5888" max="5888" width="13.77734375" customWidth="1"/>
    <col min="5889" max="5889" width="1.77734375" customWidth="1"/>
    <col min="5890" max="5890" width="13" customWidth="1"/>
    <col min="6131" max="6131" width="6" customWidth="1"/>
    <col min="6132" max="6132" width="1.44140625" customWidth="1"/>
    <col min="6133" max="6133" width="39.109375" customWidth="1"/>
    <col min="6134" max="6134" width="12" customWidth="1"/>
    <col min="6135" max="6135" width="14.44140625" customWidth="1"/>
    <col min="6136" max="6136" width="11.77734375" customWidth="1"/>
    <col min="6137" max="6137" width="14.109375" customWidth="1"/>
    <col min="6138" max="6138" width="13.77734375" customWidth="1"/>
    <col min="6139" max="6140" width="12.77734375" customWidth="1"/>
    <col min="6141" max="6141" width="13.5546875" customWidth="1"/>
    <col min="6142" max="6142" width="15.21875" customWidth="1"/>
    <col min="6143" max="6143" width="12.77734375" customWidth="1"/>
    <col min="6144" max="6144" width="13.77734375" customWidth="1"/>
    <col min="6145" max="6145" width="1.77734375" customWidth="1"/>
    <col min="6146" max="6146" width="13" customWidth="1"/>
    <col min="6387" max="6387" width="6" customWidth="1"/>
    <col min="6388" max="6388" width="1.44140625" customWidth="1"/>
    <col min="6389" max="6389" width="39.109375" customWidth="1"/>
    <col min="6390" max="6390" width="12" customWidth="1"/>
    <col min="6391" max="6391" width="14.44140625" customWidth="1"/>
    <col min="6392" max="6392" width="11.77734375" customWidth="1"/>
    <col min="6393" max="6393" width="14.109375" customWidth="1"/>
    <col min="6394" max="6394" width="13.77734375" customWidth="1"/>
    <col min="6395" max="6396" width="12.77734375" customWidth="1"/>
    <col min="6397" max="6397" width="13.5546875" customWidth="1"/>
    <col min="6398" max="6398" width="15.21875" customWidth="1"/>
    <col min="6399" max="6399" width="12.77734375" customWidth="1"/>
    <col min="6400" max="6400" width="13.77734375" customWidth="1"/>
    <col min="6401" max="6401" width="1.77734375" customWidth="1"/>
    <col min="6402" max="6402" width="13" customWidth="1"/>
    <col min="6643" max="6643" width="6" customWidth="1"/>
    <col min="6644" max="6644" width="1.44140625" customWidth="1"/>
    <col min="6645" max="6645" width="39.109375" customWidth="1"/>
    <col min="6646" max="6646" width="12" customWidth="1"/>
    <col min="6647" max="6647" width="14.44140625" customWidth="1"/>
    <col min="6648" max="6648" width="11.77734375" customWidth="1"/>
    <col min="6649" max="6649" width="14.109375" customWidth="1"/>
    <col min="6650" max="6650" width="13.77734375" customWidth="1"/>
    <col min="6651" max="6652" width="12.77734375" customWidth="1"/>
    <col min="6653" max="6653" width="13.5546875" customWidth="1"/>
    <col min="6654" max="6654" width="15.21875" customWidth="1"/>
    <col min="6655" max="6655" width="12.77734375" customWidth="1"/>
    <col min="6656" max="6656" width="13.77734375" customWidth="1"/>
    <col min="6657" max="6657" width="1.77734375" customWidth="1"/>
    <col min="6658" max="6658" width="13" customWidth="1"/>
    <col min="6899" max="6899" width="6" customWidth="1"/>
    <col min="6900" max="6900" width="1.44140625" customWidth="1"/>
    <col min="6901" max="6901" width="39.109375" customWidth="1"/>
    <col min="6902" max="6902" width="12" customWidth="1"/>
    <col min="6903" max="6903" width="14.44140625" customWidth="1"/>
    <col min="6904" max="6904" width="11.77734375" customWidth="1"/>
    <col min="6905" max="6905" width="14.109375" customWidth="1"/>
    <col min="6906" max="6906" width="13.77734375" customWidth="1"/>
    <col min="6907" max="6908" width="12.77734375" customWidth="1"/>
    <col min="6909" max="6909" width="13.5546875" customWidth="1"/>
    <col min="6910" max="6910" width="15.21875" customWidth="1"/>
    <col min="6911" max="6911" width="12.77734375" customWidth="1"/>
    <col min="6912" max="6912" width="13.77734375" customWidth="1"/>
    <col min="6913" max="6913" width="1.77734375" customWidth="1"/>
    <col min="6914" max="6914" width="13" customWidth="1"/>
    <col min="7155" max="7155" width="6" customWidth="1"/>
    <col min="7156" max="7156" width="1.44140625" customWidth="1"/>
    <col min="7157" max="7157" width="39.109375" customWidth="1"/>
    <col min="7158" max="7158" width="12" customWidth="1"/>
    <col min="7159" max="7159" width="14.44140625" customWidth="1"/>
    <col min="7160" max="7160" width="11.77734375" customWidth="1"/>
    <col min="7161" max="7161" width="14.109375" customWidth="1"/>
    <col min="7162" max="7162" width="13.77734375" customWidth="1"/>
    <col min="7163" max="7164" width="12.77734375" customWidth="1"/>
    <col min="7165" max="7165" width="13.5546875" customWidth="1"/>
    <col min="7166" max="7166" width="15.21875" customWidth="1"/>
    <col min="7167" max="7167" width="12.77734375" customWidth="1"/>
    <col min="7168" max="7168" width="13.77734375" customWidth="1"/>
    <col min="7169" max="7169" width="1.77734375" customWidth="1"/>
    <col min="7170" max="7170" width="13" customWidth="1"/>
    <col min="7411" max="7411" width="6" customWidth="1"/>
    <col min="7412" max="7412" width="1.44140625" customWidth="1"/>
    <col min="7413" max="7413" width="39.109375" customWidth="1"/>
    <col min="7414" max="7414" width="12" customWidth="1"/>
    <col min="7415" max="7415" width="14.44140625" customWidth="1"/>
    <col min="7416" max="7416" width="11.77734375" customWidth="1"/>
    <col min="7417" max="7417" width="14.109375" customWidth="1"/>
    <col min="7418" max="7418" width="13.77734375" customWidth="1"/>
    <col min="7419" max="7420" width="12.77734375" customWidth="1"/>
    <col min="7421" max="7421" width="13.5546875" customWidth="1"/>
    <col min="7422" max="7422" width="15.21875" customWidth="1"/>
    <col min="7423" max="7423" width="12.77734375" customWidth="1"/>
    <col min="7424" max="7424" width="13.77734375" customWidth="1"/>
    <col min="7425" max="7425" width="1.77734375" customWidth="1"/>
    <col min="7426" max="7426" width="13" customWidth="1"/>
    <col min="7667" max="7667" width="6" customWidth="1"/>
    <col min="7668" max="7668" width="1.44140625" customWidth="1"/>
    <col min="7669" max="7669" width="39.109375" customWidth="1"/>
    <col min="7670" max="7670" width="12" customWidth="1"/>
    <col min="7671" max="7671" width="14.44140625" customWidth="1"/>
    <col min="7672" max="7672" width="11.77734375" customWidth="1"/>
    <col min="7673" max="7673" width="14.109375" customWidth="1"/>
    <col min="7674" max="7674" width="13.77734375" customWidth="1"/>
    <col min="7675" max="7676" width="12.77734375" customWidth="1"/>
    <col min="7677" max="7677" width="13.5546875" customWidth="1"/>
    <col min="7678" max="7678" width="15.21875" customWidth="1"/>
    <col min="7679" max="7679" width="12.77734375" customWidth="1"/>
    <col min="7680" max="7680" width="13.77734375" customWidth="1"/>
    <col min="7681" max="7681" width="1.77734375" customWidth="1"/>
    <col min="7682" max="7682" width="13" customWidth="1"/>
    <col min="7923" max="7923" width="6" customWidth="1"/>
    <col min="7924" max="7924" width="1.44140625" customWidth="1"/>
    <col min="7925" max="7925" width="39.109375" customWidth="1"/>
    <col min="7926" max="7926" width="12" customWidth="1"/>
    <col min="7927" max="7927" width="14.44140625" customWidth="1"/>
    <col min="7928" max="7928" width="11.77734375" customWidth="1"/>
    <col min="7929" max="7929" width="14.109375" customWidth="1"/>
    <col min="7930" max="7930" width="13.77734375" customWidth="1"/>
    <col min="7931" max="7932" width="12.77734375" customWidth="1"/>
    <col min="7933" max="7933" width="13.5546875" customWidth="1"/>
    <col min="7934" max="7934" width="15.21875" customWidth="1"/>
    <col min="7935" max="7935" width="12.77734375" customWidth="1"/>
    <col min="7936" max="7936" width="13.77734375" customWidth="1"/>
    <col min="7937" max="7937" width="1.77734375" customWidth="1"/>
    <col min="7938" max="7938" width="13" customWidth="1"/>
    <col min="8179" max="8179" width="6" customWidth="1"/>
    <col min="8180" max="8180" width="1.44140625" customWidth="1"/>
    <col min="8181" max="8181" width="39.109375" customWidth="1"/>
    <col min="8182" max="8182" width="12" customWidth="1"/>
    <col min="8183" max="8183" width="14.44140625" customWidth="1"/>
    <col min="8184" max="8184" width="11.77734375" customWidth="1"/>
    <col min="8185" max="8185" width="14.109375" customWidth="1"/>
    <col min="8186" max="8186" width="13.77734375" customWidth="1"/>
    <col min="8187" max="8188" width="12.77734375" customWidth="1"/>
    <col min="8189" max="8189" width="13.5546875" customWidth="1"/>
    <col min="8190" max="8190" width="15.21875" customWidth="1"/>
    <col min="8191" max="8191" width="12.77734375" customWidth="1"/>
    <col min="8192" max="8192" width="13.77734375" customWidth="1"/>
    <col min="8193" max="8193" width="1.77734375" customWidth="1"/>
    <col min="8194" max="8194" width="13" customWidth="1"/>
    <col min="8435" max="8435" width="6" customWidth="1"/>
    <col min="8436" max="8436" width="1.44140625" customWidth="1"/>
    <col min="8437" max="8437" width="39.109375" customWidth="1"/>
    <col min="8438" max="8438" width="12" customWidth="1"/>
    <col min="8439" max="8439" width="14.44140625" customWidth="1"/>
    <col min="8440" max="8440" width="11.77734375" customWidth="1"/>
    <col min="8441" max="8441" width="14.109375" customWidth="1"/>
    <col min="8442" max="8442" width="13.77734375" customWidth="1"/>
    <col min="8443" max="8444" width="12.77734375" customWidth="1"/>
    <col min="8445" max="8445" width="13.5546875" customWidth="1"/>
    <col min="8446" max="8446" width="15.21875" customWidth="1"/>
    <col min="8447" max="8447" width="12.77734375" customWidth="1"/>
    <col min="8448" max="8448" width="13.77734375" customWidth="1"/>
    <col min="8449" max="8449" width="1.77734375" customWidth="1"/>
    <col min="8450" max="8450" width="13" customWidth="1"/>
    <col min="8691" max="8691" width="6" customWidth="1"/>
    <col min="8692" max="8692" width="1.44140625" customWidth="1"/>
    <col min="8693" max="8693" width="39.109375" customWidth="1"/>
    <col min="8694" max="8694" width="12" customWidth="1"/>
    <col min="8695" max="8695" width="14.44140625" customWidth="1"/>
    <col min="8696" max="8696" width="11.77734375" customWidth="1"/>
    <col min="8697" max="8697" width="14.109375" customWidth="1"/>
    <col min="8698" max="8698" width="13.77734375" customWidth="1"/>
    <col min="8699" max="8700" width="12.77734375" customWidth="1"/>
    <col min="8701" max="8701" width="13.5546875" customWidth="1"/>
    <col min="8702" max="8702" width="15.21875" customWidth="1"/>
    <col min="8703" max="8703" width="12.77734375" customWidth="1"/>
    <col min="8704" max="8704" width="13.77734375" customWidth="1"/>
    <col min="8705" max="8705" width="1.77734375" customWidth="1"/>
    <col min="8706" max="8706" width="13" customWidth="1"/>
    <col min="8947" max="8947" width="6" customWidth="1"/>
    <col min="8948" max="8948" width="1.44140625" customWidth="1"/>
    <col min="8949" max="8949" width="39.109375" customWidth="1"/>
    <col min="8950" max="8950" width="12" customWidth="1"/>
    <col min="8951" max="8951" width="14.44140625" customWidth="1"/>
    <col min="8952" max="8952" width="11.77734375" customWidth="1"/>
    <col min="8953" max="8953" width="14.109375" customWidth="1"/>
    <col min="8954" max="8954" width="13.77734375" customWidth="1"/>
    <col min="8955" max="8956" width="12.77734375" customWidth="1"/>
    <col min="8957" max="8957" width="13.5546875" customWidth="1"/>
    <col min="8958" max="8958" width="15.21875" customWidth="1"/>
    <col min="8959" max="8959" width="12.77734375" customWidth="1"/>
    <col min="8960" max="8960" width="13.77734375" customWidth="1"/>
    <col min="8961" max="8961" width="1.77734375" customWidth="1"/>
    <col min="8962" max="8962" width="13" customWidth="1"/>
    <col min="9203" max="9203" width="6" customWidth="1"/>
    <col min="9204" max="9204" width="1.44140625" customWidth="1"/>
    <col min="9205" max="9205" width="39.109375" customWidth="1"/>
    <col min="9206" max="9206" width="12" customWidth="1"/>
    <col min="9207" max="9207" width="14.44140625" customWidth="1"/>
    <col min="9208" max="9208" width="11.77734375" customWidth="1"/>
    <col min="9209" max="9209" width="14.109375" customWidth="1"/>
    <col min="9210" max="9210" width="13.77734375" customWidth="1"/>
    <col min="9211" max="9212" width="12.77734375" customWidth="1"/>
    <col min="9213" max="9213" width="13.5546875" customWidth="1"/>
    <col min="9214" max="9214" width="15.21875" customWidth="1"/>
    <col min="9215" max="9215" width="12.77734375" customWidth="1"/>
    <col min="9216" max="9216" width="13.77734375" customWidth="1"/>
    <col min="9217" max="9217" width="1.77734375" customWidth="1"/>
    <col min="9218" max="9218" width="13" customWidth="1"/>
    <col min="9459" max="9459" width="6" customWidth="1"/>
    <col min="9460" max="9460" width="1.44140625" customWidth="1"/>
    <col min="9461" max="9461" width="39.109375" customWidth="1"/>
    <col min="9462" max="9462" width="12" customWidth="1"/>
    <col min="9463" max="9463" width="14.44140625" customWidth="1"/>
    <col min="9464" max="9464" width="11.77734375" customWidth="1"/>
    <col min="9465" max="9465" width="14.109375" customWidth="1"/>
    <col min="9466" max="9466" width="13.77734375" customWidth="1"/>
    <col min="9467" max="9468" width="12.77734375" customWidth="1"/>
    <col min="9469" max="9469" width="13.5546875" customWidth="1"/>
    <col min="9470" max="9470" width="15.21875" customWidth="1"/>
    <col min="9471" max="9471" width="12.77734375" customWidth="1"/>
    <col min="9472" max="9472" width="13.77734375" customWidth="1"/>
    <col min="9473" max="9473" width="1.77734375" customWidth="1"/>
    <col min="9474" max="9474" width="13" customWidth="1"/>
    <col min="9715" max="9715" width="6" customWidth="1"/>
    <col min="9716" max="9716" width="1.44140625" customWidth="1"/>
    <col min="9717" max="9717" width="39.109375" customWidth="1"/>
    <col min="9718" max="9718" width="12" customWidth="1"/>
    <col min="9719" max="9719" width="14.44140625" customWidth="1"/>
    <col min="9720" max="9720" width="11.77734375" customWidth="1"/>
    <col min="9721" max="9721" width="14.109375" customWidth="1"/>
    <col min="9722" max="9722" width="13.77734375" customWidth="1"/>
    <col min="9723" max="9724" width="12.77734375" customWidth="1"/>
    <col min="9725" max="9725" width="13.5546875" customWidth="1"/>
    <col min="9726" max="9726" width="15.21875" customWidth="1"/>
    <col min="9727" max="9727" width="12.77734375" customWidth="1"/>
    <col min="9728" max="9728" width="13.77734375" customWidth="1"/>
    <col min="9729" max="9729" width="1.77734375" customWidth="1"/>
    <col min="9730" max="9730" width="13" customWidth="1"/>
    <col min="9971" max="9971" width="6" customWidth="1"/>
    <col min="9972" max="9972" width="1.44140625" customWidth="1"/>
    <col min="9973" max="9973" width="39.109375" customWidth="1"/>
    <col min="9974" max="9974" width="12" customWidth="1"/>
    <col min="9975" max="9975" width="14.44140625" customWidth="1"/>
    <col min="9976" max="9976" width="11.77734375" customWidth="1"/>
    <col min="9977" max="9977" width="14.109375" customWidth="1"/>
    <col min="9978" max="9978" width="13.77734375" customWidth="1"/>
    <col min="9979" max="9980" width="12.77734375" customWidth="1"/>
    <col min="9981" max="9981" width="13.5546875" customWidth="1"/>
    <col min="9982" max="9982" width="15.21875" customWidth="1"/>
    <col min="9983" max="9983" width="12.77734375" customWidth="1"/>
    <col min="9984" max="9984" width="13.77734375" customWidth="1"/>
    <col min="9985" max="9985" width="1.77734375" customWidth="1"/>
    <col min="9986" max="9986" width="13" customWidth="1"/>
    <col min="10227" max="10227" width="6" customWidth="1"/>
    <col min="10228" max="10228" width="1.44140625" customWidth="1"/>
    <col min="10229" max="10229" width="39.109375" customWidth="1"/>
    <col min="10230" max="10230" width="12" customWidth="1"/>
    <col min="10231" max="10231" width="14.44140625" customWidth="1"/>
    <col min="10232" max="10232" width="11.77734375" customWidth="1"/>
    <col min="10233" max="10233" width="14.109375" customWidth="1"/>
    <col min="10234" max="10234" width="13.77734375" customWidth="1"/>
    <col min="10235" max="10236" width="12.77734375" customWidth="1"/>
    <col min="10237" max="10237" width="13.5546875" customWidth="1"/>
    <col min="10238" max="10238" width="15.21875" customWidth="1"/>
    <col min="10239" max="10239" width="12.77734375" customWidth="1"/>
    <col min="10240" max="10240" width="13.77734375" customWidth="1"/>
    <col min="10241" max="10241" width="1.77734375" customWidth="1"/>
    <col min="10242" max="10242" width="13" customWidth="1"/>
    <col min="10483" max="10483" width="6" customWidth="1"/>
    <col min="10484" max="10484" width="1.44140625" customWidth="1"/>
    <col min="10485" max="10485" width="39.109375" customWidth="1"/>
    <col min="10486" max="10486" width="12" customWidth="1"/>
    <col min="10487" max="10487" width="14.44140625" customWidth="1"/>
    <col min="10488" max="10488" width="11.77734375" customWidth="1"/>
    <col min="10489" max="10489" width="14.109375" customWidth="1"/>
    <col min="10490" max="10490" width="13.77734375" customWidth="1"/>
    <col min="10491" max="10492" width="12.77734375" customWidth="1"/>
    <col min="10493" max="10493" width="13.5546875" customWidth="1"/>
    <col min="10494" max="10494" width="15.21875" customWidth="1"/>
    <col min="10495" max="10495" width="12.77734375" customWidth="1"/>
    <col min="10496" max="10496" width="13.77734375" customWidth="1"/>
    <col min="10497" max="10497" width="1.77734375" customWidth="1"/>
    <col min="10498" max="10498" width="13" customWidth="1"/>
    <col min="10739" max="10739" width="6" customWidth="1"/>
    <col min="10740" max="10740" width="1.44140625" customWidth="1"/>
    <col min="10741" max="10741" width="39.109375" customWidth="1"/>
    <col min="10742" max="10742" width="12" customWidth="1"/>
    <col min="10743" max="10743" width="14.44140625" customWidth="1"/>
    <col min="10744" max="10744" width="11.77734375" customWidth="1"/>
    <col min="10745" max="10745" width="14.109375" customWidth="1"/>
    <col min="10746" max="10746" width="13.77734375" customWidth="1"/>
    <col min="10747" max="10748" width="12.77734375" customWidth="1"/>
    <col min="10749" max="10749" width="13.5546875" customWidth="1"/>
    <col min="10750" max="10750" width="15.21875" customWidth="1"/>
    <col min="10751" max="10751" width="12.77734375" customWidth="1"/>
    <col min="10752" max="10752" width="13.77734375" customWidth="1"/>
    <col min="10753" max="10753" width="1.77734375" customWidth="1"/>
    <col min="10754" max="10754" width="13" customWidth="1"/>
    <col min="10995" max="10995" width="6" customWidth="1"/>
    <col min="10996" max="10996" width="1.44140625" customWidth="1"/>
    <col min="10997" max="10997" width="39.109375" customWidth="1"/>
    <col min="10998" max="10998" width="12" customWidth="1"/>
    <col min="10999" max="10999" width="14.44140625" customWidth="1"/>
    <col min="11000" max="11000" width="11.77734375" customWidth="1"/>
    <col min="11001" max="11001" width="14.109375" customWidth="1"/>
    <col min="11002" max="11002" width="13.77734375" customWidth="1"/>
    <col min="11003" max="11004" width="12.77734375" customWidth="1"/>
    <col min="11005" max="11005" width="13.5546875" customWidth="1"/>
    <col min="11006" max="11006" width="15.21875" customWidth="1"/>
    <col min="11007" max="11007" width="12.77734375" customWidth="1"/>
    <col min="11008" max="11008" width="13.77734375" customWidth="1"/>
    <col min="11009" max="11009" width="1.77734375" customWidth="1"/>
    <col min="11010" max="11010" width="13" customWidth="1"/>
    <col min="11251" max="11251" width="6" customWidth="1"/>
    <col min="11252" max="11252" width="1.44140625" customWidth="1"/>
    <col min="11253" max="11253" width="39.109375" customWidth="1"/>
    <col min="11254" max="11254" width="12" customWidth="1"/>
    <col min="11255" max="11255" width="14.44140625" customWidth="1"/>
    <col min="11256" max="11256" width="11.77734375" customWidth="1"/>
    <col min="11257" max="11257" width="14.109375" customWidth="1"/>
    <col min="11258" max="11258" width="13.77734375" customWidth="1"/>
    <col min="11259" max="11260" width="12.77734375" customWidth="1"/>
    <col min="11261" max="11261" width="13.5546875" customWidth="1"/>
    <col min="11262" max="11262" width="15.21875" customWidth="1"/>
    <col min="11263" max="11263" width="12.77734375" customWidth="1"/>
    <col min="11264" max="11264" width="13.77734375" customWidth="1"/>
    <col min="11265" max="11265" width="1.77734375" customWidth="1"/>
    <col min="11266" max="11266" width="13" customWidth="1"/>
    <col min="11507" max="11507" width="6" customWidth="1"/>
    <col min="11508" max="11508" width="1.44140625" customWidth="1"/>
    <col min="11509" max="11509" width="39.109375" customWidth="1"/>
    <col min="11510" max="11510" width="12" customWidth="1"/>
    <col min="11511" max="11511" width="14.44140625" customWidth="1"/>
    <col min="11512" max="11512" width="11.77734375" customWidth="1"/>
    <col min="11513" max="11513" width="14.109375" customWidth="1"/>
    <col min="11514" max="11514" width="13.77734375" customWidth="1"/>
    <col min="11515" max="11516" width="12.77734375" customWidth="1"/>
    <col min="11517" max="11517" width="13.5546875" customWidth="1"/>
    <col min="11518" max="11518" width="15.21875" customWidth="1"/>
    <col min="11519" max="11519" width="12.77734375" customWidth="1"/>
    <col min="11520" max="11520" width="13.77734375" customWidth="1"/>
    <col min="11521" max="11521" width="1.77734375" customWidth="1"/>
    <col min="11522" max="11522" width="13" customWidth="1"/>
    <col min="11763" max="11763" width="6" customWidth="1"/>
    <col min="11764" max="11764" width="1.44140625" customWidth="1"/>
    <col min="11765" max="11765" width="39.109375" customWidth="1"/>
    <col min="11766" max="11766" width="12" customWidth="1"/>
    <col min="11767" max="11767" width="14.44140625" customWidth="1"/>
    <col min="11768" max="11768" width="11.77734375" customWidth="1"/>
    <col min="11769" max="11769" width="14.109375" customWidth="1"/>
    <col min="11770" max="11770" width="13.77734375" customWidth="1"/>
    <col min="11771" max="11772" width="12.77734375" customWidth="1"/>
    <col min="11773" max="11773" width="13.5546875" customWidth="1"/>
    <col min="11774" max="11774" width="15.21875" customWidth="1"/>
    <col min="11775" max="11775" width="12.77734375" customWidth="1"/>
    <col min="11776" max="11776" width="13.77734375" customWidth="1"/>
    <col min="11777" max="11777" width="1.77734375" customWidth="1"/>
    <col min="11778" max="11778" width="13" customWidth="1"/>
    <col min="12019" max="12019" width="6" customWidth="1"/>
    <col min="12020" max="12020" width="1.44140625" customWidth="1"/>
    <col min="12021" max="12021" width="39.109375" customWidth="1"/>
    <col min="12022" max="12022" width="12" customWidth="1"/>
    <col min="12023" max="12023" width="14.44140625" customWidth="1"/>
    <col min="12024" max="12024" width="11.77734375" customWidth="1"/>
    <col min="12025" max="12025" width="14.109375" customWidth="1"/>
    <col min="12026" max="12026" width="13.77734375" customWidth="1"/>
    <col min="12027" max="12028" width="12.77734375" customWidth="1"/>
    <col min="12029" max="12029" width="13.5546875" customWidth="1"/>
    <col min="12030" max="12030" width="15.21875" customWidth="1"/>
    <col min="12031" max="12031" width="12.77734375" customWidth="1"/>
    <col min="12032" max="12032" width="13.77734375" customWidth="1"/>
    <col min="12033" max="12033" width="1.77734375" customWidth="1"/>
    <col min="12034" max="12034" width="13" customWidth="1"/>
    <col min="12275" max="12275" width="6" customWidth="1"/>
    <col min="12276" max="12276" width="1.44140625" customWidth="1"/>
    <col min="12277" max="12277" width="39.109375" customWidth="1"/>
    <col min="12278" max="12278" width="12" customWidth="1"/>
    <col min="12279" max="12279" width="14.44140625" customWidth="1"/>
    <col min="12280" max="12280" width="11.77734375" customWidth="1"/>
    <col min="12281" max="12281" width="14.109375" customWidth="1"/>
    <col min="12282" max="12282" width="13.77734375" customWidth="1"/>
    <col min="12283" max="12284" width="12.77734375" customWidth="1"/>
    <col min="12285" max="12285" width="13.5546875" customWidth="1"/>
    <col min="12286" max="12286" width="15.21875" customWidth="1"/>
    <col min="12287" max="12287" width="12.77734375" customWidth="1"/>
    <col min="12288" max="12288" width="13.77734375" customWidth="1"/>
    <col min="12289" max="12289" width="1.77734375" customWidth="1"/>
    <col min="12290" max="12290" width="13" customWidth="1"/>
    <col min="12531" max="12531" width="6" customWidth="1"/>
    <col min="12532" max="12532" width="1.44140625" customWidth="1"/>
    <col min="12533" max="12533" width="39.109375" customWidth="1"/>
    <col min="12534" max="12534" width="12" customWidth="1"/>
    <col min="12535" max="12535" width="14.44140625" customWidth="1"/>
    <col min="12536" max="12536" width="11.77734375" customWidth="1"/>
    <col min="12537" max="12537" width="14.109375" customWidth="1"/>
    <col min="12538" max="12538" width="13.77734375" customWidth="1"/>
    <col min="12539" max="12540" width="12.77734375" customWidth="1"/>
    <col min="12541" max="12541" width="13.5546875" customWidth="1"/>
    <col min="12542" max="12542" width="15.21875" customWidth="1"/>
    <col min="12543" max="12543" width="12.77734375" customWidth="1"/>
    <col min="12544" max="12544" width="13.77734375" customWidth="1"/>
    <col min="12545" max="12545" width="1.77734375" customWidth="1"/>
    <col min="12546" max="12546" width="13" customWidth="1"/>
    <col min="12787" max="12787" width="6" customWidth="1"/>
    <col min="12788" max="12788" width="1.44140625" customWidth="1"/>
    <col min="12789" max="12789" width="39.109375" customWidth="1"/>
    <col min="12790" max="12790" width="12" customWidth="1"/>
    <col min="12791" max="12791" width="14.44140625" customWidth="1"/>
    <col min="12792" max="12792" width="11.77734375" customWidth="1"/>
    <col min="12793" max="12793" width="14.109375" customWidth="1"/>
    <col min="12794" max="12794" width="13.77734375" customWidth="1"/>
    <col min="12795" max="12796" width="12.77734375" customWidth="1"/>
    <col min="12797" max="12797" width="13.5546875" customWidth="1"/>
    <col min="12798" max="12798" width="15.21875" customWidth="1"/>
    <col min="12799" max="12799" width="12.77734375" customWidth="1"/>
    <col min="12800" max="12800" width="13.77734375" customWidth="1"/>
    <col min="12801" max="12801" width="1.77734375" customWidth="1"/>
    <col min="12802" max="12802" width="13" customWidth="1"/>
    <col min="13043" max="13043" width="6" customWidth="1"/>
    <col min="13044" max="13044" width="1.44140625" customWidth="1"/>
    <col min="13045" max="13045" width="39.109375" customWidth="1"/>
    <col min="13046" max="13046" width="12" customWidth="1"/>
    <col min="13047" max="13047" width="14.44140625" customWidth="1"/>
    <col min="13048" max="13048" width="11.77734375" customWidth="1"/>
    <col min="13049" max="13049" width="14.109375" customWidth="1"/>
    <col min="13050" max="13050" width="13.77734375" customWidth="1"/>
    <col min="13051" max="13052" width="12.77734375" customWidth="1"/>
    <col min="13053" max="13053" width="13.5546875" customWidth="1"/>
    <col min="13054" max="13054" width="15.21875" customWidth="1"/>
    <col min="13055" max="13055" width="12.77734375" customWidth="1"/>
    <col min="13056" max="13056" width="13.77734375" customWidth="1"/>
    <col min="13057" max="13057" width="1.77734375" customWidth="1"/>
    <col min="13058" max="13058" width="13" customWidth="1"/>
    <col min="13299" max="13299" width="6" customWidth="1"/>
    <col min="13300" max="13300" width="1.44140625" customWidth="1"/>
    <col min="13301" max="13301" width="39.109375" customWidth="1"/>
    <col min="13302" max="13302" width="12" customWidth="1"/>
    <col min="13303" max="13303" width="14.44140625" customWidth="1"/>
    <col min="13304" max="13304" width="11.77734375" customWidth="1"/>
    <col min="13305" max="13305" width="14.109375" customWidth="1"/>
    <col min="13306" max="13306" width="13.77734375" customWidth="1"/>
    <col min="13307" max="13308" width="12.77734375" customWidth="1"/>
    <col min="13309" max="13309" width="13.5546875" customWidth="1"/>
    <col min="13310" max="13310" width="15.21875" customWidth="1"/>
    <col min="13311" max="13311" width="12.77734375" customWidth="1"/>
    <col min="13312" max="13312" width="13.77734375" customWidth="1"/>
    <col min="13313" max="13313" width="1.77734375" customWidth="1"/>
    <col min="13314" max="13314" width="13" customWidth="1"/>
    <col min="13555" max="13555" width="6" customWidth="1"/>
    <col min="13556" max="13556" width="1.44140625" customWidth="1"/>
    <col min="13557" max="13557" width="39.109375" customWidth="1"/>
    <col min="13558" max="13558" width="12" customWidth="1"/>
    <col min="13559" max="13559" width="14.44140625" customWidth="1"/>
    <col min="13560" max="13560" width="11.77734375" customWidth="1"/>
    <col min="13561" max="13561" width="14.109375" customWidth="1"/>
    <col min="13562" max="13562" width="13.77734375" customWidth="1"/>
    <col min="13563" max="13564" width="12.77734375" customWidth="1"/>
    <col min="13565" max="13565" width="13.5546875" customWidth="1"/>
    <col min="13566" max="13566" width="15.21875" customWidth="1"/>
    <col min="13567" max="13567" width="12.77734375" customWidth="1"/>
    <col min="13568" max="13568" width="13.77734375" customWidth="1"/>
    <col min="13569" max="13569" width="1.77734375" customWidth="1"/>
    <col min="13570" max="13570" width="13" customWidth="1"/>
    <col min="13811" max="13811" width="6" customWidth="1"/>
    <col min="13812" max="13812" width="1.44140625" customWidth="1"/>
    <col min="13813" max="13813" width="39.109375" customWidth="1"/>
    <col min="13814" max="13814" width="12" customWidth="1"/>
    <col min="13815" max="13815" width="14.44140625" customWidth="1"/>
    <col min="13816" max="13816" width="11.77734375" customWidth="1"/>
    <col min="13817" max="13817" width="14.109375" customWidth="1"/>
    <col min="13818" max="13818" width="13.77734375" customWidth="1"/>
    <col min="13819" max="13820" width="12.77734375" customWidth="1"/>
    <col min="13821" max="13821" width="13.5546875" customWidth="1"/>
    <col min="13822" max="13822" width="15.21875" customWidth="1"/>
    <col min="13823" max="13823" width="12.77734375" customWidth="1"/>
    <col min="13824" max="13824" width="13.77734375" customWidth="1"/>
    <col min="13825" max="13825" width="1.77734375" customWidth="1"/>
    <col min="13826" max="13826" width="13" customWidth="1"/>
    <col min="14067" max="14067" width="6" customWidth="1"/>
    <col min="14068" max="14068" width="1.44140625" customWidth="1"/>
    <col min="14069" max="14069" width="39.109375" customWidth="1"/>
    <col min="14070" max="14070" width="12" customWidth="1"/>
    <col min="14071" max="14071" width="14.44140625" customWidth="1"/>
    <col min="14072" max="14072" width="11.77734375" customWidth="1"/>
    <col min="14073" max="14073" width="14.109375" customWidth="1"/>
    <col min="14074" max="14074" width="13.77734375" customWidth="1"/>
    <col min="14075" max="14076" width="12.77734375" customWidth="1"/>
    <col min="14077" max="14077" width="13.5546875" customWidth="1"/>
    <col min="14078" max="14078" width="15.21875" customWidth="1"/>
    <col min="14079" max="14079" width="12.77734375" customWidth="1"/>
    <col min="14080" max="14080" width="13.77734375" customWidth="1"/>
    <col min="14081" max="14081" width="1.77734375" customWidth="1"/>
    <col min="14082" max="14082" width="13" customWidth="1"/>
    <col min="14323" max="14323" width="6" customWidth="1"/>
    <col min="14324" max="14324" width="1.44140625" customWidth="1"/>
    <col min="14325" max="14325" width="39.109375" customWidth="1"/>
    <col min="14326" max="14326" width="12" customWidth="1"/>
    <col min="14327" max="14327" width="14.44140625" customWidth="1"/>
    <col min="14328" max="14328" width="11.77734375" customWidth="1"/>
    <col min="14329" max="14329" width="14.109375" customWidth="1"/>
    <col min="14330" max="14330" width="13.77734375" customWidth="1"/>
    <col min="14331" max="14332" width="12.77734375" customWidth="1"/>
    <col min="14333" max="14333" width="13.5546875" customWidth="1"/>
    <col min="14334" max="14334" width="15.21875" customWidth="1"/>
    <col min="14335" max="14335" width="12.77734375" customWidth="1"/>
    <col min="14336" max="14336" width="13.77734375" customWidth="1"/>
    <col min="14337" max="14337" width="1.77734375" customWidth="1"/>
    <col min="14338" max="14338" width="13" customWidth="1"/>
    <col min="14579" max="14579" width="6" customWidth="1"/>
    <col min="14580" max="14580" width="1.44140625" customWidth="1"/>
    <col min="14581" max="14581" width="39.109375" customWidth="1"/>
    <col min="14582" max="14582" width="12" customWidth="1"/>
    <col min="14583" max="14583" width="14.44140625" customWidth="1"/>
    <col min="14584" max="14584" width="11.77734375" customWidth="1"/>
    <col min="14585" max="14585" width="14.109375" customWidth="1"/>
    <col min="14586" max="14586" width="13.77734375" customWidth="1"/>
    <col min="14587" max="14588" width="12.77734375" customWidth="1"/>
    <col min="14589" max="14589" width="13.5546875" customWidth="1"/>
    <col min="14590" max="14590" width="15.21875" customWidth="1"/>
    <col min="14591" max="14591" width="12.77734375" customWidth="1"/>
    <col min="14592" max="14592" width="13.77734375" customWidth="1"/>
    <col min="14593" max="14593" width="1.77734375" customWidth="1"/>
    <col min="14594" max="14594" width="13" customWidth="1"/>
    <col min="14835" max="14835" width="6" customWidth="1"/>
    <col min="14836" max="14836" width="1.44140625" customWidth="1"/>
    <col min="14837" max="14837" width="39.109375" customWidth="1"/>
    <col min="14838" max="14838" width="12" customWidth="1"/>
    <col min="14839" max="14839" width="14.44140625" customWidth="1"/>
    <col min="14840" max="14840" width="11.77734375" customWidth="1"/>
    <col min="14841" max="14841" width="14.109375" customWidth="1"/>
    <col min="14842" max="14842" width="13.77734375" customWidth="1"/>
    <col min="14843" max="14844" width="12.77734375" customWidth="1"/>
    <col min="14845" max="14845" width="13.5546875" customWidth="1"/>
    <col min="14846" max="14846" width="15.21875" customWidth="1"/>
    <col min="14847" max="14847" width="12.77734375" customWidth="1"/>
    <col min="14848" max="14848" width="13.77734375" customWidth="1"/>
    <col min="14849" max="14849" width="1.77734375" customWidth="1"/>
    <col min="14850" max="14850" width="13" customWidth="1"/>
    <col min="15091" max="15091" width="6" customWidth="1"/>
    <col min="15092" max="15092" width="1.44140625" customWidth="1"/>
    <col min="15093" max="15093" width="39.109375" customWidth="1"/>
    <col min="15094" max="15094" width="12" customWidth="1"/>
    <col min="15095" max="15095" width="14.44140625" customWidth="1"/>
    <col min="15096" max="15096" width="11.77734375" customWidth="1"/>
    <col min="15097" max="15097" width="14.109375" customWidth="1"/>
    <col min="15098" max="15098" width="13.77734375" customWidth="1"/>
    <col min="15099" max="15100" width="12.77734375" customWidth="1"/>
    <col min="15101" max="15101" width="13.5546875" customWidth="1"/>
    <col min="15102" max="15102" width="15.21875" customWidth="1"/>
    <col min="15103" max="15103" width="12.77734375" customWidth="1"/>
    <col min="15104" max="15104" width="13.77734375" customWidth="1"/>
    <col min="15105" max="15105" width="1.77734375" customWidth="1"/>
    <col min="15106" max="15106" width="13" customWidth="1"/>
    <col min="15347" max="15347" width="6" customWidth="1"/>
    <col min="15348" max="15348" width="1.44140625" customWidth="1"/>
    <col min="15349" max="15349" width="39.109375" customWidth="1"/>
    <col min="15350" max="15350" width="12" customWidth="1"/>
    <col min="15351" max="15351" width="14.44140625" customWidth="1"/>
    <col min="15352" max="15352" width="11.77734375" customWidth="1"/>
    <col min="15353" max="15353" width="14.109375" customWidth="1"/>
    <col min="15354" max="15354" width="13.77734375" customWidth="1"/>
    <col min="15355" max="15356" width="12.77734375" customWidth="1"/>
    <col min="15357" max="15357" width="13.5546875" customWidth="1"/>
    <col min="15358" max="15358" width="15.21875" customWidth="1"/>
    <col min="15359" max="15359" width="12.77734375" customWidth="1"/>
    <col min="15360" max="15360" width="13.77734375" customWidth="1"/>
    <col min="15361" max="15361" width="1.77734375" customWidth="1"/>
    <col min="15362" max="15362" width="13" customWidth="1"/>
    <col min="15603" max="15603" width="6" customWidth="1"/>
    <col min="15604" max="15604" width="1.44140625" customWidth="1"/>
    <col min="15605" max="15605" width="39.109375" customWidth="1"/>
    <col min="15606" max="15606" width="12" customWidth="1"/>
    <col min="15607" max="15607" width="14.44140625" customWidth="1"/>
    <col min="15608" max="15608" width="11.77734375" customWidth="1"/>
    <col min="15609" max="15609" width="14.109375" customWidth="1"/>
    <col min="15610" max="15610" width="13.77734375" customWidth="1"/>
    <col min="15611" max="15612" width="12.77734375" customWidth="1"/>
    <col min="15613" max="15613" width="13.5546875" customWidth="1"/>
    <col min="15614" max="15614" width="15.21875" customWidth="1"/>
    <col min="15615" max="15615" width="12.77734375" customWidth="1"/>
    <col min="15616" max="15616" width="13.77734375" customWidth="1"/>
    <col min="15617" max="15617" width="1.77734375" customWidth="1"/>
    <col min="15618" max="15618" width="13" customWidth="1"/>
    <col min="15859" max="15859" width="6" customWidth="1"/>
    <col min="15860" max="15860" width="1.44140625" customWidth="1"/>
    <col min="15861" max="15861" width="39.109375" customWidth="1"/>
    <col min="15862" max="15862" width="12" customWidth="1"/>
    <col min="15863" max="15863" width="14.44140625" customWidth="1"/>
    <col min="15864" max="15864" width="11.77734375" customWidth="1"/>
    <col min="15865" max="15865" width="14.109375" customWidth="1"/>
    <col min="15866" max="15866" width="13.77734375" customWidth="1"/>
    <col min="15867" max="15868" width="12.77734375" customWidth="1"/>
    <col min="15869" max="15869" width="13.5546875" customWidth="1"/>
    <col min="15870" max="15870" width="15.21875" customWidth="1"/>
    <col min="15871" max="15871" width="12.77734375" customWidth="1"/>
    <col min="15872" max="15872" width="13.77734375" customWidth="1"/>
    <col min="15873" max="15873" width="1.77734375" customWidth="1"/>
    <col min="15874" max="15874" width="13" customWidth="1"/>
    <col min="16115" max="16115" width="6" customWidth="1"/>
    <col min="16116" max="16116" width="1.44140625" customWidth="1"/>
    <col min="16117" max="16117" width="39.109375" customWidth="1"/>
    <col min="16118" max="16118" width="12" customWidth="1"/>
    <col min="16119" max="16119" width="14.44140625" customWidth="1"/>
    <col min="16120" max="16120" width="11.77734375" customWidth="1"/>
    <col min="16121" max="16121" width="14.109375" customWidth="1"/>
    <col min="16122" max="16122" width="13.77734375" customWidth="1"/>
    <col min="16123" max="16124" width="12.77734375" customWidth="1"/>
    <col min="16125" max="16125" width="13.5546875" customWidth="1"/>
    <col min="16126" max="16126" width="15.21875" customWidth="1"/>
    <col min="16127" max="16127" width="12.77734375" customWidth="1"/>
    <col min="16128" max="16128" width="13.77734375" customWidth="1"/>
    <col min="16129" max="16129" width="1.77734375" customWidth="1"/>
    <col min="16130" max="16130" width="13" customWidth="1"/>
    <col min="16371" max="16384" width="8.77734375" customWidth="1"/>
  </cols>
  <sheetData>
    <row r="1" spans="1:14">
      <c r="I1" s="50" t="s">
        <v>296</v>
      </c>
      <c r="M1" s="785"/>
    </row>
    <row r="2" spans="1:14">
      <c r="I2" s="50" t="s">
        <v>338</v>
      </c>
      <c r="M2" s="785"/>
      <c r="N2" s="785"/>
    </row>
    <row r="3" spans="1:14">
      <c r="I3" s="50" t="s">
        <v>192</v>
      </c>
    </row>
    <row r="4" spans="1:14">
      <c r="I4" s="61" t="str">
        <f>"For the 12 months ended: "&amp;TEXT(INPUT!B1,"mm/dd/yyyy")</f>
        <v>For the 12 months ended: 12/31/2021</v>
      </c>
    </row>
    <row r="5" spans="1:14">
      <c r="C5" s="24"/>
    </row>
    <row r="6" spans="1:14">
      <c r="A6" s="144" t="s">
        <v>255</v>
      </c>
      <c r="B6" s="174"/>
      <c r="C6" s="174"/>
      <c r="D6" s="144"/>
      <c r="E6" s="144"/>
      <c r="F6" s="144"/>
      <c r="G6" s="174"/>
      <c r="H6" s="144"/>
      <c r="I6" s="144"/>
      <c r="J6" s="1"/>
    </row>
    <row r="7" spans="1:14">
      <c r="A7" s="145" t="s">
        <v>297</v>
      </c>
      <c r="B7" s="174"/>
      <c r="C7" s="174"/>
      <c r="D7" s="146"/>
      <c r="E7" s="146"/>
      <c r="F7" s="146"/>
      <c r="G7" s="174"/>
      <c r="H7" s="146"/>
      <c r="I7" s="146"/>
      <c r="J7" s="1"/>
    </row>
    <row r="8" spans="1:14">
      <c r="A8" s="146"/>
      <c r="B8" s="174"/>
      <c r="C8" s="174"/>
      <c r="D8" s="146"/>
      <c r="E8" s="146"/>
      <c r="F8" s="146"/>
      <c r="G8" s="174"/>
      <c r="H8" s="146"/>
      <c r="I8" s="146"/>
      <c r="J8" s="1"/>
    </row>
    <row r="9" spans="1:14">
      <c r="A9" s="258" t="str">
        <f>DEO!A11</f>
        <v>DUKE ENERGY OHIO (DEO)</v>
      </c>
      <c r="B9" s="174"/>
      <c r="C9" s="174"/>
      <c r="D9" s="146"/>
      <c r="E9" s="146"/>
      <c r="F9" s="146"/>
      <c r="G9" s="174"/>
      <c r="H9" s="177"/>
      <c r="I9" s="146"/>
      <c r="J9" s="1"/>
    </row>
    <row r="10" spans="1:14">
      <c r="A10" s="226" t="s">
        <v>295</v>
      </c>
      <c r="B10" s="174"/>
      <c r="C10" s="174"/>
      <c r="D10" s="146"/>
      <c r="E10" s="146"/>
      <c r="F10" s="146"/>
      <c r="G10" s="174"/>
      <c r="H10" s="177"/>
      <c r="I10" s="146"/>
      <c r="J10" s="1"/>
    </row>
    <row r="11" spans="1:14">
      <c r="A11" s="250"/>
      <c r="B11" s="174"/>
      <c r="C11" s="146"/>
      <c r="D11" s="146"/>
      <c r="E11" s="146"/>
      <c r="F11" s="146"/>
      <c r="G11" s="177"/>
      <c r="H11" s="146"/>
      <c r="I11" s="146"/>
      <c r="J11" s="1"/>
    </row>
    <row r="12" spans="1:14">
      <c r="A12" s="146" t="s">
        <v>497</v>
      </c>
      <c r="B12" s="174"/>
      <c r="C12" s="174"/>
      <c r="D12" s="146"/>
      <c r="E12" s="146"/>
      <c r="F12" s="146"/>
      <c r="G12" s="177"/>
      <c r="H12" s="146"/>
      <c r="I12" s="146"/>
      <c r="J12" s="1"/>
    </row>
    <row r="13" spans="1:14">
      <c r="A13" s="86"/>
      <c r="C13" s="1"/>
      <c r="D13" s="1"/>
      <c r="E13" s="1"/>
      <c r="F13" s="1"/>
      <c r="G13" s="17"/>
    </row>
    <row r="14" spans="1:14">
      <c r="A14" s="86"/>
      <c r="C14" s="1"/>
      <c r="D14" s="1"/>
      <c r="E14" s="1"/>
      <c r="F14" s="1"/>
      <c r="G14" s="1"/>
    </row>
    <row r="15" spans="1:14">
      <c r="C15" s="3" t="s">
        <v>18</v>
      </c>
      <c r="D15" s="3"/>
      <c r="E15" s="3" t="s">
        <v>19</v>
      </c>
      <c r="F15" s="3"/>
      <c r="G15" s="3" t="s">
        <v>20</v>
      </c>
      <c r="I15" s="5" t="s">
        <v>21</v>
      </c>
    </row>
    <row r="16" spans="1:14" ht="15.75">
      <c r="C16" s="1"/>
      <c r="D16" s="1"/>
      <c r="I16" s="27"/>
    </row>
    <row r="17" spans="1:12">
      <c r="A17" s="26" t="s">
        <v>8</v>
      </c>
      <c r="C17" s="1"/>
      <c r="D17" s="1"/>
      <c r="E17" s="4" t="s">
        <v>296</v>
      </c>
      <c r="F17" s="4"/>
      <c r="G17" s="2"/>
    </row>
    <row r="18" spans="1:12">
      <c r="A18" s="180" t="s">
        <v>10</v>
      </c>
      <c r="B18" s="249"/>
      <c r="C18" s="184"/>
      <c r="D18" s="184"/>
      <c r="E18" s="238" t="s">
        <v>25</v>
      </c>
      <c r="F18" s="238"/>
      <c r="G18" s="180" t="s">
        <v>24</v>
      </c>
      <c r="H18" s="249"/>
      <c r="I18" s="180" t="s">
        <v>13</v>
      </c>
    </row>
    <row r="19" spans="1:12" ht="15.75">
      <c r="A19" s="90"/>
      <c r="C19" s="1" t="s">
        <v>335</v>
      </c>
      <c r="D19" s="1"/>
      <c r="E19" s="2"/>
      <c r="F19" s="2"/>
      <c r="G19" s="2"/>
      <c r="I19" s="2"/>
    </row>
    <row r="20" spans="1:12">
      <c r="A20" s="91">
        <v>1</v>
      </c>
      <c r="C20" s="1" t="s">
        <v>212</v>
      </c>
      <c r="D20" s="1"/>
      <c r="E20" s="4" t="s">
        <v>643</v>
      </c>
      <c r="F20" s="4"/>
      <c r="G20" s="92">
        <f>DEO!J54</f>
        <v>1262220857</v>
      </c>
    </row>
    <row r="21" spans="1:12">
      <c r="A21" s="91">
        <v>2</v>
      </c>
      <c r="C21" s="1" t="s">
        <v>213</v>
      </c>
      <c r="D21" s="1"/>
      <c r="E21" s="4" t="s">
        <v>644</v>
      </c>
      <c r="F21" s="4"/>
      <c r="G21" s="92">
        <f>DEO!J70</f>
        <v>1078093884</v>
      </c>
      <c r="I21" s="2"/>
    </row>
    <row r="22" spans="1:12">
      <c r="A22" s="91"/>
      <c r="E22" s="4"/>
      <c r="F22" s="4"/>
    </row>
    <row r="23" spans="1:12">
      <c r="A23" s="91"/>
      <c r="C23" s="1" t="s">
        <v>193</v>
      </c>
      <c r="D23" s="1"/>
      <c r="E23" s="4"/>
      <c r="F23" s="4"/>
      <c r="G23" s="2"/>
    </row>
    <row r="24" spans="1:12">
      <c r="A24" s="91">
        <v>3</v>
      </c>
      <c r="C24" s="1" t="s">
        <v>214</v>
      </c>
      <c r="D24" s="1"/>
      <c r="E24" s="4" t="s">
        <v>642</v>
      </c>
      <c r="F24" s="4"/>
      <c r="G24" s="92">
        <f>DEO!J127</f>
        <v>27348835</v>
      </c>
    </row>
    <row r="25" spans="1:12">
      <c r="A25" s="91">
        <v>4</v>
      </c>
      <c r="C25" s="1" t="s">
        <v>215</v>
      </c>
      <c r="D25" s="1"/>
      <c r="E25" s="4" t="s">
        <v>649</v>
      </c>
      <c r="F25" s="4"/>
      <c r="G25" s="93">
        <f>ROUND(IF(G24=0,0,G24/G20),4)</f>
        <v>2.1700000000000001E-2</v>
      </c>
      <c r="I25" s="94">
        <f>G25</f>
        <v>2.1700000000000001E-2</v>
      </c>
    </row>
    <row r="26" spans="1:12">
      <c r="A26" s="91"/>
      <c r="E26" s="4"/>
      <c r="F26" s="4"/>
    </row>
    <row r="27" spans="1:12" ht="30">
      <c r="A27" s="97"/>
      <c r="C27" s="381" t="s">
        <v>569</v>
      </c>
      <c r="D27" s="1"/>
      <c r="E27" s="67"/>
      <c r="F27" s="4"/>
    </row>
    <row r="28" spans="1:12">
      <c r="A28" s="97" t="s">
        <v>216</v>
      </c>
      <c r="C28" s="1" t="s">
        <v>570</v>
      </c>
      <c r="D28" s="1"/>
      <c r="E28" s="4" t="s">
        <v>535</v>
      </c>
      <c r="F28" s="4"/>
      <c r="G28" s="92">
        <f>DEO!J131+DEO!J132</f>
        <v>7334290</v>
      </c>
    </row>
    <row r="29" spans="1:12" ht="30">
      <c r="A29" s="382" t="s">
        <v>217</v>
      </c>
      <c r="C29" s="381" t="s">
        <v>571</v>
      </c>
      <c r="D29" s="1"/>
      <c r="E29" s="383" t="s">
        <v>646</v>
      </c>
      <c r="F29" s="383"/>
      <c r="G29" s="384">
        <f>ROUND(IF(G28=0,0,G28/G20),4)</f>
        <v>5.7999999999999996E-3</v>
      </c>
      <c r="H29" s="385"/>
      <c r="I29" s="386">
        <f>G29</f>
        <v>5.7999999999999996E-3</v>
      </c>
      <c r="K29" s="87"/>
      <c r="L29" s="84"/>
    </row>
    <row r="30" spans="1:12">
      <c r="A30" s="91"/>
      <c r="E30" s="4"/>
      <c r="F30" s="4"/>
    </row>
    <row r="31" spans="1:12">
      <c r="A31" s="97"/>
      <c r="C31" s="1" t="s">
        <v>196</v>
      </c>
      <c r="D31" s="1"/>
      <c r="E31" s="67"/>
      <c r="F31" s="67"/>
      <c r="G31" s="2"/>
    </row>
    <row r="32" spans="1:12">
      <c r="A32" s="97" t="s">
        <v>219</v>
      </c>
      <c r="C32" s="1" t="s">
        <v>198</v>
      </c>
      <c r="D32" s="1"/>
      <c r="E32" s="4" t="s">
        <v>641</v>
      </c>
      <c r="F32" s="4"/>
      <c r="G32" s="92">
        <f>DEO!J144</f>
        <v>52162325</v>
      </c>
    </row>
    <row r="33" spans="1:10">
      <c r="A33" s="97" t="s">
        <v>221</v>
      </c>
      <c r="C33" s="1" t="s">
        <v>218</v>
      </c>
      <c r="D33" s="1"/>
      <c r="E33" s="4" t="s">
        <v>647</v>
      </c>
      <c r="F33" s="4"/>
      <c r="G33" s="93">
        <f>ROUND(IF(G32=0,0,G32/G20),4)</f>
        <v>4.1300000000000003E-2</v>
      </c>
      <c r="I33" s="94">
        <f>G33</f>
        <v>4.1300000000000003E-2</v>
      </c>
    </row>
    <row r="34" spans="1:10">
      <c r="A34" s="97"/>
      <c r="C34" s="1"/>
      <c r="D34" s="1"/>
      <c r="E34" s="4"/>
      <c r="F34" s="4"/>
      <c r="G34" s="2"/>
      <c r="I34" s="2"/>
    </row>
    <row r="35" spans="1:10" ht="15.75">
      <c r="A35" s="98" t="s">
        <v>194</v>
      </c>
      <c r="B35" s="99"/>
      <c r="C35" s="10" t="s">
        <v>220</v>
      </c>
      <c r="D35" s="10"/>
      <c r="E35" s="88" t="s">
        <v>402</v>
      </c>
      <c r="F35" s="88"/>
      <c r="G35" s="100"/>
      <c r="I35" s="101">
        <f>I25+I29+I33</f>
        <v>6.88E-2</v>
      </c>
    </row>
    <row r="36" spans="1:10">
      <c r="A36" s="229"/>
      <c r="C36" s="1"/>
      <c r="D36" s="1"/>
      <c r="E36" s="4"/>
      <c r="F36" s="4"/>
      <c r="G36" s="2"/>
      <c r="I36" s="2"/>
    </row>
    <row r="37" spans="1:10">
      <c r="A37" s="97"/>
      <c r="B37" s="102"/>
      <c r="C37" s="2" t="s">
        <v>200</v>
      </c>
      <c r="D37" s="2"/>
      <c r="E37" s="4"/>
      <c r="F37" s="4"/>
      <c r="G37" s="2"/>
    </row>
    <row r="38" spans="1:10">
      <c r="A38" s="97" t="s">
        <v>195</v>
      </c>
      <c r="B38" s="102"/>
      <c r="C38" s="2" t="s">
        <v>125</v>
      </c>
      <c r="D38" s="2"/>
      <c r="E38" s="4" t="s">
        <v>801</v>
      </c>
      <c r="F38" s="4"/>
      <c r="G38" s="92">
        <f>DEO!J161</f>
        <v>8847140</v>
      </c>
      <c r="I38" s="2"/>
    </row>
    <row r="39" spans="1:10">
      <c r="A39" s="97" t="s">
        <v>197</v>
      </c>
      <c r="B39" s="102"/>
      <c r="C39" s="2" t="s">
        <v>222</v>
      </c>
      <c r="D39" s="2"/>
      <c r="E39" s="4" t="s">
        <v>648</v>
      </c>
      <c r="F39" s="4"/>
      <c r="G39" s="93">
        <f>ROUND(IF(G38=0,0,G38/G21),4)</f>
        <v>8.2000000000000007E-3</v>
      </c>
      <c r="I39" s="94">
        <f>G39</f>
        <v>8.2000000000000007E-3</v>
      </c>
    </row>
    <row r="40" spans="1:10">
      <c r="A40" s="97"/>
      <c r="C40" s="2"/>
      <c r="D40" s="2"/>
      <c r="E40" s="4"/>
      <c r="F40" s="4"/>
      <c r="G40" s="2"/>
      <c r="I40" s="2"/>
    </row>
    <row r="41" spans="1:10">
      <c r="A41" s="97"/>
      <c r="C41" s="1" t="s">
        <v>59</v>
      </c>
      <c r="D41" s="1"/>
      <c r="E41" s="15"/>
      <c r="F41" s="15"/>
    </row>
    <row r="42" spans="1:10">
      <c r="A42" s="97" t="s">
        <v>199</v>
      </c>
      <c r="C42" s="1" t="s">
        <v>201</v>
      </c>
      <c r="D42" s="1"/>
      <c r="E42" s="4" t="s">
        <v>802</v>
      </c>
      <c r="F42" s="4"/>
      <c r="G42" s="92">
        <f>DEO!J163</f>
        <v>72280102</v>
      </c>
    </row>
    <row r="43" spans="1:10">
      <c r="A43" s="97" t="s">
        <v>260</v>
      </c>
      <c r="B43" s="102"/>
      <c r="C43" s="2" t="s">
        <v>223</v>
      </c>
      <c r="D43" s="2"/>
      <c r="E43" s="4" t="s">
        <v>645</v>
      </c>
      <c r="F43" s="4"/>
      <c r="G43" s="103">
        <f>ROUND(IF(G42=0,0,G42/G21),4)</f>
        <v>6.7000000000000004E-2</v>
      </c>
      <c r="I43" s="94">
        <f>G43</f>
        <v>6.7000000000000004E-2</v>
      </c>
    </row>
    <row r="44" spans="1:10">
      <c r="A44" s="97"/>
      <c r="C44" s="1"/>
      <c r="D44" s="1"/>
      <c r="E44" s="4"/>
      <c r="F44" s="4"/>
      <c r="G44" s="2"/>
      <c r="I44" s="2"/>
    </row>
    <row r="45" spans="1:10" ht="15.75">
      <c r="A45" s="98" t="s">
        <v>261</v>
      </c>
      <c r="B45" s="99"/>
      <c r="C45" s="10" t="s">
        <v>224</v>
      </c>
      <c r="D45" s="10"/>
      <c r="E45" s="88" t="s">
        <v>337</v>
      </c>
      <c r="F45" s="88"/>
      <c r="G45" s="100"/>
      <c r="I45" s="101">
        <f>I39+I43</f>
        <v>7.5200000000000003E-2</v>
      </c>
    </row>
    <row r="47" spans="1:10">
      <c r="A47" s="106"/>
      <c r="C47" s="97"/>
      <c r="D47" s="97"/>
      <c r="E47" s="67"/>
      <c r="F47" s="67"/>
      <c r="G47" s="2"/>
      <c r="H47" s="9"/>
      <c r="I47" s="9"/>
      <c r="J47" s="93"/>
    </row>
    <row r="48" spans="1:10">
      <c r="A48" s="86"/>
      <c r="C48" s="9"/>
      <c r="D48" s="9"/>
      <c r="E48" s="9"/>
      <c r="F48" s="9"/>
      <c r="G48" s="2"/>
      <c r="H48" s="9"/>
      <c r="I48" s="9"/>
      <c r="J48" s="9"/>
    </row>
    <row r="49" spans="11:29">
      <c r="X49" s="50" t="s">
        <v>296</v>
      </c>
    </row>
    <row r="50" spans="11:29">
      <c r="X50" s="50" t="s">
        <v>338</v>
      </c>
    </row>
    <row r="51" spans="11:29">
      <c r="X51" s="107" t="s">
        <v>202</v>
      </c>
    </row>
    <row r="52" spans="11:29">
      <c r="K52" s="86"/>
      <c r="M52" s="9"/>
      <c r="N52" s="9"/>
      <c r="O52" s="9"/>
      <c r="P52" s="9"/>
      <c r="Q52" s="2"/>
      <c r="R52" s="9"/>
      <c r="S52" s="9"/>
      <c r="T52" s="9"/>
      <c r="U52" s="9"/>
      <c r="W52" s="2"/>
      <c r="X52" s="107" t="str">
        <f>I4</f>
        <v>For the 12 months ended: 12/31/2021</v>
      </c>
      <c r="Y52" s="87"/>
      <c r="Z52" s="84"/>
      <c r="AA52" s="87"/>
      <c r="AB52" s="84"/>
    </row>
    <row r="53" spans="11:29">
      <c r="K53" s="86"/>
      <c r="M53" s="1"/>
      <c r="N53" s="9"/>
      <c r="O53" s="9"/>
      <c r="P53" s="9"/>
      <c r="Q53" s="2"/>
      <c r="R53" s="9"/>
      <c r="S53" s="9"/>
      <c r="T53" s="9"/>
      <c r="U53" s="9"/>
      <c r="W53" s="2"/>
      <c r="Y53" s="87"/>
      <c r="Z53" s="84"/>
      <c r="AA53" s="87"/>
      <c r="AB53" s="84"/>
    </row>
    <row r="54" spans="11:29">
      <c r="K54" s="70" t="str">
        <f>A6</f>
        <v>Rate Formula Template</v>
      </c>
      <c r="L54" s="174"/>
      <c r="M54" s="174"/>
      <c r="N54" s="146"/>
      <c r="O54" s="70"/>
      <c r="P54" s="70"/>
      <c r="Q54" s="174"/>
      <c r="R54" s="70"/>
      <c r="S54" s="70"/>
      <c r="T54" s="70"/>
      <c r="U54" s="70"/>
      <c r="V54" s="174"/>
      <c r="W54" s="145"/>
      <c r="X54" s="174"/>
      <c r="Y54" s="87"/>
      <c r="Z54" s="84"/>
      <c r="AA54" s="87"/>
      <c r="AB54" s="84"/>
    </row>
    <row r="55" spans="11:29">
      <c r="K55" s="70" t="str">
        <f>A7</f>
        <v>Utilizing Attachment H-22A Data</v>
      </c>
      <c r="L55" s="174"/>
      <c r="M55" s="146"/>
      <c r="N55" s="146"/>
      <c r="O55" s="70"/>
      <c r="P55" s="70"/>
      <c r="Q55" s="174"/>
      <c r="R55" s="70"/>
      <c r="S55" s="70"/>
      <c r="T55" s="70"/>
      <c r="U55" s="70"/>
      <c r="V55" s="145"/>
      <c r="W55" s="145"/>
      <c r="X55" s="174"/>
      <c r="Y55" s="87"/>
      <c r="Z55" s="84"/>
      <c r="AA55" s="87"/>
      <c r="AB55" s="84"/>
    </row>
    <row r="56" spans="11:29" ht="14.25" customHeight="1">
      <c r="K56" s="173"/>
      <c r="M56" s="9"/>
      <c r="N56" s="9"/>
      <c r="O56" s="9"/>
      <c r="P56" s="9"/>
      <c r="R56" s="70"/>
      <c r="S56" s="9"/>
      <c r="T56" s="9"/>
      <c r="U56" s="9"/>
      <c r="W56" s="2"/>
      <c r="X56" s="9"/>
      <c r="Y56" s="87"/>
      <c r="Z56" s="84"/>
      <c r="AA56" s="87"/>
      <c r="AB56" s="84"/>
    </row>
    <row r="57" spans="11:29">
      <c r="K57" s="70" t="str">
        <f>A9</f>
        <v>DUKE ENERGY OHIO (DEO)</v>
      </c>
      <c r="L57" s="174"/>
      <c r="M57" s="174"/>
      <c r="N57" s="174"/>
      <c r="O57" s="70"/>
      <c r="P57" s="70"/>
      <c r="Q57" s="174"/>
      <c r="R57" s="70"/>
      <c r="S57" s="70"/>
      <c r="T57" s="70"/>
      <c r="U57" s="70"/>
      <c r="V57" s="70"/>
      <c r="W57" s="145"/>
      <c r="X57" s="145"/>
      <c r="Y57" s="87"/>
      <c r="Z57" s="84"/>
      <c r="AA57" s="87"/>
      <c r="AB57" s="84"/>
    </row>
    <row r="58" spans="11:29">
      <c r="K58" s="70" t="str">
        <f>A10</f>
        <v>RTEP - Transmission Enhancement Charges</v>
      </c>
      <c r="L58" s="174"/>
      <c r="M58" s="174"/>
      <c r="N58" s="174"/>
      <c r="O58" s="70"/>
      <c r="P58" s="70"/>
      <c r="Q58" s="174"/>
      <c r="R58" s="70"/>
      <c r="S58" s="70"/>
      <c r="T58" s="70"/>
      <c r="U58" s="70"/>
      <c r="V58" s="70"/>
      <c r="W58" s="145"/>
      <c r="X58" s="145"/>
      <c r="Y58" s="87"/>
      <c r="Z58" s="84"/>
      <c r="AA58" s="87"/>
      <c r="AB58" s="84"/>
    </row>
    <row r="59" spans="11:29">
      <c r="K59" s="86"/>
      <c r="O59" s="1"/>
      <c r="P59" s="1"/>
      <c r="Q59" s="1"/>
      <c r="R59" s="1"/>
      <c r="S59" s="1"/>
      <c r="T59" s="1"/>
      <c r="U59" s="1"/>
      <c r="V59" s="1"/>
      <c r="W59" s="1"/>
      <c r="X59" s="1"/>
      <c r="Y59" s="87"/>
      <c r="Z59" s="84"/>
      <c r="AA59" s="84"/>
      <c r="AB59" s="87"/>
      <c r="AC59" s="84"/>
    </row>
    <row r="60" spans="11:29" ht="15.75">
      <c r="K60" s="175" t="s">
        <v>269</v>
      </c>
      <c r="L60" s="174"/>
      <c r="M60" s="70"/>
      <c r="N60" s="70"/>
      <c r="O60" s="174"/>
      <c r="P60" s="175"/>
      <c r="Q60" s="174"/>
      <c r="R60" s="146"/>
      <c r="S60" s="146"/>
      <c r="T60" s="146"/>
      <c r="U60" s="146"/>
      <c r="V60" s="146"/>
      <c r="W60" s="145"/>
      <c r="X60" s="145"/>
      <c r="Y60" s="87"/>
      <c r="Z60" s="84"/>
      <c r="AA60" s="87"/>
      <c r="AB60" s="84"/>
    </row>
    <row r="61" spans="11:29" ht="15.75">
      <c r="K61" s="86"/>
      <c r="M61" s="9"/>
      <c r="N61" s="9"/>
      <c r="O61" s="10"/>
      <c r="P61" s="10"/>
      <c r="R61" s="1"/>
      <c r="S61" s="1"/>
      <c r="T61" s="1"/>
      <c r="U61" s="1"/>
      <c r="V61" s="1"/>
      <c r="W61" s="2"/>
      <c r="X61" s="2"/>
      <c r="Y61" s="87"/>
      <c r="Z61" s="84"/>
      <c r="AA61" s="87"/>
      <c r="AB61" s="84"/>
    </row>
    <row r="62" spans="11:29" ht="15.75">
      <c r="K62" s="86"/>
      <c r="M62" s="108">
        <v>-1</v>
      </c>
      <c r="N62" s="108">
        <v>-2</v>
      </c>
      <c r="O62" s="108">
        <v>-3</v>
      </c>
      <c r="P62" s="108">
        <v>-4</v>
      </c>
      <c r="Q62" s="108">
        <v>-5</v>
      </c>
      <c r="R62" s="108">
        <v>-6</v>
      </c>
      <c r="S62" s="108">
        <v>-7</v>
      </c>
      <c r="T62" s="108">
        <v>-8</v>
      </c>
      <c r="U62" s="108">
        <v>-9</v>
      </c>
      <c r="V62" s="108">
        <v>-10</v>
      </c>
      <c r="W62" s="108">
        <v>-11</v>
      </c>
      <c r="X62" s="108">
        <v>-12</v>
      </c>
      <c r="Y62" s="87"/>
      <c r="Z62" s="84"/>
      <c r="AA62" s="87"/>
      <c r="AB62" s="84"/>
    </row>
    <row r="63" spans="11:29" ht="63">
      <c r="K63" s="109" t="s">
        <v>225</v>
      </c>
      <c r="L63" s="110"/>
      <c r="M63" s="110" t="s">
        <v>206</v>
      </c>
      <c r="N63" s="111" t="s">
        <v>336</v>
      </c>
      <c r="O63" s="112" t="s">
        <v>227</v>
      </c>
      <c r="P63" s="112" t="s">
        <v>220</v>
      </c>
      <c r="Q63" s="113" t="s">
        <v>228</v>
      </c>
      <c r="R63" s="112" t="s">
        <v>229</v>
      </c>
      <c r="S63" s="112" t="s">
        <v>224</v>
      </c>
      <c r="T63" s="113" t="s">
        <v>230</v>
      </c>
      <c r="U63" s="112" t="s">
        <v>231</v>
      </c>
      <c r="V63" s="114" t="s">
        <v>232</v>
      </c>
      <c r="W63" s="115" t="s">
        <v>233</v>
      </c>
      <c r="X63" s="114" t="s">
        <v>234</v>
      </c>
      <c r="Y63" s="96"/>
      <c r="Z63" s="84"/>
      <c r="AA63" s="87"/>
      <c r="AB63" s="84"/>
    </row>
    <row r="64" spans="11:29" ht="46.5" customHeight="1">
      <c r="K64" s="116"/>
      <c r="L64" s="117"/>
      <c r="M64" s="117"/>
      <c r="N64" s="117"/>
      <c r="O64" s="118" t="s">
        <v>16</v>
      </c>
      <c r="P64" s="118" t="s">
        <v>694</v>
      </c>
      <c r="Q64" s="119" t="s">
        <v>235</v>
      </c>
      <c r="R64" s="118" t="s">
        <v>17</v>
      </c>
      <c r="S64" s="118" t="s">
        <v>695</v>
      </c>
      <c r="T64" s="119" t="s">
        <v>236</v>
      </c>
      <c r="U64" s="118" t="s">
        <v>237</v>
      </c>
      <c r="V64" s="119" t="s">
        <v>238</v>
      </c>
      <c r="W64" s="120" t="s">
        <v>203</v>
      </c>
      <c r="X64" s="121" t="s">
        <v>239</v>
      </c>
      <c r="Y64" s="87"/>
      <c r="Z64" s="84"/>
      <c r="AA64" s="87"/>
      <c r="AB64" s="84"/>
    </row>
    <row r="65" spans="11:31">
      <c r="K65" s="122"/>
      <c r="L65" s="1"/>
      <c r="M65" s="1"/>
      <c r="N65" s="1"/>
      <c r="O65" s="1"/>
      <c r="P65" s="1"/>
      <c r="Q65" s="123"/>
      <c r="R65" s="1"/>
      <c r="S65" s="1"/>
      <c r="T65" s="123"/>
      <c r="U65" s="1"/>
      <c r="V65" s="123"/>
      <c r="W65" s="2"/>
      <c r="X65" s="124"/>
      <c r="Y65" s="87"/>
      <c r="Z65" s="84"/>
      <c r="AA65" s="87"/>
      <c r="AB65" s="84"/>
    </row>
    <row r="66" spans="11:31">
      <c r="K66" s="609" t="s">
        <v>1</v>
      </c>
      <c r="L66" s="351"/>
      <c r="M66" s="352" t="s">
        <v>996</v>
      </c>
      <c r="N66" s="882" t="s">
        <v>997</v>
      </c>
      <c r="O66" s="353">
        <v>21145094</v>
      </c>
      <c r="P66" s="354">
        <f>$I$35</f>
        <v>6.88E-2</v>
      </c>
      <c r="Q66" s="565">
        <f>ROUND(O66*P66,0)</f>
        <v>1454782</v>
      </c>
      <c r="R66" s="126">
        <v>20999679</v>
      </c>
      <c r="S66" s="94">
        <f>$I$45</f>
        <v>7.5200000000000003E-2</v>
      </c>
      <c r="T66" s="565">
        <f>ROUND(R66*S66,0)</f>
        <v>1579176</v>
      </c>
      <c r="U66" s="566">
        <v>201284</v>
      </c>
      <c r="V66" s="565">
        <f>Q66+T66+U66</f>
        <v>3235242</v>
      </c>
      <c r="W66" s="128">
        <v>0</v>
      </c>
      <c r="X66" s="565">
        <f>V66+W66</f>
        <v>3235242</v>
      </c>
      <c r="Y66" s="129"/>
      <c r="Z66" s="129"/>
      <c r="AA66" s="129"/>
      <c r="AB66" s="129"/>
      <c r="AC66" s="129"/>
      <c r="AD66" s="129"/>
      <c r="AE66" s="129"/>
    </row>
    <row r="67" spans="11:31">
      <c r="K67" s="609" t="s">
        <v>242</v>
      </c>
      <c r="L67" s="351"/>
      <c r="M67" s="351"/>
      <c r="N67" s="351"/>
      <c r="O67" s="353">
        <v>0</v>
      </c>
      <c r="P67" s="354">
        <f>$I$35</f>
        <v>6.88E-2</v>
      </c>
      <c r="Q67" s="565">
        <f t="shared" ref="Q67:Q68" si="0">ROUND(O67*P67,0)</f>
        <v>0</v>
      </c>
      <c r="R67" s="126">
        <v>0</v>
      </c>
      <c r="S67" s="94">
        <f>$I$45</f>
        <v>7.5200000000000003E-2</v>
      </c>
      <c r="T67" s="565">
        <f t="shared" ref="T67:T68" si="1">ROUND(R67*S67,0)</f>
        <v>0</v>
      </c>
      <c r="U67" s="566">
        <v>0</v>
      </c>
      <c r="V67" s="565">
        <f>Q67+T67+U67</f>
        <v>0</v>
      </c>
      <c r="W67" s="128">
        <v>0</v>
      </c>
      <c r="X67" s="565">
        <f>V67+W67</f>
        <v>0</v>
      </c>
      <c r="Y67" s="129"/>
      <c r="Z67" s="129"/>
      <c r="AA67" s="129"/>
      <c r="AB67" s="129"/>
      <c r="AC67" s="129"/>
      <c r="AD67" s="129"/>
      <c r="AE67" s="129"/>
    </row>
    <row r="68" spans="11:31">
      <c r="K68" s="609" t="s">
        <v>245</v>
      </c>
      <c r="L68" s="351"/>
      <c r="M68" s="351"/>
      <c r="N68" s="351"/>
      <c r="O68" s="353">
        <v>0</v>
      </c>
      <c r="P68" s="354">
        <f>$I$35</f>
        <v>6.88E-2</v>
      </c>
      <c r="Q68" s="565">
        <f t="shared" si="0"/>
        <v>0</v>
      </c>
      <c r="R68" s="126">
        <v>0</v>
      </c>
      <c r="S68" s="94">
        <f>$I$45</f>
        <v>7.5200000000000003E-2</v>
      </c>
      <c r="T68" s="565">
        <f t="shared" si="1"/>
        <v>0</v>
      </c>
      <c r="U68" s="566">
        <v>0</v>
      </c>
      <c r="V68" s="565">
        <f>Q68+T68+U68</f>
        <v>0</v>
      </c>
      <c r="W68" s="126">
        <v>0</v>
      </c>
      <c r="X68" s="565">
        <f>V68+W68</f>
        <v>0</v>
      </c>
      <c r="Y68" s="129"/>
      <c r="Z68" s="129"/>
      <c r="AA68" s="129"/>
      <c r="AB68" s="129"/>
      <c r="AC68" s="129"/>
      <c r="AD68" s="129"/>
      <c r="AE68" s="129"/>
    </row>
    <row r="69" spans="11:31">
      <c r="K69" s="125"/>
      <c r="Q69" s="127"/>
      <c r="T69" s="127"/>
      <c r="V69" s="127"/>
      <c r="X69" s="127"/>
      <c r="Y69" s="129"/>
      <c r="Z69" s="129"/>
      <c r="AA69" s="129"/>
      <c r="AB69" s="129"/>
      <c r="AC69" s="129"/>
      <c r="AD69" s="129"/>
      <c r="AE69" s="129"/>
    </row>
    <row r="70" spans="11:31">
      <c r="K70" s="125"/>
      <c r="Q70" s="127"/>
      <c r="T70" s="127"/>
      <c r="V70" s="127"/>
      <c r="X70" s="127"/>
      <c r="Y70" s="129"/>
      <c r="Z70" s="129"/>
      <c r="AA70" s="129"/>
      <c r="AB70" s="129"/>
      <c r="AC70" s="129"/>
      <c r="AD70" s="129"/>
      <c r="AE70" s="129"/>
    </row>
    <row r="71" spans="11:31">
      <c r="K71" s="125"/>
      <c r="Q71" s="127"/>
      <c r="T71" s="127"/>
      <c r="V71" s="127"/>
      <c r="X71" s="127"/>
      <c r="Y71" s="129"/>
      <c r="Z71" s="129"/>
      <c r="AA71" s="129"/>
      <c r="AB71" s="129"/>
      <c r="AC71" s="129"/>
      <c r="AD71" s="129"/>
      <c r="AE71" s="129"/>
    </row>
    <row r="72" spans="11:31">
      <c r="K72" s="125"/>
      <c r="Q72" s="127"/>
      <c r="T72" s="127"/>
      <c r="V72" s="127"/>
      <c r="X72" s="127"/>
      <c r="Y72" s="129"/>
      <c r="Z72" s="129"/>
      <c r="AA72" s="129"/>
      <c r="AB72" s="129"/>
      <c r="AC72" s="129"/>
      <c r="AD72" s="129"/>
      <c r="AE72" s="129"/>
    </row>
    <row r="73" spans="11:31">
      <c r="K73" s="125"/>
      <c r="Q73" s="127"/>
      <c r="T73" s="127"/>
      <c r="V73" s="127"/>
      <c r="X73" s="127"/>
      <c r="Y73" s="129"/>
      <c r="Z73" s="129"/>
      <c r="AA73" s="129"/>
      <c r="AB73" s="129"/>
      <c r="AC73" s="129"/>
      <c r="AD73" s="129"/>
      <c r="AE73" s="129"/>
    </row>
    <row r="74" spans="11:31">
      <c r="K74" s="125"/>
      <c r="M74" s="129"/>
      <c r="N74" s="129"/>
      <c r="O74" s="129"/>
      <c r="P74" s="129"/>
      <c r="Q74" s="130"/>
      <c r="R74" s="129"/>
      <c r="S74" s="129"/>
      <c r="T74" s="130"/>
      <c r="U74" s="129"/>
      <c r="V74" s="130"/>
      <c r="W74" s="129"/>
      <c r="X74" s="130"/>
      <c r="Y74" s="129"/>
      <c r="Z74" s="129"/>
      <c r="AA74" s="129"/>
      <c r="AB74" s="129"/>
      <c r="AC74" s="129"/>
      <c r="AD74" s="129"/>
      <c r="AE74" s="129"/>
    </row>
    <row r="75" spans="11:31">
      <c r="K75" s="125"/>
      <c r="M75" s="129"/>
      <c r="N75" s="129"/>
      <c r="O75" s="129"/>
      <c r="P75" s="129"/>
      <c r="Q75" s="130"/>
      <c r="R75" s="129"/>
      <c r="S75" s="129"/>
      <c r="T75" s="130"/>
      <c r="U75" s="129"/>
      <c r="V75" s="130"/>
      <c r="W75" s="129"/>
      <c r="X75" s="130"/>
      <c r="Y75" s="129"/>
      <c r="Z75" s="129"/>
      <c r="AA75" s="129"/>
      <c r="AB75" s="129"/>
      <c r="AC75" s="129"/>
      <c r="AD75" s="129"/>
      <c r="AE75" s="129"/>
    </row>
    <row r="76" spans="11:31">
      <c r="K76" s="125"/>
      <c r="M76" s="129"/>
      <c r="N76" s="129"/>
      <c r="O76" s="129"/>
      <c r="P76" s="129"/>
      <c r="Q76" s="130"/>
      <c r="R76" s="129"/>
      <c r="S76" s="129"/>
      <c r="T76" s="130"/>
      <c r="U76" s="129"/>
      <c r="V76" s="130"/>
      <c r="W76" s="129"/>
      <c r="X76" s="130"/>
      <c r="Y76" s="129"/>
      <c r="Z76" s="129"/>
      <c r="AA76" s="129"/>
      <c r="AB76" s="129"/>
      <c r="AC76" s="129"/>
      <c r="AD76" s="129"/>
      <c r="AE76" s="129"/>
    </row>
    <row r="77" spans="11:31">
      <c r="K77" s="125"/>
      <c r="M77" s="129"/>
      <c r="N77" s="129"/>
      <c r="O77" s="129"/>
      <c r="P77" s="129"/>
      <c r="Q77" s="130"/>
      <c r="R77" s="129"/>
      <c r="S77" s="129"/>
      <c r="T77" s="130"/>
      <c r="U77" s="129"/>
      <c r="V77" s="130"/>
      <c r="W77" s="129"/>
      <c r="X77" s="130"/>
      <c r="Y77" s="129"/>
      <c r="Z77" s="129"/>
      <c r="AA77" s="129"/>
      <c r="AB77" s="129"/>
      <c r="AC77" s="129"/>
      <c r="AD77" s="129"/>
      <c r="AE77" s="129"/>
    </row>
    <row r="78" spans="11:31">
      <c r="K78" s="125"/>
      <c r="M78" s="129"/>
      <c r="N78" s="129"/>
      <c r="O78" s="129"/>
      <c r="P78" s="129"/>
      <c r="Q78" s="130"/>
      <c r="R78" s="129"/>
      <c r="S78" s="129"/>
      <c r="T78" s="130"/>
      <c r="U78" s="129"/>
      <c r="V78" s="130"/>
      <c r="W78" s="129"/>
      <c r="X78" s="130"/>
      <c r="Y78" s="129"/>
      <c r="Z78" s="129"/>
      <c r="AA78" s="129"/>
      <c r="AB78" s="129"/>
      <c r="AC78" s="129"/>
      <c r="AD78" s="129"/>
      <c r="AE78" s="129"/>
    </row>
    <row r="79" spans="11:31">
      <c r="K79" s="125"/>
      <c r="M79" s="129"/>
      <c r="N79" s="129"/>
      <c r="O79" s="129"/>
      <c r="P79" s="129"/>
      <c r="Q79" s="130"/>
      <c r="R79" s="129"/>
      <c r="S79" s="129"/>
      <c r="T79" s="130"/>
      <c r="U79" s="129"/>
      <c r="V79" s="130"/>
      <c r="W79" s="129"/>
      <c r="X79" s="130"/>
      <c r="Y79" s="129"/>
      <c r="Z79" s="129"/>
      <c r="AA79" s="129"/>
      <c r="AB79" s="129"/>
      <c r="AC79" s="129"/>
      <c r="AD79" s="129"/>
      <c r="AE79" s="129"/>
    </row>
    <row r="80" spans="11:31">
      <c r="K80" s="125"/>
      <c r="M80" s="129"/>
      <c r="N80" s="129"/>
      <c r="O80" s="129"/>
      <c r="P80" s="129"/>
      <c r="Q80" s="130"/>
      <c r="R80" s="129"/>
      <c r="S80" s="129"/>
      <c r="T80" s="130"/>
      <c r="U80" s="129"/>
      <c r="V80" s="130"/>
      <c r="W80" s="129"/>
      <c r="X80" s="130"/>
      <c r="Y80" s="129"/>
      <c r="Z80" s="129"/>
      <c r="AA80" s="129"/>
      <c r="AB80" s="129"/>
      <c r="AC80" s="129"/>
      <c r="AD80" s="129"/>
      <c r="AE80" s="129"/>
    </row>
    <row r="81" spans="11:31">
      <c r="K81" s="125"/>
      <c r="M81" s="129"/>
      <c r="N81" s="129"/>
      <c r="O81" s="129"/>
      <c r="P81" s="129"/>
      <c r="Q81" s="130"/>
      <c r="R81" s="129"/>
      <c r="S81" s="129"/>
      <c r="T81" s="130"/>
      <c r="U81" s="129"/>
      <c r="V81" s="130"/>
      <c r="W81" s="129"/>
      <c r="X81" s="130"/>
      <c r="Y81" s="129"/>
      <c r="Z81" s="129"/>
      <c r="AA81" s="129"/>
      <c r="AB81" s="129"/>
      <c r="AC81" s="129"/>
      <c r="AD81" s="129"/>
      <c r="AE81" s="129"/>
    </row>
    <row r="82" spans="11:31">
      <c r="K82" s="125"/>
      <c r="M82" s="129"/>
      <c r="N82" s="129"/>
      <c r="O82" s="129"/>
      <c r="P82" s="129"/>
      <c r="Q82" s="130"/>
      <c r="R82" s="129"/>
      <c r="S82" s="129"/>
      <c r="T82" s="130"/>
      <c r="U82" s="129"/>
      <c r="V82" s="130"/>
      <c r="W82" s="129"/>
      <c r="X82" s="130"/>
      <c r="Y82" s="129"/>
      <c r="Z82" s="129"/>
      <c r="AA82" s="129"/>
      <c r="AB82" s="129"/>
      <c r="AC82" s="129"/>
      <c r="AD82" s="129"/>
      <c r="AE82" s="129"/>
    </row>
    <row r="83" spans="11:31">
      <c r="K83" s="125"/>
      <c r="M83" s="129"/>
      <c r="N83" s="129"/>
      <c r="O83" s="129"/>
      <c r="P83" s="129"/>
      <c r="Q83" s="130"/>
      <c r="R83" s="129"/>
      <c r="S83" s="129"/>
      <c r="T83" s="130"/>
      <c r="U83" s="129"/>
      <c r="V83" s="130"/>
      <c r="W83" s="129"/>
      <c r="X83" s="130"/>
      <c r="Y83" s="129"/>
      <c r="Z83" s="129"/>
      <c r="AA83" s="129"/>
      <c r="AB83" s="129"/>
      <c r="AC83" s="129"/>
      <c r="AD83" s="129"/>
      <c r="AE83" s="129"/>
    </row>
    <row r="84" spans="11:31">
      <c r="K84" s="125"/>
      <c r="M84" s="129"/>
      <c r="N84" s="129"/>
      <c r="O84" s="129"/>
      <c r="P84" s="129"/>
      <c r="Q84" s="130"/>
      <c r="R84" s="129"/>
      <c r="S84" s="129"/>
      <c r="T84" s="130"/>
      <c r="U84" s="129"/>
      <c r="V84" s="130"/>
      <c r="W84" s="129"/>
      <c r="X84" s="130"/>
      <c r="Y84" s="129"/>
      <c r="Z84" s="129"/>
      <c r="AA84" s="129"/>
      <c r="AB84" s="129"/>
      <c r="AC84" s="129"/>
      <c r="AD84" s="129"/>
      <c r="AE84" s="129"/>
    </row>
    <row r="85" spans="11:31">
      <c r="K85" s="131"/>
      <c r="L85" s="132"/>
      <c r="M85" s="133"/>
      <c r="N85" s="133"/>
      <c r="O85" s="133"/>
      <c r="P85" s="133"/>
      <c r="Q85" s="134"/>
      <c r="R85" s="133"/>
      <c r="S85" s="133"/>
      <c r="T85" s="134"/>
      <c r="U85" s="133"/>
      <c r="V85" s="134"/>
      <c r="W85" s="133"/>
      <c r="X85" s="134"/>
      <c r="Y85" s="129"/>
      <c r="Z85" s="129"/>
      <c r="AA85" s="129"/>
      <c r="AB85" s="129"/>
      <c r="AC85" s="129"/>
      <c r="AD85" s="129"/>
      <c r="AE85" s="129"/>
    </row>
    <row r="86" spans="11:31">
      <c r="K86" s="5" t="s">
        <v>248</v>
      </c>
      <c r="L86" s="102"/>
      <c r="M86" s="1" t="s">
        <v>249</v>
      </c>
      <c r="N86" s="1"/>
      <c r="O86" s="67"/>
      <c r="P86" s="67"/>
      <c r="Q86" s="2"/>
      <c r="R86" s="2"/>
      <c r="S86" s="2"/>
      <c r="T86" s="2"/>
      <c r="U86" s="2"/>
      <c r="V86" s="544">
        <f>SUM(V66:V85)</f>
        <v>3235242</v>
      </c>
      <c r="W86" s="544">
        <f>SUM(W66:W85)</f>
        <v>0</v>
      </c>
      <c r="X86" s="544">
        <f>SUM(X66:X85)</f>
        <v>3235242</v>
      </c>
      <c r="Y86" s="129"/>
      <c r="Z86" s="129"/>
      <c r="AA86" s="129"/>
      <c r="AB86" s="129"/>
      <c r="AC86" s="129"/>
      <c r="AD86" s="129"/>
      <c r="AE86" s="129"/>
    </row>
    <row r="87" spans="11:31">
      <c r="K87" s="52"/>
      <c r="L87" s="129"/>
      <c r="M87" s="129"/>
      <c r="N87" s="129"/>
      <c r="O87" s="129"/>
      <c r="P87" s="129"/>
      <c r="Q87" s="129"/>
      <c r="R87" s="129"/>
      <c r="S87" s="129"/>
      <c r="T87" s="129"/>
      <c r="U87" s="129"/>
      <c r="V87" s="564"/>
      <c r="W87" s="564"/>
      <c r="X87" s="564"/>
      <c r="Y87" s="129"/>
      <c r="Z87" s="129"/>
      <c r="AA87" s="129"/>
      <c r="AB87" s="129"/>
      <c r="AC87" s="129"/>
      <c r="AD87" s="129"/>
      <c r="AE87" s="129"/>
    </row>
    <row r="88" spans="11:31">
      <c r="K88" s="135">
        <v>3</v>
      </c>
      <c r="L88" s="129"/>
      <c r="M88" s="9" t="s">
        <v>534</v>
      </c>
      <c r="N88" s="129"/>
      <c r="O88" s="129"/>
      <c r="P88" s="129"/>
      <c r="Q88" s="129"/>
      <c r="R88" s="129"/>
      <c r="S88" s="129"/>
      <c r="T88" s="129"/>
      <c r="U88" s="129"/>
      <c r="V88" s="544"/>
      <c r="W88" s="564"/>
      <c r="X88" s="544">
        <f>X86</f>
        <v>3235242</v>
      </c>
      <c r="Y88" s="129"/>
      <c r="Z88" s="129"/>
      <c r="AA88" s="129"/>
      <c r="AB88" s="129"/>
      <c r="AC88" s="129"/>
      <c r="AD88" s="129"/>
      <c r="AE88" s="129"/>
    </row>
    <row r="89" spans="11:31">
      <c r="K89" s="129"/>
      <c r="L89" s="129"/>
      <c r="M89" s="129"/>
      <c r="N89" s="129"/>
      <c r="O89" s="129"/>
      <c r="P89" s="129"/>
      <c r="Q89" s="129"/>
      <c r="R89" s="129"/>
      <c r="S89" s="129"/>
      <c r="T89" s="129"/>
      <c r="U89" s="129"/>
      <c r="V89" s="129"/>
      <c r="W89" s="129"/>
      <c r="X89" s="129"/>
      <c r="Y89" s="129"/>
      <c r="Z89" s="129"/>
      <c r="AA89" s="129"/>
      <c r="AB89" s="129"/>
      <c r="AC89" s="129"/>
      <c r="AD89" s="129"/>
      <c r="AE89" s="129"/>
    </row>
    <row r="90" spans="11:31">
      <c r="K90" s="129"/>
      <c r="L90" s="129"/>
      <c r="M90" s="129"/>
      <c r="N90" s="129"/>
      <c r="O90" s="129"/>
      <c r="P90" s="129"/>
      <c r="Q90" s="129"/>
      <c r="R90" s="129"/>
      <c r="S90" s="129"/>
      <c r="T90" s="129"/>
      <c r="U90" s="129"/>
      <c r="V90" s="129"/>
      <c r="W90" s="129"/>
      <c r="X90" s="129"/>
      <c r="Y90" s="129"/>
      <c r="Z90" s="129"/>
      <c r="AA90" s="129"/>
      <c r="AB90" s="129"/>
      <c r="AC90" s="129"/>
      <c r="AD90" s="129"/>
      <c r="AE90" s="129"/>
    </row>
    <row r="91" spans="11:31">
      <c r="K91" s="67" t="s">
        <v>94</v>
      </c>
      <c r="L91" s="129"/>
      <c r="M91" s="129"/>
      <c r="N91" s="129"/>
      <c r="O91" s="129"/>
      <c r="P91" s="129"/>
      <c r="Q91" s="129"/>
      <c r="R91" s="129"/>
      <c r="S91" s="129"/>
      <c r="T91" s="129"/>
      <c r="U91" s="129"/>
      <c r="V91" s="129"/>
      <c r="W91" s="129"/>
      <c r="X91" s="129"/>
      <c r="Y91" s="129"/>
      <c r="Z91" s="129"/>
      <c r="AA91" s="129"/>
      <c r="AB91" s="129"/>
      <c r="AC91" s="129"/>
      <c r="AD91" s="129"/>
      <c r="AE91" s="129"/>
    </row>
    <row r="92" spans="11:31" ht="15.75" thickBot="1">
      <c r="K92" s="492" t="s">
        <v>95</v>
      </c>
      <c r="L92" s="129"/>
      <c r="M92" s="129"/>
      <c r="N92" s="129"/>
      <c r="O92" s="129"/>
      <c r="P92" s="129"/>
      <c r="Q92" s="129"/>
      <c r="R92" s="129"/>
      <c r="S92" s="129"/>
      <c r="T92" s="129"/>
      <c r="U92" s="129"/>
      <c r="V92" s="129"/>
      <c r="W92" s="129"/>
      <c r="X92" s="129"/>
      <c r="Y92" s="129"/>
      <c r="Z92" s="129"/>
      <c r="AA92" s="129"/>
      <c r="AB92" s="129"/>
      <c r="AC92" s="129"/>
      <c r="AD92" s="129"/>
      <c r="AE92" s="129"/>
    </row>
    <row r="93" spans="11:31">
      <c r="K93" s="136" t="s">
        <v>96</v>
      </c>
      <c r="L93" s="66"/>
      <c r="M93" s="1033" t="s">
        <v>573</v>
      </c>
      <c r="N93" s="1034"/>
      <c r="O93" s="1034"/>
      <c r="P93" s="1034"/>
      <c r="Q93" s="1034"/>
      <c r="R93" s="1034"/>
      <c r="S93" s="1034"/>
      <c r="T93" s="1034"/>
      <c r="U93" s="1034"/>
      <c r="V93" s="1034"/>
      <c r="W93" s="1034"/>
      <c r="X93" s="1034"/>
      <c r="Y93" s="129"/>
      <c r="Z93" s="129"/>
      <c r="AA93" s="129"/>
      <c r="AB93" s="129"/>
      <c r="AC93" s="129"/>
      <c r="AD93" s="129"/>
      <c r="AE93" s="129"/>
    </row>
    <row r="94" spans="11:31">
      <c r="K94" s="136" t="s">
        <v>97</v>
      </c>
      <c r="L94" s="66"/>
      <c r="M94" s="1033" t="s">
        <v>574</v>
      </c>
      <c r="N94" s="1034"/>
      <c r="O94" s="1034"/>
      <c r="P94" s="1034"/>
      <c r="Q94" s="1034"/>
      <c r="R94" s="1034"/>
      <c r="S94" s="1034"/>
      <c r="T94" s="1034"/>
      <c r="U94" s="1034"/>
      <c r="V94" s="1034"/>
      <c r="W94" s="1034"/>
      <c r="X94" s="1034"/>
      <c r="Y94" s="129"/>
      <c r="Z94" s="129"/>
      <c r="AA94" s="129"/>
      <c r="AB94" s="129"/>
      <c r="AC94" s="129"/>
      <c r="AD94" s="129"/>
      <c r="AE94" s="129"/>
    </row>
    <row r="95" spans="11:31" ht="27.75" customHeight="1">
      <c r="K95" s="137" t="s">
        <v>98</v>
      </c>
      <c r="L95" s="66"/>
      <c r="M95" s="1035" t="s">
        <v>250</v>
      </c>
      <c r="N95" s="1035"/>
      <c r="O95" s="1035"/>
      <c r="P95" s="1035"/>
      <c r="Q95" s="1035"/>
      <c r="R95" s="1035"/>
      <c r="S95" s="1035"/>
      <c r="T95" s="1035"/>
      <c r="U95" s="1035"/>
      <c r="V95" s="1035"/>
      <c r="W95" s="1035"/>
      <c r="X95" s="1035"/>
      <c r="Y95" s="129"/>
      <c r="Z95" s="129"/>
      <c r="AA95" s="129"/>
      <c r="AB95" s="129"/>
      <c r="AC95" s="129"/>
      <c r="AD95" s="129"/>
      <c r="AE95" s="129"/>
    </row>
    <row r="96" spans="11:31" ht="15" customHeight="1">
      <c r="K96" s="137" t="s">
        <v>99</v>
      </c>
      <c r="L96" s="66"/>
      <c r="M96" s="1035" t="s">
        <v>251</v>
      </c>
      <c r="N96" s="1035"/>
      <c r="O96" s="1035"/>
      <c r="P96" s="1035"/>
      <c r="Q96" s="1035"/>
      <c r="R96" s="1035"/>
      <c r="S96" s="1035"/>
      <c r="T96" s="1035"/>
      <c r="U96" s="1035"/>
      <c r="V96" s="1035"/>
      <c r="W96" s="1035"/>
      <c r="X96" s="1035"/>
      <c r="Y96" s="129"/>
      <c r="Z96" s="129"/>
      <c r="AA96" s="129"/>
      <c r="AB96" s="129"/>
      <c r="AC96" s="129"/>
      <c r="AD96" s="129"/>
      <c r="AE96" s="129"/>
    </row>
    <row r="97" spans="1:31">
      <c r="K97" s="136" t="s">
        <v>100</v>
      </c>
      <c r="L97" s="66"/>
      <c r="M97" s="1034" t="s">
        <v>312</v>
      </c>
      <c r="N97" s="1034"/>
      <c r="O97" s="1034"/>
      <c r="P97" s="1034"/>
      <c r="Q97" s="1034"/>
      <c r="R97" s="1034"/>
      <c r="S97" s="1034"/>
      <c r="T97" s="1034"/>
      <c r="U97" s="1034"/>
      <c r="V97" s="1034"/>
      <c r="W97" s="1034"/>
      <c r="X97" s="1034"/>
      <c r="Y97" s="129"/>
      <c r="Z97" s="129"/>
      <c r="AA97" s="129"/>
      <c r="AB97" s="129"/>
      <c r="AC97" s="129"/>
      <c r="AD97" s="129"/>
      <c r="AE97" s="129"/>
    </row>
    <row r="98" spans="1:31">
      <c r="K98" s="136" t="s">
        <v>101</v>
      </c>
      <c r="L98" s="66"/>
      <c r="M98" s="1034" t="s">
        <v>252</v>
      </c>
      <c r="N98" s="1034"/>
      <c r="O98" s="1034"/>
      <c r="P98" s="1034"/>
      <c r="Q98" s="1034"/>
      <c r="R98" s="1034"/>
      <c r="S98" s="1034"/>
      <c r="T98" s="1034"/>
      <c r="U98" s="1034"/>
      <c r="V98" s="1034"/>
      <c r="W98" s="1034"/>
      <c r="X98" s="1034"/>
      <c r="Y98" s="129"/>
      <c r="Z98" s="129"/>
      <c r="AA98" s="129"/>
      <c r="AB98" s="129"/>
      <c r="AC98" s="129"/>
      <c r="AD98" s="129"/>
      <c r="AE98" s="129"/>
    </row>
    <row r="99" spans="1:31">
      <c r="K99" s="136" t="s">
        <v>102</v>
      </c>
      <c r="L99" s="66"/>
      <c r="M99" s="1033" t="s">
        <v>533</v>
      </c>
      <c r="N99" s="1034"/>
      <c r="O99" s="1034"/>
      <c r="P99" s="1034"/>
      <c r="Q99" s="1034"/>
      <c r="R99" s="1034"/>
      <c r="S99" s="1034"/>
      <c r="T99" s="1034"/>
      <c r="U99" s="1034"/>
      <c r="V99" s="1034"/>
      <c r="W99" s="1034"/>
      <c r="X99" s="1034"/>
      <c r="Y99" s="129"/>
      <c r="Z99" s="129"/>
      <c r="AA99" s="129"/>
      <c r="AB99" s="129"/>
      <c r="AC99" s="129"/>
      <c r="AD99" s="129"/>
      <c r="AE99" s="129"/>
    </row>
    <row r="100" spans="1:31">
      <c r="K100" s="248" t="s">
        <v>103</v>
      </c>
      <c r="M100" s="1033" t="s">
        <v>334</v>
      </c>
      <c r="N100" s="1033"/>
      <c r="O100" s="1033"/>
      <c r="P100" s="1033"/>
      <c r="Q100" s="1033"/>
      <c r="R100" s="1033"/>
      <c r="S100" s="1033"/>
      <c r="T100" s="1033"/>
      <c r="U100" s="1033"/>
      <c r="V100" s="1033"/>
      <c r="W100" s="1033"/>
      <c r="X100" s="1033"/>
      <c r="Y100" s="129"/>
      <c r="Z100" s="129"/>
      <c r="AA100" s="129"/>
      <c r="AB100" s="129"/>
      <c r="AC100" s="129"/>
      <c r="AD100" s="129"/>
      <c r="AE100" s="129"/>
    </row>
    <row r="101" spans="1:31" ht="15.75">
      <c r="K101" s="104"/>
      <c r="L101" s="138"/>
      <c r="M101" s="139"/>
      <c r="N101" s="97"/>
      <c r="O101" s="67"/>
      <c r="P101" s="67"/>
      <c r="Q101" s="2"/>
      <c r="R101" s="9"/>
      <c r="S101" s="9"/>
      <c r="T101" s="93"/>
      <c r="U101" s="9"/>
      <c r="W101" s="2"/>
      <c r="X101" s="105"/>
      <c r="Y101" s="129"/>
      <c r="Z101" s="129"/>
      <c r="AA101" s="129"/>
      <c r="AB101" s="129"/>
      <c r="AC101" s="129"/>
      <c r="AD101" s="129"/>
      <c r="AE101" s="129"/>
    </row>
    <row r="102" spans="1:31" ht="15.75">
      <c r="A102" s="104"/>
      <c r="B102" s="138"/>
      <c r="C102" s="139"/>
      <c r="D102" s="97"/>
      <c r="E102" s="67"/>
      <c r="F102" s="67"/>
      <c r="G102" s="2"/>
      <c r="H102" s="9"/>
      <c r="I102" s="9"/>
      <c r="J102" s="93"/>
    </row>
    <row r="103" spans="1:31">
      <c r="C103" s="129"/>
      <c r="D103" s="129"/>
      <c r="E103" s="129"/>
      <c r="F103" s="129"/>
      <c r="G103" s="129"/>
      <c r="H103" s="129"/>
      <c r="I103" s="129"/>
      <c r="J103" s="129"/>
    </row>
    <row r="104" spans="1:31">
      <c r="C104" s="129"/>
      <c r="D104" s="129"/>
      <c r="E104" s="129"/>
      <c r="F104" s="129"/>
      <c r="G104" s="129"/>
      <c r="H104" s="129"/>
      <c r="I104" s="129"/>
      <c r="J104" s="129"/>
    </row>
    <row r="105" spans="1:31">
      <c r="C105" s="129"/>
      <c r="D105" s="129"/>
      <c r="E105" s="129"/>
      <c r="F105" s="129"/>
      <c r="G105" s="129"/>
      <c r="H105" s="129"/>
      <c r="I105" s="129"/>
      <c r="J105" s="129"/>
    </row>
    <row r="106" spans="1:31">
      <c r="C106" s="129"/>
      <c r="D106" s="129"/>
      <c r="E106" s="129"/>
      <c r="F106" s="129"/>
      <c r="G106" s="129"/>
      <c r="H106" s="129"/>
      <c r="I106" s="129"/>
      <c r="J106" s="129"/>
    </row>
    <row r="107" spans="1:31">
      <c r="C107" s="129"/>
      <c r="D107" s="129"/>
      <c r="E107" s="129"/>
      <c r="F107" s="129"/>
      <c r="G107" s="129"/>
      <c r="H107" s="129"/>
      <c r="I107" s="129"/>
      <c r="J107" s="129"/>
    </row>
    <row r="108" spans="1:31">
      <c r="C108" s="129"/>
      <c r="D108" s="129"/>
      <c r="E108" s="129"/>
      <c r="F108" s="129"/>
      <c r="G108" s="129"/>
      <c r="H108" s="129"/>
      <c r="I108" s="129"/>
      <c r="J108" s="129"/>
    </row>
    <row r="109" spans="1:31">
      <c r="C109" s="129"/>
      <c r="D109" s="129"/>
      <c r="E109" s="129"/>
      <c r="F109" s="129"/>
      <c r="G109" s="129"/>
      <c r="H109" s="129"/>
      <c r="I109" s="129"/>
      <c r="J109" s="129"/>
    </row>
    <row r="110" spans="1:31">
      <c r="C110" s="129"/>
      <c r="D110" s="129"/>
      <c r="E110" s="129"/>
      <c r="F110" s="129"/>
      <c r="G110" s="129"/>
      <c r="H110" s="129"/>
      <c r="I110" s="129"/>
      <c r="J110" s="129"/>
    </row>
    <row r="111" spans="1:31">
      <c r="C111" s="129"/>
      <c r="D111" s="129"/>
      <c r="E111" s="129"/>
      <c r="F111" s="129"/>
      <c r="G111" s="129"/>
      <c r="H111" s="129"/>
      <c r="I111" s="129"/>
      <c r="J111" s="129"/>
    </row>
    <row r="112" spans="1:31">
      <c r="C112" s="129"/>
      <c r="D112" s="129"/>
      <c r="E112" s="129"/>
      <c r="F112" s="129"/>
      <c r="G112" s="129"/>
      <c r="H112" s="129"/>
      <c r="I112" s="129"/>
      <c r="J112" s="129"/>
    </row>
    <row r="113" spans="3:10">
      <c r="C113" s="129"/>
      <c r="D113" s="129"/>
      <c r="E113" s="129"/>
      <c r="F113" s="129"/>
      <c r="G113" s="129"/>
      <c r="H113" s="129"/>
      <c r="I113" s="129"/>
      <c r="J113" s="129"/>
    </row>
    <row r="114" spans="3:10">
      <c r="C114" s="129"/>
      <c r="D114" s="129"/>
      <c r="E114" s="129"/>
      <c r="F114" s="129"/>
      <c r="G114" s="129"/>
      <c r="H114" s="129"/>
      <c r="I114" s="129"/>
      <c r="J114" s="129"/>
    </row>
    <row r="115" spans="3:10">
      <c r="C115" s="129"/>
      <c r="D115" s="129"/>
      <c r="E115" s="129"/>
      <c r="F115" s="129"/>
      <c r="G115" s="129"/>
      <c r="H115" s="129"/>
      <c r="I115" s="129"/>
      <c r="J115" s="129"/>
    </row>
    <row r="116" spans="3:10">
      <c r="C116" s="129"/>
      <c r="D116" s="129"/>
      <c r="E116" s="129"/>
      <c r="F116" s="129"/>
      <c r="G116" s="129"/>
      <c r="H116" s="129"/>
      <c r="I116" s="129"/>
      <c r="J116" s="129"/>
    </row>
    <row r="117" spans="3:10">
      <c r="C117" s="129"/>
      <c r="D117" s="129"/>
      <c r="E117" s="129"/>
      <c r="F117" s="129"/>
      <c r="G117" s="129"/>
      <c r="H117" s="129"/>
      <c r="I117" s="129"/>
      <c r="J117" s="129"/>
    </row>
    <row r="118" spans="3:10">
      <c r="C118" s="129"/>
      <c r="D118" s="129"/>
      <c r="E118" s="129"/>
      <c r="F118" s="129"/>
      <c r="G118" s="129"/>
      <c r="H118" s="129"/>
      <c r="I118" s="129"/>
      <c r="J118" s="129"/>
    </row>
    <row r="119" spans="3:10">
      <c r="C119" s="129"/>
      <c r="D119" s="129"/>
      <c r="E119" s="129"/>
      <c r="F119" s="129"/>
      <c r="G119" s="129"/>
      <c r="H119" s="129"/>
      <c r="I119" s="129"/>
      <c r="J119" s="129"/>
    </row>
    <row r="120" spans="3:10">
      <c r="C120" s="129"/>
      <c r="D120" s="129"/>
      <c r="E120" s="129"/>
      <c r="F120" s="129"/>
      <c r="G120" s="129"/>
      <c r="H120" s="129"/>
      <c r="I120" s="129"/>
      <c r="J120" s="129"/>
    </row>
    <row r="121" spans="3:10">
      <c r="C121" s="129"/>
      <c r="D121" s="129"/>
      <c r="E121" s="129"/>
      <c r="F121" s="129"/>
      <c r="G121" s="129"/>
      <c r="H121" s="129"/>
      <c r="I121" s="129"/>
      <c r="J121" s="129"/>
    </row>
    <row r="122" spans="3:10">
      <c r="C122" s="129"/>
      <c r="D122" s="129"/>
      <c r="E122" s="129"/>
      <c r="F122" s="129"/>
      <c r="G122" s="129"/>
      <c r="H122" s="129"/>
      <c r="I122" s="129"/>
      <c r="J122" s="129"/>
    </row>
    <row r="123" spans="3:10">
      <c r="C123" s="129"/>
      <c r="D123" s="129"/>
      <c r="E123" s="129"/>
      <c r="F123" s="129"/>
      <c r="G123" s="129"/>
      <c r="H123" s="129"/>
      <c r="I123" s="129"/>
      <c r="J123" s="129"/>
    </row>
    <row r="124" spans="3:10">
      <c r="C124" s="129"/>
      <c r="D124" s="129"/>
      <c r="E124" s="129"/>
      <c r="F124" s="129"/>
      <c r="G124" s="129"/>
      <c r="H124" s="129"/>
      <c r="I124" s="129"/>
      <c r="J124" s="129"/>
    </row>
    <row r="125" spans="3:10">
      <c r="C125" s="129"/>
      <c r="D125" s="129"/>
      <c r="E125" s="129"/>
      <c r="F125" s="129"/>
      <c r="G125" s="129"/>
      <c r="H125" s="129"/>
      <c r="I125" s="129"/>
      <c r="J125" s="129"/>
    </row>
    <row r="126" spans="3:10">
      <c r="C126" s="129"/>
      <c r="D126" s="129"/>
      <c r="E126" s="129"/>
      <c r="F126" s="129"/>
      <c r="G126" s="129"/>
      <c r="H126" s="129"/>
      <c r="I126" s="129"/>
      <c r="J126" s="129"/>
    </row>
    <row r="127" spans="3:10">
      <c r="C127" s="129"/>
      <c r="D127" s="129"/>
      <c r="E127" s="129"/>
      <c r="F127" s="129"/>
      <c r="G127" s="129"/>
      <c r="H127" s="129"/>
      <c r="I127" s="129"/>
      <c r="J127" s="129"/>
    </row>
    <row r="128" spans="3:10">
      <c r="C128" s="129"/>
      <c r="D128" s="129"/>
      <c r="E128" s="129"/>
      <c r="F128" s="129"/>
      <c r="G128" s="129"/>
      <c r="H128" s="129"/>
      <c r="I128" s="129"/>
      <c r="J128" s="129"/>
    </row>
    <row r="129" spans="3:10">
      <c r="C129" s="129"/>
      <c r="D129" s="129"/>
      <c r="E129" s="129"/>
      <c r="F129" s="129"/>
      <c r="G129" s="129"/>
      <c r="H129" s="129"/>
      <c r="I129" s="129"/>
      <c r="J129" s="129"/>
    </row>
    <row r="130" spans="3:10">
      <c r="C130" s="129"/>
      <c r="D130" s="129"/>
      <c r="E130" s="129"/>
      <c r="F130" s="129"/>
      <c r="G130" s="129"/>
      <c r="H130" s="129"/>
      <c r="I130" s="129"/>
      <c r="J130" s="129"/>
    </row>
    <row r="131" spans="3:10">
      <c r="C131" s="129"/>
      <c r="D131" s="129"/>
      <c r="E131" s="129"/>
      <c r="F131" s="129"/>
      <c r="G131" s="129"/>
      <c r="H131" s="129"/>
      <c r="I131" s="129"/>
      <c r="J131" s="129"/>
    </row>
    <row r="132" spans="3:10">
      <c r="C132" s="129"/>
      <c r="D132" s="129"/>
      <c r="E132" s="129"/>
      <c r="F132" s="129"/>
      <c r="G132" s="129"/>
      <c r="H132" s="129"/>
      <c r="I132" s="129"/>
      <c r="J132" s="129"/>
    </row>
    <row r="133" spans="3:10">
      <c r="C133" s="129"/>
      <c r="D133" s="129"/>
      <c r="E133" s="129"/>
      <c r="F133" s="129"/>
      <c r="G133" s="129"/>
      <c r="H133" s="129"/>
      <c r="I133" s="129"/>
      <c r="J133" s="129"/>
    </row>
    <row r="134" spans="3:10">
      <c r="C134" s="129"/>
      <c r="D134" s="129"/>
      <c r="E134" s="129"/>
      <c r="F134" s="129"/>
      <c r="G134" s="129"/>
      <c r="H134" s="129"/>
      <c r="I134" s="129"/>
      <c r="J134" s="129"/>
    </row>
    <row r="135" spans="3:10">
      <c r="C135" s="129"/>
      <c r="D135" s="129"/>
      <c r="E135" s="129"/>
      <c r="F135" s="129"/>
      <c r="G135" s="129"/>
      <c r="H135" s="129"/>
      <c r="I135" s="129"/>
      <c r="J135" s="129"/>
    </row>
    <row r="136" spans="3:10">
      <c r="C136" s="129"/>
      <c r="D136" s="129"/>
      <c r="E136" s="129"/>
      <c r="F136" s="129"/>
      <c r="G136" s="129"/>
      <c r="H136" s="129"/>
      <c r="I136" s="129"/>
      <c r="J136" s="129"/>
    </row>
    <row r="137" spans="3:10">
      <c r="C137" s="129"/>
      <c r="D137" s="129"/>
      <c r="E137" s="129"/>
      <c r="F137" s="129"/>
      <c r="G137" s="129"/>
      <c r="H137" s="129"/>
      <c r="I137" s="129"/>
      <c r="J137" s="129"/>
    </row>
    <row r="138" spans="3:10">
      <c r="C138" s="129"/>
      <c r="D138" s="129"/>
      <c r="E138" s="129"/>
      <c r="F138" s="129"/>
      <c r="G138" s="129"/>
      <c r="H138" s="129"/>
      <c r="I138" s="129"/>
      <c r="J138" s="129"/>
    </row>
    <row r="139" spans="3:10">
      <c r="C139" s="129"/>
      <c r="D139" s="129"/>
      <c r="E139" s="129"/>
      <c r="F139" s="129"/>
      <c r="G139" s="129"/>
      <c r="H139" s="129"/>
      <c r="I139" s="129"/>
      <c r="J139" s="129"/>
    </row>
    <row r="140" spans="3:10">
      <c r="C140" s="129"/>
      <c r="D140" s="129"/>
      <c r="E140" s="129"/>
      <c r="F140" s="129"/>
      <c r="G140" s="129"/>
      <c r="H140" s="129"/>
      <c r="I140" s="129"/>
      <c r="J140" s="129"/>
    </row>
    <row r="141" spans="3:10">
      <c r="C141" s="129"/>
      <c r="D141" s="129"/>
      <c r="E141" s="129"/>
      <c r="F141" s="129"/>
      <c r="G141" s="129"/>
      <c r="H141" s="129"/>
      <c r="I141" s="129"/>
      <c r="J141" s="129"/>
    </row>
    <row r="142" spans="3:10">
      <c r="C142" s="129"/>
      <c r="D142" s="129"/>
      <c r="E142" s="129"/>
      <c r="F142" s="129"/>
      <c r="G142" s="129"/>
      <c r="H142" s="129"/>
      <c r="I142" s="129"/>
      <c r="J142" s="129"/>
    </row>
    <row r="143" spans="3:10">
      <c r="C143" s="129"/>
      <c r="D143" s="129"/>
      <c r="E143" s="129"/>
      <c r="F143" s="129"/>
      <c r="G143" s="129"/>
      <c r="H143" s="129"/>
      <c r="I143" s="129"/>
      <c r="J143" s="129"/>
    </row>
    <row r="144" spans="3:10">
      <c r="C144" s="129"/>
      <c r="D144" s="129"/>
      <c r="E144" s="129"/>
      <c r="F144" s="129"/>
      <c r="G144" s="129"/>
      <c r="H144" s="129"/>
      <c r="I144" s="129"/>
      <c r="J144" s="129"/>
    </row>
    <row r="145" spans="3:10">
      <c r="C145" s="129"/>
      <c r="D145" s="129"/>
      <c r="E145" s="129"/>
      <c r="F145" s="129"/>
      <c r="G145" s="129"/>
      <c r="H145" s="129"/>
      <c r="I145" s="129"/>
      <c r="J145" s="129"/>
    </row>
    <row r="146" spans="3:10">
      <c r="C146" s="129"/>
      <c r="D146" s="129"/>
      <c r="E146" s="129"/>
      <c r="F146" s="129"/>
      <c r="G146" s="129"/>
      <c r="H146" s="129"/>
      <c r="I146" s="129"/>
      <c r="J146" s="129"/>
    </row>
    <row r="147" spans="3:10">
      <c r="C147" s="129"/>
      <c r="D147" s="129"/>
      <c r="E147" s="129"/>
      <c r="F147" s="129"/>
      <c r="G147" s="129"/>
      <c r="H147" s="129"/>
      <c r="I147" s="129"/>
      <c r="J147" s="129"/>
    </row>
    <row r="148" spans="3:10">
      <c r="C148" s="129"/>
      <c r="D148" s="129"/>
      <c r="E148" s="129"/>
      <c r="F148" s="129"/>
      <c r="G148" s="129"/>
      <c r="H148" s="129"/>
      <c r="I148" s="129"/>
      <c r="J148" s="129"/>
    </row>
    <row r="149" spans="3:10">
      <c r="C149" s="129"/>
      <c r="D149" s="129"/>
      <c r="E149" s="129"/>
      <c r="F149" s="129"/>
      <c r="G149" s="129"/>
      <c r="H149" s="129"/>
      <c r="I149" s="129"/>
      <c r="J149" s="129"/>
    </row>
    <row r="150" spans="3:10">
      <c r="C150" s="129"/>
      <c r="D150" s="129"/>
      <c r="E150" s="129"/>
      <c r="F150" s="129"/>
      <c r="G150" s="129"/>
      <c r="H150" s="129"/>
      <c r="I150" s="129"/>
      <c r="J150" s="129"/>
    </row>
    <row r="151" spans="3:10">
      <c r="C151" s="129"/>
      <c r="D151" s="129"/>
      <c r="E151" s="129"/>
      <c r="F151" s="129"/>
      <c r="G151" s="129"/>
      <c r="H151" s="129"/>
      <c r="I151" s="129"/>
      <c r="J151" s="129"/>
    </row>
    <row r="152" spans="3:10">
      <c r="C152" s="129"/>
      <c r="D152" s="129"/>
      <c r="E152" s="129"/>
      <c r="F152" s="129"/>
      <c r="G152" s="129"/>
      <c r="H152" s="129"/>
      <c r="I152" s="129"/>
      <c r="J152" s="129"/>
    </row>
    <row r="153" spans="3:10">
      <c r="C153" s="129"/>
      <c r="D153" s="129"/>
      <c r="E153" s="129"/>
      <c r="F153" s="129"/>
      <c r="G153" s="129"/>
      <c r="H153" s="129"/>
      <c r="I153" s="129"/>
      <c r="J153" s="129"/>
    </row>
    <row r="154" spans="3:10">
      <c r="C154" s="129"/>
      <c r="D154" s="129"/>
      <c r="E154" s="129"/>
      <c r="F154" s="129"/>
      <c r="G154" s="129"/>
      <c r="H154" s="129"/>
      <c r="I154" s="129"/>
      <c r="J154" s="129"/>
    </row>
    <row r="155" spans="3:10">
      <c r="C155" s="129"/>
      <c r="D155" s="129"/>
      <c r="E155" s="129"/>
      <c r="F155" s="129"/>
      <c r="G155" s="129"/>
      <c r="H155" s="129"/>
      <c r="I155" s="129"/>
      <c r="J155" s="129"/>
    </row>
    <row r="156" spans="3:10">
      <c r="C156" s="129"/>
      <c r="D156" s="129"/>
      <c r="E156" s="129"/>
      <c r="F156" s="129"/>
      <c r="G156" s="129"/>
      <c r="H156" s="129"/>
      <c r="I156" s="129"/>
      <c r="J156" s="129"/>
    </row>
    <row r="157" spans="3:10">
      <c r="C157" s="129"/>
      <c r="D157" s="129"/>
      <c r="E157" s="129"/>
      <c r="F157" s="129"/>
      <c r="G157" s="129"/>
      <c r="H157" s="129"/>
      <c r="I157" s="129"/>
      <c r="J157" s="129"/>
    </row>
    <row r="158" spans="3:10">
      <c r="C158" s="129"/>
      <c r="D158" s="129"/>
      <c r="E158" s="129"/>
      <c r="F158" s="129"/>
      <c r="G158" s="129"/>
      <c r="H158" s="129"/>
      <c r="I158" s="129"/>
      <c r="J158" s="129"/>
    </row>
    <row r="159" spans="3:10">
      <c r="C159" s="129"/>
      <c r="D159" s="129"/>
      <c r="E159" s="129"/>
      <c r="F159" s="129"/>
      <c r="G159" s="129"/>
      <c r="H159" s="129"/>
      <c r="I159" s="129"/>
      <c r="J159" s="129"/>
    </row>
    <row r="160" spans="3:10">
      <c r="C160" s="129"/>
      <c r="D160" s="129"/>
      <c r="E160" s="129"/>
      <c r="F160" s="129"/>
      <c r="G160" s="129"/>
      <c r="H160" s="129"/>
      <c r="I160" s="129"/>
      <c r="J160" s="129"/>
    </row>
    <row r="161" spans="3:10">
      <c r="C161" s="129"/>
      <c r="D161" s="129"/>
      <c r="E161" s="129"/>
      <c r="F161" s="129"/>
      <c r="G161" s="129"/>
      <c r="H161" s="129"/>
      <c r="I161" s="129"/>
      <c r="J161" s="129"/>
    </row>
    <row r="162" spans="3:10">
      <c r="C162" s="129"/>
      <c r="D162" s="129"/>
      <c r="E162" s="129"/>
      <c r="F162" s="129"/>
      <c r="G162" s="129"/>
      <c r="H162" s="129"/>
      <c r="I162" s="129"/>
      <c r="J162" s="129"/>
    </row>
    <row r="163" spans="3:10">
      <c r="C163" s="129"/>
      <c r="D163" s="129"/>
      <c r="E163" s="129"/>
      <c r="F163" s="129"/>
      <c r="G163" s="129"/>
      <c r="H163" s="129"/>
      <c r="I163" s="129"/>
      <c r="J163" s="129"/>
    </row>
    <row r="164" spans="3:10">
      <c r="C164" s="129"/>
      <c r="D164" s="129"/>
      <c r="E164" s="129"/>
      <c r="F164" s="129"/>
      <c r="G164" s="129"/>
      <c r="H164" s="129"/>
      <c r="I164" s="129"/>
      <c r="J164" s="129"/>
    </row>
    <row r="165" spans="3:10">
      <c r="C165" s="129"/>
      <c r="D165" s="129"/>
      <c r="E165" s="129"/>
      <c r="F165" s="129"/>
      <c r="G165" s="129"/>
      <c r="H165" s="129"/>
      <c r="I165" s="129"/>
      <c r="J165" s="129"/>
    </row>
    <row r="166" spans="3:10">
      <c r="C166" s="129"/>
      <c r="D166" s="129"/>
      <c r="E166" s="129"/>
      <c r="F166" s="129"/>
      <c r="G166" s="129"/>
      <c r="H166" s="129"/>
      <c r="I166" s="129"/>
      <c r="J166" s="129"/>
    </row>
    <row r="167" spans="3:10">
      <c r="C167" s="129"/>
      <c r="D167" s="129"/>
      <c r="E167" s="129"/>
      <c r="F167" s="129"/>
      <c r="G167" s="129"/>
      <c r="H167" s="129"/>
      <c r="I167" s="129"/>
      <c r="J167" s="129"/>
    </row>
    <row r="168" spans="3:10">
      <c r="C168" s="129"/>
      <c r="D168" s="129"/>
      <c r="E168" s="129"/>
      <c r="F168" s="129"/>
      <c r="G168" s="129"/>
      <c r="H168" s="129"/>
      <c r="I168" s="129"/>
      <c r="J168" s="129"/>
    </row>
    <row r="169" spans="3:10">
      <c r="C169" s="129"/>
      <c r="D169" s="129"/>
      <c r="E169" s="129"/>
      <c r="F169" s="129"/>
      <c r="G169" s="129"/>
      <c r="H169" s="129"/>
      <c r="I169" s="129"/>
      <c r="J169" s="129"/>
    </row>
    <row r="170" spans="3:10">
      <c r="C170" s="129"/>
      <c r="D170" s="129"/>
      <c r="E170" s="129"/>
      <c r="F170" s="129"/>
      <c r="G170" s="129"/>
      <c r="H170" s="129"/>
      <c r="I170" s="129"/>
      <c r="J170" s="129"/>
    </row>
    <row r="171" spans="3:10">
      <c r="C171" s="129"/>
      <c r="D171" s="129"/>
      <c r="E171" s="129"/>
      <c r="F171" s="129"/>
      <c r="G171" s="129"/>
      <c r="H171" s="129"/>
      <c r="I171" s="129"/>
      <c r="J171" s="129"/>
    </row>
    <row r="172" spans="3:10">
      <c r="C172" s="129"/>
      <c r="D172" s="129"/>
      <c r="E172" s="129"/>
      <c r="F172" s="129"/>
      <c r="G172" s="129"/>
      <c r="H172" s="129"/>
      <c r="I172" s="129"/>
      <c r="J172" s="129"/>
    </row>
    <row r="173" spans="3:10">
      <c r="C173" s="129"/>
      <c r="D173" s="129"/>
      <c r="E173" s="129"/>
      <c r="F173" s="129"/>
      <c r="G173" s="129"/>
      <c r="H173" s="129"/>
      <c r="I173" s="129"/>
      <c r="J173" s="129"/>
    </row>
    <row r="174" spans="3:10">
      <c r="C174" s="129"/>
      <c r="D174" s="129"/>
      <c r="E174" s="129"/>
      <c r="F174" s="129"/>
      <c r="G174" s="129"/>
      <c r="H174" s="129"/>
      <c r="I174" s="129"/>
      <c r="J174" s="129"/>
    </row>
    <row r="175" spans="3:10">
      <c r="C175" s="129"/>
      <c r="D175" s="129"/>
      <c r="E175" s="129"/>
      <c r="F175" s="129"/>
      <c r="G175" s="129"/>
      <c r="H175" s="129"/>
      <c r="I175" s="129"/>
      <c r="J175" s="129"/>
    </row>
    <row r="176" spans="3:10">
      <c r="C176" s="129"/>
      <c r="D176" s="129"/>
      <c r="E176" s="129"/>
      <c r="F176" s="129"/>
      <c r="G176" s="129"/>
      <c r="H176" s="129"/>
      <c r="I176" s="129"/>
      <c r="J176" s="129"/>
    </row>
    <row r="177" spans="3:10">
      <c r="C177" s="129"/>
      <c r="D177" s="129"/>
      <c r="E177" s="129"/>
      <c r="F177" s="129"/>
      <c r="G177" s="129"/>
      <c r="H177" s="129"/>
      <c r="I177" s="129"/>
      <c r="J177" s="129"/>
    </row>
    <row r="178" spans="3:10">
      <c r="C178" s="129"/>
      <c r="D178" s="129"/>
      <c r="E178" s="129"/>
      <c r="F178" s="129"/>
      <c r="G178" s="129"/>
      <c r="H178" s="129"/>
      <c r="I178" s="129"/>
      <c r="J178" s="129"/>
    </row>
    <row r="179" spans="3:10">
      <c r="C179" s="129"/>
      <c r="D179" s="129"/>
      <c r="E179" s="129"/>
      <c r="F179" s="129"/>
      <c r="G179" s="129"/>
      <c r="H179" s="129"/>
      <c r="I179" s="129"/>
      <c r="J179" s="129"/>
    </row>
    <row r="180" spans="3:10">
      <c r="C180" s="129"/>
      <c r="D180" s="129"/>
      <c r="E180" s="129"/>
      <c r="F180" s="129"/>
      <c r="G180" s="129"/>
      <c r="H180" s="129"/>
      <c r="I180" s="129"/>
      <c r="J180" s="129"/>
    </row>
    <row r="181" spans="3:10">
      <c r="C181" s="129"/>
      <c r="D181" s="129"/>
      <c r="E181" s="129"/>
      <c r="F181" s="129"/>
      <c r="G181" s="129"/>
      <c r="H181" s="129"/>
      <c r="I181" s="129"/>
      <c r="J181" s="129"/>
    </row>
    <row r="182" spans="3:10">
      <c r="C182" s="129"/>
      <c r="D182" s="129"/>
      <c r="E182" s="129"/>
      <c r="F182" s="129"/>
      <c r="G182" s="129"/>
      <c r="H182" s="129"/>
      <c r="I182" s="129"/>
      <c r="J182" s="129"/>
    </row>
    <row r="183" spans="3:10">
      <c r="C183" s="129"/>
      <c r="D183" s="129"/>
      <c r="E183" s="129"/>
      <c r="F183" s="129"/>
      <c r="G183" s="129"/>
      <c r="H183" s="129"/>
      <c r="I183" s="129"/>
      <c r="J183" s="129"/>
    </row>
    <row r="184" spans="3:10">
      <c r="C184" s="129"/>
      <c r="D184" s="129"/>
      <c r="E184" s="129"/>
      <c r="F184" s="129"/>
      <c r="G184" s="129"/>
      <c r="H184" s="129"/>
      <c r="I184" s="129"/>
      <c r="J184" s="129"/>
    </row>
    <row r="185" spans="3:10">
      <c r="C185" s="129"/>
      <c r="D185" s="129"/>
      <c r="E185" s="129"/>
      <c r="F185" s="129"/>
      <c r="G185" s="129"/>
      <c r="H185" s="129"/>
      <c r="I185" s="129"/>
      <c r="J185" s="129"/>
    </row>
    <row r="186" spans="3:10">
      <c r="C186" s="129"/>
      <c r="D186" s="129"/>
      <c r="E186" s="129"/>
      <c r="F186" s="129"/>
      <c r="G186" s="129"/>
      <c r="H186" s="129"/>
      <c r="I186" s="129"/>
      <c r="J186" s="129"/>
    </row>
    <row r="187" spans="3:10">
      <c r="C187" s="129"/>
      <c r="D187" s="129"/>
      <c r="E187" s="129"/>
      <c r="F187" s="129"/>
      <c r="G187" s="129"/>
      <c r="H187" s="129"/>
      <c r="I187" s="129"/>
      <c r="J187" s="129"/>
    </row>
    <row r="188" spans="3:10">
      <c r="C188" s="129"/>
      <c r="D188" s="129"/>
      <c r="E188" s="129"/>
      <c r="F188" s="129"/>
      <c r="G188" s="129"/>
      <c r="H188" s="129"/>
      <c r="I188" s="129"/>
      <c r="J188" s="129"/>
    </row>
    <row r="189" spans="3:10">
      <c r="C189" s="129"/>
      <c r="D189" s="129"/>
      <c r="E189" s="129"/>
      <c r="F189" s="129"/>
      <c r="G189" s="129"/>
      <c r="H189" s="129"/>
      <c r="I189" s="129"/>
      <c r="J189" s="129"/>
    </row>
    <row r="190" spans="3:10">
      <c r="C190" s="129"/>
      <c r="D190" s="129"/>
      <c r="E190" s="129"/>
      <c r="F190" s="129"/>
      <c r="G190" s="129"/>
      <c r="H190" s="129"/>
      <c r="I190" s="129"/>
      <c r="J190" s="129"/>
    </row>
    <row r="191" spans="3:10">
      <c r="C191" s="129"/>
      <c r="D191" s="129"/>
      <c r="E191" s="129"/>
      <c r="F191" s="129"/>
      <c r="G191" s="129"/>
      <c r="H191" s="129"/>
      <c r="I191" s="129"/>
      <c r="J191" s="129"/>
    </row>
    <row r="192" spans="3:10">
      <c r="C192" s="129"/>
      <c r="D192" s="129"/>
      <c r="E192" s="129"/>
      <c r="F192" s="129"/>
      <c r="G192" s="129"/>
      <c r="H192" s="129"/>
      <c r="I192" s="129"/>
      <c r="J192" s="129"/>
    </row>
    <row r="193" spans="3:10">
      <c r="C193" s="129"/>
      <c r="D193" s="129"/>
      <c r="E193" s="129"/>
      <c r="F193" s="129"/>
      <c r="G193" s="129"/>
      <c r="H193" s="129"/>
      <c r="I193" s="129"/>
      <c r="J193" s="129"/>
    </row>
    <row r="194" spans="3:10">
      <c r="C194" s="129"/>
      <c r="D194" s="129"/>
      <c r="E194" s="129"/>
      <c r="F194" s="129"/>
      <c r="G194" s="129"/>
      <c r="H194" s="129"/>
      <c r="I194" s="129"/>
      <c r="J194" s="129"/>
    </row>
    <row r="195" spans="3:10">
      <c r="C195" s="129"/>
      <c r="D195" s="129"/>
      <c r="E195" s="129"/>
      <c r="F195" s="129"/>
      <c r="G195" s="129"/>
      <c r="H195" s="129"/>
      <c r="I195" s="129"/>
      <c r="J195" s="129"/>
    </row>
    <row r="196" spans="3:10">
      <c r="C196" s="129"/>
      <c r="D196" s="129"/>
      <c r="E196" s="129"/>
      <c r="F196" s="129"/>
      <c r="G196" s="129"/>
      <c r="H196" s="129"/>
      <c r="I196" s="129"/>
      <c r="J196" s="129"/>
    </row>
    <row r="197" spans="3:10">
      <c r="C197" s="129"/>
      <c r="D197" s="129"/>
      <c r="E197" s="129"/>
      <c r="F197" s="129"/>
      <c r="G197" s="129"/>
      <c r="H197" s="129"/>
      <c r="I197" s="129"/>
      <c r="J197" s="129"/>
    </row>
    <row r="198" spans="3:10">
      <c r="C198" s="129"/>
      <c r="D198" s="129"/>
      <c r="E198" s="129"/>
      <c r="F198" s="129"/>
      <c r="G198" s="129"/>
      <c r="H198" s="129"/>
      <c r="I198" s="129"/>
      <c r="J198" s="129"/>
    </row>
    <row r="199" spans="3:10">
      <c r="C199" s="129"/>
      <c r="D199" s="129"/>
      <c r="E199" s="129"/>
      <c r="F199" s="129"/>
      <c r="G199" s="129"/>
      <c r="H199" s="129"/>
      <c r="I199" s="129"/>
      <c r="J199" s="129"/>
    </row>
    <row r="200" spans="3:10">
      <c r="C200" s="129"/>
      <c r="D200" s="129"/>
      <c r="E200" s="129"/>
      <c r="F200" s="129"/>
      <c r="G200" s="129"/>
      <c r="H200" s="129"/>
      <c r="I200" s="129"/>
      <c r="J200" s="129"/>
    </row>
    <row r="201" spans="3:10">
      <c r="C201" s="129"/>
      <c r="D201" s="129"/>
      <c r="E201" s="129"/>
      <c r="F201" s="129"/>
      <c r="G201" s="129"/>
      <c r="H201" s="129"/>
      <c r="I201" s="129"/>
      <c r="J201" s="129"/>
    </row>
    <row r="202" spans="3:10">
      <c r="C202" s="129"/>
      <c r="D202" s="129"/>
      <c r="E202" s="129"/>
      <c r="F202" s="129"/>
      <c r="G202" s="129"/>
      <c r="H202" s="129"/>
      <c r="I202" s="129"/>
      <c r="J202" s="129"/>
    </row>
    <row r="203" spans="3:10">
      <c r="C203" s="129"/>
      <c r="D203" s="129"/>
      <c r="E203" s="129"/>
      <c r="F203" s="129"/>
      <c r="G203" s="129"/>
      <c r="H203" s="129"/>
      <c r="I203" s="129"/>
      <c r="J203" s="129"/>
    </row>
    <row r="204" spans="3:10">
      <c r="C204" s="129"/>
      <c r="D204" s="129"/>
      <c r="E204" s="129"/>
      <c r="F204" s="129"/>
      <c r="G204" s="129"/>
      <c r="H204" s="129"/>
      <c r="I204" s="129"/>
      <c r="J204" s="129"/>
    </row>
    <row r="205" spans="3:10">
      <c r="C205" s="129"/>
      <c r="D205" s="129"/>
      <c r="E205" s="129"/>
      <c r="F205" s="129"/>
      <c r="G205" s="129"/>
      <c r="H205" s="129"/>
      <c r="I205" s="129"/>
      <c r="J205" s="129"/>
    </row>
    <row r="206" spans="3:10">
      <c r="C206" s="129"/>
      <c r="D206" s="129"/>
      <c r="E206" s="129"/>
      <c r="F206" s="129"/>
      <c r="G206" s="129"/>
      <c r="H206" s="129"/>
      <c r="I206" s="129"/>
      <c r="J206" s="129"/>
    </row>
    <row r="207" spans="3:10">
      <c r="C207" s="129"/>
      <c r="D207" s="129"/>
      <c r="E207" s="129"/>
      <c r="F207" s="129"/>
      <c r="G207" s="129"/>
      <c r="H207" s="129"/>
      <c r="I207" s="129"/>
      <c r="J207" s="129"/>
    </row>
    <row r="208" spans="3:10">
      <c r="C208" s="129"/>
      <c r="D208" s="129"/>
      <c r="E208" s="129"/>
      <c r="F208" s="129"/>
      <c r="G208" s="129"/>
      <c r="H208" s="129"/>
      <c r="I208" s="129"/>
      <c r="J208" s="129"/>
    </row>
    <row r="209" spans="3:10">
      <c r="C209" s="129"/>
      <c r="D209" s="129"/>
      <c r="E209" s="129"/>
      <c r="F209" s="129"/>
      <c r="G209" s="129"/>
      <c r="H209" s="129"/>
      <c r="I209" s="129"/>
      <c r="J209" s="129"/>
    </row>
    <row r="210" spans="3:10">
      <c r="C210" s="129"/>
      <c r="D210" s="129"/>
      <c r="E210" s="129"/>
      <c r="F210" s="129"/>
      <c r="G210" s="129"/>
      <c r="H210" s="129"/>
      <c r="I210" s="129"/>
      <c r="J210" s="129"/>
    </row>
    <row r="211" spans="3:10">
      <c r="C211" s="129"/>
      <c r="D211" s="129"/>
      <c r="E211" s="129"/>
      <c r="F211" s="129"/>
      <c r="G211" s="129"/>
      <c r="H211" s="129"/>
      <c r="I211" s="129"/>
      <c r="J211" s="129"/>
    </row>
    <row r="212" spans="3:10">
      <c r="C212" s="129"/>
      <c r="D212" s="129"/>
      <c r="E212" s="129"/>
      <c r="F212" s="129"/>
      <c r="G212" s="129"/>
      <c r="H212" s="129"/>
      <c r="I212" s="129"/>
      <c r="J212" s="129"/>
    </row>
    <row r="213" spans="3:10">
      <c r="C213" s="129"/>
      <c r="D213" s="129"/>
      <c r="E213" s="129"/>
      <c r="F213" s="129"/>
      <c r="G213" s="129"/>
      <c r="H213" s="129"/>
      <c r="I213" s="129"/>
      <c r="J213" s="129"/>
    </row>
    <row r="214" spans="3:10">
      <c r="C214" s="129"/>
      <c r="D214" s="129"/>
      <c r="E214" s="129"/>
      <c r="F214" s="129"/>
      <c r="G214" s="129"/>
      <c r="H214" s="129"/>
      <c r="I214" s="129"/>
      <c r="J214" s="129"/>
    </row>
    <row r="215" spans="3:10">
      <c r="C215" s="129"/>
      <c r="D215" s="129"/>
      <c r="E215" s="129"/>
      <c r="F215" s="129"/>
      <c r="G215" s="129"/>
      <c r="H215" s="129"/>
      <c r="I215" s="129"/>
      <c r="J215" s="129"/>
    </row>
    <row r="216" spans="3:10">
      <c r="C216" s="129"/>
      <c r="D216" s="129"/>
      <c r="E216" s="129"/>
      <c r="F216" s="129"/>
      <c r="G216" s="129"/>
      <c r="H216" s="129"/>
      <c r="I216" s="129"/>
      <c r="J216" s="129"/>
    </row>
    <row r="217" spans="3:10">
      <c r="C217" s="129"/>
      <c r="D217" s="129"/>
      <c r="E217" s="129"/>
      <c r="F217" s="129"/>
      <c r="G217" s="129"/>
      <c r="H217" s="129"/>
      <c r="I217" s="129"/>
      <c r="J217" s="129"/>
    </row>
    <row r="218" spans="3:10">
      <c r="C218" s="129"/>
      <c r="D218" s="129"/>
      <c r="E218" s="129"/>
      <c r="F218" s="129"/>
      <c r="G218" s="129"/>
      <c r="H218" s="129"/>
      <c r="I218" s="129"/>
      <c r="J218" s="129"/>
    </row>
    <row r="219" spans="3:10">
      <c r="C219" s="129"/>
      <c r="D219" s="129"/>
      <c r="E219" s="129"/>
      <c r="F219" s="129"/>
      <c r="G219" s="129"/>
      <c r="H219" s="129"/>
      <c r="I219" s="129"/>
      <c r="J219" s="129"/>
    </row>
    <row r="220" spans="3:10">
      <c r="C220" s="129"/>
      <c r="D220" s="129"/>
      <c r="E220" s="129"/>
      <c r="F220" s="129"/>
      <c r="G220" s="129"/>
      <c r="H220" s="129"/>
      <c r="I220" s="129"/>
      <c r="J220" s="129"/>
    </row>
    <row r="221" spans="3:10">
      <c r="C221" s="129"/>
      <c r="D221" s="129"/>
      <c r="E221" s="129"/>
      <c r="F221" s="129"/>
      <c r="G221" s="129"/>
      <c r="H221" s="129"/>
      <c r="I221" s="129"/>
      <c r="J221" s="129"/>
    </row>
    <row r="222" spans="3:10">
      <c r="C222" s="129"/>
      <c r="D222" s="129"/>
      <c r="E222" s="129"/>
      <c r="F222" s="129"/>
      <c r="G222" s="129"/>
      <c r="H222" s="129"/>
      <c r="I222" s="129"/>
      <c r="J222" s="129"/>
    </row>
    <row r="223" spans="3:10">
      <c r="C223" s="129"/>
      <c r="D223" s="129"/>
      <c r="E223" s="129"/>
      <c r="F223" s="129"/>
      <c r="G223" s="129"/>
      <c r="H223" s="129"/>
      <c r="I223" s="129"/>
      <c r="J223" s="129"/>
    </row>
    <row r="224" spans="3:10">
      <c r="C224" s="129"/>
      <c r="D224" s="129"/>
      <c r="E224" s="129"/>
      <c r="F224" s="129"/>
      <c r="G224" s="129"/>
      <c r="H224" s="129"/>
      <c r="I224" s="129"/>
      <c r="J224" s="129"/>
    </row>
    <row r="225" spans="3:10">
      <c r="C225" s="129"/>
      <c r="D225" s="129"/>
      <c r="E225" s="129"/>
      <c r="F225" s="129"/>
      <c r="G225" s="129"/>
      <c r="H225" s="129"/>
      <c r="I225" s="129"/>
      <c r="J225" s="129"/>
    </row>
    <row r="226" spans="3:10">
      <c r="C226" s="129"/>
      <c r="D226" s="129"/>
      <c r="E226" s="129"/>
      <c r="F226" s="129"/>
      <c r="G226" s="129"/>
      <c r="H226" s="129"/>
      <c r="I226" s="129"/>
      <c r="J226" s="129"/>
    </row>
    <row r="227" spans="3:10">
      <c r="C227" s="129"/>
      <c r="D227" s="129"/>
      <c r="E227" s="129"/>
      <c r="F227" s="129"/>
      <c r="G227" s="129"/>
      <c r="H227" s="129"/>
      <c r="I227" s="129"/>
      <c r="J227" s="129"/>
    </row>
    <row r="228" spans="3:10">
      <c r="C228" s="129"/>
      <c r="D228" s="129"/>
      <c r="E228" s="129"/>
      <c r="F228" s="129"/>
      <c r="G228" s="129"/>
      <c r="H228" s="129"/>
      <c r="I228" s="129"/>
      <c r="J228" s="129"/>
    </row>
    <row r="229" spans="3:10">
      <c r="C229" s="129"/>
      <c r="D229" s="129"/>
      <c r="E229" s="129"/>
      <c r="F229" s="129"/>
      <c r="G229" s="129"/>
      <c r="H229" s="129"/>
      <c r="I229" s="129"/>
      <c r="J229" s="129"/>
    </row>
    <row r="230" spans="3:10">
      <c r="C230" s="129"/>
      <c r="D230" s="129"/>
      <c r="E230" s="129"/>
      <c r="F230" s="129"/>
      <c r="G230" s="129"/>
      <c r="H230" s="129"/>
      <c r="I230" s="129"/>
      <c r="J230" s="129"/>
    </row>
    <row r="231" spans="3:10">
      <c r="C231" s="129"/>
      <c r="D231" s="129"/>
      <c r="E231" s="129"/>
      <c r="F231" s="129"/>
      <c r="G231" s="129"/>
      <c r="H231" s="129"/>
      <c r="I231" s="129"/>
      <c r="J231" s="129"/>
    </row>
    <row r="232" spans="3:10">
      <c r="C232" s="129"/>
      <c r="D232" s="129"/>
      <c r="E232" s="129"/>
      <c r="F232" s="129"/>
      <c r="G232" s="129"/>
      <c r="H232" s="129"/>
      <c r="I232" s="129"/>
      <c r="J232" s="129"/>
    </row>
    <row r="233" spans="3:10">
      <c r="C233" s="129"/>
      <c r="D233" s="129"/>
      <c r="E233" s="129"/>
      <c r="F233" s="129"/>
      <c r="G233" s="129"/>
      <c r="H233" s="129"/>
      <c r="I233" s="129"/>
      <c r="J233" s="129"/>
    </row>
    <row r="234" spans="3:10">
      <c r="C234" s="129"/>
      <c r="D234" s="129"/>
      <c r="E234" s="129"/>
      <c r="F234" s="129"/>
      <c r="G234" s="129"/>
      <c r="H234" s="129"/>
      <c r="I234" s="129"/>
      <c r="J234" s="129"/>
    </row>
    <row r="235" spans="3:10">
      <c r="C235" s="129"/>
      <c r="D235" s="129"/>
      <c r="E235" s="129"/>
      <c r="F235" s="129"/>
      <c r="G235" s="129"/>
      <c r="H235" s="129"/>
      <c r="I235" s="129"/>
      <c r="J235" s="129"/>
    </row>
    <row r="236" spans="3:10">
      <c r="C236" s="129"/>
      <c r="D236" s="129"/>
      <c r="E236" s="129"/>
      <c r="F236" s="129"/>
      <c r="G236" s="129"/>
      <c r="H236" s="129"/>
      <c r="I236" s="129"/>
      <c r="J236" s="129"/>
    </row>
    <row r="237" spans="3:10">
      <c r="C237" s="129"/>
      <c r="D237" s="129"/>
      <c r="E237" s="129"/>
      <c r="F237" s="129"/>
      <c r="G237" s="129"/>
      <c r="H237" s="129"/>
      <c r="I237" s="129"/>
      <c r="J237" s="129"/>
    </row>
    <row r="238" spans="3:10">
      <c r="C238" s="129"/>
      <c r="D238" s="129"/>
      <c r="E238" s="129"/>
      <c r="F238" s="129"/>
      <c r="G238" s="129"/>
      <c r="H238" s="129"/>
      <c r="I238" s="129"/>
      <c r="J238" s="129"/>
    </row>
    <row r="239" spans="3:10">
      <c r="C239" s="129"/>
      <c r="D239" s="129"/>
      <c r="E239" s="129"/>
      <c r="F239" s="129"/>
      <c r="G239" s="129"/>
      <c r="H239" s="129"/>
      <c r="I239" s="129"/>
      <c r="J239" s="129"/>
    </row>
    <row r="240" spans="3:10">
      <c r="C240" s="129"/>
      <c r="D240" s="129"/>
      <c r="E240" s="129"/>
      <c r="F240" s="129"/>
      <c r="G240" s="129"/>
      <c r="H240" s="129"/>
      <c r="I240" s="129"/>
      <c r="J240" s="129"/>
    </row>
    <row r="241" spans="3:10">
      <c r="C241" s="129"/>
      <c r="D241" s="129"/>
      <c r="E241" s="129"/>
      <c r="F241" s="129"/>
      <c r="G241" s="129"/>
      <c r="H241" s="129"/>
      <c r="I241" s="129"/>
      <c r="J241" s="129"/>
    </row>
    <row r="242" spans="3:10">
      <c r="C242" s="129"/>
      <c r="D242" s="129"/>
      <c r="E242" s="129"/>
      <c r="F242" s="129"/>
      <c r="G242" s="129"/>
      <c r="H242" s="129"/>
      <c r="I242" s="129"/>
      <c r="J242" s="129"/>
    </row>
    <row r="243" spans="3:10">
      <c r="C243" s="129"/>
      <c r="D243" s="129"/>
      <c r="E243" s="129"/>
      <c r="F243" s="129"/>
      <c r="G243" s="129"/>
      <c r="H243" s="129"/>
      <c r="I243" s="129"/>
      <c r="J243" s="129"/>
    </row>
    <row r="244" spans="3:10">
      <c r="C244" s="129"/>
      <c r="D244" s="129"/>
      <c r="E244" s="129"/>
      <c r="F244" s="129"/>
      <c r="G244" s="129"/>
      <c r="H244" s="129"/>
      <c r="I244" s="129"/>
      <c r="J244" s="129"/>
    </row>
    <row r="245" spans="3:10">
      <c r="C245" s="129"/>
      <c r="D245" s="129"/>
      <c r="E245" s="129"/>
      <c r="F245" s="129"/>
      <c r="G245" s="129"/>
      <c r="H245" s="129"/>
      <c r="I245" s="129"/>
      <c r="J245" s="129"/>
    </row>
    <row r="246" spans="3:10">
      <c r="C246" s="129"/>
      <c r="D246" s="129"/>
      <c r="E246" s="129"/>
      <c r="F246" s="129"/>
      <c r="G246" s="129"/>
      <c r="H246" s="129"/>
      <c r="I246" s="129"/>
      <c r="J246" s="129"/>
    </row>
    <row r="247" spans="3:10">
      <c r="C247" s="129"/>
      <c r="D247" s="129"/>
      <c r="E247" s="129"/>
      <c r="F247" s="129"/>
      <c r="G247" s="129"/>
      <c r="H247" s="129"/>
      <c r="I247" s="129"/>
      <c r="J247" s="129"/>
    </row>
    <row r="248" spans="3:10">
      <c r="C248" s="129"/>
      <c r="D248" s="129"/>
      <c r="E248" s="129"/>
      <c r="F248" s="129"/>
      <c r="G248" s="129"/>
      <c r="H248" s="129"/>
      <c r="I248" s="129"/>
      <c r="J248" s="129"/>
    </row>
    <row r="249" spans="3:10">
      <c r="C249" s="129"/>
      <c r="D249" s="129"/>
      <c r="E249" s="129"/>
      <c r="F249" s="129"/>
      <c r="G249" s="129"/>
      <c r="H249" s="129"/>
      <c r="I249" s="129"/>
      <c r="J249" s="129"/>
    </row>
    <row r="250" spans="3:10">
      <c r="C250" s="129"/>
      <c r="D250" s="129"/>
      <c r="E250" s="129"/>
      <c r="F250" s="129"/>
      <c r="G250" s="129"/>
      <c r="H250" s="129"/>
      <c r="I250" s="129"/>
      <c r="J250" s="129"/>
    </row>
    <row r="251" spans="3:10">
      <c r="C251" s="129"/>
      <c r="D251" s="129"/>
      <c r="E251" s="129"/>
      <c r="F251" s="129"/>
      <c r="G251" s="129"/>
      <c r="H251" s="129"/>
      <c r="I251" s="129"/>
      <c r="J251" s="129"/>
    </row>
    <row r="252" spans="3:10">
      <c r="C252" s="129"/>
      <c r="D252" s="129"/>
      <c r="E252" s="129"/>
      <c r="F252" s="129"/>
      <c r="G252" s="129"/>
      <c r="H252" s="129"/>
      <c r="I252" s="129"/>
      <c r="J252" s="129"/>
    </row>
    <row r="253" spans="3:10">
      <c r="C253" s="129"/>
      <c r="D253" s="129"/>
      <c r="E253" s="129"/>
      <c r="F253" s="129"/>
      <c r="G253" s="129"/>
      <c r="H253" s="129"/>
      <c r="I253" s="129"/>
      <c r="J253" s="129"/>
    </row>
    <row r="254" spans="3:10">
      <c r="C254" s="129"/>
      <c r="D254" s="129"/>
      <c r="E254" s="129"/>
      <c r="F254" s="129"/>
      <c r="G254" s="129"/>
      <c r="H254" s="129"/>
      <c r="I254" s="129"/>
      <c r="J254" s="129"/>
    </row>
    <row r="255" spans="3:10">
      <c r="C255" s="129"/>
      <c r="D255" s="129"/>
      <c r="E255" s="129"/>
      <c r="F255" s="129"/>
      <c r="G255" s="129"/>
      <c r="H255" s="129"/>
      <c r="I255" s="129"/>
      <c r="J255" s="129"/>
    </row>
    <row r="256" spans="3:10">
      <c r="C256" s="129"/>
      <c r="D256" s="129"/>
      <c r="E256" s="129"/>
      <c r="F256" s="129"/>
      <c r="G256" s="129"/>
      <c r="H256" s="129"/>
      <c r="I256" s="129"/>
      <c r="J256" s="129"/>
    </row>
    <row r="257" spans="3:10">
      <c r="C257" s="129"/>
      <c r="D257" s="129"/>
      <c r="E257" s="129"/>
      <c r="F257" s="129"/>
      <c r="G257" s="129"/>
      <c r="H257" s="129"/>
      <c r="I257" s="129"/>
      <c r="J257" s="129"/>
    </row>
    <row r="258" spans="3:10">
      <c r="C258" s="129"/>
      <c r="D258" s="129"/>
      <c r="E258" s="129"/>
      <c r="F258" s="129"/>
      <c r="G258" s="129"/>
      <c r="H258" s="129"/>
      <c r="I258" s="129"/>
      <c r="J258" s="129"/>
    </row>
    <row r="259" spans="3:10">
      <c r="C259" s="129"/>
      <c r="D259" s="129"/>
      <c r="E259" s="129"/>
      <c r="F259" s="129"/>
      <c r="G259" s="129"/>
      <c r="H259" s="129"/>
      <c r="I259" s="129"/>
      <c r="J259" s="129"/>
    </row>
    <row r="260" spans="3:10">
      <c r="C260" s="129"/>
      <c r="D260" s="129"/>
      <c r="E260" s="129"/>
      <c r="F260" s="129"/>
      <c r="G260" s="129"/>
      <c r="H260" s="129"/>
      <c r="I260" s="129"/>
      <c r="J260" s="129"/>
    </row>
    <row r="261" spans="3:10">
      <c r="C261" s="129"/>
      <c r="D261" s="129"/>
      <c r="E261" s="129"/>
      <c r="F261" s="129"/>
      <c r="G261" s="129"/>
      <c r="H261" s="129"/>
      <c r="I261" s="129"/>
      <c r="J261" s="129"/>
    </row>
    <row r="262" spans="3:10">
      <c r="C262" s="129"/>
      <c r="D262" s="129"/>
      <c r="E262" s="129"/>
      <c r="F262" s="129"/>
      <c r="G262" s="129"/>
      <c r="H262" s="129"/>
      <c r="I262" s="129"/>
      <c r="J262" s="129"/>
    </row>
    <row r="263" spans="3:10">
      <c r="C263" s="129"/>
      <c r="D263" s="129"/>
      <c r="E263" s="129"/>
      <c r="F263" s="129"/>
      <c r="G263" s="129"/>
      <c r="H263" s="129"/>
      <c r="I263" s="129"/>
      <c r="J263" s="129"/>
    </row>
    <row r="264" spans="3:10">
      <c r="C264" s="129"/>
      <c r="D264" s="129"/>
      <c r="E264" s="129"/>
      <c r="F264" s="129"/>
      <c r="G264" s="129"/>
      <c r="H264" s="129"/>
      <c r="I264" s="129"/>
      <c r="J264" s="129"/>
    </row>
    <row r="265" spans="3:10">
      <c r="C265" s="129"/>
      <c r="D265" s="129"/>
      <c r="E265" s="129"/>
      <c r="F265" s="129"/>
      <c r="G265" s="129"/>
      <c r="H265" s="129"/>
      <c r="I265" s="129"/>
      <c r="J265" s="129"/>
    </row>
    <row r="266" spans="3:10">
      <c r="C266" s="129"/>
      <c r="D266" s="129"/>
      <c r="E266" s="129"/>
      <c r="F266" s="129"/>
      <c r="G266" s="129"/>
      <c r="H266" s="129"/>
      <c r="I266" s="129"/>
      <c r="J266" s="129"/>
    </row>
    <row r="267" spans="3:10">
      <c r="C267" s="129"/>
      <c r="D267" s="129"/>
      <c r="E267" s="129"/>
      <c r="F267" s="129"/>
      <c r="G267" s="129"/>
      <c r="H267" s="129"/>
      <c r="I267" s="129"/>
      <c r="J267" s="129"/>
    </row>
    <row r="268" spans="3:10">
      <c r="C268" s="129"/>
      <c r="D268" s="129"/>
      <c r="E268" s="129"/>
      <c r="F268" s="129"/>
      <c r="G268" s="129"/>
      <c r="H268" s="129"/>
      <c r="I268" s="129"/>
      <c r="J268" s="129"/>
    </row>
    <row r="269" spans="3:10">
      <c r="C269" s="129"/>
      <c r="D269" s="129"/>
      <c r="E269" s="129"/>
      <c r="F269" s="129"/>
      <c r="G269" s="129"/>
      <c r="H269" s="129"/>
      <c r="I269" s="129"/>
      <c r="J269" s="129"/>
    </row>
    <row r="270" spans="3:10">
      <c r="C270" s="129"/>
      <c r="D270" s="129"/>
      <c r="E270" s="129"/>
      <c r="F270" s="129"/>
      <c r="G270" s="129"/>
      <c r="H270" s="129"/>
      <c r="I270" s="129"/>
      <c r="J270" s="129"/>
    </row>
    <row r="271" spans="3:10">
      <c r="C271" s="129"/>
      <c r="D271" s="129"/>
      <c r="E271" s="129"/>
      <c r="F271" s="129"/>
      <c r="G271" s="129"/>
      <c r="H271" s="129"/>
      <c r="I271" s="129"/>
      <c r="J271" s="129"/>
    </row>
    <row r="272" spans="3:10">
      <c r="C272" s="129"/>
      <c r="D272" s="129"/>
      <c r="E272" s="129"/>
      <c r="F272" s="129"/>
      <c r="G272" s="129"/>
      <c r="H272" s="129"/>
      <c r="I272" s="129"/>
      <c r="J272" s="129"/>
    </row>
    <row r="273" spans="3:10">
      <c r="C273" s="129"/>
      <c r="D273" s="129"/>
      <c r="E273" s="129"/>
      <c r="F273" s="129"/>
      <c r="G273" s="129"/>
      <c r="H273" s="129"/>
      <c r="I273" s="129"/>
      <c r="J273" s="129"/>
    </row>
    <row r="274" spans="3:10">
      <c r="C274" s="129"/>
      <c r="D274" s="129"/>
      <c r="E274" s="129"/>
      <c r="F274" s="129"/>
      <c r="G274" s="129"/>
      <c r="H274" s="129"/>
      <c r="I274" s="129"/>
      <c r="J274" s="129"/>
    </row>
    <row r="275" spans="3:10">
      <c r="C275" s="129"/>
      <c r="D275" s="129"/>
      <c r="E275" s="129"/>
      <c r="F275" s="129"/>
      <c r="G275" s="129"/>
      <c r="H275" s="129"/>
      <c r="I275" s="129"/>
      <c r="J275" s="129"/>
    </row>
    <row r="276" spans="3:10">
      <c r="C276" s="129"/>
      <c r="D276" s="129"/>
      <c r="E276" s="129"/>
      <c r="F276" s="129"/>
      <c r="G276" s="129"/>
      <c r="H276" s="129"/>
      <c r="I276" s="129"/>
      <c r="J276" s="129"/>
    </row>
    <row r="277" spans="3:10">
      <c r="C277" s="129"/>
      <c r="D277" s="129"/>
      <c r="E277" s="129"/>
      <c r="F277" s="129"/>
      <c r="G277" s="129"/>
      <c r="H277" s="129"/>
      <c r="I277" s="129"/>
      <c r="J277" s="129"/>
    </row>
    <row r="278" spans="3:10">
      <c r="C278" s="129"/>
      <c r="D278" s="129"/>
      <c r="E278" s="129"/>
      <c r="F278" s="129"/>
      <c r="G278" s="129"/>
      <c r="H278" s="129"/>
      <c r="I278" s="129"/>
      <c r="J278" s="129"/>
    </row>
    <row r="279" spans="3:10">
      <c r="C279" s="129"/>
      <c r="D279" s="129"/>
      <c r="E279" s="129"/>
      <c r="F279" s="129"/>
      <c r="G279" s="129"/>
      <c r="H279" s="129"/>
      <c r="I279" s="129"/>
      <c r="J279" s="129"/>
    </row>
    <row r="280" spans="3:10">
      <c r="C280" s="129"/>
      <c r="D280" s="129"/>
      <c r="E280" s="129"/>
      <c r="F280" s="129"/>
      <c r="G280" s="129"/>
      <c r="H280" s="129"/>
      <c r="I280" s="129"/>
      <c r="J280" s="129"/>
    </row>
    <row r="281" spans="3:10">
      <c r="C281" s="129"/>
      <c r="D281" s="129"/>
      <c r="E281" s="129"/>
      <c r="F281" s="129"/>
      <c r="G281" s="129"/>
      <c r="H281" s="129"/>
      <c r="I281" s="129"/>
      <c r="J281" s="129"/>
    </row>
    <row r="282" spans="3:10">
      <c r="C282" s="129"/>
      <c r="D282" s="129"/>
      <c r="E282" s="129"/>
      <c r="F282" s="129"/>
      <c r="G282" s="129"/>
      <c r="H282" s="129"/>
      <c r="I282" s="129"/>
      <c r="J282" s="129"/>
    </row>
    <row r="283" spans="3:10">
      <c r="C283" s="129"/>
      <c r="D283" s="129"/>
      <c r="E283" s="129"/>
      <c r="F283" s="129"/>
      <c r="G283" s="129"/>
      <c r="H283" s="129"/>
      <c r="I283" s="129"/>
      <c r="J283" s="129"/>
    </row>
    <row r="284" spans="3:10">
      <c r="C284" s="129"/>
      <c r="D284" s="129"/>
      <c r="E284" s="129"/>
      <c r="F284" s="129"/>
      <c r="G284" s="129"/>
      <c r="H284" s="129"/>
      <c r="I284" s="129"/>
      <c r="J284" s="129"/>
    </row>
    <row r="285" spans="3:10">
      <c r="C285" s="129"/>
      <c r="D285" s="129"/>
      <c r="E285" s="129"/>
      <c r="F285" s="129"/>
      <c r="G285" s="129"/>
      <c r="H285" s="129"/>
      <c r="I285" s="129"/>
      <c r="J285" s="129"/>
    </row>
    <row r="286" spans="3:10">
      <c r="C286" s="129"/>
      <c r="D286" s="129"/>
      <c r="E286" s="129"/>
      <c r="F286" s="129"/>
      <c r="G286" s="129"/>
      <c r="H286" s="129"/>
      <c r="I286" s="129"/>
      <c r="J286" s="129"/>
    </row>
    <row r="287" spans="3:10">
      <c r="C287" s="129"/>
      <c r="D287" s="129"/>
      <c r="E287" s="129"/>
      <c r="F287" s="129"/>
      <c r="G287" s="129"/>
      <c r="H287" s="129"/>
      <c r="I287" s="129"/>
      <c r="J287" s="129"/>
    </row>
    <row r="288" spans="3:10">
      <c r="C288" s="129"/>
      <c r="D288" s="129"/>
      <c r="E288" s="129"/>
      <c r="F288" s="129"/>
      <c r="G288" s="129"/>
      <c r="H288" s="129"/>
      <c r="I288" s="129"/>
      <c r="J288" s="129"/>
    </row>
    <row r="289" spans="3:10">
      <c r="C289" s="129"/>
      <c r="D289" s="129"/>
      <c r="E289" s="129"/>
      <c r="F289" s="129"/>
      <c r="G289" s="129"/>
      <c r="H289" s="129"/>
      <c r="I289" s="129"/>
      <c r="J289" s="129"/>
    </row>
    <row r="290" spans="3:10">
      <c r="C290" s="129"/>
      <c r="D290" s="129"/>
      <c r="E290" s="129"/>
      <c r="F290" s="129"/>
      <c r="G290" s="129"/>
      <c r="H290" s="129"/>
      <c r="I290" s="129"/>
      <c r="J290" s="129"/>
    </row>
    <row r="291" spans="3:10">
      <c r="C291" s="129"/>
      <c r="D291" s="129"/>
      <c r="E291" s="129"/>
      <c r="F291" s="129"/>
      <c r="G291" s="129"/>
      <c r="H291" s="129"/>
      <c r="I291" s="129"/>
      <c r="J291" s="129"/>
    </row>
    <row r="292" spans="3:10">
      <c r="C292" s="129"/>
      <c r="D292" s="129"/>
      <c r="E292" s="129"/>
      <c r="F292" s="129"/>
      <c r="G292" s="129"/>
      <c r="H292" s="129"/>
      <c r="I292" s="129"/>
      <c r="J292" s="129"/>
    </row>
    <row r="293" spans="3:10">
      <c r="C293" s="129"/>
      <c r="D293" s="129"/>
      <c r="E293" s="129"/>
      <c r="F293" s="129"/>
      <c r="G293" s="129"/>
      <c r="H293" s="129"/>
      <c r="I293" s="129"/>
      <c r="J293" s="129"/>
    </row>
    <row r="294" spans="3:10">
      <c r="C294" s="129"/>
      <c r="D294" s="129"/>
      <c r="E294" s="129"/>
      <c r="F294" s="129"/>
      <c r="G294" s="129"/>
      <c r="H294" s="129"/>
      <c r="I294" s="129"/>
      <c r="J294" s="129"/>
    </row>
    <row r="295" spans="3:10">
      <c r="C295" s="129"/>
      <c r="D295" s="129"/>
      <c r="E295" s="129"/>
      <c r="F295" s="129"/>
      <c r="G295" s="129"/>
      <c r="H295" s="129"/>
      <c r="I295" s="129"/>
      <c r="J295" s="129"/>
    </row>
    <row r="296" spans="3:10">
      <c r="C296" s="129"/>
      <c r="D296" s="129"/>
      <c r="E296" s="129"/>
      <c r="F296" s="129"/>
      <c r="G296" s="129"/>
      <c r="H296" s="129"/>
      <c r="I296" s="129"/>
      <c r="J296" s="129"/>
    </row>
    <row r="297" spans="3:10">
      <c r="C297" s="129"/>
      <c r="D297" s="129"/>
      <c r="E297" s="129"/>
      <c r="F297" s="129"/>
      <c r="G297" s="129"/>
      <c r="H297" s="129"/>
      <c r="I297" s="129"/>
      <c r="J297" s="129"/>
    </row>
    <row r="298" spans="3:10">
      <c r="C298" s="129"/>
      <c r="D298" s="129"/>
      <c r="E298" s="129"/>
      <c r="F298" s="129"/>
      <c r="G298" s="129"/>
      <c r="H298" s="129"/>
      <c r="I298" s="129"/>
      <c r="J298" s="129"/>
    </row>
  </sheetData>
  <mergeCells count="8">
    <mergeCell ref="M99:X99"/>
    <mergeCell ref="M100:X100"/>
    <mergeCell ref="M93:X93"/>
    <mergeCell ref="M94:X94"/>
    <mergeCell ref="M95:X95"/>
    <mergeCell ref="M96:X96"/>
    <mergeCell ref="M97:X97"/>
    <mergeCell ref="M98:X98"/>
  </mergeCells>
  <printOptions horizontalCentered="1"/>
  <pageMargins left="0.75" right="0.75" top="0.75" bottom="0.5" header="0.5" footer="0.5"/>
  <pageSetup scale="54" orientation="landscape" horizontalDpi="300" verticalDpi="300" r:id="rId1"/>
  <headerFooter alignWithMargins="0"/>
  <rowBreaks count="1" manualBreakCount="1">
    <brk id="48" min="10" max="2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tabColor rgb="FFFF3300"/>
    <pageSetUpPr fitToPage="1"/>
  </sheetPr>
  <dimension ref="A1:AB298"/>
  <sheetViews>
    <sheetView view="pageBreakPreview" zoomScale="80" zoomScaleNormal="80" zoomScaleSheetLayoutView="80" workbookViewId="0"/>
  </sheetViews>
  <sheetFormatPr defaultRowHeight="15"/>
  <cols>
    <col min="1" max="1" width="6" customWidth="1"/>
    <col min="2" max="2" width="1.44140625" customWidth="1"/>
    <col min="3" max="3" width="52.21875" customWidth="1"/>
    <col min="4" max="4" width="1.109375" customWidth="1"/>
    <col min="5" max="5" width="37.109375" customWidth="1"/>
    <col min="6" max="6" width="1.21875" customWidth="1"/>
    <col min="7" max="7" width="14.109375" customWidth="1"/>
    <col min="8" max="8" width="0.77734375" customWidth="1"/>
    <col min="9" max="9" width="12.77734375" customWidth="1"/>
    <col min="10" max="10" width="3.77734375" customWidth="1"/>
    <col min="11" max="11" width="5.21875" customWidth="1"/>
    <col min="12" max="12" width="1.77734375" customWidth="1"/>
    <col min="13" max="13" width="19.21875" customWidth="1"/>
    <col min="14" max="14" width="8.77734375"/>
    <col min="15" max="15" width="13.77734375" customWidth="1"/>
    <col min="16" max="16" width="13.109375" customWidth="1"/>
    <col min="17" max="17" width="13.77734375" customWidth="1"/>
    <col min="18" max="18" width="12.44140625" customWidth="1"/>
    <col min="19" max="19" width="14.77734375" customWidth="1"/>
    <col min="20" max="20" width="13.21875" customWidth="1"/>
    <col min="21" max="21" width="12.77734375" customWidth="1"/>
    <col min="22" max="22" width="17.44140625" customWidth="1"/>
    <col min="23" max="23" width="12" customWidth="1"/>
    <col min="24" max="24" width="16.21875" customWidth="1"/>
    <col min="25" max="245" width="8.77734375"/>
    <col min="246" max="246" width="6" customWidth="1"/>
    <col min="247" max="247" width="1.44140625" customWidth="1"/>
    <col min="248" max="248" width="39.109375" customWidth="1"/>
    <col min="249" max="249" width="12" customWidth="1"/>
    <col min="250" max="250" width="14.44140625" customWidth="1"/>
    <col min="251" max="251" width="11.77734375" customWidth="1"/>
    <col min="252" max="252" width="14.109375" customWidth="1"/>
    <col min="253" max="253" width="13.77734375" customWidth="1"/>
    <col min="254" max="255" width="12.77734375" customWidth="1"/>
    <col min="256" max="256" width="13.5546875" customWidth="1"/>
    <col min="257" max="257" width="15.21875" customWidth="1"/>
    <col min="258" max="258" width="12.77734375" customWidth="1"/>
    <col min="259" max="259" width="13.77734375" customWidth="1"/>
    <col min="260" max="260" width="1.77734375" customWidth="1"/>
    <col min="261" max="261" width="13" customWidth="1"/>
    <col min="262" max="501" width="8.77734375"/>
    <col min="502" max="502" width="6" customWidth="1"/>
    <col min="503" max="503" width="1.44140625" customWidth="1"/>
    <col min="504" max="504" width="39.109375" customWidth="1"/>
    <col min="505" max="505" width="12" customWidth="1"/>
    <col min="506" max="506" width="14.44140625" customWidth="1"/>
    <col min="507" max="507" width="11.77734375" customWidth="1"/>
    <col min="508" max="508" width="14.109375" customWidth="1"/>
    <col min="509" max="509" width="13.77734375" customWidth="1"/>
    <col min="510" max="511" width="12.77734375" customWidth="1"/>
    <col min="512" max="512" width="13.5546875" customWidth="1"/>
    <col min="513" max="513" width="15.21875" customWidth="1"/>
    <col min="514" max="514" width="12.77734375" customWidth="1"/>
    <col min="515" max="515" width="13.77734375" customWidth="1"/>
    <col min="516" max="516" width="1.77734375" customWidth="1"/>
    <col min="517" max="517" width="13" customWidth="1"/>
    <col min="518" max="757" width="8.77734375"/>
    <col min="758" max="758" width="6" customWidth="1"/>
    <col min="759" max="759" width="1.44140625" customWidth="1"/>
    <col min="760" max="760" width="39.109375" customWidth="1"/>
    <col min="761" max="761" width="12" customWidth="1"/>
    <col min="762" max="762" width="14.44140625" customWidth="1"/>
    <col min="763" max="763" width="11.77734375" customWidth="1"/>
    <col min="764" max="764" width="14.109375" customWidth="1"/>
    <col min="765" max="765" width="13.77734375" customWidth="1"/>
    <col min="766" max="767" width="12.77734375" customWidth="1"/>
    <col min="768" max="768" width="13.5546875" customWidth="1"/>
    <col min="769" max="769" width="15.21875" customWidth="1"/>
    <col min="770" max="770" width="12.77734375" customWidth="1"/>
    <col min="771" max="771" width="13.77734375" customWidth="1"/>
    <col min="772" max="772" width="1.77734375" customWidth="1"/>
    <col min="773" max="773" width="13" customWidth="1"/>
    <col min="774" max="1013" width="8.77734375"/>
    <col min="1014" max="1014" width="6" customWidth="1"/>
    <col min="1015" max="1015" width="1.44140625" customWidth="1"/>
    <col min="1016" max="1016" width="39.109375" customWidth="1"/>
    <col min="1017" max="1017" width="12" customWidth="1"/>
    <col min="1018" max="1018" width="14.44140625" customWidth="1"/>
    <col min="1019" max="1019" width="11.77734375" customWidth="1"/>
    <col min="1020" max="1020" width="14.109375" customWidth="1"/>
    <col min="1021" max="1021" width="13.77734375" customWidth="1"/>
    <col min="1022" max="1023" width="12.77734375" customWidth="1"/>
    <col min="1024" max="1024" width="13.5546875" customWidth="1"/>
    <col min="1025" max="1025" width="15.21875" customWidth="1"/>
    <col min="1026" max="1026" width="12.77734375" customWidth="1"/>
    <col min="1027" max="1027" width="13.77734375" customWidth="1"/>
    <col min="1028" max="1028" width="1.77734375" customWidth="1"/>
    <col min="1029" max="1029" width="13" customWidth="1"/>
    <col min="1030" max="1269" width="8.77734375"/>
    <col min="1270" max="1270" width="6" customWidth="1"/>
    <col min="1271" max="1271" width="1.44140625" customWidth="1"/>
    <col min="1272" max="1272" width="39.109375" customWidth="1"/>
    <col min="1273" max="1273" width="12" customWidth="1"/>
    <col min="1274" max="1274" width="14.44140625" customWidth="1"/>
    <col min="1275" max="1275" width="11.77734375" customWidth="1"/>
    <col min="1276" max="1276" width="14.109375" customWidth="1"/>
    <col min="1277" max="1277" width="13.77734375" customWidth="1"/>
    <col min="1278" max="1279" width="12.77734375" customWidth="1"/>
    <col min="1280" max="1280" width="13.5546875" customWidth="1"/>
    <col min="1281" max="1281" width="15.21875" customWidth="1"/>
    <col min="1282" max="1282" width="12.77734375" customWidth="1"/>
    <col min="1283" max="1283" width="13.77734375" customWidth="1"/>
    <col min="1284" max="1284" width="1.77734375" customWidth="1"/>
    <col min="1285" max="1285" width="13" customWidth="1"/>
    <col min="1286" max="1525" width="8.77734375"/>
    <col min="1526" max="1526" width="6" customWidth="1"/>
    <col min="1527" max="1527" width="1.44140625" customWidth="1"/>
    <col min="1528" max="1528" width="39.109375" customWidth="1"/>
    <col min="1529" max="1529" width="12" customWidth="1"/>
    <col min="1530" max="1530" width="14.44140625" customWidth="1"/>
    <col min="1531" max="1531" width="11.77734375" customWidth="1"/>
    <col min="1532" max="1532" width="14.109375" customWidth="1"/>
    <col min="1533" max="1533" width="13.77734375" customWidth="1"/>
    <col min="1534" max="1535" width="12.77734375" customWidth="1"/>
    <col min="1536" max="1536" width="13.5546875" customWidth="1"/>
    <col min="1537" max="1537" width="15.21875" customWidth="1"/>
    <col min="1538" max="1538" width="12.77734375" customWidth="1"/>
    <col min="1539" max="1539" width="13.77734375" customWidth="1"/>
    <col min="1540" max="1540" width="1.77734375" customWidth="1"/>
    <col min="1541" max="1541" width="13" customWidth="1"/>
    <col min="1542" max="1781" width="8.77734375"/>
    <col min="1782" max="1782" width="6" customWidth="1"/>
    <col min="1783" max="1783" width="1.44140625" customWidth="1"/>
    <col min="1784" max="1784" width="39.109375" customWidth="1"/>
    <col min="1785" max="1785" width="12" customWidth="1"/>
    <col min="1786" max="1786" width="14.44140625" customWidth="1"/>
    <col min="1787" max="1787" width="11.77734375" customWidth="1"/>
    <col min="1788" max="1788" width="14.109375" customWidth="1"/>
    <col min="1789" max="1789" width="13.77734375" customWidth="1"/>
    <col min="1790" max="1791" width="12.77734375" customWidth="1"/>
    <col min="1792" max="1792" width="13.5546875" customWidth="1"/>
    <col min="1793" max="1793" width="15.21875" customWidth="1"/>
    <col min="1794" max="1794" width="12.77734375" customWidth="1"/>
    <col min="1795" max="1795" width="13.77734375" customWidth="1"/>
    <col min="1796" max="1796" width="1.77734375" customWidth="1"/>
    <col min="1797" max="1797" width="13" customWidth="1"/>
    <col min="1798" max="2037" width="8.77734375"/>
    <col min="2038" max="2038" width="6" customWidth="1"/>
    <col min="2039" max="2039" width="1.44140625" customWidth="1"/>
    <col min="2040" max="2040" width="39.109375" customWidth="1"/>
    <col min="2041" max="2041" width="12" customWidth="1"/>
    <col min="2042" max="2042" width="14.44140625" customWidth="1"/>
    <col min="2043" max="2043" width="11.77734375" customWidth="1"/>
    <col min="2044" max="2044" width="14.109375" customWidth="1"/>
    <col min="2045" max="2045" width="13.77734375" customWidth="1"/>
    <col min="2046" max="2047" width="12.77734375" customWidth="1"/>
    <col min="2048" max="2048" width="13.5546875" customWidth="1"/>
    <col min="2049" max="2049" width="15.21875" customWidth="1"/>
    <col min="2050" max="2050" width="12.77734375" customWidth="1"/>
    <col min="2051" max="2051" width="13.77734375" customWidth="1"/>
    <col min="2052" max="2052" width="1.77734375" customWidth="1"/>
    <col min="2053" max="2053" width="13" customWidth="1"/>
    <col min="2054" max="2293" width="8.77734375"/>
    <col min="2294" max="2294" width="6" customWidth="1"/>
    <col min="2295" max="2295" width="1.44140625" customWidth="1"/>
    <col min="2296" max="2296" width="39.109375" customWidth="1"/>
    <col min="2297" max="2297" width="12" customWidth="1"/>
    <col min="2298" max="2298" width="14.44140625" customWidth="1"/>
    <col min="2299" max="2299" width="11.77734375" customWidth="1"/>
    <col min="2300" max="2300" width="14.109375" customWidth="1"/>
    <col min="2301" max="2301" width="13.77734375" customWidth="1"/>
    <col min="2302" max="2303" width="12.77734375" customWidth="1"/>
    <col min="2304" max="2304" width="13.5546875" customWidth="1"/>
    <col min="2305" max="2305" width="15.21875" customWidth="1"/>
    <col min="2306" max="2306" width="12.77734375" customWidth="1"/>
    <col min="2307" max="2307" width="13.77734375" customWidth="1"/>
    <col min="2308" max="2308" width="1.77734375" customWidth="1"/>
    <col min="2309" max="2309" width="13" customWidth="1"/>
    <col min="2310" max="2549" width="8.77734375"/>
    <col min="2550" max="2550" width="6" customWidth="1"/>
    <col min="2551" max="2551" width="1.44140625" customWidth="1"/>
    <col min="2552" max="2552" width="39.109375" customWidth="1"/>
    <col min="2553" max="2553" width="12" customWidth="1"/>
    <col min="2554" max="2554" width="14.44140625" customWidth="1"/>
    <col min="2555" max="2555" width="11.77734375" customWidth="1"/>
    <col min="2556" max="2556" width="14.109375" customWidth="1"/>
    <col min="2557" max="2557" width="13.77734375" customWidth="1"/>
    <col min="2558" max="2559" width="12.77734375" customWidth="1"/>
    <col min="2560" max="2560" width="13.5546875" customWidth="1"/>
    <col min="2561" max="2561" width="15.21875" customWidth="1"/>
    <col min="2562" max="2562" width="12.77734375" customWidth="1"/>
    <col min="2563" max="2563" width="13.77734375" customWidth="1"/>
    <col min="2564" max="2564" width="1.77734375" customWidth="1"/>
    <col min="2565" max="2565" width="13" customWidth="1"/>
    <col min="2566" max="2805" width="8.77734375"/>
    <col min="2806" max="2806" width="6" customWidth="1"/>
    <col min="2807" max="2807" width="1.44140625" customWidth="1"/>
    <col min="2808" max="2808" width="39.109375" customWidth="1"/>
    <col min="2809" max="2809" width="12" customWidth="1"/>
    <col min="2810" max="2810" width="14.44140625" customWidth="1"/>
    <col min="2811" max="2811" width="11.77734375" customWidth="1"/>
    <col min="2812" max="2812" width="14.109375" customWidth="1"/>
    <col min="2813" max="2813" width="13.77734375" customWidth="1"/>
    <col min="2814" max="2815" width="12.77734375" customWidth="1"/>
    <col min="2816" max="2816" width="13.5546875" customWidth="1"/>
    <col min="2817" max="2817" width="15.21875" customWidth="1"/>
    <col min="2818" max="2818" width="12.77734375" customWidth="1"/>
    <col min="2819" max="2819" width="13.77734375" customWidth="1"/>
    <col min="2820" max="2820" width="1.77734375" customWidth="1"/>
    <col min="2821" max="2821" width="13" customWidth="1"/>
    <col min="2822" max="3061" width="8.77734375"/>
    <col min="3062" max="3062" width="6" customWidth="1"/>
    <col min="3063" max="3063" width="1.44140625" customWidth="1"/>
    <col min="3064" max="3064" width="39.109375" customWidth="1"/>
    <col min="3065" max="3065" width="12" customWidth="1"/>
    <col min="3066" max="3066" width="14.44140625" customWidth="1"/>
    <col min="3067" max="3067" width="11.77734375" customWidth="1"/>
    <col min="3068" max="3068" width="14.109375" customWidth="1"/>
    <col min="3069" max="3069" width="13.77734375" customWidth="1"/>
    <col min="3070" max="3071" width="12.77734375" customWidth="1"/>
    <col min="3072" max="3072" width="13.5546875" customWidth="1"/>
    <col min="3073" max="3073" width="15.21875" customWidth="1"/>
    <col min="3074" max="3074" width="12.77734375" customWidth="1"/>
    <col min="3075" max="3075" width="13.77734375" customWidth="1"/>
    <col min="3076" max="3076" width="1.77734375" customWidth="1"/>
    <col min="3077" max="3077" width="13" customWidth="1"/>
    <col min="3078" max="3317" width="8.77734375"/>
    <col min="3318" max="3318" width="6" customWidth="1"/>
    <col min="3319" max="3319" width="1.44140625" customWidth="1"/>
    <col min="3320" max="3320" width="39.109375" customWidth="1"/>
    <col min="3321" max="3321" width="12" customWidth="1"/>
    <col min="3322" max="3322" width="14.44140625" customWidth="1"/>
    <col min="3323" max="3323" width="11.77734375" customWidth="1"/>
    <col min="3324" max="3324" width="14.109375" customWidth="1"/>
    <col min="3325" max="3325" width="13.77734375" customWidth="1"/>
    <col min="3326" max="3327" width="12.77734375" customWidth="1"/>
    <col min="3328" max="3328" width="13.5546875" customWidth="1"/>
    <col min="3329" max="3329" width="15.21875" customWidth="1"/>
    <col min="3330" max="3330" width="12.77734375" customWidth="1"/>
    <col min="3331" max="3331" width="13.77734375" customWidth="1"/>
    <col min="3332" max="3332" width="1.77734375" customWidth="1"/>
    <col min="3333" max="3333" width="13" customWidth="1"/>
    <col min="3334" max="3573" width="8.77734375"/>
    <col min="3574" max="3574" width="6" customWidth="1"/>
    <col min="3575" max="3575" width="1.44140625" customWidth="1"/>
    <col min="3576" max="3576" width="39.109375" customWidth="1"/>
    <col min="3577" max="3577" width="12" customWidth="1"/>
    <col min="3578" max="3578" width="14.44140625" customWidth="1"/>
    <col min="3579" max="3579" width="11.77734375" customWidth="1"/>
    <col min="3580" max="3580" width="14.109375" customWidth="1"/>
    <col min="3581" max="3581" width="13.77734375" customWidth="1"/>
    <col min="3582" max="3583" width="12.77734375" customWidth="1"/>
    <col min="3584" max="3584" width="13.5546875" customWidth="1"/>
    <col min="3585" max="3585" width="15.21875" customWidth="1"/>
    <col min="3586" max="3586" width="12.77734375" customWidth="1"/>
    <col min="3587" max="3587" width="13.77734375" customWidth="1"/>
    <col min="3588" max="3588" width="1.77734375" customWidth="1"/>
    <col min="3589" max="3589" width="13" customWidth="1"/>
    <col min="3590" max="3829" width="8.77734375"/>
    <col min="3830" max="3830" width="6" customWidth="1"/>
    <col min="3831" max="3831" width="1.44140625" customWidth="1"/>
    <col min="3832" max="3832" width="39.109375" customWidth="1"/>
    <col min="3833" max="3833" width="12" customWidth="1"/>
    <col min="3834" max="3834" width="14.44140625" customWidth="1"/>
    <col min="3835" max="3835" width="11.77734375" customWidth="1"/>
    <col min="3836" max="3836" width="14.109375" customWidth="1"/>
    <col min="3837" max="3837" width="13.77734375" customWidth="1"/>
    <col min="3838" max="3839" width="12.77734375" customWidth="1"/>
    <col min="3840" max="3840" width="13.5546875" customWidth="1"/>
    <col min="3841" max="3841" width="15.21875" customWidth="1"/>
    <col min="3842" max="3842" width="12.77734375" customWidth="1"/>
    <col min="3843" max="3843" width="13.77734375" customWidth="1"/>
    <col min="3844" max="3844" width="1.77734375" customWidth="1"/>
    <col min="3845" max="3845" width="13" customWidth="1"/>
    <col min="3846" max="4085" width="8.77734375"/>
    <col min="4086" max="4086" width="6" customWidth="1"/>
    <col min="4087" max="4087" width="1.44140625" customWidth="1"/>
    <col min="4088" max="4088" width="39.109375" customWidth="1"/>
    <col min="4089" max="4089" width="12" customWidth="1"/>
    <col min="4090" max="4090" width="14.44140625" customWidth="1"/>
    <col min="4091" max="4091" width="11.77734375" customWidth="1"/>
    <col min="4092" max="4092" width="14.109375" customWidth="1"/>
    <col min="4093" max="4093" width="13.77734375" customWidth="1"/>
    <col min="4094" max="4095" width="12.77734375" customWidth="1"/>
    <col min="4096" max="4096" width="13.5546875" customWidth="1"/>
    <col min="4097" max="4097" width="15.21875" customWidth="1"/>
    <col min="4098" max="4098" width="12.77734375" customWidth="1"/>
    <col min="4099" max="4099" width="13.77734375" customWidth="1"/>
    <col min="4100" max="4100" width="1.77734375" customWidth="1"/>
    <col min="4101" max="4101" width="13" customWidth="1"/>
    <col min="4102" max="4341" width="8.77734375"/>
    <col min="4342" max="4342" width="6" customWidth="1"/>
    <col min="4343" max="4343" width="1.44140625" customWidth="1"/>
    <col min="4344" max="4344" width="39.109375" customWidth="1"/>
    <col min="4345" max="4345" width="12" customWidth="1"/>
    <col min="4346" max="4346" width="14.44140625" customWidth="1"/>
    <col min="4347" max="4347" width="11.77734375" customWidth="1"/>
    <col min="4348" max="4348" width="14.109375" customWidth="1"/>
    <col min="4349" max="4349" width="13.77734375" customWidth="1"/>
    <col min="4350" max="4351" width="12.77734375" customWidth="1"/>
    <col min="4352" max="4352" width="13.5546875" customWidth="1"/>
    <col min="4353" max="4353" width="15.21875" customWidth="1"/>
    <col min="4354" max="4354" width="12.77734375" customWidth="1"/>
    <col min="4355" max="4355" width="13.77734375" customWidth="1"/>
    <col min="4356" max="4356" width="1.77734375" customWidth="1"/>
    <col min="4357" max="4357" width="13" customWidth="1"/>
    <col min="4358" max="4597" width="8.77734375"/>
    <col min="4598" max="4598" width="6" customWidth="1"/>
    <col min="4599" max="4599" width="1.44140625" customWidth="1"/>
    <col min="4600" max="4600" width="39.109375" customWidth="1"/>
    <col min="4601" max="4601" width="12" customWidth="1"/>
    <col min="4602" max="4602" width="14.44140625" customWidth="1"/>
    <col min="4603" max="4603" width="11.77734375" customWidth="1"/>
    <col min="4604" max="4604" width="14.109375" customWidth="1"/>
    <col min="4605" max="4605" width="13.77734375" customWidth="1"/>
    <col min="4606" max="4607" width="12.77734375" customWidth="1"/>
    <col min="4608" max="4608" width="13.5546875" customWidth="1"/>
    <col min="4609" max="4609" width="15.21875" customWidth="1"/>
    <col min="4610" max="4610" width="12.77734375" customWidth="1"/>
    <col min="4611" max="4611" width="13.77734375" customWidth="1"/>
    <col min="4612" max="4612" width="1.77734375" customWidth="1"/>
    <col min="4613" max="4613" width="13" customWidth="1"/>
    <col min="4614" max="4853" width="8.77734375"/>
    <col min="4854" max="4854" width="6" customWidth="1"/>
    <col min="4855" max="4855" width="1.44140625" customWidth="1"/>
    <col min="4856" max="4856" width="39.109375" customWidth="1"/>
    <col min="4857" max="4857" width="12" customWidth="1"/>
    <col min="4858" max="4858" width="14.44140625" customWidth="1"/>
    <col min="4859" max="4859" width="11.77734375" customWidth="1"/>
    <col min="4860" max="4860" width="14.109375" customWidth="1"/>
    <col min="4861" max="4861" width="13.77734375" customWidth="1"/>
    <col min="4862" max="4863" width="12.77734375" customWidth="1"/>
    <col min="4864" max="4864" width="13.5546875" customWidth="1"/>
    <col min="4865" max="4865" width="15.21875" customWidth="1"/>
    <col min="4866" max="4866" width="12.77734375" customWidth="1"/>
    <col min="4867" max="4867" width="13.77734375" customWidth="1"/>
    <col min="4868" max="4868" width="1.77734375" customWidth="1"/>
    <col min="4869" max="4869" width="13" customWidth="1"/>
    <col min="4870" max="5109" width="8.77734375"/>
    <col min="5110" max="5110" width="6" customWidth="1"/>
    <col min="5111" max="5111" width="1.44140625" customWidth="1"/>
    <col min="5112" max="5112" width="39.109375" customWidth="1"/>
    <col min="5113" max="5113" width="12" customWidth="1"/>
    <col min="5114" max="5114" width="14.44140625" customWidth="1"/>
    <col min="5115" max="5115" width="11.77734375" customWidth="1"/>
    <col min="5116" max="5116" width="14.109375" customWidth="1"/>
    <col min="5117" max="5117" width="13.77734375" customWidth="1"/>
    <col min="5118" max="5119" width="12.77734375" customWidth="1"/>
    <col min="5120" max="5120" width="13.5546875" customWidth="1"/>
    <col min="5121" max="5121" width="15.21875" customWidth="1"/>
    <col min="5122" max="5122" width="12.77734375" customWidth="1"/>
    <col min="5123" max="5123" width="13.77734375" customWidth="1"/>
    <col min="5124" max="5124" width="1.77734375" customWidth="1"/>
    <col min="5125" max="5125" width="13" customWidth="1"/>
    <col min="5126" max="5365" width="8.77734375"/>
    <col min="5366" max="5366" width="6" customWidth="1"/>
    <col min="5367" max="5367" width="1.44140625" customWidth="1"/>
    <col min="5368" max="5368" width="39.109375" customWidth="1"/>
    <col min="5369" max="5369" width="12" customWidth="1"/>
    <col min="5370" max="5370" width="14.44140625" customWidth="1"/>
    <col min="5371" max="5371" width="11.77734375" customWidth="1"/>
    <col min="5372" max="5372" width="14.109375" customWidth="1"/>
    <col min="5373" max="5373" width="13.77734375" customWidth="1"/>
    <col min="5374" max="5375" width="12.77734375" customWidth="1"/>
    <col min="5376" max="5376" width="13.5546875" customWidth="1"/>
    <col min="5377" max="5377" width="15.21875" customWidth="1"/>
    <col min="5378" max="5378" width="12.77734375" customWidth="1"/>
    <col min="5379" max="5379" width="13.77734375" customWidth="1"/>
    <col min="5380" max="5380" width="1.77734375" customWidth="1"/>
    <col min="5381" max="5381" width="13" customWidth="1"/>
    <col min="5382" max="5621" width="8.77734375"/>
    <col min="5622" max="5622" width="6" customWidth="1"/>
    <col min="5623" max="5623" width="1.44140625" customWidth="1"/>
    <col min="5624" max="5624" width="39.109375" customWidth="1"/>
    <col min="5625" max="5625" width="12" customWidth="1"/>
    <col min="5626" max="5626" width="14.44140625" customWidth="1"/>
    <col min="5627" max="5627" width="11.77734375" customWidth="1"/>
    <col min="5628" max="5628" width="14.109375" customWidth="1"/>
    <col min="5629" max="5629" width="13.77734375" customWidth="1"/>
    <col min="5630" max="5631" width="12.77734375" customWidth="1"/>
    <col min="5632" max="5632" width="13.5546875" customWidth="1"/>
    <col min="5633" max="5633" width="15.21875" customWidth="1"/>
    <col min="5634" max="5634" width="12.77734375" customWidth="1"/>
    <col min="5635" max="5635" width="13.77734375" customWidth="1"/>
    <col min="5636" max="5636" width="1.77734375" customWidth="1"/>
    <col min="5637" max="5637" width="13" customWidth="1"/>
    <col min="5638" max="5877" width="8.77734375"/>
    <col min="5878" max="5878" width="6" customWidth="1"/>
    <col min="5879" max="5879" width="1.44140625" customWidth="1"/>
    <col min="5880" max="5880" width="39.109375" customWidth="1"/>
    <col min="5881" max="5881" width="12" customWidth="1"/>
    <col min="5882" max="5882" width="14.44140625" customWidth="1"/>
    <col min="5883" max="5883" width="11.77734375" customWidth="1"/>
    <col min="5884" max="5884" width="14.109375" customWidth="1"/>
    <col min="5885" max="5885" width="13.77734375" customWidth="1"/>
    <col min="5886" max="5887" width="12.77734375" customWidth="1"/>
    <col min="5888" max="5888" width="13.5546875" customWidth="1"/>
    <col min="5889" max="5889" width="15.21875" customWidth="1"/>
    <col min="5890" max="5890" width="12.77734375" customWidth="1"/>
    <col min="5891" max="5891" width="13.77734375" customWidth="1"/>
    <col min="5892" max="5892" width="1.77734375" customWidth="1"/>
    <col min="5893" max="5893" width="13" customWidth="1"/>
    <col min="5894" max="6133" width="8.77734375"/>
    <col min="6134" max="6134" width="6" customWidth="1"/>
    <col min="6135" max="6135" width="1.44140625" customWidth="1"/>
    <col min="6136" max="6136" width="39.109375" customWidth="1"/>
    <col min="6137" max="6137" width="12" customWidth="1"/>
    <col min="6138" max="6138" width="14.44140625" customWidth="1"/>
    <col min="6139" max="6139" width="11.77734375" customWidth="1"/>
    <col min="6140" max="6140" width="14.109375" customWidth="1"/>
    <col min="6141" max="6141" width="13.77734375" customWidth="1"/>
    <col min="6142" max="6143" width="12.77734375" customWidth="1"/>
    <col min="6144" max="6144" width="13.5546875" customWidth="1"/>
    <col min="6145" max="6145" width="15.21875" customWidth="1"/>
    <col min="6146" max="6146" width="12.77734375" customWidth="1"/>
    <col min="6147" max="6147" width="13.77734375" customWidth="1"/>
    <col min="6148" max="6148" width="1.77734375" customWidth="1"/>
    <col min="6149" max="6149" width="13" customWidth="1"/>
    <col min="6150" max="6389" width="8.77734375"/>
    <col min="6390" max="6390" width="6" customWidth="1"/>
    <col min="6391" max="6391" width="1.44140625" customWidth="1"/>
    <col min="6392" max="6392" width="39.109375" customWidth="1"/>
    <col min="6393" max="6393" width="12" customWidth="1"/>
    <col min="6394" max="6394" width="14.44140625" customWidth="1"/>
    <col min="6395" max="6395" width="11.77734375" customWidth="1"/>
    <col min="6396" max="6396" width="14.109375" customWidth="1"/>
    <col min="6397" max="6397" width="13.77734375" customWidth="1"/>
    <col min="6398" max="6399" width="12.77734375" customWidth="1"/>
    <col min="6400" max="6400" width="13.5546875" customWidth="1"/>
    <col min="6401" max="6401" width="15.21875" customWidth="1"/>
    <col min="6402" max="6402" width="12.77734375" customWidth="1"/>
    <col min="6403" max="6403" width="13.77734375" customWidth="1"/>
    <col min="6404" max="6404" width="1.77734375" customWidth="1"/>
    <col min="6405" max="6405" width="13" customWidth="1"/>
    <col min="6406" max="6645" width="8.77734375"/>
    <col min="6646" max="6646" width="6" customWidth="1"/>
    <col min="6647" max="6647" width="1.44140625" customWidth="1"/>
    <col min="6648" max="6648" width="39.109375" customWidth="1"/>
    <col min="6649" max="6649" width="12" customWidth="1"/>
    <col min="6650" max="6650" width="14.44140625" customWidth="1"/>
    <col min="6651" max="6651" width="11.77734375" customWidth="1"/>
    <col min="6652" max="6652" width="14.109375" customWidth="1"/>
    <col min="6653" max="6653" width="13.77734375" customWidth="1"/>
    <col min="6654" max="6655" width="12.77734375" customWidth="1"/>
    <col min="6656" max="6656" width="13.5546875" customWidth="1"/>
    <col min="6657" max="6657" width="15.21875" customWidth="1"/>
    <col min="6658" max="6658" width="12.77734375" customWidth="1"/>
    <col min="6659" max="6659" width="13.77734375" customWidth="1"/>
    <col min="6660" max="6660" width="1.77734375" customWidth="1"/>
    <col min="6661" max="6661" width="13" customWidth="1"/>
    <col min="6662" max="6901" width="8.77734375"/>
    <col min="6902" max="6902" width="6" customWidth="1"/>
    <col min="6903" max="6903" width="1.44140625" customWidth="1"/>
    <col min="6904" max="6904" width="39.109375" customWidth="1"/>
    <col min="6905" max="6905" width="12" customWidth="1"/>
    <col min="6906" max="6906" width="14.44140625" customWidth="1"/>
    <col min="6907" max="6907" width="11.77734375" customWidth="1"/>
    <col min="6908" max="6908" width="14.109375" customWidth="1"/>
    <col min="6909" max="6909" width="13.77734375" customWidth="1"/>
    <col min="6910" max="6911" width="12.77734375" customWidth="1"/>
    <col min="6912" max="6912" width="13.5546875" customWidth="1"/>
    <col min="6913" max="6913" width="15.21875" customWidth="1"/>
    <col min="6914" max="6914" width="12.77734375" customWidth="1"/>
    <col min="6915" max="6915" width="13.77734375" customWidth="1"/>
    <col min="6916" max="6916" width="1.77734375" customWidth="1"/>
    <col min="6917" max="6917" width="13" customWidth="1"/>
    <col min="6918" max="7157" width="8.77734375"/>
    <col min="7158" max="7158" width="6" customWidth="1"/>
    <col min="7159" max="7159" width="1.44140625" customWidth="1"/>
    <col min="7160" max="7160" width="39.109375" customWidth="1"/>
    <col min="7161" max="7161" width="12" customWidth="1"/>
    <col min="7162" max="7162" width="14.44140625" customWidth="1"/>
    <col min="7163" max="7163" width="11.77734375" customWidth="1"/>
    <col min="7164" max="7164" width="14.109375" customWidth="1"/>
    <col min="7165" max="7165" width="13.77734375" customWidth="1"/>
    <col min="7166" max="7167" width="12.77734375" customWidth="1"/>
    <col min="7168" max="7168" width="13.5546875" customWidth="1"/>
    <col min="7169" max="7169" width="15.21875" customWidth="1"/>
    <col min="7170" max="7170" width="12.77734375" customWidth="1"/>
    <col min="7171" max="7171" width="13.77734375" customWidth="1"/>
    <col min="7172" max="7172" width="1.77734375" customWidth="1"/>
    <col min="7173" max="7173" width="13" customWidth="1"/>
    <col min="7174" max="7413" width="8.77734375"/>
    <col min="7414" max="7414" width="6" customWidth="1"/>
    <col min="7415" max="7415" width="1.44140625" customWidth="1"/>
    <col min="7416" max="7416" width="39.109375" customWidth="1"/>
    <col min="7417" max="7417" width="12" customWidth="1"/>
    <col min="7418" max="7418" width="14.44140625" customWidth="1"/>
    <col min="7419" max="7419" width="11.77734375" customWidth="1"/>
    <col min="7420" max="7420" width="14.109375" customWidth="1"/>
    <col min="7421" max="7421" width="13.77734375" customWidth="1"/>
    <col min="7422" max="7423" width="12.77734375" customWidth="1"/>
    <col min="7424" max="7424" width="13.5546875" customWidth="1"/>
    <col min="7425" max="7425" width="15.21875" customWidth="1"/>
    <col min="7426" max="7426" width="12.77734375" customWidth="1"/>
    <col min="7427" max="7427" width="13.77734375" customWidth="1"/>
    <col min="7428" max="7428" width="1.77734375" customWidth="1"/>
    <col min="7429" max="7429" width="13" customWidth="1"/>
    <col min="7430" max="7669" width="8.77734375"/>
    <col min="7670" max="7670" width="6" customWidth="1"/>
    <col min="7671" max="7671" width="1.44140625" customWidth="1"/>
    <col min="7672" max="7672" width="39.109375" customWidth="1"/>
    <col min="7673" max="7673" width="12" customWidth="1"/>
    <col min="7674" max="7674" width="14.44140625" customWidth="1"/>
    <col min="7675" max="7675" width="11.77734375" customWidth="1"/>
    <col min="7676" max="7676" width="14.109375" customWidth="1"/>
    <col min="7677" max="7677" width="13.77734375" customWidth="1"/>
    <col min="7678" max="7679" width="12.77734375" customWidth="1"/>
    <col min="7680" max="7680" width="13.5546875" customWidth="1"/>
    <col min="7681" max="7681" width="15.21875" customWidth="1"/>
    <col min="7682" max="7682" width="12.77734375" customWidth="1"/>
    <col min="7683" max="7683" width="13.77734375" customWidth="1"/>
    <col min="7684" max="7684" width="1.77734375" customWidth="1"/>
    <col min="7685" max="7685" width="13" customWidth="1"/>
    <col min="7686" max="7925" width="8.77734375"/>
    <col min="7926" max="7926" width="6" customWidth="1"/>
    <col min="7927" max="7927" width="1.44140625" customWidth="1"/>
    <col min="7928" max="7928" width="39.109375" customWidth="1"/>
    <col min="7929" max="7929" width="12" customWidth="1"/>
    <col min="7930" max="7930" width="14.44140625" customWidth="1"/>
    <col min="7931" max="7931" width="11.77734375" customWidth="1"/>
    <col min="7932" max="7932" width="14.109375" customWidth="1"/>
    <col min="7933" max="7933" width="13.77734375" customWidth="1"/>
    <col min="7934" max="7935" width="12.77734375" customWidth="1"/>
    <col min="7936" max="7936" width="13.5546875" customWidth="1"/>
    <col min="7937" max="7937" width="15.21875" customWidth="1"/>
    <col min="7938" max="7938" width="12.77734375" customWidth="1"/>
    <col min="7939" max="7939" width="13.77734375" customWidth="1"/>
    <col min="7940" max="7940" width="1.77734375" customWidth="1"/>
    <col min="7941" max="7941" width="13" customWidth="1"/>
    <col min="7942" max="8181" width="8.77734375"/>
    <col min="8182" max="8182" width="6" customWidth="1"/>
    <col min="8183" max="8183" width="1.44140625" customWidth="1"/>
    <col min="8184" max="8184" width="39.109375" customWidth="1"/>
    <col min="8185" max="8185" width="12" customWidth="1"/>
    <col min="8186" max="8186" width="14.44140625" customWidth="1"/>
    <col min="8187" max="8187" width="11.77734375" customWidth="1"/>
    <col min="8188" max="8188" width="14.109375" customWidth="1"/>
    <col min="8189" max="8189" width="13.77734375" customWidth="1"/>
    <col min="8190" max="8191" width="12.77734375" customWidth="1"/>
    <col min="8192" max="8192" width="13.5546875" customWidth="1"/>
    <col min="8193" max="8193" width="15.21875" customWidth="1"/>
    <col min="8194" max="8194" width="12.77734375" customWidth="1"/>
    <col min="8195" max="8195" width="13.77734375" customWidth="1"/>
    <col min="8196" max="8196" width="1.77734375" customWidth="1"/>
    <col min="8197" max="8197" width="13" customWidth="1"/>
    <col min="8198" max="8437" width="8.77734375"/>
    <col min="8438" max="8438" width="6" customWidth="1"/>
    <col min="8439" max="8439" width="1.44140625" customWidth="1"/>
    <col min="8440" max="8440" width="39.109375" customWidth="1"/>
    <col min="8441" max="8441" width="12" customWidth="1"/>
    <col min="8442" max="8442" width="14.44140625" customWidth="1"/>
    <col min="8443" max="8443" width="11.77734375" customWidth="1"/>
    <col min="8444" max="8444" width="14.109375" customWidth="1"/>
    <col min="8445" max="8445" width="13.77734375" customWidth="1"/>
    <col min="8446" max="8447" width="12.77734375" customWidth="1"/>
    <col min="8448" max="8448" width="13.5546875" customWidth="1"/>
    <col min="8449" max="8449" width="15.21875" customWidth="1"/>
    <col min="8450" max="8450" width="12.77734375" customWidth="1"/>
    <col min="8451" max="8451" width="13.77734375" customWidth="1"/>
    <col min="8452" max="8452" width="1.77734375" customWidth="1"/>
    <col min="8453" max="8453" width="13" customWidth="1"/>
    <col min="8454" max="8693" width="8.77734375"/>
    <col min="8694" max="8694" width="6" customWidth="1"/>
    <col min="8695" max="8695" width="1.44140625" customWidth="1"/>
    <col min="8696" max="8696" width="39.109375" customWidth="1"/>
    <col min="8697" max="8697" width="12" customWidth="1"/>
    <col min="8698" max="8698" width="14.44140625" customWidth="1"/>
    <col min="8699" max="8699" width="11.77734375" customWidth="1"/>
    <col min="8700" max="8700" width="14.109375" customWidth="1"/>
    <col min="8701" max="8701" width="13.77734375" customWidth="1"/>
    <col min="8702" max="8703" width="12.77734375" customWidth="1"/>
    <col min="8704" max="8704" width="13.5546875" customWidth="1"/>
    <col min="8705" max="8705" width="15.21875" customWidth="1"/>
    <col min="8706" max="8706" width="12.77734375" customWidth="1"/>
    <col min="8707" max="8707" width="13.77734375" customWidth="1"/>
    <col min="8708" max="8708" width="1.77734375" customWidth="1"/>
    <col min="8709" max="8709" width="13" customWidth="1"/>
    <col min="8710" max="8949" width="8.77734375"/>
    <col min="8950" max="8950" width="6" customWidth="1"/>
    <col min="8951" max="8951" width="1.44140625" customWidth="1"/>
    <col min="8952" max="8952" width="39.109375" customWidth="1"/>
    <col min="8953" max="8953" width="12" customWidth="1"/>
    <col min="8954" max="8954" width="14.44140625" customWidth="1"/>
    <col min="8955" max="8955" width="11.77734375" customWidth="1"/>
    <col min="8956" max="8956" width="14.109375" customWidth="1"/>
    <col min="8957" max="8957" width="13.77734375" customWidth="1"/>
    <col min="8958" max="8959" width="12.77734375" customWidth="1"/>
    <col min="8960" max="8960" width="13.5546875" customWidth="1"/>
    <col min="8961" max="8961" width="15.21875" customWidth="1"/>
    <col min="8962" max="8962" width="12.77734375" customWidth="1"/>
    <col min="8963" max="8963" width="13.77734375" customWidth="1"/>
    <col min="8964" max="8964" width="1.77734375" customWidth="1"/>
    <col min="8965" max="8965" width="13" customWidth="1"/>
    <col min="8966" max="9205" width="8.77734375"/>
    <col min="9206" max="9206" width="6" customWidth="1"/>
    <col min="9207" max="9207" width="1.44140625" customWidth="1"/>
    <col min="9208" max="9208" width="39.109375" customWidth="1"/>
    <col min="9209" max="9209" width="12" customWidth="1"/>
    <col min="9210" max="9210" width="14.44140625" customWidth="1"/>
    <col min="9211" max="9211" width="11.77734375" customWidth="1"/>
    <col min="9212" max="9212" width="14.109375" customWidth="1"/>
    <col min="9213" max="9213" width="13.77734375" customWidth="1"/>
    <col min="9214" max="9215" width="12.77734375" customWidth="1"/>
    <col min="9216" max="9216" width="13.5546875" customWidth="1"/>
    <col min="9217" max="9217" width="15.21875" customWidth="1"/>
    <col min="9218" max="9218" width="12.77734375" customWidth="1"/>
    <col min="9219" max="9219" width="13.77734375" customWidth="1"/>
    <col min="9220" max="9220" width="1.77734375" customWidth="1"/>
    <col min="9221" max="9221" width="13" customWidth="1"/>
    <col min="9222" max="9461" width="8.77734375"/>
    <col min="9462" max="9462" width="6" customWidth="1"/>
    <col min="9463" max="9463" width="1.44140625" customWidth="1"/>
    <col min="9464" max="9464" width="39.109375" customWidth="1"/>
    <col min="9465" max="9465" width="12" customWidth="1"/>
    <col min="9466" max="9466" width="14.44140625" customWidth="1"/>
    <col min="9467" max="9467" width="11.77734375" customWidth="1"/>
    <col min="9468" max="9468" width="14.109375" customWidth="1"/>
    <col min="9469" max="9469" width="13.77734375" customWidth="1"/>
    <col min="9470" max="9471" width="12.77734375" customWidth="1"/>
    <col min="9472" max="9472" width="13.5546875" customWidth="1"/>
    <col min="9473" max="9473" width="15.21875" customWidth="1"/>
    <col min="9474" max="9474" width="12.77734375" customWidth="1"/>
    <col min="9475" max="9475" width="13.77734375" customWidth="1"/>
    <col min="9476" max="9476" width="1.77734375" customWidth="1"/>
    <col min="9477" max="9477" width="13" customWidth="1"/>
    <col min="9478" max="9717" width="8.77734375"/>
    <col min="9718" max="9718" width="6" customWidth="1"/>
    <col min="9719" max="9719" width="1.44140625" customWidth="1"/>
    <col min="9720" max="9720" width="39.109375" customWidth="1"/>
    <col min="9721" max="9721" width="12" customWidth="1"/>
    <col min="9722" max="9722" width="14.44140625" customWidth="1"/>
    <col min="9723" max="9723" width="11.77734375" customWidth="1"/>
    <col min="9724" max="9724" width="14.109375" customWidth="1"/>
    <col min="9725" max="9725" width="13.77734375" customWidth="1"/>
    <col min="9726" max="9727" width="12.77734375" customWidth="1"/>
    <col min="9728" max="9728" width="13.5546875" customWidth="1"/>
    <col min="9729" max="9729" width="15.21875" customWidth="1"/>
    <col min="9730" max="9730" width="12.77734375" customWidth="1"/>
    <col min="9731" max="9731" width="13.77734375" customWidth="1"/>
    <col min="9732" max="9732" width="1.77734375" customWidth="1"/>
    <col min="9733" max="9733" width="13" customWidth="1"/>
    <col min="9734" max="9973" width="8.77734375"/>
    <col min="9974" max="9974" width="6" customWidth="1"/>
    <col min="9975" max="9975" width="1.44140625" customWidth="1"/>
    <col min="9976" max="9976" width="39.109375" customWidth="1"/>
    <col min="9977" max="9977" width="12" customWidth="1"/>
    <col min="9978" max="9978" width="14.44140625" customWidth="1"/>
    <col min="9979" max="9979" width="11.77734375" customWidth="1"/>
    <col min="9980" max="9980" width="14.109375" customWidth="1"/>
    <col min="9981" max="9981" width="13.77734375" customWidth="1"/>
    <col min="9982" max="9983" width="12.77734375" customWidth="1"/>
    <col min="9984" max="9984" width="13.5546875" customWidth="1"/>
    <col min="9985" max="9985" width="15.21875" customWidth="1"/>
    <col min="9986" max="9986" width="12.77734375" customWidth="1"/>
    <col min="9987" max="9987" width="13.77734375" customWidth="1"/>
    <col min="9988" max="9988" width="1.77734375" customWidth="1"/>
    <col min="9989" max="9989" width="13" customWidth="1"/>
    <col min="9990" max="10229" width="8.77734375"/>
    <col min="10230" max="10230" width="6" customWidth="1"/>
    <col min="10231" max="10231" width="1.44140625" customWidth="1"/>
    <col min="10232" max="10232" width="39.109375" customWidth="1"/>
    <col min="10233" max="10233" width="12" customWidth="1"/>
    <col min="10234" max="10234" width="14.44140625" customWidth="1"/>
    <col min="10235" max="10235" width="11.77734375" customWidth="1"/>
    <col min="10236" max="10236" width="14.109375" customWidth="1"/>
    <col min="10237" max="10237" width="13.77734375" customWidth="1"/>
    <col min="10238" max="10239" width="12.77734375" customWidth="1"/>
    <col min="10240" max="10240" width="13.5546875" customWidth="1"/>
    <col min="10241" max="10241" width="15.21875" customWidth="1"/>
    <col min="10242" max="10242" width="12.77734375" customWidth="1"/>
    <col min="10243" max="10243" width="13.77734375" customWidth="1"/>
    <col min="10244" max="10244" width="1.77734375" customWidth="1"/>
    <col min="10245" max="10245" width="13" customWidth="1"/>
    <col min="10246" max="10485" width="8.77734375"/>
    <col min="10486" max="10486" width="6" customWidth="1"/>
    <col min="10487" max="10487" width="1.44140625" customWidth="1"/>
    <col min="10488" max="10488" width="39.109375" customWidth="1"/>
    <col min="10489" max="10489" width="12" customWidth="1"/>
    <col min="10490" max="10490" width="14.44140625" customWidth="1"/>
    <col min="10491" max="10491" width="11.77734375" customWidth="1"/>
    <col min="10492" max="10492" width="14.109375" customWidth="1"/>
    <col min="10493" max="10493" width="13.77734375" customWidth="1"/>
    <col min="10494" max="10495" width="12.77734375" customWidth="1"/>
    <col min="10496" max="10496" width="13.5546875" customWidth="1"/>
    <col min="10497" max="10497" width="15.21875" customWidth="1"/>
    <col min="10498" max="10498" width="12.77734375" customWidth="1"/>
    <col min="10499" max="10499" width="13.77734375" customWidth="1"/>
    <col min="10500" max="10500" width="1.77734375" customWidth="1"/>
    <col min="10501" max="10501" width="13" customWidth="1"/>
    <col min="10502" max="10741" width="8.77734375"/>
    <col min="10742" max="10742" width="6" customWidth="1"/>
    <col min="10743" max="10743" width="1.44140625" customWidth="1"/>
    <col min="10744" max="10744" width="39.109375" customWidth="1"/>
    <col min="10745" max="10745" width="12" customWidth="1"/>
    <col min="10746" max="10746" width="14.44140625" customWidth="1"/>
    <col min="10747" max="10747" width="11.77734375" customWidth="1"/>
    <col min="10748" max="10748" width="14.109375" customWidth="1"/>
    <col min="10749" max="10749" width="13.77734375" customWidth="1"/>
    <col min="10750" max="10751" width="12.77734375" customWidth="1"/>
    <col min="10752" max="10752" width="13.5546875" customWidth="1"/>
    <col min="10753" max="10753" width="15.21875" customWidth="1"/>
    <col min="10754" max="10754" width="12.77734375" customWidth="1"/>
    <col min="10755" max="10755" width="13.77734375" customWidth="1"/>
    <col min="10756" max="10756" width="1.77734375" customWidth="1"/>
    <col min="10757" max="10757" width="13" customWidth="1"/>
    <col min="10758" max="10997" width="8.77734375"/>
    <col min="10998" max="10998" width="6" customWidth="1"/>
    <col min="10999" max="10999" width="1.44140625" customWidth="1"/>
    <col min="11000" max="11000" width="39.109375" customWidth="1"/>
    <col min="11001" max="11001" width="12" customWidth="1"/>
    <col min="11002" max="11002" width="14.44140625" customWidth="1"/>
    <col min="11003" max="11003" width="11.77734375" customWidth="1"/>
    <col min="11004" max="11004" width="14.109375" customWidth="1"/>
    <col min="11005" max="11005" width="13.77734375" customWidth="1"/>
    <col min="11006" max="11007" width="12.77734375" customWidth="1"/>
    <col min="11008" max="11008" width="13.5546875" customWidth="1"/>
    <col min="11009" max="11009" width="15.21875" customWidth="1"/>
    <col min="11010" max="11010" width="12.77734375" customWidth="1"/>
    <col min="11011" max="11011" width="13.77734375" customWidth="1"/>
    <col min="11012" max="11012" width="1.77734375" customWidth="1"/>
    <col min="11013" max="11013" width="13" customWidth="1"/>
    <col min="11014" max="11253" width="8.77734375"/>
    <col min="11254" max="11254" width="6" customWidth="1"/>
    <col min="11255" max="11255" width="1.44140625" customWidth="1"/>
    <col min="11256" max="11256" width="39.109375" customWidth="1"/>
    <col min="11257" max="11257" width="12" customWidth="1"/>
    <col min="11258" max="11258" width="14.44140625" customWidth="1"/>
    <col min="11259" max="11259" width="11.77734375" customWidth="1"/>
    <col min="11260" max="11260" width="14.109375" customWidth="1"/>
    <col min="11261" max="11261" width="13.77734375" customWidth="1"/>
    <col min="11262" max="11263" width="12.77734375" customWidth="1"/>
    <col min="11264" max="11264" width="13.5546875" customWidth="1"/>
    <col min="11265" max="11265" width="15.21875" customWidth="1"/>
    <col min="11266" max="11266" width="12.77734375" customWidth="1"/>
    <col min="11267" max="11267" width="13.77734375" customWidth="1"/>
    <col min="11268" max="11268" width="1.77734375" customWidth="1"/>
    <col min="11269" max="11269" width="13" customWidth="1"/>
    <col min="11270" max="11509" width="8.77734375"/>
    <col min="11510" max="11510" width="6" customWidth="1"/>
    <col min="11511" max="11511" width="1.44140625" customWidth="1"/>
    <col min="11512" max="11512" width="39.109375" customWidth="1"/>
    <col min="11513" max="11513" width="12" customWidth="1"/>
    <col min="11514" max="11514" width="14.44140625" customWidth="1"/>
    <col min="11515" max="11515" width="11.77734375" customWidth="1"/>
    <col min="11516" max="11516" width="14.109375" customWidth="1"/>
    <col min="11517" max="11517" width="13.77734375" customWidth="1"/>
    <col min="11518" max="11519" width="12.77734375" customWidth="1"/>
    <col min="11520" max="11520" width="13.5546875" customWidth="1"/>
    <col min="11521" max="11521" width="15.21875" customWidth="1"/>
    <col min="11522" max="11522" width="12.77734375" customWidth="1"/>
    <col min="11523" max="11523" width="13.77734375" customWidth="1"/>
    <col min="11524" max="11524" width="1.77734375" customWidth="1"/>
    <col min="11525" max="11525" width="13" customWidth="1"/>
    <col min="11526" max="11765" width="8.77734375"/>
    <col min="11766" max="11766" width="6" customWidth="1"/>
    <col min="11767" max="11767" width="1.44140625" customWidth="1"/>
    <col min="11768" max="11768" width="39.109375" customWidth="1"/>
    <col min="11769" max="11769" width="12" customWidth="1"/>
    <col min="11770" max="11770" width="14.44140625" customWidth="1"/>
    <col min="11771" max="11771" width="11.77734375" customWidth="1"/>
    <col min="11772" max="11772" width="14.109375" customWidth="1"/>
    <col min="11773" max="11773" width="13.77734375" customWidth="1"/>
    <col min="11774" max="11775" width="12.77734375" customWidth="1"/>
    <col min="11776" max="11776" width="13.5546875" customWidth="1"/>
    <col min="11777" max="11777" width="15.21875" customWidth="1"/>
    <col min="11778" max="11778" width="12.77734375" customWidth="1"/>
    <col min="11779" max="11779" width="13.77734375" customWidth="1"/>
    <col min="11780" max="11780" width="1.77734375" customWidth="1"/>
    <col min="11781" max="11781" width="13" customWidth="1"/>
    <col min="11782" max="12021" width="8.77734375"/>
    <col min="12022" max="12022" width="6" customWidth="1"/>
    <col min="12023" max="12023" width="1.44140625" customWidth="1"/>
    <col min="12024" max="12024" width="39.109375" customWidth="1"/>
    <col min="12025" max="12025" width="12" customWidth="1"/>
    <col min="12026" max="12026" width="14.44140625" customWidth="1"/>
    <col min="12027" max="12027" width="11.77734375" customWidth="1"/>
    <col min="12028" max="12028" width="14.109375" customWidth="1"/>
    <col min="12029" max="12029" width="13.77734375" customWidth="1"/>
    <col min="12030" max="12031" width="12.77734375" customWidth="1"/>
    <col min="12032" max="12032" width="13.5546875" customWidth="1"/>
    <col min="12033" max="12033" width="15.21875" customWidth="1"/>
    <col min="12034" max="12034" width="12.77734375" customWidth="1"/>
    <col min="12035" max="12035" width="13.77734375" customWidth="1"/>
    <col min="12036" max="12036" width="1.77734375" customWidth="1"/>
    <col min="12037" max="12037" width="13" customWidth="1"/>
    <col min="12038" max="12277" width="8.77734375"/>
    <col min="12278" max="12278" width="6" customWidth="1"/>
    <col min="12279" max="12279" width="1.44140625" customWidth="1"/>
    <col min="12280" max="12280" width="39.109375" customWidth="1"/>
    <col min="12281" max="12281" width="12" customWidth="1"/>
    <col min="12282" max="12282" width="14.44140625" customWidth="1"/>
    <col min="12283" max="12283" width="11.77734375" customWidth="1"/>
    <col min="12284" max="12284" width="14.109375" customWidth="1"/>
    <col min="12285" max="12285" width="13.77734375" customWidth="1"/>
    <col min="12286" max="12287" width="12.77734375" customWidth="1"/>
    <col min="12288" max="12288" width="13.5546875" customWidth="1"/>
    <col min="12289" max="12289" width="15.21875" customWidth="1"/>
    <col min="12290" max="12290" width="12.77734375" customWidth="1"/>
    <col min="12291" max="12291" width="13.77734375" customWidth="1"/>
    <col min="12292" max="12292" width="1.77734375" customWidth="1"/>
    <col min="12293" max="12293" width="13" customWidth="1"/>
    <col min="12294" max="12533" width="8.77734375"/>
    <col min="12534" max="12534" width="6" customWidth="1"/>
    <col min="12535" max="12535" width="1.44140625" customWidth="1"/>
    <col min="12536" max="12536" width="39.109375" customWidth="1"/>
    <col min="12537" max="12537" width="12" customWidth="1"/>
    <col min="12538" max="12538" width="14.44140625" customWidth="1"/>
    <col min="12539" max="12539" width="11.77734375" customWidth="1"/>
    <col min="12540" max="12540" width="14.109375" customWidth="1"/>
    <col min="12541" max="12541" width="13.77734375" customWidth="1"/>
    <col min="12542" max="12543" width="12.77734375" customWidth="1"/>
    <col min="12544" max="12544" width="13.5546875" customWidth="1"/>
    <col min="12545" max="12545" width="15.21875" customWidth="1"/>
    <col min="12546" max="12546" width="12.77734375" customWidth="1"/>
    <col min="12547" max="12547" width="13.77734375" customWidth="1"/>
    <col min="12548" max="12548" width="1.77734375" customWidth="1"/>
    <col min="12549" max="12549" width="13" customWidth="1"/>
    <col min="12550" max="12789" width="8.77734375"/>
    <col min="12790" max="12790" width="6" customWidth="1"/>
    <col min="12791" max="12791" width="1.44140625" customWidth="1"/>
    <col min="12792" max="12792" width="39.109375" customWidth="1"/>
    <col min="12793" max="12793" width="12" customWidth="1"/>
    <col min="12794" max="12794" width="14.44140625" customWidth="1"/>
    <col min="12795" max="12795" width="11.77734375" customWidth="1"/>
    <col min="12796" max="12796" width="14.109375" customWidth="1"/>
    <col min="12797" max="12797" width="13.77734375" customWidth="1"/>
    <col min="12798" max="12799" width="12.77734375" customWidth="1"/>
    <col min="12800" max="12800" width="13.5546875" customWidth="1"/>
    <col min="12801" max="12801" width="15.21875" customWidth="1"/>
    <col min="12802" max="12802" width="12.77734375" customWidth="1"/>
    <col min="12803" max="12803" width="13.77734375" customWidth="1"/>
    <col min="12804" max="12804" width="1.77734375" customWidth="1"/>
    <col min="12805" max="12805" width="13" customWidth="1"/>
    <col min="12806" max="13045" width="8.77734375"/>
    <col min="13046" max="13046" width="6" customWidth="1"/>
    <col min="13047" max="13047" width="1.44140625" customWidth="1"/>
    <col min="13048" max="13048" width="39.109375" customWidth="1"/>
    <col min="13049" max="13049" width="12" customWidth="1"/>
    <col min="13050" max="13050" width="14.44140625" customWidth="1"/>
    <col min="13051" max="13051" width="11.77734375" customWidth="1"/>
    <col min="13052" max="13052" width="14.109375" customWidth="1"/>
    <col min="13053" max="13053" width="13.77734375" customWidth="1"/>
    <col min="13054" max="13055" width="12.77734375" customWidth="1"/>
    <col min="13056" max="13056" width="13.5546875" customWidth="1"/>
    <col min="13057" max="13057" width="15.21875" customWidth="1"/>
    <col min="13058" max="13058" width="12.77734375" customWidth="1"/>
    <col min="13059" max="13059" width="13.77734375" customWidth="1"/>
    <col min="13060" max="13060" width="1.77734375" customWidth="1"/>
    <col min="13061" max="13061" width="13" customWidth="1"/>
    <col min="13062" max="13301" width="8.77734375"/>
    <col min="13302" max="13302" width="6" customWidth="1"/>
    <col min="13303" max="13303" width="1.44140625" customWidth="1"/>
    <col min="13304" max="13304" width="39.109375" customWidth="1"/>
    <col min="13305" max="13305" width="12" customWidth="1"/>
    <col min="13306" max="13306" width="14.44140625" customWidth="1"/>
    <col min="13307" max="13307" width="11.77734375" customWidth="1"/>
    <col min="13308" max="13308" width="14.109375" customWidth="1"/>
    <col min="13309" max="13309" width="13.77734375" customWidth="1"/>
    <col min="13310" max="13311" width="12.77734375" customWidth="1"/>
    <col min="13312" max="13312" width="13.5546875" customWidth="1"/>
    <col min="13313" max="13313" width="15.21875" customWidth="1"/>
    <col min="13314" max="13314" width="12.77734375" customWidth="1"/>
    <col min="13315" max="13315" width="13.77734375" customWidth="1"/>
    <col min="13316" max="13316" width="1.77734375" customWidth="1"/>
    <col min="13317" max="13317" width="13" customWidth="1"/>
    <col min="13318" max="13557" width="8.77734375"/>
    <col min="13558" max="13558" width="6" customWidth="1"/>
    <col min="13559" max="13559" width="1.44140625" customWidth="1"/>
    <col min="13560" max="13560" width="39.109375" customWidth="1"/>
    <col min="13561" max="13561" width="12" customWidth="1"/>
    <col min="13562" max="13562" width="14.44140625" customWidth="1"/>
    <col min="13563" max="13563" width="11.77734375" customWidth="1"/>
    <col min="13564" max="13564" width="14.109375" customWidth="1"/>
    <col min="13565" max="13565" width="13.77734375" customWidth="1"/>
    <col min="13566" max="13567" width="12.77734375" customWidth="1"/>
    <col min="13568" max="13568" width="13.5546875" customWidth="1"/>
    <col min="13569" max="13569" width="15.21875" customWidth="1"/>
    <col min="13570" max="13570" width="12.77734375" customWidth="1"/>
    <col min="13571" max="13571" width="13.77734375" customWidth="1"/>
    <col min="13572" max="13572" width="1.77734375" customWidth="1"/>
    <col min="13573" max="13573" width="13" customWidth="1"/>
    <col min="13574" max="13813" width="8.77734375"/>
    <col min="13814" max="13814" width="6" customWidth="1"/>
    <col min="13815" max="13815" width="1.44140625" customWidth="1"/>
    <col min="13816" max="13816" width="39.109375" customWidth="1"/>
    <col min="13817" max="13817" width="12" customWidth="1"/>
    <col min="13818" max="13818" width="14.44140625" customWidth="1"/>
    <col min="13819" max="13819" width="11.77734375" customWidth="1"/>
    <col min="13820" max="13820" width="14.109375" customWidth="1"/>
    <col min="13821" max="13821" width="13.77734375" customWidth="1"/>
    <col min="13822" max="13823" width="12.77734375" customWidth="1"/>
    <col min="13824" max="13824" width="13.5546875" customWidth="1"/>
    <col min="13825" max="13825" width="15.21875" customWidth="1"/>
    <col min="13826" max="13826" width="12.77734375" customWidth="1"/>
    <col min="13827" max="13827" width="13.77734375" customWidth="1"/>
    <col min="13828" max="13828" width="1.77734375" customWidth="1"/>
    <col min="13829" max="13829" width="13" customWidth="1"/>
    <col min="13830" max="14069" width="8.77734375"/>
    <col min="14070" max="14070" width="6" customWidth="1"/>
    <col min="14071" max="14071" width="1.44140625" customWidth="1"/>
    <col min="14072" max="14072" width="39.109375" customWidth="1"/>
    <col min="14073" max="14073" width="12" customWidth="1"/>
    <col min="14074" max="14074" width="14.44140625" customWidth="1"/>
    <col min="14075" max="14075" width="11.77734375" customWidth="1"/>
    <col min="14076" max="14076" width="14.109375" customWidth="1"/>
    <col min="14077" max="14077" width="13.77734375" customWidth="1"/>
    <col min="14078" max="14079" width="12.77734375" customWidth="1"/>
    <col min="14080" max="14080" width="13.5546875" customWidth="1"/>
    <col min="14081" max="14081" width="15.21875" customWidth="1"/>
    <col min="14082" max="14082" width="12.77734375" customWidth="1"/>
    <col min="14083" max="14083" width="13.77734375" customWidth="1"/>
    <col min="14084" max="14084" width="1.77734375" customWidth="1"/>
    <col min="14085" max="14085" width="13" customWidth="1"/>
    <col min="14086" max="14325" width="8.77734375"/>
    <col min="14326" max="14326" width="6" customWidth="1"/>
    <col min="14327" max="14327" width="1.44140625" customWidth="1"/>
    <col min="14328" max="14328" width="39.109375" customWidth="1"/>
    <col min="14329" max="14329" width="12" customWidth="1"/>
    <col min="14330" max="14330" width="14.44140625" customWidth="1"/>
    <col min="14331" max="14331" width="11.77734375" customWidth="1"/>
    <col min="14332" max="14332" width="14.109375" customWidth="1"/>
    <col min="14333" max="14333" width="13.77734375" customWidth="1"/>
    <col min="14334" max="14335" width="12.77734375" customWidth="1"/>
    <col min="14336" max="14336" width="13.5546875" customWidth="1"/>
    <col min="14337" max="14337" width="15.21875" customWidth="1"/>
    <col min="14338" max="14338" width="12.77734375" customWidth="1"/>
    <col min="14339" max="14339" width="13.77734375" customWidth="1"/>
    <col min="14340" max="14340" width="1.77734375" customWidth="1"/>
    <col min="14341" max="14341" width="13" customWidth="1"/>
    <col min="14342" max="14581" width="8.77734375"/>
    <col min="14582" max="14582" width="6" customWidth="1"/>
    <col min="14583" max="14583" width="1.44140625" customWidth="1"/>
    <col min="14584" max="14584" width="39.109375" customWidth="1"/>
    <col min="14585" max="14585" width="12" customWidth="1"/>
    <col min="14586" max="14586" width="14.44140625" customWidth="1"/>
    <col min="14587" max="14587" width="11.77734375" customWidth="1"/>
    <col min="14588" max="14588" width="14.109375" customWidth="1"/>
    <col min="14589" max="14589" width="13.77734375" customWidth="1"/>
    <col min="14590" max="14591" width="12.77734375" customWidth="1"/>
    <col min="14592" max="14592" width="13.5546875" customWidth="1"/>
    <col min="14593" max="14593" width="15.21875" customWidth="1"/>
    <col min="14594" max="14594" width="12.77734375" customWidth="1"/>
    <col min="14595" max="14595" width="13.77734375" customWidth="1"/>
    <col min="14596" max="14596" width="1.77734375" customWidth="1"/>
    <col min="14597" max="14597" width="13" customWidth="1"/>
    <col min="14598" max="14837" width="8.77734375"/>
    <col min="14838" max="14838" width="6" customWidth="1"/>
    <col min="14839" max="14839" width="1.44140625" customWidth="1"/>
    <col min="14840" max="14840" width="39.109375" customWidth="1"/>
    <col min="14841" max="14841" width="12" customWidth="1"/>
    <col min="14842" max="14842" width="14.44140625" customWidth="1"/>
    <col min="14843" max="14843" width="11.77734375" customWidth="1"/>
    <col min="14844" max="14844" width="14.109375" customWidth="1"/>
    <col min="14845" max="14845" width="13.77734375" customWidth="1"/>
    <col min="14846" max="14847" width="12.77734375" customWidth="1"/>
    <col min="14848" max="14848" width="13.5546875" customWidth="1"/>
    <col min="14849" max="14849" width="15.21875" customWidth="1"/>
    <col min="14850" max="14850" width="12.77734375" customWidth="1"/>
    <col min="14851" max="14851" width="13.77734375" customWidth="1"/>
    <col min="14852" max="14852" width="1.77734375" customWidth="1"/>
    <col min="14853" max="14853" width="13" customWidth="1"/>
    <col min="14854" max="15093" width="8.77734375"/>
    <col min="15094" max="15094" width="6" customWidth="1"/>
    <col min="15095" max="15095" width="1.44140625" customWidth="1"/>
    <col min="15096" max="15096" width="39.109375" customWidth="1"/>
    <col min="15097" max="15097" width="12" customWidth="1"/>
    <col min="15098" max="15098" width="14.44140625" customWidth="1"/>
    <col min="15099" max="15099" width="11.77734375" customWidth="1"/>
    <col min="15100" max="15100" width="14.109375" customWidth="1"/>
    <col min="15101" max="15101" width="13.77734375" customWidth="1"/>
    <col min="15102" max="15103" width="12.77734375" customWidth="1"/>
    <col min="15104" max="15104" width="13.5546875" customWidth="1"/>
    <col min="15105" max="15105" width="15.21875" customWidth="1"/>
    <col min="15106" max="15106" width="12.77734375" customWidth="1"/>
    <col min="15107" max="15107" width="13.77734375" customWidth="1"/>
    <col min="15108" max="15108" width="1.77734375" customWidth="1"/>
    <col min="15109" max="15109" width="13" customWidth="1"/>
    <col min="15110" max="15349" width="8.77734375"/>
    <col min="15350" max="15350" width="6" customWidth="1"/>
    <col min="15351" max="15351" width="1.44140625" customWidth="1"/>
    <col min="15352" max="15352" width="39.109375" customWidth="1"/>
    <col min="15353" max="15353" width="12" customWidth="1"/>
    <col min="15354" max="15354" width="14.44140625" customWidth="1"/>
    <col min="15355" max="15355" width="11.77734375" customWidth="1"/>
    <col min="15356" max="15356" width="14.109375" customWidth="1"/>
    <col min="15357" max="15357" width="13.77734375" customWidth="1"/>
    <col min="15358" max="15359" width="12.77734375" customWidth="1"/>
    <col min="15360" max="15360" width="13.5546875" customWidth="1"/>
    <col min="15361" max="15361" width="15.21875" customWidth="1"/>
    <col min="15362" max="15362" width="12.77734375" customWidth="1"/>
    <col min="15363" max="15363" width="13.77734375" customWidth="1"/>
    <col min="15364" max="15364" width="1.77734375" customWidth="1"/>
    <col min="15365" max="15365" width="13" customWidth="1"/>
    <col min="15366" max="15605" width="8.77734375"/>
    <col min="15606" max="15606" width="6" customWidth="1"/>
    <col min="15607" max="15607" width="1.44140625" customWidth="1"/>
    <col min="15608" max="15608" width="39.109375" customWidth="1"/>
    <col min="15609" max="15609" width="12" customWidth="1"/>
    <col min="15610" max="15610" width="14.44140625" customWidth="1"/>
    <col min="15611" max="15611" width="11.77734375" customWidth="1"/>
    <col min="15612" max="15612" width="14.109375" customWidth="1"/>
    <col min="15613" max="15613" width="13.77734375" customWidth="1"/>
    <col min="15614" max="15615" width="12.77734375" customWidth="1"/>
    <col min="15616" max="15616" width="13.5546875" customWidth="1"/>
    <col min="15617" max="15617" width="15.21875" customWidth="1"/>
    <col min="15618" max="15618" width="12.77734375" customWidth="1"/>
    <col min="15619" max="15619" width="13.77734375" customWidth="1"/>
    <col min="15620" max="15620" width="1.77734375" customWidth="1"/>
    <col min="15621" max="15621" width="13" customWidth="1"/>
    <col min="15622" max="15861" width="8.77734375"/>
    <col min="15862" max="15862" width="6" customWidth="1"/>
    <col min="15863" max="15863" width="1.44140625" customWidth="1"/>
    <col min="15864" max="15864" width="39.109375" customWidth="1"/>
    <col min="15865" max="15865" width="12" customWidth="1"/>
    <col min="15866" max="15866" width="14.44140625" customWidth="1"/>
    <col min="15867" max="15867" width="11.77734375" customWidth="1"/>
    <col min="15868" max="15868" width="14.109375" customWidth="1"/>
    <col min="15869" max="15869" width="13.77734375" customWidth="1"/>
    <col min="15870" max="15871" width="12.77734375" customWidth="1"/>
    <col min="15872" max="15872" width="13.5546875" customWidth="1"/>
    <col min="15873" max="15873" width="15.21875" customWidth="1"/>
    <col min="15874" max="15874" width="12.77734375" customWidth="1"/>
    <col min="15875" max="15875" width="13.77734375" customWidth="1"/>
    <col min="15876" max="15876" width="1.77734375" customWidth="1"/>
    <col min="15877" max="15877" width="13" customWidth="1"/>
    <col min="15878" max="16117" width="8.77734375"/>
    <col min="16118" max="16118" width="6" customWidth="1"/>
    <col min="16119" max="16119" width="1.44140625" customWidth="1"/>
    <col min="16120" max="16120" width="39.109375" customWidth="1"/>
    <col min="16121" max="16121" width="12" customWidth="1"/>
    <col min="16122" max="16122" width="14.44140625" customWidth="1"/>
    <col min="16123" max="16123" width="11.77734375" customWidth="1"/>
    <col min="16124" max="16124" width="14.109375" customWidth="1"/>
    <col min="16125" max="16125" width="13.77734375" customWidth="1"/>
    <col min="16126" max="16127" width="12.77734375" customWidth="1"/>
    <col min="16128" max="16128" width="13.5546875" customWidth="1"/>
    <col min="16129" max="16129" width="15.21875" customWidth="1"/>
    <col min="16130" max="16130" width="12.77734375" customWidth="1"/>
    <col min="16131" max="16131" width="13.77734375" customWidth="1"/>
    <col min="16132" max="16132" width="1.77734375" customWidth="1"/>
    <col min="16133" max="16133" width="13" customWidth="1"/>
    <col min="16134" max="16373" width="8.77734375"/>
    <col min="16374" max="16384" width="8.77734375" customWidth="1"/>
  </cols>
  <sheetData>
    <row r="1" spans="1:14">
      <c r="I1" s="50" t="s">
        <v>296</v>
      </c>
      <c r="M1" s="785"/>
    </row>
    <row r="2" spans="1:14">
      <c r="I2" s="50" t="s">
        <v>294</v>
      </c>
      <c r="M2" s="785"/>
      <c r="N2" s="785"/>
    </row>
    <row r="3" spans="1:14">
      <c r="I3" s="50" t="s">
        <v>192</v>
      </c>
    </row>
    <row r="4" spans="1:14">
      <c r="I4" s="61" t="str">
        <f>"For the 12 months ended: "&amp;TEXT(INPUT!B1,"mm/dd/yyyy")</f>
        <v>For the 12 months ended: 12/31/2021</v>
      </c>
    </row>
    <row r="5" spans="1:14">
      <c r="C5" s="24"/>
    </row>
    <row r="6" spans="1:14">
      <c r="A6" s="144" t="s">
        <v>255</v>
      </c>
      <c r="B6" s="174"/>
      <c r="C6" s="174"/>
      <c r="D6" s="144"/>
      <c r="E6" s="144"/>
      <c r="F6" s="144"/>
      <c r="G6" s="174"/>
      <c r="H6" s="144"/>
      <c r="I6" s="144"/>
    </row>
    <row r="7" spans="1:14">
      <c r="A7" s="145" t="s">
        <v>297</v>
      </c>
      <c r="B7" s="174"/>
      <c r="C7" s="174"/>
      <c r="D7" s="146"/>
      <c r="E7" s="146"/>
      <c r="F7" s="146"/>
      <c r="G7" s="174"/>
      <c r="H7" s="146"/>
      <c r="I7" s="146"/>
    </row>
    <row r="8" spans="1:14">
      <c r="A8" s="146"/>
      <c r="B8" s="174"/>
      <c r="C8" s="174"/>
      <c r="D8" s="146"/>
      <c r="E8" s="146"/>
      <c r="F8" s="146"/>
      <c r="G8" s="174"/>
      <c r="H8" s="146"/>
      <c r="I8" s="146"/>
    </row>
    <row r="9" spans="1:14">
      <c r="A9" s="258" t="str">
        <f>DEO!A11</f>
        <v>DUKE ENERGY OHIO (DEO)</v>
      </c>
      <c r="B9" s="174"/>
      <c r="C9" s="174"/>
      <c r="D9" s="146"/>
      <c r="E9" s="146"/>
      <c r="F9" s="146"/>
      <c r="G9" s="174"/>
      <c r="H9" s="177"/>
      <c r="I9" s="146"/>
    </row>
    <row r="10" spans="1:14">
      <c r="A10" s="176" t="s">
        <v>597</v>
      </c>
      <c r="B10" s="174"/>
      <c r="C10" s="146"/>
      <c r="D10" s="146"/>
      <c r="E10" s="146"/>
      <c r="F10" s="146"/>
      <c r="G10" s="174"/>
      <c r="H10" s="177"/>
      <c r="I10" s="146"/>
    </row>
    <row r="11" spans="1:14">
      <c r="A11" s="250"/>
      <c r="B11" s="174"/>
      <c r="C11" s="146"/>
      <c r="D11" s="146"/>
      <c r="E11" s="146"/>
      <c r="F11" s="146"/>
      <c r="G11" s="177"/>
      <c r="H11" s="146"/>
      <c r="I11" s="146"/>
    </row>
    <row r="12" spans="1:14">
      <c r="A12" s="146" t="s">
        <v>785</v>
      </c>
      <c r="B12" s="174"/>
      <c r="C12" s="174"/>
      <c r="D12" s="146"/>
      <c r="E12" s="146"/>
      <c r="F12" s="146"/>
      <c r="G12" s="177"/>
      <c r="H12" s="146"/>
      <c r="I12" s="146"/>
    </row>
    <row r="13" spans="1:14">
      <c r="A13" s="86"/>
      <c r="C13" s="1"/>
      <c r="D13" s="1"/>
      <c r="E13" s="1"/>
      <c r="F13" s="1"/>
      <c r="G13" s="17"/>
    </row>
    <row r="14" spans="1:14">
      <c r="A14" s="86"/>
      <c r="C14" s="1"/>
      <c r="D14" s="1"/>
      <c r="E14" s="1"/>
      <c r="F14" s="1"/>
      <c r="G14" s="1"/>
    </row>
    <row r="15" spans="1:14">
      <c r="C15" s="3" t="s">
        <v>18</v>
      </c>
      <c r="D15" s="3"/>
      <c r="E15" s="3" t="s">
        <v>19</v>
      </c>
      <c r="F15" s="3"/>
      <c r="G15" s="3" t="s">
        <v>20</v>
      </c>
      <c r="I15" s="5" t="s">
        <v>21</v>
      </c>
    </row>
    <row r="16" spans="1:14">
      <c r="C16" s="1"/>
      <c r="D16" s="1"/>
    </row>
    <row r="17" spans="1:12">
      <c r="A17" s="26" t="s">
        <v>8</v>
      </c>
      <c r="C17" s="1"/>
      <c r="D17" s="1"/>
      <c r="E17" s="4" t="s">
        <v>296</v>
      </c>
      <c r="F17" s="4"/>
      <c r="G17" s="2"/>
    </row>
    <row r="18" spans="1:12">
      <c r="A18" s="180" t="s">
        <v>10</v>
      </c>
      <c r="B18" s="249"/>
      <c r="C18" s="184"/>
      <c r="D18" s="184"/>
      <c r="E18" s="238" t="s">
        <v>25</v>
      </c>
      <c r="F18" s="238"/>
      <c r="G18" s="180" t="s">
        <v>24</v>
      </c>
      <c r="H18" s="249"/>
      <c r="I18" s="180" t="s">
        <v>13</v>
      </c>
    </row>
    <row r="19" spans="1:12" ht="15.75">
      <c r="A19" s="90"/>
      <c r="C19" s="1" t="s">
        <v>335</v>
      </c>
      <c r="D19" s="1"/>
      <c r="E19" s="4"/>
      <c r="F19" s="2"/>
      <c r="G19" s="2"/>
      <c r="I19" s="2"/>
    </row>
    <row r="20" spans="1:12">
      <c r="A20" s="91">
        <v>1</v>
      </c>
      <c r="C20" s="1" t="s">
        <v>212</v>
      </c>
      <c r="D20" s="1"/>
      <c r="E20" s="4" t="s">
        <v>643</v>
      </c>
      <c r="F20" s="4"/>
      <c r="G20" s="92">
        <f>DEO!J54</f>
        <v>1262220857</v>
      </c>
    </row>
    <row r="21" spans="1:12">
      <c r="A21" s="91">
        <v>2</v>
      </c>
      <c r="C21" s="1" t="s">
        <v>213</v>
      </c>
      <c r="D21" s="1"/>
      <c r="E21" s="4" t="s">
        <v>644</v>
      </c>
      <c r="F21" s="4"/>
      <c r="G21" s="92">
        <f>DEO!J70</f>
        <v>1078093884</v>
      </c>
    </row>
    <row r="22" spans="1:12">
      <c r="A22" s="91"/>
      <c r="E22" s="4"/>
      <c r="F22" s="4"/>
    </row>
    <row r="23" spans="1:12">
      <c r="A23" s="91"/>
      <c r="C23" s="1" t="s">
        <v>193</v>
      </c>
      <c r="D23" s="1"/>
      <c r="E23" s="4"/>
      <c r="F23" s="4"/>
      <c r="G23" s="2"/>
      <c r="I23" s="2"/>
    </row>
    <row r="24" spans="1:12">
      <c r="A24" s="91">
        <v>3</v>
      </c>
      <c r="C24" s="1" t="s">
        <v>214</v>
      </c>
      <c r="D24" s="1"/>
      <c r="E24" s="4" t="s">
        <v>642</v>
      </c>
      <c r="F24" s="4"/>
      <c r="G24" s="92">
        <f>DEO!J127</f>
        <v>27348835</v>
      </c>
    </row>
    <row r="25" spans="1:12">
      <c r="A25" s="91">
        <v>4</v>
      </c>
      <c r="C25" s="1" t="s">
        <v>215</v>
      </c>
      <c r="D25" s="1"/>
      <c r="E25" s="4" t="s">
        <v>649</v>
      </c>
      <c r="F25" s="4"/>
      <c r="G25" s="93">
        <f>ROUND(IF(G24=0,0,G24/G20),4)</f>
        <v>2.1700000000000001E-2</v>
      </c>
      <c r="I25" s="94">
        <f>G25</f>
        <v>2.1700000000000001E-2</v>
      </c>
    </row>
    <row r="26" spans="1:12">
      <c r="A26" s="91"/>
      <c r="E26" s="4"/>
      <c r="F26" s="4"/>
    </row>
    <row r="27" spans="1:12" ht="30">
      <c r="A27" s="97"/>
      <c r="C27" s="381" t="s">
        <v>569</v>
      </c>
      <c r="D27" s="1"/>
      <c r="E27" s="67"/>
      <c r="F27" s="4"/>
    </row>
    <row r="28" spans="1:12">
      <c r="A28" s="97" t="s">
        <v>216</v>
      </c>
      <c r="C28" s="1" t="s">
        <v>570</v>
      </c>
      <c r="D28" s="1"/>
      <c r="E28" s="4" t="s">
        <v>535</v>
      </c>
      <c r="F28" s="4"/>
      <c r="G28" s="92">
        <f>DEO!J131+DEO!J132</f>
        <v>7334290</v>
      </c>
    </row>
    <row r="29" spans="1:12" ht="30">
      <c r="A29" s="382" t="s">
        <v>217</v>
      </c>
      <c r="C29" s="381" t="s">
        <v>571</v>
      </c>
      <c r="D29" s="1"/>
      <c r="E29" s="383" t="s">
        <v>646</v>
      </c>
      <c r="F29" s="383"/>
      <c r="G29" s="384">
        <f>ROUND(IF(G28=0,0,G28/G20),4)</f>
        <v>5.7999999999999996E-3</v>
      </c>
      <c r="H29" s="385"/>
      <c r="I29" s="386">
        <f>G29</f>
        <v>5.7999999999999996E-3</v>
      </c>
      <c r="K29" s="87"/>
      <c r="L29" s="84"/>
    </row>
    <row r="30" spans="1:12">
      <c r="A30" s="91"/>
      <c r="E30" s="4"/>
      <c r="F30" s="4"/>
    </row>
    <row r="31" spans="1:12">
      <c r="A31" s="97"/>
      <c r="C31" s="1" t="s">
        <v>196</v>
      </c>
      <c r="D31" s="1"/>
      <c r="E31" s="67"/>
      <c r="F31" s="67"/>
      <c r="G31" s="2"/>
      <c r="I31" s="2"/>
    </row>
    <row r="32" spans="1:12">
      <c r="A32" s="97" t="s">
        <v>219</v>
      </c>
      <c r="C32" s="1" t="s">
        <v>198</v>
      </c>
      <c r="D32" s="1"/>
      <c r="E32" s="4" t="s">
        <v>641</v>
      </c>
      <c r="F32" s="4"/>
      <c r="G32" s="92">
        <f>DEO!J144</f>
        <v>52162325</v>
      </c>
    </row>
    <row r="33" spans="1:10">
      <c r="A33" s="97" t="s">
        <v>221</v>
      </c>
      <c r="C33" s="1" t="s">
        <v>218</v>
      </c>
      <c r="D33" s="1"/>
      <c r="E33" s="4" t="s">
        <v>647</v>
      </c>
      <c r="F33" s="4"/>
      <c r="G33" s="93">
        <f>ROUND(IF(G32=0,0,G32/G20),4)</f>
        <v>4.1300000000000003E-2</v>
      </c>
      <c r="I33" s="94">
        <f>G33</f>
        <v>4.1300000000000003E-2</v>
      </c>
    </row>
    <row r="34" spans="1:10">
      <c r="A34" s="97"/>
      <c r="C34" s="1"/>
      <c r="D34" s="1"/>
      <c r="E34" s="4"/>
      <c r="F34" s="4"/>
      <c r="G34" s="2"/>
      <c r="I34" s="2"/>
    </row>
    <row r="35" spans="1:10" ht="15.75">
      <c r="A35" s="98" t="s">
        <v>194</v>
      </c>
      <c r="B35" s="99"/>
      <c r="C35" s="10" t="s">
        <v>220</v>
      </c>
      <c r="D35" s="10"/>
      <c r="E35" s="88" t="s">
        <v>402</v>
      </c>
      <c r="F35" s="88"/>
      <c r="G35" s="100"/>
      <c r="I35" s="101">
        <f>I25+I29+I33</f>
        <v>6.88E-2</v>
      </c>
    </row>
    <row r="36" spans="1:10">
      <c r="A36" s="229"/>
      <c r="C36" s="1"/>
      <c r="D36" s="1"/>
      <c r="E36" s="4"/>
      <c r="F36" s="4"/>
      <c r="G36" s="2"/>
      <c r="I36" s="2"/>
    </row>
    <row r="37" spans="1:10">
      <c r="A37" s="97"/>
      <c r="B37" s="102"/>
      <c r="C37" s="2" t="s">
        <v>200</v>
      </c>
      <c r="D37" s="2"/>
      <c r="E37" s="4"/>
      <c r="F37" s="4"/>
      <c r="G37" s="2"/>
      <c r="I37" s="2"/>
    </row>
    <row r="38" spans="1:10">
      <c r="A38" s="97" t="s">
        <v>195</v>
      </c>
      <c r="B38" s="102"/>
      <c r="C38" s="2" t="s">
        <v>125</v>
      </c>
      <c r="D38" s="2"/>
      <c r="E38" s="4" t="s">
        <v>801</v>
      </c>
      <c r="F38" s="4"/>
      <c r="G38" s="92">
        <f>DEO!J161</f>
        <v>8847140</v>
      </c>
      <c r="I38" s="2"/>
    </row>
    <row r="39" spans="1:10">
      <c r="A39" s="97" t="s">
        <v>197</v>
      </c>
      <c r="B39" s="102"/>
      <c r="C39" s="2" t="s">
        <v>222</v>
      </c>
      <c r="D39" s="2"/>
      <c r="E39" s="4" t="s">
        <v>648</v>
      </c>
      <c r="F39" s="4"/>
      <c r="G39" s="93">
        <f>ROUND(IF(G38=0,0,G38/G21),4)</f>
        <v>8.2000000000000007E-3</v>
      </c>
      <c r="I39" s="94">
        <f>G39</f>
        <v>8.2000000000000007E-3</v>
      </c>
    </row>
    <row r="40" spans="1:10">
      <c r="A40" s="97"/>
      <c r="C40" s="2"/>
      <c r="D40" s="2"/>
      <c r="E40" s="4"/>
      <c r="F40" s="4"/>
      <c r="G40" s="2"/>
      <c r="I40" s="2"/>
    </row>
    <row r="41" spans="1:10">
      <c r="A41" s="97"/>
      <c r="C41" s="1" t="s">
        <v>59</v>
      </c>
      <c r="D41" s="1"/>
      <c r="E41" s="15"/>
      <c r="F41" s="15"/>
    </row>
    <row r="42" spans="1:10">
      <c r="A42" s="97" t="s">
        <v>199</v>
      </c>
      <c r="C42" s="1" t="s">
        <v>201</v>
      </c>
      <c r="D42" s="1"/>
      <c r="E42" s="4" t="s">
        <v>802</v>
      </c>
      <c r="F42" s="4"/>
      <c r="G42" s="92">
        <f>DEO!J163</f>
        <v>72280102</v>
      </c>
      <c r="I42" s="2"/>
    </row>
    <row r="43" spans="1:10">
      <c r="A43" s="97" t="s">
        <v>260</v>
      </c>
      <c r="B43" s="102"/>
      <c r="C43" s="2" t="s">
        <v>223</v>
      </c>
      <c r="D43" s="2"/>
      <c r="E43" s="4" t="s">
        <v>645</v>
      </c>
      <c r="F43" s="4"/>
      <c r="G43" s="103">
        <f>ROUND(IF(G42=0,0,G42/G21),4)</f>
        <v>6.7000000000000004E-2</v>
      </c>
      <c r="I43" s="94">
        <f>G43</f>
        <v>6.7000000000000004E-2</v>
      </c>
    </row>
    <row r="44" spans="1:10">
      <c r="A44" s="97"/>
      <c r="C44" s="1"/>
      <c r="D44" s="1"/>
      <c r="E44" s="4"/>
      <c r="F44" s="4"/>
      <c r="G44" s="2"/>
      <c r="I44" s="2"/>
    </row>
    <row r="45" spans="1:10" ht="15.75">
      <c r="A45" s="98" t="s">
        <v>261</v>
      </c>
      <c r="B45" s="99"/>
      <c r="C45" s="10" t="s">
        <v>224</v>
      </c>
      <c r="D45" s="10"/>
      <c r="E45" s="88" t="s">
        <v>337</v>
      </c>
      <c r="F45" s="88"/>
      <c r="G45" s="100"/>
      <c r="I45" s="101">
        <f>I39+I43</f>
        <v>7.5200000000000003E-2</v>
      </c>
    </row>
    <row r="47" spans="1:10">
      <c r="A47" s="106"/>
      <c r="C47" s="97"/>
      <c r="D47" s="97"/>
      <c r="E47" s="67"/>
      <c r="F47" s="67"/>
      <c r="G47" s="2"/>
      <c r="H47" s="9"/>
      <c r="I47" s="9"/>
      <c r="J47" s="93"/>
    </row>
    <row r="48" spans="1:10">
      <c r="A48" s="86"/>
      <c r="C48" s="9"/>
      <c r="D48" s="9"/>
      <c r="E48" s="9"/>
      <c r="F48" s="9"/>
      <c r="G48" s="2"/>
      <c r="H48" s="9"/>
      <c r="I48" s="9"/>
      <c r="J48" s="9"/>
    </row>
    <row r="49" spans="11:28">
      <c r="X49" s="50" t="s">
        <v>296</v>
      </c>
    </row>
    <row r="50" spans="11:28">
      <c r="X50" s="50" t="s">
        <v>294</v>
      </c>
    </row>
    <row r="51" spans="11:28">
      <c r="X51" s="107" t="s">
        <v>202</v>
      </c>
    </row>
    <row r="52" spans="11:28">
      <c r="K52" s="86"/>
      <c r="M52" s="9"/>
      <c r="N52" s="9"/>
      <c r="O52" s="9"/>
      <c r="P52" s="9"/>
      <c r="Q52" s="2"/>
      <c r="R52" s="9"/>
      <c r="S52" s="9"/>
      <c r="T52" s="9"/>
      <c r="U52" s="9"/>
      <c r="W52" s="2"/>
      <c r="X52" s="107" t="str">
        <f>I4</f>
        <v>For the 12 months ended: 12/31/2021</v>
      </c>
      <c r="Y52" s="87"/>
      <c r="Z52" s="84"/>
      <c r="AA52" s="87"/>
      <c r="AB52" s="84"/>
    </row>
    <row r="53" spans="11:28">
      <c r="K53" s="86"/>
      <c r="M53" s="1"/>
      <c r="N53" s="9"/>
      <c r="O53" s="9"/>
      <c r="P53" s="9"/>
      <c r="Q53" s="2"/>
      <c r="R53" s="9"/>
      <c r="S53" s="9"/>
      <c r="T53" s="9"/>
      <c r="U53" s="9"/>
      <c r="W53" s="2"/>
      <c r="Y53" s="87"/>
      <c r="Z53" s="84"/>
      <c r="AA53" s="87"/>
      <c r="AB53" s="84"/>
    </row>
    <row r="54" spans="11:28">
      <c r="K54" s="70" t="str">
        <f>A6</f>
        <v>Rate Formula Template</v>
      </c>
      <c r="L54" s="174"/>
      <c r="M54" s="174"/>
      <c r="N54" s="146"/>
      <c r="O54" s="70"/>
      <c r="P54" s="70"/>
      <c r="Q54" s="174"/>
      <c r="R54" s="70"/>
      <c r="S54" s="70"/>
      <c r="T54" s="70"/>
      <c r="U54" s="70"/>
      <c r="V54" s="174"/>
      <c r="W54" s="145"/>
      <c r="X54" s="174"/>
      <c r="Y54" s="87"/>
      <c r="Z54" s="84"/>
      <c r="AA54" s="87"/>
      <c r="AB54" s="84"/>
    </row>
    <row r="55" spans="11:28">
      <c r="K55" s="70" t="str">
        <f>A7</f>
        <v>Utilizing Attachment H-22A Data</v>
      </c>
      <c r="L55" s="174"/>
      <c r="M55" s="146"/>
      <c r="N55" s="146"/>
      <c r="O55" s="70"/>
      <c r="P55" s="70"/>
      <c r="Q55" s="174"/>
      <c r="R55" s="70"/>
      <c r="S55" s="70"/>
      <c r="T55" s="70"/>
      <c r="U55" s="70"/>
      <c r="V55" s="145"/>
      <c r="W55" s="145"/>
      <c r="X55" s="174"/>
      <c r="Y55" s="87"/>
      <c r="Z55" s="84"/>
      <c r="AA55" s="87"/>
      <c r="AB55" s="84"/>
    </row>
    <row r="56" spans="11:28" ht="14.25" customHeight="1">
      <c r="K56" s="173"/>
      <c r="M56" s="9"/>
      <c r="N56" s="9"/>
      <c r="O56" s="9"/>
      <c r="P56" s="9"/>
      <c r="R56" s="70"/>
      <c r="S56" s="9"/>
      <c r="T56" s="9"/>
      <c r="U56" s="9"/>
      <c r="W56" s="2"/>
      <c r="X56" s="9"/>
      <c r="Y56" s="87"/>
      <c r="Z56" s="84"/>
      <c r="AA56" s="87"/>
      <c r="AB56" s="84"/>
    </row>
    <row r="57" spans="11:28">
      <c r="K57" s="70" t="str">
        <f>A9</f>
        <v>DUKE ENERGY OHIO (DEO)</v>
      </c>
      <c r="L57" s="174"/>
      <c r="M57" s="174"/>
      <c r="N57" s="174"/>
      <c r="O57" s="70"/>
      <c r="P57" s="70"/>
      <c r="Q57" s="174"/>
      <c r="R57" s="70"/>
      <c r="S57" s="70"/>
      <c r="T57" s="70"/>
      <c r="U57" s="70"/>
      <c r="V57" s="70"/>
      <c r="W57" s="145"/>
      <c r="X57" s="145"/>
      <c r="Y57" s="87"/>
      <c r="Z57" s="84"/>
      <c r="AA57" s="87"/>
      <c r="AB57" s="84"/>
    </row>
    <row r="58" spans="11:28">
      <c r="K58" s="70" t="str">
        <f>A10</f>
        <v>MTEP - Transmission Enhancement Charges</v>
      </c>
      <c r="L58" s="174"/>
      <c r="M58" s="174"/>
      <c r="N58" s="174"/>
      <c r="O58" s="146"/>
      <c r="P58" s="146"/>
      <c r="Q58" s="146"/>
      <c r="R58" s="146"/>
      <c r="S58" s="146"/>
      <c r="T58" s="146"/>
      <c r="U58" s="146"/>
      <c r="V58" s="146"/>
      <c r="W58" s="146"/>
      <c r="X58" s="146"/>
      <c r="Y58" s="87"/>
      <c r="Z58" s="84"/>
      <c r="AA58" s="87"/>
      <c r="AB58" s="84"/>
    </row>
    <row r="59" spans="11:28">
      <c r="K59" s="86"/>
      <c r="O59" s="1"/>
      <c r="P59" s="1"/>
      <c r="Q59" s="1"/>
      <c r="R59" s="1"/>
      <c r="S59" s="1"/>
      <c r="T59" s="1"/>
      <c r="U59" s="1"/>
      <c r="V59" s="1"/>
      <c r="W59" s="1"/>
      <c r="X59" s="1"/>
      <c r="Y59" s="87"/>
      <c r="Z59" s="84"/>
      <c r="AA59" s="87"/>
      <c r="AB59" s="84"/>
    </row>
    <row r="60" spans="11:28" ht="15.75">
      <c r="K60" s="175" t="s">
        <v>269</v>
      </c>
      <c r="L60" s="174"/>
      <c r="M60" s="70"/>
      <c r="N60" s="70"/>
      <c r="O60" s="174"/>
      <c r="P60" s="175"/>
      <c r="Q60" s="174"/>
      <c r="R60" s="146"/>
      <c r="S60" s="146"/>
      <c r="T60" s="146"/>
      <c r="U60" s="146"/>
      <c r="V60" s="146"/>
      <c r="W60" s="145"/>
      <c r="X60" s="145"/>
      <c r="Y60" s="87"/>
      <c r="Z60" s="84"/>
      <c r="AA60" s="87"/>
      <c r="AB60" s="84"/>
    </row>
    <row r="61" spans="11:28" ht="15.75">
      <c r="K61" s="86"/>
      <c r="M61" s="9"/>
      <c r="N61" s="9"/>
      <c r="O61" s="10"/>
      <c r="P61" s="10"/>
      <c r="R61" s="1"/>
      <c r="S61" s="1"/>
      <c r="T61" s="1"/>
      <c r="U61" s="1"/>
      <c r="V61" s="1"/>
      <c r="W61" s="2"/>
      <c r="X61" s="2"/>
      <c r="Y61" s="87"/>
      <c r="Z61" s="84"/>
      <c r="AA61" s="87"/>
      <c r="AB61" s="84"/>
    </row>
    <row r="62" spans="11:28" ht="15.75">
      <c r="K62" s="86"/>
      <c r="M62" s="108">
        <v>-1</v>
      </c>
      <c r="N62" s="108">
        <v>-2</v>
      </c>
      <c r="O62" s="108">
        <v>-3</v>
      </c>
      <c r="P62" s="108">
        <v>-4</v>
      </c>
      <c r="Q62" s="108">
        <v>-5</v>
      </c>
      <c r="R62" s="108">
        <v>-6</v>
      </c>
      <c r="S62" s="108">
        <v>-7</v>
      </c>
      <c r="T62" s="108">
        <v>-8</v>
      </c>
      <c r="U62" s="108">
        <v>-9</v>
      </c>
      <c r="V62" s="108">
        <v>-10</v>
      </c>
      <c r="W62" s="108">
        <v>-11</v>
      </c>
      <c r="X62" s="108">
        <v>-12</v>
      </c>
      <c r="Y62" s="87"/>
      <c r="Z62" s="84"/>
      <c r="AA62" s="87"/>
      <c r="AB62" s="84"/>
    </row>
    <row r="63" spans="11:28" ht="63">
      <c r="K63" s="109" t="s">
        <v>225</v>
      </c>
      <c r="L63" s="110"/>
      <c r="M63" s="110" t="s">
        <v>206</v>
      </c>
      <c r="N63" s="111" t="s">
        <v>226</v>
      </c>
      <c r="O63" s="112" t="s">
        <v>227</v>
      </c>
      <c r="P63" s="112" t="s">
        <v>220</v>
      </c>
      <c r="Q63" s="113" t="s">
        <v>228</v>
      </c>
      <c r="R63" s="112" t="s">
        <v>229</v>
      </c>
      <c r="S63" s="112" t="s">
        <v>224</v>
      </c>
      <c r="T63" s="113" t="s">
        <v>230</v>
      </c>
      <c r="U63" s="112" t="s">
        <v>231</v>
      </c>
      <c r="V63" s="114" t="s">
        <v>232</v>
      </c>
      <c r="W63" s="115" t="s">
        <v>233</v>
      </c>
      <c r="X63" s="114" t="s">
        <v>234</v>
      </c>
      <c r="Y63" s="96"/>
      <c r="Z63" s="84"/>
      <c r="AA63" s="87"/>
      <c r="AB63" s="84"/>
    </row>
    <row r="64" spans="11:28" ht="46.5" customHeight="1">
      <c r="K64" s="116"/>
      <c r="L64" s="117"/>
      <c r="M64" s="117"/>
      <c r="N64" s="117"/>
      <c r="O64" s="118" t="s">
        <v>16</v>
      </c>
      <c r="P64" s="118" t="s">
        <v>694</v>
      </c>
      <c r="Q64" s="119" t="s">
        <v>235</v>
      </c>
      <c r="R64" s="118" t="s">
        <v>17</v>
      </c>
      <c r="S64" s="118" t="s">
        <v>695</v>
      </c>
      <c r="T64" s="119" t="s">
        <v>236</v>
      </c>
      <c r="U64" s="118" t="s">
        <v>237</v>
      </c>
      <c r="V64" s="119" t="s">
        <v>238</v>
      </c>
      <c r="W64" s="120" t="s">
        <v>203</v>
      </c>
      <c r="X64" s="121" t="s">
        <v>239</v>
      </c>
      <c r="Y64" s="87"/>
      <c r="Z64" s="84"/>
      <c r="AA64" s="87"/>
      <c r="AB64" s="84"/>
    </row>
    <row r="65" spans="11:28">
      <c r="K65" s="122"/>
      <c r="L65" s="1"/>
      <c r="M65" s="1"/>
      <c r="N65" s="1"/>
      <c r="O65" s="1"/>
      <c r="P65" s="1"/>
      <c r="Q65" s="123"/>
      <c r="R65" s="1"/>
      <c r="S65" s="1"/>
      <c r="T65" s="123"/>
      <c r="U65" s="1"/>
      <c r="V65" s="123"/>
      <c r="W65" s="2"/>
      <c r="X65" s="124"/>
      <c r="Y65" s="87"/>
      <c r="Z65" s="84"/>
      <c r="AA65" s="87"/>
      <c r="AB65" s="84"/>
    </row>
    <row r="66" spans="11:28">
      <c r="K66" s="610" t="s">
        <v>1</v>
      </c>
      <c r="L66" s="255"/>
      <c r="M66" s="255" t="s">
        <v>254</v>
      </c>
      <c r="N66" s="607">
        <v>91</v>
      </c>
      <c r="O66" s="160">
        <v>17171005</v>
      </c>
      <c r="P66" s="94">
        <f>$I$35</f>
        <v>6.88E-2</v>
      </c>
      <c r="Q66" s="565">
        <f>ROUND(O66*P66,0)</f>
        <v>1181365</v>
      </c>
      <c r="R66" s="126">
        <v>15773028</v>
      </c>
      <c r="S66" s="94">
        <f>$I$45</f>
        <v>7.5200000000000003E-2</v>
      </c>
      <c r="T66" s="565">
        <f>ROUND(R66*S66,0)</f>
        <v>1186132</v>
      </c>
      <c r="U66" s="566">
        <v>308282</v>
      </c>
      <c r="V66" s="565">
        <f>Q66+T66+U66</f>
        <v>2675779</v>
      </c>
      <c r="W66" s="128">
        <v>0</v>
      </c>
      <c r="X66" s="565">
        <f>V66+W66</f>
        <v>2675779</v>
      </c>
      <c r="Y66" s="129"/>
      <c r="Z66" s="129"/>
      <c r="AA66" s="129"/>
      <c r="AB66" s="129"/>
    </row>
    <row r="67" spans="11:28">
      <c r="K67" s="610" t="s">
        <v>242</v>
      </c>
      <c r="L67" s="255"/>
      <c r="M67" s="255" t="s">
        <v>243</v>
      </c>
      <c r="N67" s="608" t="s">
        <v>244</v>
      </c>
      <c r="O67" s="160">
        <v>0</v>
      </c>
      <c r="P67" s="94">
        <f>$I$35</f>
        <v>6.88E-2</v>
      </c>
      <c r="Q67" s="565">
        <f t="shared" ref="Q67:Q68" si="0">ROUND(O67*P67,0)</f>
        <v>0</v>
      </c>
      <c r="R67" s="126">
        <v>0</v>
      </c>
      <c r="S67" s="94">
        <f>$I$45</f>
        <v>7.5200000000000003E-2</v>
      </c>
      <c r="T67" s="565">
        <f t="shared" ref="T67:T68" si="1">ROUND(R67*S67,0)</f>
        <v>0</v>
      </c>
      <c r="U67" s="566">
        <v>0</v>
      </c>
      <c r="V67" s="565">
        <f>Q67+T67+U67</f>
        <v>0</v>
      </c>
      <c r="W67" s="128">
        <v>0</v>
      </c>
      <c r="X67" s="565">
        <f>V67+W67</f>
        <v>0</v>
      </c>
      <c r="Y67" s="129"/>
      <c r="Z67" s="129"/>
      <c r="AA67" s="129"/>
      <c r="AB67" s="129"/>
    </row>
    <row r="68" spans="11:28">
      <c r="K68" s="611" t="s">
        <v>245</v>
      </c>
      <c r="L68" s="255"/>
      <c r="M68" s="255" t="s">
        <v>246</v>
      </c>
      <c r="N68" s="608" t="s">
        <v>247</v>
      </c>
      <c r="O68" s="160">
        <v>0</v>
      </c>
      <c r="P68" s="94">
        <f>$I$35</f>
        <v>6.88E-2</v>
      </c>
      <c r="Q68" s="565">
        <f t="shared" si="0"/>
        <v>0</v>
      </c>
      <c r="R68" s="126">
        <v>0</v>
      </c>
      <c r="S68" s="94">
        <f>$I$45</f>
        <v>7.5200000000000003E-2</v>
      </c>
      <c r="T68" s="565">
        <f t="shared" si="1"/>
        <v>0</v>
      </c>
      <c r="U68" s="566">
        <v>0</v>
      </c>
      <c r="V68" s="565">
        <f>Q68+T68+U68</f>
        <v>0</v>
      </c>
      <c r="W68" s="126">
        <v>0</v>
      </c>
      <c r="X68" s="565">
        <f>V68+W68</f>
        <v>0</v>
      </c>
      <c r="Y68" s="129"/>
      <c r="Z68" s="129"/>
      <c r="AA68" s="129"/>
      <c r="AB68" s="129"/>
    </row>
    <row r="69" spans="11:28">
      <c r="K69" s="125"/>
      <c r="Q69" s="127"/>
      <c r="T69" s="127"/>
      <c r="V69" s="127"/>
      <c r="X69" s="127"/>
      <c r="Y69" s="129"/>
      <c r="Z69" s="129"/>
      <c r="AA69" s="129"/>
      <c r="AB69" s="129"/>
    </row>
    <row r="70" spans="11:28">
      <c r="K70" s="125"/>
      <c r="Q70" s="127"/>
      <c r="T70" s="127"/>
      <c r="V70" s="127"/>
      <c r="X70" s="127"/>
      <c r="Y70" s="129"/>
      <c r="Z70" s="129"/>
      <c r="AA70" s="129"/>
      <c r="AB70" s="129"/>
    </row>
    <row r="71" spans="11:28">
      <c r="K71" s="125"/>
      <c r="Q71" s="127"/>
      <c r="T71" s="127"/>
      <c r="V71" s="127"/>
      <c r="X71" s="127"/>
      <c r="Y71" s="129"/>
      <c r="Z71" s="129"/>
      <c r="AA71" s="129"/>
      <c r="AB71" s="129"/>
    </row>
    <row r="72" spans="11:28">
      <c r="K72" s="125"/>
      <c r="Q72" s="127"/>
      <c r="T72" s="127"/>
      <c r="V72" s="127"/>
      <c r="X72" s="127"/>
      <c r="Y72" s="129"/>
      <c r="Z72" s="129"/>
      <c r="AA72" s="129"/>
      <c r="AB72" s="129"/>
    </row>
    <row r="73" spans="11:28">
      <c r="K73" s="125"/>
      <c r="Q73" s="127"/>
      <c r="T73" s="127"/>
      <c r="V73" s="127"/>
      <c r="X73" s="127"/>
      <c r="Y73" s="129"/>
      <c r="Z73" s="129"/>
      <c r="AA73" s="129"/>
      <c r="AB73" s="129"/>
    </row>
    <row r="74" spans="11:28">
      <c r="K74" s="125"/>
      <c r="M74" s="129"/>
      <c r="N74" s="129"/>
      <c r="O74" s="129"/>
      <c r="P74" s="129"/>
      <c r="Q74" s="130"/>
      <c r="R74" s="129"/>
      <c r="S74" s="129"/>
      <c r="T74" s="130"/>
      <c r="U74" s="129"/>
      <c r="V74" s="130"/>
      <c r="W74" s="129"/>
      <c r="X74" s="130"/>
      <c r="Y74" s="129"/>
      <c r="Z74" s="129"/>
      <c r="AA74" s="129"/>
      <c r="AB74" s="129"/>
    </row>
    <row r="75" spans="11:28">
      <c r="K75" s="125"/>
      <c r="M75" s="129"/>
      <c r="N75" s="129"/>
      <c r="O75" s="129"/>
      <c r="P75" s="129"/>
      <c r="Q75" s="130"/>
      <c r="R75" s="129"/>
      <c r="S75" s="129"/>
      <c r="T75" s="130"/>
      <c r="U75" s="129"/>
      <c r="V75" s="130"/>
      <c r="W75" s="129"/>
      <c r="X75" s="130"/>
      <c r="Y75" s="129"/>
      <c r="Z75" s="129"/>
      <c r="AA75" s="129"/>
      <c r="AB75" s="129"/>
    </row>
    <row r="76" spans="11:28">
      <c r="K76" s="125"/>
      <c r="M76" s="129"/>
      <c r="N76" s="129"/>
      <c r="O76" s="129"/>
      <c r="P76" s="129"/>
      <c r="Q76" s="130"/>
      <c r="R76" s="129"/>
      <c r="S76" s="129"/>
      <c r="T76" s="130"/>
      <c r="U76" s="129"/>
      <c r="V76" s="130"/>
      <c r="W76" s="129"/>
      <c r="X76" s="130"/>
      <c r="Y76" s="129"/>
      <c r="Z76" s="129"/>
      <c r="AA76" s="129"/>
      <c r="AB76" s="129"/>
    </row>
    <row r="77" spans="11:28">
      <c r="K77" s="125"/>
      <c r="M77" s="129"/>
      <c r="N77" s="129"/>
      <c r="O77" s="129"/>
      <c r="P77" s="129"/>
      <c r="Q77" s="130"/>
      <c r="R77" s="129"/>
      <c r="S77" s="129"/>
      <c r="T77" s="130"/>
      <c r="U77" s="129"/>
      <c r="V77" s="130"/>
      <c r="W77" s="129"/>
      <c r="X77" s="130"/>
      <c r="Y77" s="129"/>
      <c r="Z77" s="129"/>
      <c r="AA77" s="129"/>
      <c r="AB77" s="129"/>
    </row>
    <row r="78" spans="11:28">
      <c r="K78" s="125"/>
      <c r="M78" s="129"/>
      <c r="N78" s="129"/>
      <c r="O78" s="129"/>
      <c r="P78" s="129"/>
      <c r="Q78" s="130"/>
      <c r="R78" s="129"/>
      <c r="S78" s="129"/>
      <c r="T78" s="130"/>
      <c r="U78" s="129"/>
      <c r="V78" s="130"/>
      <c r="W78" s="129"/>
      <c r="X78" s="130"/>
      <c r="Y78" s="129"/>
      <c r="Z78" s="129"/>
      <c r="AA78" s="129"/>
      <c r="AB78" s="129"/>
    </row>
    <row r="79" spans="11:28">
      <c r="K79" s="125"/>
      <c r="M79" s="129"/>
      <c r="N79" s="129"/>
      <c r="O79" s="129"/>
      <c r="P79" s="129"/>
      <c r="Q79" s="130"/>
      <c r="R79" s="129"/>
      <c r="S79" s="129"/>
      <c r="T79" s="130"/>
      <c r="U79" s="129"/>
      <c r="V79" s="130"/>
      <c r="W79" s="129"/>
      <c r="X79" s="130"/>
      <c r="Y79" s="129"/>
      <c r="Z79" s="129"/>
      <c r="AA79" s="129"/>
      <c r="AB79" s="129"/>
    </row>
    <row r="80" spans="11:28">
      <c r="K80" s="125"/>
      <c r="M80" s="129"/>
      <c r="N80" s="129"/>
      <c r="O80" s="129"/>
      <c r="P80" s="129"/>
      <c r="Q80" s="130"/>
      <c r="R80" s="129"/>
      <c r="S80" s="129"/>
      <c r="T80" s="130"/>
      <c r="U80" s="129"/>
      <c r="V80" s="130"/>
      <c r="W80" s="129"/>
      <c r="X80" s="130"/>
      <c r="Y80" s="129"/>
      <c r="Z80" s="129"/>
      <c r="AA80" s="129"/>
      <c r="AB80" s="129"/>
    </row>
    <row r="81" spans="11:28">
      <c r="K81" s="125"/>
      <c r="M81" s="129"/>
      <c r="N81" s="129"/>
      <c r="O81" s="129"/>
      <c r="P81" s="129"/>
      <c r="Q81" s="130"/>
      <c r="R81" s="129"/>
      <c r="S81" s="129"/>
      <c r="T81" s="130"/>
      <c r="U81" s="129"/>
      <c r="V81" s="130"/>
      <c r="W81" s="129"/>
      <c r="X81" s="130"/>
      <c r="Y81" s="129"/>
      <c r="Z81" s="129"/>
      <c r="AA81" s="129"/>
      <c r="AB81" s="129"/>
    </row>
    <row r="82" spans="11:28">
      <c r="K82" s="125"/>
      <c r="M82" s="129"/>
      <c r="N82" s="129"/>
      <c r="O82" s="129"/>
      <c r="P82" s="129"/>
      <c r="Q82" s="130"/>
      <c r="R82" s="129"/>
      <c r="S82" s="129"/>
      <c r="T82" s="130"/>
      <c r="U82" s="129"/>
      <c r="V82" s="130"/>
      <c r="W82" s="129"/>
      <c r="X82" s="130"/>
      <c r="Y82" s="129"/>
      <c r="Z82" s="129"/>
      <c r="AA82" s="129"/>
      <c r="AB82" s="129"/>
    </row>
    <row r="83" spans="11:28">
      <c r="K83" s="125"/>
      <c r="M83" s="129"/>
      <c r="N83" s="129"/>
      <c r="O83" s="129"/>
      <c r="P83" s="129"/>
      <c r="Q83" s="130"/>
      <c r="R83" s="129"/>
      <c r="S83" s="129"/>
      <c r="T83" s="130"/>
      <c r="U83" s="129"/>
      <c r="V83" s="130"/>
      <c r="W83" s="129"/>
      <c r="X83" s="130"/>
      <c r="Y83" s="129"/>
      <c r="Z83" s="129"/>
      <c r="AA83" s="129"/>
      <c r="AB83" s="129"/>
    </row>
    <row r="84" spans="11:28">
      <c r="K84" s="125"/>
      <c r="M84" s="129"/>
      <c r="N84" s="129"/>
      <c r="O84" s="129"/>
      <c r="P84" s="129"/>
      <c r="Q84" s="130"/>
      <c r="R84" s="129"/>
      <c r="S84" s="129"/>
      <c r="T84" s="130"/>
      <c r="U84" s="129"/>
      <c r="V84" s="130"/>
      <c r="W84" s="129"/>
      <c r="X84" s="130"/>
      <c r="Y84" s="129"/>
      <c r="Z84" s="129"/>
      <c r="AA84" s="129"/>
      <c r="AB84" s="129"/>
    </row>
    <row r="85" spans="11:28">
      <c r="K85" s="131"/>
      <c r="L85" s="132"/>
      <c r="M85" s="133"/>
      <c r="N85" s="133"/>
      <c r="O85" s="133"/>
      <c r="P85" s="133"/>
      <c r="Q85" s="134"/>
      <c r="R85" s="133"/>
      <c r="S85" s="133"/>
      <c r="T85" s="134"/>
      <c r="U85" s="133"/>
      <c r="V85" s="134"/>
      <c r="W85" s="133"/>
      <c r="X85" s="134"/>
      <c r="Y85" s="129"/>
      <c r="Z85" s="129"/>
      <c r="AA85" s="129"/>
      <c r="AB85" s="129"/>
    </row>
    <row r="86" spans="11:28">
      <c r="K86" s="5" t="s">
        <v>248</v>
      </c>
      <c r="L86" s="102"/>
      <c r="M86" s="1" t="s">
        <v>249</v>
      </c>
      <c r="N86" s="1"/>
      <c r="O86" s="67"/>
      <c r="P86" s="67"/>
      <c r="Q86" s="2"/>
      <c r="R86" s="2"/>
      <c r="S86" s="2"/>
      <c r="T86" s="2"/>
      <c r="U86" s="2"/>
      <c r="V86" s="544">
        <f>SUM(V66:V85)</f>
        <v>2675779</v>
      </c>
      <c r="W86" s="544">
        <f>SUM(W66:W85)</f>
        <v>0</v>
      </c>
      <c r="X86" s="544">
        <f>SUM(X66:X85)</f>
        <v>2675779</v>
      </c>
      <c r="Y86" s="129"/>
      <c r="Z86" s="129"/>
      <c r="AA86" s="129"/>
      <c r="AB86" s="129"/>
    </row>
    <row r="87" spans="11:28">
      <c r="K87" s="52"/>
      <c r="L87" s="129"/>
      <c r="M87" s="129"/>
      <c r="N87" s="129"/>
      <c r="O87" s="129"/>
      <c r="P87" s="129"/>
      <c r="Q87" s="129"/>
      <c r="R87" s="129"/>
      <c r="S87" s="129"/>
      <c r="T87" s="129"/>
      <c r="U87" s="129"/>
      <c r="V87" s="564"/>
      <c r="W87" s="564"/>
      <c r="X87" s="564"/>
      <c r="Y87" s="129"/>
      <c r="Z87" s="129"/>
      <c r="AA87" s="129"/>
      <c r="AB87" s="129"/>
    </row>
    <row r="88" spans="11:28">
      <c r="K88" s="135">
        <v>3</v>
      </c>
      <c r="L88" s="129"/>
      <c r="M88" s="9" t="str">
        <f>'Appx C - DEOK(MTEP)'!D40</f>
        <v>MTEP Transmission Enhancement Charges</v>
      </c>
      <c r="N88" s="129"/>
      <c r="O88" s="129"/>
      <c r="P88" s="129"/>
      <c r="Q88" s="129"/>
      <c r="R88" s="129"/>
      <c r="S88" s="129"/>
      <c r="T88" s="129"/>
      <c r="U88" s="129"/>
      <c r="V88" s="544"/>
      <c r="W88" s="564"/>
      <c r="X88" s="544">
        <f>X86</f>
        <v>2675779</v>
      </c>
      <c r="Y88" s="129"/>
      <c r="Z88" s="129"/>
      <c r="AA88" s="129"/>
      <c r="AB88" s="129"/>
    </row>
    <row r="89" spans="11:28">
      <c r="K89" s="129"/>
      <c r="L89" s="129"/>
      <c r="M89" s="129"/>
      <c r="N89" s="129"/>
      <c r="O89" s="129"/>
      <c r="P89" s="129"/>
      <c r="Q89" s="129"/>
      <c r="R89" s="129"/>
      <c r="S89" s="129"/>
      <c r="T89" s="129"/>
      <c r="U89" s="129"/>
      <c r="V89" s="129"/>
      <c r="W89" s="129"/>
      <c r="X89" s="129"/>
      <c r="Y89" s="129"/>
      <c r="Z89" s="129"/>
      <c r="AA89" s="129"/>
      <c r="AB89" s="129"/>
    </row>
    <row r="90" spans="11:28">
      <c r="K90" s="129"/>
      <c r="L90" s="129"/>
      <c r="M90" s="129"/>
      <c r="N90" s="129"/>
      <c r="O90" s="129"/>
      <c r="P90" s="129"/>
      <c r="Q90" s="129"/>
      <c r="R90" s="129"/>
      <c r="S90" s="129"/>
      <c r="T90" s="129"/>
      <c r="U90" s="129"/>
      <c r="V90" s="129"/>
      <c r="W90" s="129"/>
      <c r="X90" s="129"/>
      <c r="Y90" s="129"/>
      <c r="Z90" s="129"/>
      <c r="AA90" s="129"/>
      <c r="AB90" s="129"/>
    </row>
    <row r="91" spans="11:28">
      <c r="K91" s="67" t="s">
        <v>94</v>
      </c>
      <c r="L91" s="129"/>
      <c r="M91" s="129"/>
      <c r="N91" s="129"/>
      <c r="O91" s="129"/>
      <c r="P91" s="129"/>
      <c r="Q91" s="129"/>
      <c r="R91" s="129"/>
      <c r="S91" s="129"/>
      <c r="T91" s="129"/>
      <c r="U91" s="129"/>
      <c r="V91" s="129"/>
      <c r="W91" s="129"/>
      <c r="X91" s="129"/>
      <c r="Y91" s="129"/>
      <c r="Z91" s="129"/>
      <c r="AA91" s="129"/>
      <c r="AB91" s="129"/>
    </row>
    <row r="92" spans="11:28" ht="15.75" thickBot="1">
      <c r="K92" s="492" t="s">
        <v>95</v>
      </c>
      <c r="L92" s="129"/>
      <c r="M92" s="129"/>
      <c r="N92" s="129"/>
      <c r="O92" s="129"/>
      <c r="P92" s="129"/>
      <c r="Q92" s="129"/>
      <c r="R92" s="129"/>
      <c r="S92" s="129"/>
      <c r="T92" s="129"/>
      <c r="U92" s="129"/>
      <c r="V92" s="129"/>
      <c r="W92" s="129"/>
      <c r="X92" s="129"/>
      <c r="Y92" s="129"/>
      <c r="Z92" s="129"/>
      <c r="AA92" s="129"/>
      <c r="AB92" s="129"/>
    </row>
    <row r="93" spans="11:28">
      <c r="K93" s="136" t="s">
        <v>96</v>
      </c>
      <c r="L93" s="66"/>
      <c r="M93" s="1033" t="s">
        <v>573</v>
      </c>
      <c r="N93" s="1034"/>
      <c r="O93" s="1034"/>
      <c r="P93" s="1034"/>
      <c r="Q93" s="1034"/>
      <c r="R93" s="1034"/>
      <c r="S93" s="1034"/>
      <c r="T93" s="1034"/>
      <c r="U93" s="1034"/>
      <c r="V93" s="1034"/>
      <c r="W93" s="1034"/>
      <c r="X93" s="1034"/>
      <c r="Y93" s="129"/>
      <c r="Z93" s="129"/>
      <c r="AA93" s="129"/>
      <c r="AB93" s="129"/>
    </row>
    <row r="94" spans="11:28">
      <c r="K94" s="136" t="s">
        <v>97</v>
      </c>
      <c r="L94" s="66"/>
      <c r="M94" s="1033" t="s">
        <v>574</v>
      </c>
      <c r="N94" s="1034"/>
      <c r="O94" s="1034"/>
      <c r="P94" s="1034"/>
      <c r="Q94" s="1034"/>
      <c r="R94" s="1034"/>
      <c r="S94" s="1034"/>
      <c r="T94" s="1034"/>
      <c r="U94" s="1034"/>
      <c r="V94" s="1034"/>
      <c r="W94" s="1034"/>
      <c r="X94" s="1034"/>
      <c r="Y94" s="129"/>
      <c r="Z94" s="129"/>
      <c r="AA94" s="129"/>
      <c r="AB94" s="129"/>
    </row>
    <row r="95" spans="11:28" ht="27.75" customHeight="1">
      <c r="K95" s="137" t="s">
        <v>98</v>
      </c>
      <c r="L95" s="66"/>
      <c r="M95" s="1035" t="s">
        <v>250</v>
      </c>
      <c r="N95" s="1035"/>
      <c r="O95" s="1035"/>
      <c r="P95" s="1035"/>
      <c r="Q95" s="1035"/>
      <c r="R95" s="1035"/>
      <c r="S95" s="1035"/>
      <c r="T95" s="1035"/>
      <c r="U95" s="1035"/>
      <c r="V95" s="1035"/>
      <c r="W95" s="1035"/>
      <c r="X95" s="1035"/>
      <c r="Y95" s="129"/>
      <c r="Z95" s="129"/>
      <c r="AA95" s="129"/>
      <c r="AB95" s="129"/>
    </row>
    <row r="96" spans="11:28" ht="15" customHeight="1">
      <c r="K96" s="137" t="s">
        <v>99</v>
      </c>
      <c r="L96" s="66"/>
      <c r="M96" s="1035" t="s">
        <v>251</v>
      </c>
      <c r="N96" s="1035"/>
      <c r="O96" s="1035"/>
      <c r="P96" s="1035"/>
      <c r="Q96" s="1035"/>
      <c r="R96" s="1035"/>
      <c r="S96" s="1035"/>
      <c r="T96" s="1035"/>
      <c r="U96" s="1035"/>
      <c r="V96" s="1035"/>
      <c r="W96" s="1035"/>
      <c r="X96" s="1035"/>
      <c r="Y96" s="129"/>
      <c r="Z96" s="129"/>
      <c r="AA96" s="129"/>
      <c r="AB96" s="129"/>
    </row>
    <row r="97" spans="3:28">
      <c r="K97" s="136" t="s">
        <v>100</v>
      </c>
      <c r="L97" s="66"/>
      <c r="M97" s="1034" t="s">
        <v>312</v>
      </c>
      <c r="N97" s="1034"/>
      <c r="O97" s="1034"/>
      <c r="P97" s="1034"/>
      <c r="Q97" s="1034"/>
      <c r="R97" s="1034"/>
      <c r="S97" s="1034"/>
      <c r="T97" s="1034"/>
      <c r="U97" s="1034"/>
      <c r="V97" s="1034"/>
      <c r="W97" s="1034"/>
      <c r="X97" s="1034"/>
      <c r="Y97" s="129"/>
      <c r="Z97" s="129"/>
      <c r="AA97" s="129"/>
      <c r="AB97" s="129"/>
    </row>
    <row r="98" spans="3:28">
      <c r="K98" s="136" t="s">
        <v>101</v>
      </c>
      <c r="L98" s="66"/>
      <c r="M98" s="1034" t="s">
        <v>252</v>
      </c>
      <c r="N98" s="1034"/>
      <c r="O98" s="1034"/>
      <c r="P98" s="1034"/>
      <c r="Q98" s="1034"/>
      <c r="R98" s="1034"/>
      <c r="S98" s="1034"/>
      <c r="T98" s="1034"/>
      <c r="U98" s="1034"/>
      <c r="V98" s="1034"/>
      <c r="W98" s="1034"/>
      <c r="X98" s="1034"/>
      <c r="Y98" s="129"/>
      <c r="Z98" s="129"/>
      <c r="AA98" s="129"/>
      <c r="AB98" s="129"/>
    </row>
    <row r="99" spans="3:28">
      <c r="K99" s="136" t="s">
        <v>102</v>
      </c>
      <c r="L99" s="66"/>
      <c r="M99" s="1034" t="s">
        <v>253</v>
      </c>
      <c r="N99" s="1034"/>
      <c r="O99" s="1034"/>
      <c r="P99" s="1034"/>
      <c r="Q99" s="1034"/>
      <c r="R99" s="1034"/>
      <c r="S99" s="1034"/>
      <c r="T99" s="1034"/>
      <c r="U99" s="1034"/>
      <c r="V99" s="1034"/>
      <c r="W99" s="1034"/>
      <c r="X99" s="1034"/>
      <c r="Y99" s="129"/>
      <c r="Z99" s="129"/>
      <c r="AA99" s="129"/>
      <c r="AB99" s="129"/>
    </row>
    <row r="100" spans="3:28">
      <c r="K100" s="248" t="s">
        <v>103</v>
      </c>
      <c r="M100" s="1033" t="s">
        <v>334</v>
      </c>
      <c r="N100" s="1033"/>
      <c r="O100" s="1033"/>
      <c r="P100" s="1033"/>
      <c r="Q100" s="1033"/>
      <c r="R100" s="1033"/>
      <c r="S100" s="1033"/>
      <c r="T100" s="1033"/>
      <c r="U100" s="1033"/>
      <c r="V100" s="1033"/>
      <c r="W100" s="1033"/>
      <c r="X100" s="1033"/>
      <c r="Y100" s="129"/>
      <c r="Z100" s="129"/>
      <c r="AA100" s="129"/>
      <c r="AB100" s="129"/>
    </row>
    <row r="101" spans="3:28" ht="15.75">
      <c r="K101" s="104"/>
      <c r="L101" s="138"/>
      <c r="M101" s="139"/>
      <c r="N101" s="97"/>
      <c r="O101" s="67"/>
      <c r="P101" s="67"/>
      <c r="Q101" s="2"/>
      <c r="R101" s="9"/>
      <c r="S101" s="9"/>
      <c r="T101" s="93"/>
      <c r="U101" s="9"/>
      <c r="W101" s="2"/>
      <c r="X101" s="105"/>
      <c r="Y101" s="129"/>
      <c r="Z101" s="129"/>
      <c r="AA101" s="129"/>
      <c r="AB101" s="129"/>
    </row>
    <row r="102" spans="3:28" ht="15.75">
      <c r="K102" s="104"/>
      <c r="L102" s="138"/>
      <c r="M102" s="139"/>
      <c r="N102" s="97"/>
      <c r="O102" s="67"/>
      <c r="P102" s="67"/>
      <c r="Q102" s="2"/>
      <c r="R102" s="9"/>
      <c r="S102" s="9"/>
      <c r="T102" s="93"/>
      <c r="U102" s="9"/>
      <c r="W102" s="2"/>
      <c r="X102" s="95"/>
      <c r="Y102" s="129"/>
      <c r="Z102" s="129"/>
      <c r="AA102" s="129"/>
      <c r="AB102" s="129"/>
    </row>
    <row r="103" spans="3:28">
      <c r="M103" s="129"/>
      <c r="N103" s="129"/>
      <c r="O103" s="129"/>
      <c r="P103" s="129"/>
      <c r="Q103" s="129"/>
      <c r="R103" s="129"/>
      <c r="S103" s="129"/>
      <c r="T103" s="129"/>
      <c r="U103" s="129"/>
      <c r="V103" s="129"/>
      <c r="W103" s="129"/>
      <c r="X103" s="129"/>
      <c r="Y103" s="129"/>
      <c r="Z103" s="129"/>
      <c r="AA103" s="129"/>
      <c r="AB103" s="129"/>
    </row>
    <row r="104" spans="3:28">
      <c r="C104" s="129"/>
      <c r="D104" s="129"/>
      <c r="E104" s="129"/>
      <c r="F104" s="129"/>
      <c r="G104" s="129"/>
      <c r="H104" s="129"/>
      <c r="I104" s="129"/>
      <c r="J104" s="129"/>
    </row>
    <row r="105" spans="3:28">
      <c r="C105" s="129"/>
      <c r="D105" s="129"/>
      <c r="E105" s="129"/>
      <c r="F105" s="129"/>
      <c r="G105" s="129"/>
      <c r="H105" s="129"/>
      <c r="I105" s="129"/>
      <c r="J105" s="129"/>
    </row>
    <row r="106" spans="3:28">
      <c r="C106" s="129"/>
      <c r="D106" s="129"/>
      <c r="E106" s="129"/>
      <c r="F106" s="129"/>
      <c r="G106" s="129"/>
      <c r="H106" s="129"/>
      <c r="I106" s="129"/>
      <c r="J106" s="129"/>
    </row>
    <row r="107" spans="3:28">
      <c r="C107" s="129"/>
      <c r="D107" s="129"/>
      <c r="E107" s="129"/>
      <c r="F107" s="129"/>
      <c r="G107" s="129"/>
      <c r="H107" s="129"/>
      <c r="I107" s="129"/>
      <c r="J107" s="129"/>
    </row>
    <row r="108" spans="3:28">
      <c r="C108" s="129"/>
      <c r="D108" s="129"/>
      <c r="E108" s="129"/>
      <c r="F108" s="129"/>
      <c r="G108" s="129"/>
      <c r="H108" s="129"/>
      <c r="I108" s="129"/>
      <c r="J108" s="129"/>
    </row>
    <row r="109" spans="3:28">
      <c r="C109" s="129"/>
      <c r="D109" s="129"/>
      <c r="E109" s="129"/>
      <c r="F109" s="129"/>
      <c r="G109" s="129"/>
      <c r="H109" s="129"/>
      <c r="I109" s="129"/>
      <c r="J109" s="129"/>
    </row>
    <row r="110" spans="3:28">
      <c r="C110" s="129"/>
      <c r="D110" s="129"/>
      <c r="E110" s="129"/>
      <c r="F110" s="129"/>
      <c r="G110" s="129"/>
      <c r="H110" s="129"/>
      <c r="I110" s="129"/>
      <c r="J110" s="129"/>
    </row>
    <row r="111" spans="3:28">
      <c r="C111" s="129"/>
      <c r="D111" s="129"/>
      <c r="E111" s="129"/>
      <c r="F111" s="129"/>
      <c r="G111" s="129"/>
      <c r="H111" s="129"/>
      <c r="I111" s="129"/>
      <c r="J111" s="129"/>
    </row>
    <row r="112" spans="3:28">
      <c r="C112" s="129"/>
      <c r="D112" s="129"/>
      <c r="E112" s="129"/>
      <c r="F112" s="129"/>
      <c r="G112" s="129"/>
      <c r="H112" s="129"/>
      <c r="I112" s="129"/>
      <c r="J112" s="129"/>
    </row>
    <row r="113" spans="3:10">
      <c r="C113" s="129"/>
      <c r="D113" s="129"/>
      <c r="E113" s="129"/>
      <c r="F113" s="129"/>
      <c r="G113" s="129"/>
      <c r="H113" s="129"/>
      <c r="I113" s="129"/>
      <c r="J113" s="129"/>
    </row>
    <row r="114" spans="3:10">
      <c r="C114" s="129"/>
      <c r="D114" s="129"/>
      <c r="E114" s="129"/>
      <c r="F114" s="129"/>
      <c r="G114" s="129"/>
      <c r="H114" s="129"/>
      <c r="I114" s="129"/>
      <c r="J114" s="129"/>
    </row>
    <row r="115" spans="3:10">
      <c r="C115" s="129"/>
      <c r="D115" s="129"/>
      <c r="E115" s="129"/>
      <c r="F115" s="129"/>
      <c r="G115" s="129"/>
      <c r="H115" s="129"/>
      <c r="I115" s="129"/>
      <c r="J115" s="129"/>
    </row>
    <row r="116" spans="3:10">
      <c r="C116" s="129"/>
      <c r="D116" s="129"/>
      <c r="E116" s="129"/>
      <c r="F116" s="129"/>
      <c r="G116" s="129"/>
      <c r="H116" s="129"/>
      <c r="I116" s="129"/>
      <c r="J116" s="129"/>
    </row>
    <row r="117" spans="3:10">
      <c r="C117" s="129"/>
      <c r="D117" s="129"/>
      <c r="E117" s="129"/>
      <c r="F117" s="129"/>
      <c r="G117" s="129"/>
      <c r="H117" s="129"/>
      <c r="I117" s="129"/>
      <c r="J117" s="129"/>
    </row>
    <row r="118" spans="3:10">
      <c r="C118" s="129"/>
      <c r="D118" s="129"/>
      <c r="E118" s="129"/>
      <c r="F118" s="129"/>
      <c r="G118" s="129"/>
      <c r="H118" s="129"/>
      <c r="I118" s="129"/>
      <c r="J118" s="129"/>
    </row>
    <row r="119" spans="3:10">
      <c r="C119" s="129"/>
      <c r="D119" s="129"/>
      <c r="E119" s="129"/>
      <c r="F119" s="129"/>
      <c r="G119" s="129"/>
      <c r="H119" s="129"/>
      <c r="I119" s="129"/>
      <c r="J119" s="129"/>
    </row>
    <row r="120" spans="3:10">
      <c r="C120" s="129"/>
      <c r="D120" s="129"/>
      <c r="E120" s="129"/>
      <c r="F120" s="129"/>
      <c r="G120" s="129"/>
      <c r="H120" s="129"/>
      <c r="I120" s="129"/>
      <c r="J120" s="129"/>
    </row>
    <row r="121" spans="3:10">
      <c r="C121" s="129"/>
      <c r="D121" s="129"/>
      <c r="E121" s="129"/>
      <c r="F121" s="129"/>
      <c r="G121" s="129"/>
      <c r="H121" s="129"/>
      <c r="I121" s="129"/>
      <c r="J121" s="129"/>
    </row>
    <row r="122" spans="3:10">
      <c r="C122" s="129"/>
      <c r="D122" s="129"/>
      <c r="E122" s="129"/>
      <c r="F122" s="129"/>
      <c r="G122" s="129"/>
      <c r="H122" s="129"/>
      <c r="I122" s="129"/>
      <c r="J122" s="129"/>
    </row>
    <row r="123" spans="3:10">
      <c r="C123" s="129"/>
      <c r="D123" s="129"/>
      <c r="E123" s="129"/>
      <c r="F123" s="129"/>
      <c r="G123" s="129"/>
      <c r="H123" s="129"/>
      <c r="I123" s="129"/>
      <c r="J123" s="129"/>
    </row>
    <row r="124" spans="3:10">
      <c r="C124" s="129"/>
      <c r="D124" s="129"/>
      <c r="E124" s="129"/>
      <c r="F124" s="129"/>
      <c r="G124" s="129"/>
      <c r="H124" s="129"/>
      <c r="I124" s="129"/>
      <c r="J124" s="129"/>
    </row>
    <row r="125" spans="3:10">
      <c r="C125" s="129"/>
      <c r="D125" s="129"/>
      <c r="E125" s="129"/>
      <c r="F125" s="129"/>
      <c r="G125" s="129"/>
      <c r="H125" s="129"/>
      <c r="I125" s="129"/>
      <c r="J125" s="129"/>
    </row>
    <row r="126" spans="3:10">
      <c r="C126" s="129"/>
      <c r="D126" s="129"/>
      <c r="E126" s="129"/>
      <c r="F126" s="129"/>
      <c r="G126" s="129"/>
      <c r="H126" s="129"/>
      <c r="I126" s="129"/>
      <c r="J126" s="129"/>
    </row>
    <row r="127" spans="3:10">
      <c r="C127" s="129"/>
      <c r="D127" s="129"/>
      <c r="E127" s="129"/>
      <c r="F127" s="129"/>
      <c r="G127" s="129"/>
      <c r="H127" s="129"/>
      <c r="I127" s="129"/>
      <c r="J127" s="129"/>
    </row>
    <row r="128" spans="3:10">
      <c r="C128" s="129"/>
      <c r="D128" s="129"/>
      <c r="E128" s="129"/>
      <c r="F128" s="129"/>
      <c r="G128" s="129"/>
      <c r="H128" s="129"/>
      <c r="I128" s="129"/>
      <c r="J128" s="129"/>
    </row>
    <row r="129" spans="3:10">
      <c r="C129" s="129"/>
      <c r="D129" s="129"/>
      <c r="E129" s="129"/>
      <c r="F129" s="129"/>
      <c r="G129" s="129"/>
      <c r="H129" s="129"/>
      <c r="I129" s="129"/>
      <c r="J129" s="129"/>
    </row>
    <row r="130" spans="3:10">
      <c r="C130" s="129"/>
      <c r="D130" s="129"/>
      <c r="E130" s="129"/>
      <c r="F130" s="129"/>
      <c r="G130" s="129"/>
      <c r="H130" s="129"/>
      <c r="I130" s="129"/>
      <c r="J130" s="129"/>
    </row>
    <row r="131" spans="3:10">
      <c r="C131" s="129"/>
      <c r="D131" s="129"/>
      <c r="E131" s="129"/>
      <c r="F131" s="129"/>
      <c r="G131" s="129"/>
      <c r="H131" s="129"/>
      <c r="I131" s="129"/>
      <c r="J131" s="129"/>
    </row>
    <row r="132" spans="3:10">
      <c r="C132" s="129"/>
      <c r="D132" s="129"/>
      <c r="E132" s="129"/>
      <c r="F132" s="129"/>
      <c r="G132" s="129"/>
      <c r="H132" s="129"/>
      <c r="I132" s="129"/>
      <c r="J132" s="129"/>
    </row>
    <row r="133" spans="3:10">
      <c r="C133" s="129"/>
      <c r="D133" s="129"/>
      <c r="E133" s="129"/>
      <c r="F133" s="129"/>
      <c r="G133" s="129"/>
      <c r="H133" s="129"/>
      <c r="I133" s="129"/>
      <c r="J133" s="129"/>
    </row>
    <row r="134" spans="3:10">
      <c r="C134" s="129"/>
      <c r="D134" s="129"/>
      <c r="E134" s="129"/>
      <c r="F134" s="129"/>
      <c r="G134" s="129"/>
      <c r="H134" s="129"/>
      <c r="I134" s="129"/>
      <c r="J134" s="129"/>
    </row>
    <row r="135" spans="3:10">
      <c r="C135" s="129"/>
      <c r="D135" s="129"/>
      <c r="E135" s="129"/>
      <c r="F135" s="129"/>
      <c r="G135" s="129"/>
      <c r="H135" s="129"/>
      <c r="I135" s="129"/>
      <c r="J135" s="129"/>
    </row>
    <row r="136" spans="3:10">
      <c r="C136" s="129"/>
      <c r="D136" s="129"/>
      <c r="E136" s="129"/>
      <c r="F136" s="129"/>
      <c r="G136" s="129"/>
      <c r="H136" s="129"/>
      <c r="I136" s="129"/>
      <c r="J136" s="129"/>
    </row>
    <row r="137" spans="3:10">
      <c r="C137" s="129"/>
      <c r="D137" s="129"/>
      <c r="E137" s="129"/>
      <c r="F137" s="129"/>
      <c r="G137" s="129"/>
      <c r="H137" s="129"/>
      <c r="I137" s="129"/>
      <c r="J137" s="129"/>
    </row>
    <row r="138" spans="3:10">
      <c r="C138" s="129"/>
      <c r="D138" s="129"/>
      <c r="E138" s="129"/>
      <c r="F138" s="129"/>
      <c r="G138" s="129"/>
      <c r="H138" s="129"/>
      <c r="I138" s="129"/>
      <c r="J138" s="129"/>
    </row>
    <row r="139" spans="3:10">
      <c r="C139" s="129"/>
      <c r="D139" s="129"/>
      <c r="E139" s="129"/>
      <c r="F139" s="129"/>
      <c r="G139" s="129"/>
      <c r="H139" s="129"/>
      <c r="I139" s="129"/>
      <c r="J139" s="129"/>
    </row>
    <row r="140" spans="3:10">
      <c r="C140" s="129"/>
      <c r="D140" s="129"/>
      <c r="E140" s="129"/>
      <c r="F140" s="129"/>
      <c r="G140" s="129"/>
      <c r="H140" s="129"/>
      <c r="I140" s="129"/>
      <c r="J140" s="129"/>
    </row>
    <row r="141" spans="3:10">
      <c r="C141" s="129"/>
      <c r="D141" s="129"/>
      <c r="E141" s="129"/>
      <c r="F141" s="129"/>
      <c r="G141" s="129"/>
      <c r="H141" s="129"/>
      <c r="I141" s="129"/>
      <c r="J141" s="129"/>
    </row>
    <row r="142" spans="3:10">
      <c r="C142" s="129"/>
      <c r="D142" s="129"/>
      <c r="E142" s="129"/>
      <c r="F142" s="129"/>
      <c r="G142" s="129"/>
      <c r="H142" s="129"/>
      <c r="I142" s="129"/>
      <c r="J142" s="129"/>
    </row>
    <row r="143" spans="3:10">
      <c r="C143" s="129"/>
      <c r="D143" s="129"/>
      <c r="E143" s="129"/>
      <c r="F143" s="129"/>
      <c r="G143" s="129"/>
      <c r="H143" s="129"/>
      <c r="I143" s="129"/>
      <c r="J143" s="129"/>
    </row>
    <row r="144" spans="3:10">
      <c r="C144" s="129"/>
      <c r="D144" s="129"/>
      <c r="E144" s="129"/>
      <c r="F144" s="129"/>
      <c r="G144" s="129"/>
      <c r="H144" s="129"/>
      <c r="I144" s="129"/>
      <c r="J144" s="129"/>
    </row>
    <row r="145" spans="3:10">
      <c r="C145" s="129"/>
      <c r="D145" s="129"/>
      <c r="E145" s="129"/>
      <c r="F145" s="129"/>
      <c r="G145" s="129"/>
      <c r="H145" s="129"/>
      <c r="I145" s="129"/>
      <c r="J145" s="129"/>
    </row>
    <row r="146" spans="3:10">
      <c r="C146" s="129"/>
      <c r="D146" s="129"/>
      <c r="E146" s="129"/>
      <c r="F146" s="129"/>
      <c r="G146" s="129"/>
      <c r="H146" s="129"/>
      <c r="I146" s="129"/>
      <c r="J146" s="129"/>
    </row>
    <row r="147" spans="3:10">
      <c r="C147" s="129"/>
      <c r="D147" s="129"/>
      <c r="E147" s="129"/>
      <c r="F147" s="129"/>
      <c r="G147" s="129"/>
      <c r="H147" s="129"/>
      <c r="I147" s="129"/>
      <c r="J147" s="129"/>
    </row>
    <row r="148" spans="3:10">
      <c r="C148" s="129"/>
      <c r="D148" s="129"/>
      <c r="E148" s="129"/>
      <c r="F148" s="129"/>
      <c r="G148" s="129"/>
      <c r="H148" s="129"/>
      <c r="I148" s="129"/>
      <c r="J148" s="129"/>
    </row>
    <row r="149" spans="3:10">
      <c r="C149" s="129"/>
      <c r="D149" s="129"/>
      <c r="E149" s="129"/>
      <c r="F149" s="129"/>
      <c r="G149" s="129"/>
      <c r="H149" s="129"/>
      <c r="I149" s="129"/>
      <c r="J149" s="129"/>
    </row>
    <row r="150" spans="3:10">
      <c r="C150" s="129"/>
      <c r="D150" s="129"/>
      <c r="E150" s="129"/>
      <c r="F150" s="129"/>
      <c r="G150" s="129"/>
      <c r="H150" s="129"/>
      <c r="I150" s="129"/>
      <c r="J150" s="129"/>
    </row>
    <row r="151" spans="3:10">
      <c r="C151" s="129"/>
      <c r="D151" s="129"/>
      <c r="E151" s="129"/>
      <c r="F151" s="129"/>
      <c r="G151" s="129"/>
      <c r="H151" s="129"/>
      <c r="I151" s="129"/>
      <c r="J151" s="129"/>
    </row>
    <row r="152" spans="3:10">
      <c r="C152" s="129"/>
      <c r="D152" s="129"/>
      <c r="E152" s="129"/>
      <c r="F152" s="129"/>
      <c r="G152" s="129"/>
      <c r="H152" s="129"/>
      <c r="I152" s="129"/>
      <c r="J152" s="129"/>
    </row>
    <row r="153" spans="3:10">
      <c r="C153" s="129"/>
      <c r="D153" s="129"/>
      <c r="E153" s="129"/>
      <c r="F153" s="129"/>
      <c r="G153" s="129"/>
      <c r="H153" s="129"/>
      <c r="I153" s="129"/>
      <c r="J153" s="129"/>
    </row>
    <row r="154" spans="3:10">
      <c r="C154" s="129"/>
      <c r="D154" s="129"/>
      <c r="E154" s="129"/>
      <c r="F154" s="129"/>
      <c r="G154" s="129"/>
      <c r="H154" s="129"/>
      <c r="I154" s="129"/>
      <c r="J154" s="129"/>
    </row>
    <row r="155" spans="3:10">
      <c r="C155" s="129"/>
      <c r="D155" s="129"/>
      <c r="E155" s="129"/>
      <c r="F155" s="129"/>
      <c r="G155" s="129"/>
      <c r="H155" s="129"/>
      <c r="I155" s="129"/>
      <c r="J155" s="129"/>
    </row>
    <row r="156" spans="3:10">
      <c r="C156" s="129"/>
      <c r="D156" s="129"/>
      <c r="E156" s="129"/>
      <c r="F156" s="129"/>
      <c r="G156" s="129"/>
      <c r="H156" s="129"/>
      <c r="I156" s="129"/>
      <c r="J156" s="129"/>
    </row>
    <row r="157" spans="3:10">
      <c r="C157" s="129"/>
      <c r="D157" s="129"/>
      <c r="E157" s="129"/>
      <c r="F157" s="129"/>
      <c r="G157" s="129"/>
      <c r="H157" s="129"/>
      <c r="I157" s="129"/>
      <c r="J157" s="129"/>
    </row>
    <row r="158" spans="3:10">
      <c r="C158" s="129"/>
      <c r="D158" s="129"/>
      <c r="E158" s="129"/>
      <c r="F158" s="129"/>
      <c r="G158" s="129"/>
      <c r="H158" s="129"/>
      <c r="I158" s="129"/>
      <c r="J158" s="129"/>
    </row>
    <row r="159" spans="3:10">
      <c r="C159" s="129"/>
      <c r="D159" s="129"/>
      <c r="E159" s="129"/>
      <c r="F159" s="129"/>
      <c r="G159" s="129"/>
      <c r="H159" s="129"/>
      <c r="I159" s="129"/>
      <c r="J159" s="129"/>
    </row>
    <row r="160" spans="3:10">
      <c r="C160" s="129"/>
      <c r="D160" s="129"/>
      <c r="E160" s="129"/>
      <c r="F160" s="129"/>
      <c r="G160" s="129"/>
      <c r="H160" s="129"/>
      <c r="I160" s="129"/>
      <c r="J160" s="129"/>
    </row>
    <row r="161" spans="3:10">
      <c r="C161" s="129"/>
      <c r="D161" s="129"/>
      <c r="E161" s="129"/>
      <c r="F161" s="129"/>
      <c r="G161" s="129"/>
      <c r="H161" s="129"/>
      <c r="I161" s="129"/>
      <c r="J161" s="129"/>
    </row>
    <row r="162" spans="3:10">
      <c r="C162" s="129"/>
      <c r="D162" s="129"/>
      <c r="E162" s="129"/>
      <c r="F162" s="129"/>
      <c r="G162" s="129"/>
      <c r="H162" s="129"/>
      <c r="I162" s="129"/>
      <c r="J162" s="129"/>
    </row>
    <row r="163" spans="3:10">
      <c r="C163" s="129"/>
      <c r="D163" s="129"/>
      <c r="E163" s="129"/>
      <c r="F163" s="129"/>
      <c r="G163" s="129"/>
      <c r="H163" s="129"/>
      <c r="I163" s="129"/>
      <c r="J163" s="129"/>
    </row>
    <row r="164" spans="3:10">
      <c r="C164" s="129"/>
      <c r="D164" s="129"/>
      <c r="E164" s="129"/>
      <c r="F164" s="129"/>
      <c r="G164" s="129"/>
      <c r="H164" s="129"/>
      <c r="I164" s="129"/>
      <c r="J164" s="129"/>
    </row>
    <row r="165" spans="3:10">
      <c r="C165" s="129"/>
      <c r="D165" s="129"/>
      <c r="E165" s="129"/>
      <c r="F165" s="129"/>
      <c r="G165" s="129"/>
      <c r="H165" s="129"/>
      <c r="I165" s="129"/>
      <c r="J165" s="129"/>
    </row>
    <row r="166" spans="3:10">
      <c r="C166" s="129"/>
      <c r="D166" s="129"/>
      <c r="E166" s="129"/>
      <c r="F166" s="129"/>
      <c r="G166" s="129"/>
      <c r="H166" s="129"/>
      <c r="I166" s="129"/>
      <c r="J166" s="129"/>
    </row>
    <row r="167" spans="3:10">
      <c r="C167" s="129"/>
      <c r="D167" s="129"/>
      <c r="E167" s="129"/>
      <c r="F167" s="129"/>
      <c r="G167" s="129"/>
      <c r="H167" s="129"/>
      <c r="I167" s="129"/>
      <c r="J167" s="129"/>
    </row>
    <row r="168" spans="3:10">
      <c r="C168" s="129"/>
      <c r="D168" s="129"/>
      <c r="E168" s="129"/>
      <c r="F168" s="129"/>
      <c r="G168" s="129"/>
      <c r="H168" s="129"/>
      <c r="I168" s="129"/>
      <c r="J168" s="129"/>
    </row>
    <row r="169" spans="3:10">
      <c r="C169" s="129"/>
      <c r="D169" s="129"/>
      <c r="E169" s="129"/>
      <c r="F169" s="129"/>
      <c r="G169" s="129"/>
      <c r="H169" s="129"/>
      <c r="I169" s="129"/>
      <c r="J169" s="129"/>
    </row>
    <row r="170" spans="3:10">
      <c r="C170" s="129"/>
      <c r="D170" s="129"/>
      <c r="E170" s="129"/>
      <c r="F170" s="129"/>
      <c r="G170" s="129"/>
      <c r="H170" s="129"/>
      <c r="I170" s="129"/>
      <c r="J170" s="129"/>
    </row>
    <row r="171" spans="3:10">
      <c r="C171" s="129"/>
      <c r="D171" s="129"/>
      <c r="E171" s="129"/>
      <c r="F171" s="129"/>
      <c r="G171" s="129"/>
      <c r="H171" s="129"/>
      <c r="I171" s="129"/>
      <c r="J171" s="129"/>
    </row>
    <row r="172" spans="3:10">
      <c r="C172" s="129"/>
      <c r="D172" s="129"/>
      <c r="E172" s="129"/>
      <c r="F172" s="129"/>
      <c r="G172" s="129"/>
      <c r="H172" s="129"/>
      <c r="I172" s="129"/>
      <c r="J172" s="129"/>
    </row>
    <row r="173" spans="3:10">
      <c r="C173" s="129"/>
      <c r="D173" s="129"/>
      <c r="E173" s="129"/>
      <c r="F173" s="129"/>
      <c r="G173" s="129"/>
      <c r="H173" s="129"/>
      <c r="I173" s="129"/>
      <c r="J173" s="129"/>
    </row>
    <row r="174" spans="3:10">
      <c r="C174" s="129"/>
      <c r="D174" s="129"/>
      <c r="E174" s="129"/>
      <c r="F174" s="129"/>
      <c r="G174" s="129"/>
      <c r="H174" s="129"/>
      <c r="I174" s="129"/>
      <c r="J174" s="129"/>
    </row>
    <row r="175" spans="3:10">
      <c r="C175" s="129"/>
      <c r="D175" s="129"/>
      <c r="E175" s="129"/>
      <c r="F175" s="129"/>
      <c r="G175" s="129"/>
      <c r="H175" s="129"/>
      <c r="I175" s="129"/>
      <c r="J175" s="129"/>
    </row>
    <row r="176" spans="3:10">
      <c r="C176" s="129"/>
      <c r="D176" s="129"/>
      <c r="E176" s="129"/>
      <c r="F176" s="129"/>
      <c r="G176" s="129"/>
      <c r="H176" s="129"/>
      <c r="I176" s="129"/>
      <c r="J176" s="129"/>
    </row>
    <row r="177" spans="3:10">
      <c r="C177" s="129"/>
      <c r="D177" s="129"/>
      <c r="E177" s="129"/>
      <c r="F177" s="129"/>
      <c r="G177" s="129"/>
      <c r="H177" s="129"/>
      <c r="I177" s="129"/>
      <c r="J177" s="129"/>
    </row>
    <row r="178" spans="3:10">
      <c r="C178" s="129"/>
      <c r="D178" s="129"/>
      <c r="E178" s="129"/>
      <c r="F178" s="129"/>
      <c r="G178" s="129"/>
      <c r="H178" s="129"/>
      <c r="I178" s="129"/>
      <c r="J178" s="129"/>
    </row>
    <row r="179" spans="3:10">
      <c r="C179" s="129"/>
      <c r="D179" s="129"/>
      <c r="E179" s="129"/>
      <c r="F179" s="129"/>
      <c r="G179" s="129"/>
      <c r="H179" s="129"/>
      <c r="I179" s="129"/>
      <c r="J179" s="129"/>
    </row>
    <row r="180" spans="3:10">
      <c r="C180" s="129"/>
      <c r="D180" s="129"/>
      <c r="E180" s="129"/>
      <c r="F180" s="129"/>
      <c r="G180" s="129"/>
      <c r="H180" s="129"/>
      <c r="I180" s="129"/>
      <c r="J180" s="129"/>
    </row>
    <row r="181" spans="3:10">
      <c r="C181" s="129"/>
      <c r="D181" s="129"/>
      <c r="E181" s="129"/>
      <c r="F181" s="129"/>
      <c r="G181" s="129"/>
      <c r="H181" s="129"/>
      <c r="I181" s="129"/>
      <c r="J181" s="129"/>
    </row>
    <row r="182" spans="3:10">
      <c r="C182" s="129"/>
      <c r="D182" s="129"/>
      <c r="E182" s="129"/>
      <c r="F182" s="129"/>
      <c r="G182" s="129"/>
      <c r="H182" s="129"/>
      <c r="I182" s="129"/>
      <c r="J182" s="129"/>
    </row>
    <row r="183" spans="3:10">
      <c r="C183" s="129"/>
      <c r="D183" s="129"/>
      <c r="E183" s="129"/>
      <c r="F183" s="129"/>
      <c r="G183" s="129"/>
      <c r="H183" s="129"/>
      <c r="I183" s="129"/>
      <c r="J183" s="129"/>
    </row>
    <row r="184" spans="3:10">
      <c r="C184" s="129"/>
      <c r="D184" s="129"/>
      <c r="E184" s="129"/>
      <c r="F184" s="129"/>
      <c r="G184" s="129"/>
      <c r="H184" s="129"/>
      <c r="I184" s="129"/>
      <c r="J184" s="129"/>
    </row>
    <row r="185" spans="3:10">
      <c r="C185" s="129"/>
      <c r="D185" s="129"/>
      <c r="E185" s="129"/>
      <c r="F185" s="129"/>
      <c r="G185" s="129"/>
      <c r="H185" s="129"/>
      <c r="I185" s="129"/>
      <c r="J185" s="129"/>
    </row>
    <row r="186" spans="3:10">
      <c r="C186" s="129"/>
      <c r="D186" s="129"/>
      <c r="E186" s="129"/>
      <c r="F186" s="129"/>
      <c r="G186" s="129"/>
      <c r="H186" s="129"/>
      <c r="I186" s="129"/>
      <c r="J186" s="129"/>
    </row>
    <row r="187" spans="3:10">
      <c r="C187" s="129"/>
      <c r="D187" s="129"/>
      <c r="E187" s="129"/>
      <c r="F187" s="129"/>
      <c r="G187" s="129"/>
      <c r="H187" s="129"/>
      <c r="I187" s="129"/>
      <c r="J187" s="129"/>
    </row>
    <row r="188" spans="3:10">
      <c r="C188" s="129"/>
      <c r="D188" s="129"/>
      <c r="E188" s="129"/>
      <c r="F188" s="129"/>
      <c r="G188" s="129"/>
      <c r="H188" s="129"/>
      <c r="I188" s="129"/>
      <c r="J188" s="129"/>
    </row>
    <row r="189" spans="3:10">
      <c r="C189" s="129"/>
      <c r="D189" s="129"/>
      <c r="E189" s="129"/>
      <c r="F189" s="129"/>
      <c r="G189" s="129"/>
      <c r="H189" s="129"/>
      <c r="I189" s="129"/>
      <c r="J189" s="129"/>
    </row>
    <row r="190" spans="3:10">
      <c r="C190" s="129"/>
      <c r="D190" s="129"/>
      <c r="E190" s="129"/>
      <c r="F190" s="129"/>
      <c r="G190" s="129"/>
      <c r="H190" s="129"/>
      <c r="I190" s="129"/>
      <c r="J190" s="129"/>
    </row>
    <row r="191" spans="3:10">
      <c r="C191" s="129"/>
      <c r="D191" s="129"/>
      <c r="E191" s="129"/>
      <c r="F191" s="129"/>
      <c r="G191" s="129"/>
      <c r="H191" s="129"/>
      <c r="I191" s="129"/>
      <c r="J191" s="129"/>
    </row>
    <row r="192" spans="3:10">
      <c r="C192" s="129"/>
      <c r="D192" s="129"/>
      <c r="E192" s="129"/>
      <c r="F192" s="129"/>
      <c r="G192" s="129"/>
      <c r="H192" s="129"/>
      <c r="I192" s="129"/>
      <c r="J192" s="129"/>
    </row>
    <row r="193" spans="3:10">
      <c r="C193" s="129"/>
      <c r="D193" s="129"/>
      <c r="E193" s="129"/>
      <c r="F193" s="129"/>
      <c r="G193" s="129"/>
      <c r="H193" s="129"/>
      <c r="I193" s="129"/>
      <c r="J193" s="129"/>
    </row>
    <row r="194" spans="3:10">
      <c r="C194" s="129"/>
      <c r="D194" s="129"/>
      <c r="E194" s="129"/>
      <c r="F194" s="129"/>
      <c r="G194" s="129"/>
      <c r="H194" s="129"/>
      <c r="I194" s="129"/>
      <c r="J194" s="129"/>
    </row>
    <row r="195" spans="3:10">
      <c r="C195" s="129"/>
      <c r="D195" s="129"/>
      <c r="E195" s="129"/>
      <c r="F195" s="129"/>
      <c r="G195" s="129"/>
      <c r="H195" s="129"/>
      <c r="I195" s="129"/>
      <c r="J195" s="129"/>
    </row>
    <row r="196" spans="3:10">
      <c r="C196" s="129"/>
      <c r="D196" s="129"/>
      <c r="E196" s="129"/>
      <c r="F196" s="129"/>
      <c r="G196" s="129"/>
      <c r="H196" s="129"/>
      <c r="I196" s="129"/>
      <c r="J196" s="129"/>
    </row>
    <row r="197" spans="3:10">
      <c r="C197" s="129"/>
      <c r="D197" s="129"/>
      <c r="E197" s="129"/>
      <c r="F197" s="129"/>
      <c r="G197" s="129"/>
      <c r="H197" s="129"/>
      <c r="I197" s="129"/>
      <c r="J197" s="129"/>
    </row>
    <row r="198" spans="3:10">
      <c r="C198" s="129"/>
      <c r="D198" s="129"/>
      <c r="E198" s="129"/>
      <c r="F198" s="129"/>
      <c r="G198" s="129"/>
      <c r="H198" s="129"/>
      <c r="I198" s="129"/>
      <c r="J198" s="129"/>
    </row>
    <row r="199" spans="3:10">
      <c r="C199" s="129"/>
      <c r="D199" s="129"/>
      <c r="E199" s="129"/>
      <c r="F199" s="129"/>
      <c r="G199" s="129"/>
      <c r="H199" s="129"/>
      <c r="I199" s="129"/>
      <c r="J199" s="129"/>
    </row>
    <row r="200" spans="3:10">
      <c r="C200" s="129"/>
      <c r="D200" s="129"/>
      <c r="E200" s="129"/>
      <c r="F200" s="129"/>
      <c r="G200" s="129"/>
      <c r="H200" s="129"/>
      <c r="I200" s="129"/>
      <c r="J200" s="129"/>
    </row>
    <row r="201" spans="3:10">
      <c r="C201" s="129"/>
      <c r="D201" s="129"/>
      <c r="E201" s="129"/>
      <c r="F201" s="129"/>
      <c r="G201" s="129"/>
      <c r="H201" s="129"/>
      <c r="I201" s="129"/>
      <c r="J201" s="129"/>
    </row>
    <row r="202" spans="3:10">
      <c r="C202" s="129"/>
      <c r="D202" s="129"/>
      <c r="E202" s="129"/>
      <c r="F202" s="129"/>
      <c r="G202" s="129"/>
      <c r="H202" s="129"/>
      <c r="I202" s="129"/>
      <c r="J202" s="129"/>
    </row>
    <row r="203" spans="3:10">
      <c r="C203" s="129"/>
      <c r="D203" s="129"/>
      <c r="E203" s="129"/>
      <c r="F203" s="129"/>
      <c r="G203" s="129"/>
      <c r="H203" s="129"/>
      <c r="I203" s="129"/>
      <c r="J203" s="129"/>
    </row>
    <row r="204" spans="3:10">
      <c r="C204" s="129"/>
      <c r="D204" s="129"/>
      <c r="E204" s="129"/>
      <c r="F204" s="129"/>
      <c r="G204" s="129"/>
      <c r="H204" s="129"/>
      <c r="I204" s="129"/>
      <c r="J204" s="129"/>
    </row>
    <row r="205" spans="3:10">
      <c r="C205" s="129"/>
      <c r="D205" s="129"/>
      <c r="E205" s="129"/>
      <c r="F205" s="129"/>
      <c r="G205" s="129"/>
      <c r="H205" s="129"/>
      <c r="I205" s="129"/>
      <c r="J205" s="129"/>
    </row>
    <row r="206" spans="3:10">
      <c r="C206" s="129"/>
      <c r="D206" s="129"/>
      <c r="E206" s="129"/>
      <c r="F206" s="129"/>
      <c r="G206" s="129"/>
      <c r="H206" s="129"/>
      <c r="I206" s="129"/>
      <c r="J206" s="129"/>
    </row>
    <row r="207" spans="3:10">
      <c r="C207" s="129"/>
      <c r="D207" s="129"/>
      <c r="E207" s="129"/>
      <c r="F207" s="129"/>
      <c r="G207" s="129"/>
      <c r="H207" s="129"/>
      <c r="I207" s="129"/>
      <c r="J207" s="129"/>
    </row>
    <row r="208" spans="3:10">
      <c r="C208" s="129"/>
      <c r="D208" s="129"/>
      <c r="E208" s="129"/>
      <c r="F208" s="129"/>
      <c r="G208" s="129"/>
      <c r="H208" s="129"/>
      <c r="I208" s="129"/>
      <c r="J208" s="129"/>
    </row>
    <row r="209" spans="3:10">
      <c r="C209" s="129"/>
      <c r="D209" s="129"/>
      <c r="E209" s="129"/>
      <c r="F209" s="129"/>
      <c r="G209" s="129"/>
      <c r="H209" s="129"/>
      <c r="I209" s="129"/>
      <c r="J209" s="129"/>
    </row>
    <row r="210" spans="3:10">
      <c r="C210" s="129"/>
      <c r="D210" s="129"/>
      <c r="E210" s="129"/>
      <c r="F210" s="129"/>
      <c r="G210" s="129"/>
      <c r="H210" s="129"/>
      <c r="I210" s="129"/>
      <c r="J210" s="129"/>
    </row>
    <row r="211" spans="3:10">
      <c r="C211" s="129"/>
      <c r="D211" s="129"/>
      <c r="E211" s="129"/>
      <c r="F211" s="129"/>
      <c r="G211" s="129"/>
      <c r="H211" s="129"/>
      <c r="I211" s="129"/>
      <c r="J211" s="129"/>
    </row>
    <row r="212" spans="3:10">
      <c r="C212" s="129"/>
      <c r="D212" s="129"/>
      <c r="E212" s="129"/>
      <c r="F212" s="129"/>
      <c r="G212" s="129"/>
      <c r="H212" s="129"/>
      <c r="I212" s="129"/>
      <c r="J212" s="129"/>
    </row>
    <row r="213" spans="3:10">
      <c r="C213" s="129"/>
      <c r="D213" s="129"/>
      <c r="E213" s="129"/>
      <c r="F213" s="129"/>
      <c r="G213" s="129"/>
      <c r="H213" s="129"/>
      <c r="I213" s="129"/>
      <c r="J213" s="129"/>
    </row>
    <row r="214" spans="3:10">
      <c r="C214" s="129"/>
      <c r="D214" s="129"/>
      <c r="E214" s="129"/>
      <c r="F214" s="129"/>
      <c r="G214" s="129"/>
      <c r="H214" s="129"/>
      <c r="I214" s="129"/>
      <c r="J214" s="129"/>
    </row>
    <row r="215" spans="3:10">
      <c r="C215" s="129"/>
      <c r="D215" s="129"/>
      <c r="E215" s="129"/>
      <c r="F215" s="129"/>
      <c r="G215" s="129"/>
      <c r="H215" s="129"/>
      <c r="I215" s="129"/>
      <c r="J215" s="129"/>
    </row>
    <row r="216" spans="3:10">
      <c r="C216" s="129"/>
      <c r="D216" s="129"/>
      <c r="E216" s="129"/>
      <c r="F216" s="129"/>
      <c r="G216" s="129"/>
      <c r="H216" s="129"/>
      <c r="I216" s="129"/>
      <c r="J216" s="129"/>
    </row>
    <row r="217" spans="3:10">
      <c r="C217" s="129"/>
      <c r="D217" s="129"/>
      <c r="E217" s="129"/>
      <c r="F217" s="129"/>
      <c r="G217" s="129"/>
      <c r="H217" s="129"/>
      <c r="I217" s="129"/>
      <c r="J217" s="129"/>
    </row>
    <row r="218" spans="3:10">
      <c r="C218" s="129"/>
      <c r="D218" s="129"/>
      <c r="E218" s="129"/>
      <c r="F218" s="129"/>
      <c r="G218" s="129"/>
      <c r="H218" s="129"/>
      <c r="I218" s="129"/>
      <c r="J218" s="129"/>
    </row>
    <row r="219" spans="3:10">
      <c r="C219" s="129"/>
      <c r="D219" s="129"/>
      <c r="E219" s="129"/>
      <c r="F219" s="129"/>
      <c r="G219" s="129"/>
      <c r="H219" s="129"/>
      <c r="I219" s="129"/>
      <c r="J219" s="129"/>
    </row>
    <row r="220" spans="3:10">
      <c r="C220" s="129"/>
      <c r="D220" s="129"/>
      <c r="E220" s="129"/>
      <c r="F220" s="129"/>
      <c r="G220" s="129"/>
      <c r="H220" s="129"/>
      <c r="I220" s="129"/>
      <c r="J220" s="129"/>
    </row>
    <row r="221" spans="3:10">
      <c r="C221" s="129"/>
      <c r="D221" s="129"/>
      <c r="E221" s="129"/>
      <c r="F221" s="129"/>
      <c r="G221" s="129"/>
      <c r="H221" s="129"/>
      <c r="I221" s="129"/>
      <c r="J221" s="129"/>
    </row>
    <row r="222" spans="3:10">
      <c r="C222" s="129"/>
      <c r="D222" s="129"/>
      <c r="E222" s="129"/>
      <c r="F222" s="129"/>
      <c r="G222" s="129"/>
      <c r="H222" s="129"/>
      <c r="I222" s="129"/>
      <c r="J222" s="129"/>
    </row>
    <row r="223" spans="3:10">
      <c r="C223" s="129"/>
      <c r="D223" s="129"/>
      <c r="E223" s="129"/>
      <c r="F223" s="129"/>
      <c r="G223" s="129"/>
      <c r="H223" s="129"/>
      <c r="I223" s="129"/>
      <c r="J223" s="129"/>
    </row>
    <row r="224" spans="3:10">
      <c r="C224" s="129"/>
      <c r="D224" s="129"/>
      <c r="E224" s="129"/>
      <c r="F224" s="129"/>
      <c r="G224" s="129"/>
      <c r="H224" s="129"/>
      <c r="I224" s="129"/>
      <c r="J224" s="129"/>
    </row>
    <row r="225" spans="3:10">
      <c r="C225" s="129"/>
      <c r="D225" s="129"/>
      <c r="E225" s="129"/>
      <c r="F225" s="129"/>
      <c r="G225" s="129"/>
      <c r="H225" s="129"/>
      <c r="I225" s="129"/>
      <c r="J225" s="129"/>
    </row>
    <row r="226" spans="3:10">
      <c r="C226" s="129"/>
      <c r="D226" s="129"/>
      <c r="E226" s="129"/>
      <c r="F226" s="129"/>
      <c r="G226" s="129"/>
      <c r="H226" s="129"/>
      <c r="I226" s="129"/>
      <c r="J226" s="129"/>
    </row>
    <row r="227" spans="3:10">
      <c r="C227" s="129"/>
      <c r="D227" s="129"/>
      <c r="E227" s="129"/>
      <c r="F227" s="129"/>
      <c r="G227" s="129"/>
      <c r="H227" s="129"/>
      <c r="I227" s="129"/>
      <c r="J227" s="129"/>
    </row>
    <row r="228" spans="3:10">
      <c r="C228" s="129"/>
      <c r="D228" s="129"/>
      <c r="E228" s="129"/>
      <c r="F228" s="129"/>
      <c r="G228" s="129"/>
      <c r="H228" s="129"/>
      <c r="I228" s="129"/>
      <c r="J228" s="129"/>
    </row>
    <row r="229" spans="3:10">
      <c r="C229" s="129"/>
      <c r="D229" s="129"/>
      <c r="E229" s="129"/>
      <c r="F229" s="129"/>
      <c r="G229" s="129"/>
      <c r="H229" s="129"/>
      <c r="I229" s="129"/>
      <c r="J229" s="129"/>
    </row>
    <row r="230" spans="3:10">
      <c r="C230" s="129"/>
      <c r="D230" s="129"/>
      <c r="E230" s="129"/>
      <c r="F230" s="129"/>
      <c r="G230" s="129"/>
      <c r="H230" s="129"/>
      <c r="I230" s="129"/>
      <c r="J230" s="129"/>
    </row>
    <row r="231" spans="3:10">
      <c r="C231" s="129"/>
      <c r="D231" s="129"/>
      <c r="E231" s="129"/>
      <c r="F231" s="129"/>
      <c r="G231" s="129"/>
      <c r="H231" s="129"/>
      <c r="I231" s="129"/>
      <c r="J231" s="129"/>
    </row>
    <row r="232" spans="3:10">
      <c r="C232" s="129"/>
      <c r="D232" s="129"/>
      <c r="E232" s="129"/>
      <c r="F232" s="129"/>
      <c r="G232" s="129"/>
      <c r="H232" s="129"/>
      <c r="I232" s="129"/>
      <c r="J232" s="129"/>
    </row>
    <row r="233" spans="3:10">
      <c r="C233" s="129"/>
      <c r="D233" s="129"/>
      <c r="E233" s="129"/>
      <c r="F233" s="129"/>
      <c r="G233" s="129"/>
      <c r="H233" s="129"/>
      <c r="I233" s="129"/>
      <c r="J233" s="129"/>
    </row>
    <row r="234" spans="3:10">
      <c r="C234" s="129"/>
      <c r="D234" s="129"/>
      <c r="E234" s="129"/>
      <c r="F234" s="129"/>
      <c r="G234" s="129"/>
      <c r="H234" s="129"/>
      <c r="I234" s="129"/>
      <c r="J234" s="129"/>
    </row>
    <row r="235" spans="3:10">
      <c r="C235" s="129"/>
      <c r="D235" s="129"/>
      <c r="E235" s="129"/>
      <c r="F235" s="129"/>
      <c r="G235" s="129"/>
      <c r="H235" s="129"/>
      <c r="I235" s="129"/>
      <c r="J235" s="129"/>
    </row>
    <row r="236" spans="3:10">
      <c r="C236" s="129"/>
      <c r="D236" s="129"/>
      <c r="E236" s="129"/>
      <c r="F236" s="129"/>
      <c r="G236" s="129"/>
      <c r="H236" s="129"/>
      <c r="I236" s="129"/>
      <c r="J236" s="129"/>
    </row>
    <row r="237" spans="3:10">
      <c r="C237" s="129"/>
      <c r="D237" s="129"/>
      <c r="E237" s="129"/>
      <c r="F237" s="129"/>
      <c r="G237" s="129"/>
      <c r="H237" s="129"/>
      <c r="I237" s="129"/>
      <c r="J237" s="129"/>
    </row>
    <row r="238" spans="3:10">
      <c r="C238" s="129"/>
      <c r="D238" s="129"/>
      <c r="E238" s="129"/>
      <c r="F238" s="129"/>
      <c r="G238" s="129"/>
      <c r="H238" s="129"/>
      <c r="I238" s="129"/>
      <c r="J238" s="129"/>
    </row>
    <row r="239" spans="3:10">
      <c r="C239" s="129"/>
      <c r="D239" s="129"/>
      <c r="E239" s="129"/>
      <c r="F239" s="129"/>
      <c r="G239" s="129"/>
      <c r="H239" s="129"/>
      <c r="I239" s="129"/>
      <c r="J239" s="129"/>
    </row>
    <row r="240" spans="3:10">
      <c r="C240" s="129"/>
      <c r="D240" s="129"/>
      <c r="E240" s="129"/>
      <c r="F240" s="129"/>
      <c r="G240" s="129"/>
      <c r="H240" s="129"/>
      <c r="I240" s="129"/>
      <c r="J240" s="129"/>
    </row>
    <row r="241" spans="3:10">
      <c r="C241" s="129"/>
      <c r="D241" s="129"/>
      <c r="E241" s="129"/>
      <c r="F241" s="129"/>
      <c r="G241" s="129"/>
      <c r="H241" s="129"/>
      <c r="I241" s="129"/>
      <c r="J241" s="129"/>
    </row>
    <row r="242" spans="3:10">
      <c r="C242" s="129"/>
      <c r="D242" s="129"/>
      <c r="E242" s="129"/>
      <c r="F242" s="129"/>
      <c r="G242" s="129"/>
      <c r="H242" s="129"/>
      <c r="I242" s="129"/>
      <c r="J242" s="129"/>
    </row>
    <row r="243" spans="3:10">
      <c r="C243" s="129"/>
      <c r="D243" s="129"/>
      <c r="E243" s="129"/>
      <c r="F243" s="129"/>
      <c r="G243" s="129"/>
      <c r="H243" s="129"/>
      <c r="I243" s="129"/>
      <c r="J243" s="129"/>
    </row>
    <row r="244" spans="3:10">
      <c r="C244" s="129"/>
      <c r="D244" s="129"/>
      <c r="E244" s="129"/>
      <c r="F244" s="129"/>
      <c r="G244" s="129"/>
      <c r="H244" s="129"/>
      <c r="I244" s="129"/>
      <c r="J244" s="129"/>
    </row>
    <row r="245" spans="3:10">
      <c r="C245" s="129"/>
      <c r="D245" s="129"/>
      <c r="E245" s="129"/>
      <c r="F245" s="129"/>
      <c r="G245" s="129"/>
      <c r="H245" s="129"/>
      <c r="I245" s="129"/>
      <c r="J245" s="129"/>
    </row>
    <row r="246" spans="3:10">
      <c r="C246" s="129"/>
      <c r="D246" s="129"/>
      <c r="E246" s="129"/>
      <c r="F246" s="129"/>
      <c r="G246" s="129"/>
      <c r="H246" s="129"/>
      <c r="I246" s="129"/>
      <c r="J246" s="129"/>
    </row>
    <row r="247" spans="3:10">
      <c r="C247" s="129"/>
      <c r="D247" s="129"/>
      <c r="E247" s="129"/>
      <c r="F247" s="129"/>
      <c r="G247" s="129"/>
      <c r="H247" s="129"/>
      <c r="I247" s="129"/>
      <c r="J247" s="129"/>
    </row>
    <row r="248" spans="3:10">
      <c r="C248" s="129"/>
      <c r="D248" s="129"/>
      <c r="E248" s="129"/>
      <c r="F248" s="129"/>
      <c r="G248" s="129"/>
      <c r="H248" s="129"/>
      <c r="I248" s="129"/>
      <c r="J248" s="129"/>
    </row>
    <row r="249" spans="3:10">
      <c r="C249" s="129"/>
      <c r="D249" s="129"/>
      <c r="E249" s="129"/>
      <c r="F249" s="129"/>
      <c r="G249" s="129"/>
      <c r="H249" s="129"/>
      <c r="I249" s="129"/>
      <c r="J249" s="129"/>
    </row>
    <row r="250" spans="3:10">
      <c r="C250" s="129"/>
      <c r="D250" s="129"/>
      <c r="E250" s="129"/>
      <c r="F250" s="129"/>
      <c r="G250" s="129"/>
      <c r="H250" s="129"/>
      <c r="I250" s="129"/>
      <c r="J250" s="129"/>
    </row>
    <row r="251" spans="3:10">
      <c r="C251" s="129"/>
      <c r="D251" s="129"/>
      <c r="E251" s="129"/>
      <c r="F251" s="129"/>
      <c r="G251" s="129"/>
      <c r="H251" s="129"/>
      <c r="I251" s="129"/>
      <c r="J251" s="129"/>
    </row>
    <row r="252" spans="3:10">
      <c r="C252" s="129"/>
      <c r="D252" s="129"/>
      <c r="E252" s="129"/>
      <c r="F252" s="129"/>
      <c r="G252" s="129"/>
      <c r="H252" s="129"/>
      <c r="I252" s="129"/>
      <c r="J252" s="129"/>
    </row>
    <row r="253" spans="3:10">
      <c r="C253" s="129"/>
      <c r="D253" s="129"/>
      <c r="E253" s="129"/>
      <c r="F253" s="129"/>
      <c r="G253" s="129"/>
      <c r="H253" s="129"/>
      <c r="I253" s="129"/>
      <c r="J253" s="129"/>
    </row>
    <row r="254" spans="3:10">
      <c r="C254" s="129"/>
      <c r="D254" s="129"/>
      <c r="E254" s="129"/>
      <c r="F254" s="129"/>
      <c r="G254" s="129"/>
      <c r="H254" s="129"/>
      <c r="I254" s="129"/>
      <c r="J254" s="129"/>
    </row>
    <row r="255" spans="3:10">
      <c r="C255" s="129"/>
      <c r="D255" s="129"/>
      <c r="E255" s="129"/>
      <c r="F255" s="129"/>
      <c r="G255" s="129"/>
      <c r="H255" s="129"/>
      <c r="I255" s="129"/>
      <c r="J255" s="129"/>
    </row>
    <row r="256" spans="3:10">
      <c r="C256" s="129"/>
      <c r="D256" s="129"/>
      <c r="E256" s="129"/>
      <c r="F256" s="129"/>
      <c r="G256" s="129"/>
      <c r="H256" s="129"/>
      <c r="I256" s="129"/>
      <c r="J256" s="129"/>
    </row>
    <row r="257" spans="3:10">
      <c r="C257" s="129"/>
      <c r="D257" s="129"/>
      <c r="E257" s="129"/>
      <c r="F257" s="129"/>
      <c r="G257" s="129"/>
      <c r="H257" s="129"/>
      <c r="I257" s="129"/>
      <c r="J257" s="129"/>
    </row>
    <row r="258" spans="3:10">
      <c r="C258" s="129"/>
      <c r="D258" s="129"/>
      <c r="E258" s="129"/>
      <c r="F258" s="129"/>
      <c r="G258" s="129"/>
      <c r="H258" s="129"/>
      <c r="I258" s="129"/>
      <c r="J258" s="129"/>
    </row>
    <row r="259" spans="3:10">
      <c r="C259" s="129"/>
      <c r="D259" s="129"/>
      <c r="E259" s="129"/>
      <c r="F259" s="129"/>
      <c r="G259" s="129"/>
      <c r="H259" s="129"/>
      <c r="I259" s="129"/>
      <c r="J259" s="129"/>
    </row>
    <row r="260" spans="3:10">
      <c r="C260" s="129"/>
      <c r="D260" s="129"/>
      <c r="E260" s="129"/>
      <c r="F260" s="129"/>
      <c r="G260" s="129"/>
      <c r="H260" s="129"/>
      <c r="I260" s="129"/>
      <c r="J260" s="129"/>
    </row>
    <row r="261" spans="3:10">
      <c r="C261" s="129"/>
      <c r="D261" s="129"/>
      <c r="E261" s="129"/>
      <c r="F261" s="129"/>
      <c r="G261" s="129"/>
      <c r="H261" s="129"/>
      <c r="I261" s="129"/>
      <c r="J261" s="129"/>
    </row>
    <row r="262" spans="3:10">
      <c r="C262" s="129"/>
      <c r="D262" s="129"/>
      <c r="E262" s="129"/>
      <c r="F262" s="129"/>
      <c r="G262" s="129"/>
      <c r="H262" s="129"/>
      <c r="I262" s="129"/>
      <c r="J262" s="129"/>
    </row>
    <row r="263" spans="3:10">
      <c r="C263" s="129"/>
      <c r="D263" s="129"/>
      <c r="E263" s="129"/>
      <c r="F263" s="129"/>
      <c r="G263" s="129"/>
      <c r="H263" s="129"/>
      <c r="I263" s="129"/>
      <c r="J263" s="129"/>
    </row>
    <row r="264" spans="3:10">
      <c r="C264" s="129"/>
      <c r="D264" s="129"/>
      <c r="E264" s="129"/>
      <c r="F264" s="129"/>
      <c r="G264" s="129"/>
      <c r="H264" s="129"/>
      <c r="I264" s="129"/>
      <c r="J264" s="129"/>
    </row>
    <row r="265" spans="3:10">
      <c r="C265" s="129"/>
      <c r="D265" s="129"/>
      <c r="E265" s="129"/>
      <c r="F265" s="129"/>
      <c r="G265" s="129"/>
      <c r="H265" s="129"/>
      <c r="I265" s="129"/>
      <c r="J265" s="129"/>
    </row>
    <row r="266" spans="3:10">
      <c r="C266" s="129"/>
      <c r="D266" s="129"/>
      <c r="E266" s="129"/>
      <c r="F266" s="129"/>
      <c r="G266" s="129"/>
      <c r="H266" s="129"/>
      <c r="I266" s="129"/>
      <c r="J266" s="129"/>
    </row>
    <row r="267" spans="3:10">
      <c r="C267" s="129"/>
      <c r="D267" s="129"/>
      <c r="E267" s="129"/>
      <c r="F267" s="129"/>
      <c r="G267" s="129"/>
      <c r="H267" s="129"/>
      <c r="I267" s="129"/>
      <c r="J267" s="129"/>
    </row>
    <row r="268" spans="3:10">
      <c r="C268" s="129"/>
      <c r="D268" s="129"/>
      <c r="E268" s="129"/>
      <c r="F268" s="129"/>
      <c r="G268" s="129"/>
      <c r="H268" s="129"/>
      <c r="I268" s="129"/>
      <c r="J268" s="129"/>
    </row>
    <row r="269" spans="3:10">
      <c r="C269" s="129"/>
      <c r="D269" s="129"/>
      <c r="E269" s="129"/>
      <c r="F269" s="129"/>
      <c r="G269" s="129"/>
      <c r="H269" s="129"/>
      <c r="I269" s="129"/>
      <c r="J269" s="129"/>
    </row>
    <row r="270" spans="3:10">
      <c r="C270" s="129"/>
      <c r="D270" s="129"/>
      <c r="E270" s="129"/>
      <c r="F270" s="129"/>
      <c r="G270" s="129"/>
      <c r="H270" s="129"/>
      <c r="I270" s="129"/>
      <c r="J270" s="129"/>
    </row>
    <row r="271" spans="3:10">
      <c r="C271" s="129"/>
      <c r="D271" s="129"/>
      <c r="E271" s="129"/>
      <c r="F271" s="129"/>
      <c r="G271" s="129"/>
      <c r="H271" s="129"/>
      <c r="I271" s="129"/>
      <c r="J271" s="129"/>
    </row>
    <row r="272" spans="3:10">
      <c r="C272" s="129"/>
      <c r="D272" s="129"/>
      <c r="E272" s="129"/>
      <c r="F272" s="129"/>
      <c r="G272" s="129"/>
      <c r="H272" s="129"/>
      <c r="I272" s="129"/>
      <c r="J272" s="129"/>
    </row>
    <row r="273" spans="3:10">
      <c r="C273" s="129"/>
      <c r="D273" s="129"/>
      <c r="E273" s="129"/>
      <c r="F273" s="129"/>
      <c r="G273" s="129"/>
      <c r="H273" s="129"/>
      <c r="I273" s="129"/>
      <c r="J273" s="129"/>
    </row>
    <row r="274" spans="3:10">
      <c r="C274" s="129"/>
      <c r="D274" s="129"/>
      <c r="E274" s="129"/>
      <c r="F274" s="129"/>
      <c r="G274" s="129"/>
      <c r="H274" s="129"/>
      <c r="I274" s="129"/>
      <c r="J274" s="129"/>
    </row>
    <row r="275" spans="3:10">
      <c r="C275" s="129"/>
      <c r="D275" s="129"/>
      <c r="E275" s="129"/>
      <c r="F275" s="129"/>
      <c r="G275" s="129"/>
      <c r="H275" s="129"/>
      <c r="I275" s="129"/>
      <c r="J275" s="129"/>
    </row>
    <row r="276" spans="3:10">
      <c r="C276" s="129"/>
      <c r="D276" s="129"/>
      <c r="E276" s="129"/>
      <c r="F276" s="129"/>
      <c r="G276" s="129"/>
      <c r="H276" s="129"/>
      <c r="I276" s="129"/>
      <c r="J276" s="129"/>
    </row>
    <row r="277" spans="3:10">
      <c r="C277" s="129"/>
      <c r="D277" s="129"/>
      <c r="E277" s="129"/>
      <c r="F277" s="129"/>
      <c r="G277" s="129"/>
      <c r="H277" s="129"/>
      <c r="I277" s="129"/>
      <c r="J277" s="129"/>
    </row>
    <row r="278" spans="3:10">
      <c r="C278" s="129"/>
      <c r="D278" s="129"/>
      <c r="E278" s="129"/>
      <c r="F278" s="129"/>
      <c r="G278" s="129"/>
      <c r="H278" s="129"/>
      <c r="I278" s="129"/>
      <c r="J278" s="129"/>
    </row>
    <row r="279" spans="3:10">
      <c r="C279" s="129"/>
      <c r="D279" s="129"/>
      <c r="E279" s="129"/>
      <c r="F279" s="129"/>
      <c r="G279" s="129"/>
      <c r="H279" s="129"/>
      <c r="I279" s="129"/>
      <c r="J279" s="129"/>
    </row>
    <row r="280" spans="3:10">
      <c r="C280" s="129"/>
      <c r="D280" s="129"/>
      <c r="E280" s="129"/>
      <c r="F280" s="129"/>
      <c r="G280" s="129"/>
      <c r="H280" s="129"/>
      <c r="I280" s="129"/>
      <c r="J280" s="129"/>
    </row>
    <row r="281" spans="3:10">
      <c r="C281" s="129"/>
      <c r="D281" s="129"/>
      <c r="E281" s="129"/>
      <c r="F281" s="129"/>
      <c r="G281" s="129"/>
      <c r="H281" s="129"/>
      <c r="I281" s="129"/>
      <c r="J281" s="129"/>
    </row>
    <row r="282" spans="3:10">
      <c r="C282" s="129"/>
      <c r="D282" s="129"/>
      <c r="E282" s="129"/>
      <c r="F282" s="129"/>
      <c r="G282" s="129"/>
      <c r="H282" s="129"/>
      <c r="I282" s="129"/>
      <c r="J282" s="129"/>
    </row>
    <row r="283" spans="3:10">
      <c r="C283" s="129"/>
      <c r="D283" s="129"/>
      <c r="E283" s="129"/>
      <c r="F283" s="129"/>
      <c r="G283" s="129"/>
      <c r="H283" s="129"/>
      <c r="I283" s="129"/>
      <c r="J283" s="129"/>
    </row>
    <row r="284" spans="3:10">
      <c r="C284" s="129"/>
      <c r="D284" s="129"/>
      <c r="E284" s="129"/>
      <c r="F284" s="129"/>
      <c r="G284" s="129"/>
      <c r="H284" s="129"/>
      <c r="I284" s="129"/>
      <c r="J284" s="129"/>
    </row>
    <row r="285" spans="3:10">
      <c r="C285" s="129"/>
      <c r="D285" s="129"/>
      <c r="E285" s="129"/>
      <c r="F285" s="129"/>
      <c r="G285" s="129"/>
      <c r="H285" s="129"/>
      <c r="I285" s="129"/>
      <c r="J285" s="129"/>
    </row>
    <row r="286" spans="3:10">
      <c r="C286" s="129"/>
      <c r="D286" s="129"/>
      <c r="E286" s="129"/>
      <c r="F286" s="129"/>
      <c r="G286" s="129"/>
      <c r="H286" s="129"/>
      <c r="I286" s="129"/>
      <c r="J286" s="129"/>
    </row>
    <row r="287" spans="3:10">
      <c r="C287" s="129"/>
      <c r="D287" s="129"/>
      <c r="E287" s="129"/>
      <c r="F287" s="129"/>
      <c r="G287" s="129"/>
      <c r="H287" s="129"/>
      <c r="I287" s="129"/>
      <c r="J287" s="129"/>
    </row>
    <row r="288" spans="3:10">
      <c r="C288" s="129"/>
      <c r="D288" s="129"/>
      <c r="E288" s="129"/>
      <c r="F288" s="129"/>
      <c r="G288" s="129"/>
      <c r="H288" s="129"/>
      <c r="I288" s="129"/>
      <c r="J288" s="129"/>
    </row>
    <row r="289" spans="3:10">
      <c r="C289" s="129"/>
      <c r="D289" s="129"/>
      <c r="E289" s="129"/>
      <c r="F289" s="129"/>
      <c r="G289" s="129"/>
      <c r="H289" s="129"/>
      <c r="I289" s="129"/>
      <c r="J289" s="129"/>
    </row>
    <row r="290" spans="3:10">
      <c r="C290" s="129"/>
      <c r="D290" s="129"/>
      <c r="E290" s="129"/>
      <c r="F290" s="129"/>
      <c r="G290" s="129"/>
      <c r="H290" s="129"/>
      <c r="I290" s="129"/>
      <c r="J290" s="129"/>
    </row>
    <row r="291" spans="3:10">
      <c r="C291" s="129"/>
      <c r="D291" s="129"/>
      <c r="E291" s="129"/>
      <c r="F291" s="129"/>
      <c r="G291" s="129"/>
      <c r="H291" s="129"/>
      <c r="I291" s="129"/>
      <c r="J291" s="129"/>
    </row>
    <row r="292" spans="3:10">
      <c r="C292" s="129"/>
      <c r="D292" s="129"/>
      <c r="E292" s="129"/>
      <c r="F292" s="129"/>
      <c r="G292" s="129"/>
      <c r="H292" s="129"/>
      <c r="I292" s="129"/>
      <c r="J292" s="129"/>
    </row>
    <row r="293" spans="3:10">
      <c r="C293" s="129"/>
      <c r="D293" s="129"/>
      <c r="E293" s="129"/>
      <c r="F293" s="129"/>
      <c r="G293" s="129"/>
      <c r="H293" s="129"/>
      <c r="I293" s="129"/>
      <c r="J293" s="129"/>
    </row>
    <row r="294" spans="3:10">
      <c r="C294" s="129"/>
      <c r="D294" s="129"/>
      <c r="E294" s="129"/>
      <c r="F294" s="129"/>
      <c r="G294" s="129"/>
      <c r="H294" s="129"/>
      <c r="I294" s="129"/>
      <c r="J294" s="129"/>
    </row>
    <row r="295" spans="3:10">
      <c r="C295" s="129"/>
      <c r="D295" s="129"/>
      <c r="E295" s="129"/>
      <c r="F295" s="129"/>
      <c r="G295" s="129"/>
      <c r="H295" s="129"/>
      <c r="I295" s="129"/>
      <c r="J295" s="129"/>
    </row>
    <row r="296" spans="3:10">
      <c r="C296" s="129"/>
      <c r="D296" s="129"/>
      <c r="E296" s="129"/>
      <c r="F296" s="129"/>
      <c r="G296" s="129"/>
      <c r="H296" s="129"/>
      <c r="I296" s="129"/>
      <c r="J296" s="129"/>
    </row>
    <row r="297" spans="3:10">
      <c r="C297" s="129"/>
      <c r="D297" s="129"/>
      <c r="E297" s="129"/>
      <c r="F297" s="129"/>
      <c r="G297" s="129"/>
      <c r="H297" s="129"/>
      <c r="I297" s="129"/>
      <c r="J297" s="129"/>
    </row>
    <row r="298" spans="3:10">
      <c r="C298" s="129"/>
      <c r="D298" s="129"/>
      <c r="E298" s="129"/>
      <c r="F298" s="129"/>
      <c r="G298" s="129"/>
      <c r="H298" s="129"/>
      <c r="I298" s="129"/>
      <c r="J298" s="129"/>
    </row>
  </sheetData>
  <mergeCells count="8">
    <mergeCell ref="M100:X100"/>
    <mergeCell ref="M99:X99"/>
    <mergeCell ref="M93:X93"/>
    <mergeCell ref="M94:X94"/>
    <mergeCell ref="M95:X95"/>
    <mergeCell ref="M96:X96"/>
    <mergeCell ref="M97:X97"/>
    <mergeCell ref="M98:X98"/>
  </mergeCells>
  <printOptions horizontalCentered="1"/>
  <pageMargins left="0.75" right="0.75" top="0.75" bottom="0.5" header="0.5" footer="0.5"/>
  <pageSetup scale="59" orientation="portrait" horizontalDpi="300" verticalDpi="300" r:id="rId1"/>
  <headerFooter alignWithMargins="0"/>
  <rowBreaks count="1" manualBreakCount="1">
    <brk id="48" min="10" max="2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D94EB-E801-475F-8823-57B576C4A476}">
  <sheetPr codeName="Sheet40">
    <tabColor rgb="FFFF3300"/>
    <pageSetUpPr fitToPage="1"/>
  </sheetPr>
  <dimension ref="A1:AB298"/>
  <sheetViews>
    <sheetView view="pageBreakPreview" topLeftCell="K49" zoomScale="80" zoomScaleNormal="80" zoomScaleSheetLayoutView="80" workbookViewId="0"/>
  </sheetViews>
  <sheetFormatPr defaultRowHeight="15"/>
  <cols>
    <col min="1" max="1" width="6" customWidth="1"/>
    <col min="2" max="2" width="1.44140625" customWidth="1"/>
    <col min="3" max="3" width="52.21875" customWidth="1"/>
    <col min="4" max="4" width="1.109375" customWidth="1"/>
    <col min="5" max="5" width="37.109375" customWidth="1"/>
    <col min="6" max="6" width="1.21875" customWidth="1"/>
    <col min="7" max="7" width="14.109375" customWidth="1"/>
    <col min="8" max="8" width="0.77734375" customWidth="1"/>
    <col min="9" max="9" width="12.77734375" customWidth="1"/>
    <col min="10" max="10" width="3.77734375" customWidth="1"/>
    <col min="11" max="11" width="5.21875" customWidth="1"/>
    <col min="12" max="12" width="1.77734375" customWidth="1"/>
    <col min="13" max="13" width="19.21875" customWidth="1"/>
    <col min="15" max="15" width="13.77734375" customWidth="1"/>
    <col min="16" max="16" width="13.109375" customWidth="1"/>
    <col min="17" max="17" width="13.77734375" customWidth="1"/>
    <col min="18" max="18" width="12.44140625" customWidth="1"/>
    <col min="19" max="19" width="14.77734375" customWidth="1"/>
    <col min="20" max="20" width="13.21875" customWidth="1"/>
    <col min="21" max="21" width="12.77734375" customWidth="1"/>
    <col min="22" max="22" width="17.44140625" customWidth="1"/>
    <col min="23" max="23" width="12" customWidth="1"/>
    <col min="24" max="24" width="16.21875" customWidth="1"/>
    <col min="246" max="246" width="6" customWidth="1"/>
    <col min="247" max="247" width="1.44140625" customWidth="1"/>
    <col min="248" max="248" width="39.109375" customWidth="1"/>
    <col min="249" max="249" width="12" customWidth="1"/>
    <col min="250" max="250" width="14.44140625" customWidth="1"/>
    <col min="251" max="251" width="11.77734375" customWidth="1"/>
    <col min="252" max="252" width="14.109375" customWidth="1"/>
    <col min="253" max="253" width="13.77734375" customWidth="1"/>
    <col min="254" max="255" width="12.77734375" customWidth="1"/>
    <col min="256" max="256" width="13.5546875" customWidth="1"/>
    <col min="257" max="257" width="15.21875" customWidth="1"/>
    <col min="258" max="258" width="12.77734375" customWidth="1"/>
    <col min="259" max="259" width="13.77734375" customWidth="1"/>
    <col min="260" max="260" width="1.77734375" customWidth="1"/>
    <col min="261" max="261" width="13" customWidth="1"/>
    <col min="502" max="502" width="6" customWidth="1"/>
    <col min="503" max="503" width="1.44140625" customWidth="1"/>
    <col min="504" max="504" width="39.109375" customWidth="1"/>
    <col min="505" max="505" width="12" customWidth="1"/>
    <col min="506" max="506" width="14.44140625" customWidth="1"/>
    <col min="507" max="507" width="11.77734375" customWidth="1"/>
    <col min="508" max="508" width="14.109375" customWidth="1"/>
    <col min="509" max="509" width="13.77734375" customWidth="1"/>
    <col min="510" max="511" width="12.77734375" customWidth="1"/>
    <col min="512" max="512" width="13.5546875" customWidth="1"/>
    <col min="513" max="513" width="15.21875" customWidth="1"/>
    <col min="514" max="514" width="12.77734375" customWidth="1"/>
    <col min="515" max="515" width="13.77734375" customWidth="1"/>
    <col min="516" max="516" width="1.77734375" customWidth="1"/>
    <col min="517" max="517" width="13" customWidth="1"/>
    <col min="758" max="758" width="6" customWidth="1"/>
    <col min="759" max="759" width="1.44140625" customWidth="1"/>
    <col min="760" max="760" width="39.109375" customWidth="1"/>
    <col min="761" max="761" width="12" customWidth="1"/>
    <col min="762" max="762" width="14.44140625" customWidth="1"/>
    <col min="763" max="763" width="11.77734375" customWidth="1"/>
    <col min="764" max="764" width="14.109375" customWidth="1"/>
    <col min="765" max="765" width="13.77734375" customWidth="1"/>
    <col min="766" max="767" width="12.77734375" customWidth="1"/>
    <col min="768" max="768" width="13.5546875" customWidth="1"/>
    <col min="769" max="769" width="15.21875" customWidth="1"/>
    <col min="770" max="770" width="12.77734375" customWidth="1"/>
    <col min="771" max="771" width="13.77734375" customWidth="1"/>
    <col min="772" max="772" width="1.77734375" customWidth="1"/>
    <col min="773" max="773" width="13" customWidth="1"/>
    <col min="1014" max="1014" width="6" customWidth="1"/>
    <col min="1015" max="1015" width="1.44140625" customWidth="1"/>
    <col min="1016" max="1016" width="39.109375" customWidth="1"/>
    <col min="1017" max="1017" width="12" customWidth="1"/>
    <col min="1018" max="1018" width="14.44140625" customWidth="1"/>
    <col min="1019" max="1019" width="11.77734375" customWidth="1"/>
    <col min="1020" max="1020" width="14.109375" customWidth="1"/>
    <col min="1021" max="1021" width="13.77734375" customWidth="1"/>
    <col min="1022" max="1023" width="12.77734375" customWidth="1"/>
    <col min="1024" max="1024" width="13.5546875" customWidth="1"/>
    <col min="1025" max="1025" width="15.21875" customWidth="1"/>
    <col min="1026" max="1026" width="12.77734375" customWidth="1"/>
    <col min="1027" max="1027" width="13.77734375" customWidth="1"/>
    <col min="1028" max="1028" width="1.77734375" customWidth="1"/>
    <col min="1029" max="1029" width="13" customWidth="1"/>
    <col min="1270" max="1270" width="6" customWidth="1"/>
    <col min="1271" max="1271" width="1.44140625" customWidth="1"/>
    <col min="1272" max="1272" width="39.109375" customWidth="1"/>
    <col min="1273" max="1273" width="12" customWidth="1"/>
    <col min="1274" max="1274" width="14.44140625" customWidth="1"/>
    <col min="1275" max="1275" width="11.77734375" customWidth="1"/>
    <col min="1276" max="1276" width="14.109375" customWidth="1"/>
    <col min="1277" max="1277" width="13.77734375" customWidth="1"/>
    <col min="1278" max="1279" width="12.77734375" customWidth="1"/>
    <col min="1280" max="1280" width="13.5546875" customWidth="1"/>
    <col min="1281" max="1281" width="15.21875" customWidth="1"/>
    <col min="1282" max="1282" width="12.77734375" customWidth="1"/>
    <col min="1283" max="1283" width="13.77734375" customWidth="1"/>
    <col min="1284" max="1284" width="1.77734375" customWidth="1"/>
    <col min="1285" max="1285" width="13" customWidth="1"/>
    <col min="1526" max="1526" width="6" customWidth="1"/>
    <col min="1527" max="1527" width="1.44140625" customWidth="1"/>
    <col min="1528" max="1528" width="39.109375" customWidth="1"/>
    <col min="1529" max="1529" width="12" customWidth="1"/>
    <col min="1530" max="1530" width="14.44140625" customWidth="1"/>
    <col min="1531" max="1531" width="11.77734375" customWidth="1"/>
    <col min="1532" max="1532" width="14.109375" customWidth="1"/>
    <col min="1533" max="1533" width="13.77734375" customWidth="1"/>
    <col min="1534" max="1535" width="12.77734375" customWidth="1"/>
    <col min="1536" max="1536" width="13.5546875" customWidth="1"/>
    <col min="1537" max="1537" width="15.21875" customWidth="1"/>
    <col min="1538" max="1538" width="12.77734375" customWidth="1"/>
    <col min="1539" max="1539" width="13.77734375" customWidth="1"/>
    <col min="1540" max="1540" width="1.77734375" customWidth="1"/>
    <col min="1541" max="1541" width="13" customWidth="1"/>
    <col min="1782" max="1782" width="6" customWidth="1"/>
    <col min="1783" max="1783" width="1.44140625" customWidth="1"/>
    <col min="1784" max="1784" width="39.109375" customWidth="1"/>
    <col min="1785" max="1785" width="12" customWidth="1"/>
    <col min="1786" max="1786" width="14.44140625" customWidth="1"/>
    <col min="1787" max="1787" width="11.77734375" customWidth="1"/>
    <col min="1788" max="1788" width="14.109375" customWidth="1"/>
    <col min="1789" max="1789" width="13.77734375" customWidth="1"/>
    <col min="1790" max="1791" width="12.77734375" customWidth="1"/>
    <col min="1792" max="1792" width="13.5546875" customWidth="1"/>
    <col min="1793" max="1793" width="15.21875" customWidth="1"/>
    <col min="1794" max="1794" width="12.77734375" customWidth="1"/>
    <col min="1795" max="1795" width="13.77734375" customWidth="1"/>
    <col min="1796" max="1796" width="1.77734375" customWidth="1"/>
    <col min="1797" max="1797" width="13" customWidth="1"/>
    <col min="2038" max="2038" width="6" customWidth="1"/>
    <col min="2039" max="2039" width="1.44140625" customWidth="1"/>
    <col min="2040" max="2040" width="39.109375" customWidth="1"/>
    <col min="2041" max="2041" width="12" customWidth="1"/>
    <col min="2042" max="2042" width="14.44140625" customWidth="1"/>
    <col min="2043" max="2043" width="11.77734375" customWidth="1"/>
    <col min="2044" max="2044" width="14.109375" customWidth="1"/>
    <col min="2045" max="2045" width="13.77734375" customWidth="1"/>
    <col min="2046" max="2047" width="12.77734375" customWidth="1"/>
    <col min="2048" max="2048" width="13.5546875" customWidth="1"/>
    <col min="2049" max="2049" width="15.21875" customWidth="1"/>
    <col min="2050" max="2050" width="12.77734375" customWidth="1"/>
    <col min="2051" max="2051" width="13.77734375" customWidth="1"/>
    <col min="2052" max="2052" width="1.77734375" customWidth="1"/>
    <col min="2053" max="2053" width="13" customWidth="1"/>
    <col min="2294" max="2294" width="6" customWidth="1"/>
    <col min="2295" max="2295" width="1.44140625" customWidth="1"/>
    <col min="2296" max="2296" width="39.109375" customWidth="1"/>
    <col min="2297" max="2297" width="12" customWidth="1"/>
    <col min="2298" max="2298" width="14.44140625" customWidth="1"/>
    <col min="2299" max="2299" width="11.77734375" customWidth="1"/>
    <col min="2300" max="2300" width="14.109375" customWidth="1"/>
    <col min="2301" max="2301" width="13.77734375" customWidth="1"/>
    <col min="2302" max="2303" width="12.77734375" customWidth="1"/>
    <col min="2304" max="2304" width="13.5546875" customWidth="1"/>
    <col min="2305" max="2305" width="15.21875" customWidth="1"/>
    <col min="2306" max="2306" width="12.77734375" customWidth="1"/>
    <col min="2307" max="2307" width="13.77734375" customWidth="1"/>
    <col min="2308" max="2308" width="1.77734375" customWidth="1"/>
    <col min="2309" max="2309" width="13" customWidth="1"/>
    <col min="2550" max="2550" width="6" customWidth="1"/>
    <col min="2551" max="2551" width="1.44140625" customWidth="1"/>
    <col min="2552" max="2552" width="39.109375" customWidth="1"/>
    <col min="2553" max="2553" width="12" customWidth="1"/>
    <col min="2554" max="2554" width="14.44140625" customWidth="1"/>
    <col min="2555" max="2555" width="11.77734375" customWidth="1"/>
    <col min="2556" max="2556" width="14.109375" customWidth="1"/>
    <col min="2557" max="2557" width="13.77734375" customWidth="1"/>
    <col min="2558" max="2559" width="12.77734375" customWidth="1"/>
    <col min="2560" max="2560" width="13.5546875" customWidth="1"/>
    <col min="2561" max="2561" width="15.21875" customWidth="1"/>
    <col min="2562" max="2562" width="12.77734375" customWidth="1"/>
    <col min="2563" max="2563" width="13.77734375" customWidth="1"/>
    <col min="2564" max="2564" width="1.77734375" customWidth="1"/>
    <col min="2565" max="2565" width="13" customWidth="1"/>
    <col min="2806" max="2806" width="6" customWidth="1"/>
    <col min="2807" max="2807" width="1.44140625" customWidth="1"/>
    <col min="2808" max="2808" width="39.109375" customWidth="1"/>
    <col min="2809" max="2809" width="12" customWidth="1"/>
    <col min="2810" max="2810" width="14.44140625" customWidth="1"/>
    <col min="2811" max="2811" width="11.77734375" customWidth="1"/>
    <col min="2812" max="2812" width="14.109375" customWidth="1"/>
    <col min="2813" max="2813" width="13.77734375" customWidth="1"/>
    <col min="2814" max="2815" width="12.77734375" customWidth="1"/>
    <col min="2816" max="2816" width="13.5546875" customWidth="1"/>
    <col min="2817" max="2817" width="15.21875" customWidth="1"/>
    <col min="2818" max="2818" width="12.77734375" customWidth="1"/>
    <col min="2819" max="2819" width="13.77734375" customWidth="1"/>
    <col min="2820" max="2820" width="1.77734375" customWidth="1"/>
    <col min="2821" max="2821" width="13" customWidth="1"/>
    <col min="3062" max="3062" width="6" customWidth="1"/>
    <col min="3063" max="3063" width="1.44140625" customWidth="1"/>
    <col min="3064" max="3064" width="39.109375" customWidth="1"/>
    <col min="3065" max="3065" width="12" customWidth="1"/>
    <col min="3066" max="3066" width="14.44140625" customWidth="1"/>
    <col min="3067" max="3067" width="11.77734375" customWidth="1"/>
    <col min="3068" max="3068" width="14.109375" customWidth="1"/>
    <col min="3069" max="3069" width="13.77734375" customWidth="1"/>
    <col min="3070" max="3071" width="12.77734375" customWidth="1"/>
    <col min="3072" max="3072" width="13.5546875" customWidth="1"/>
    <col min="3073" max="3073" width="15.21875" customWidth="1"/>
    <col min="3074" max="3074" width="12.77734375" customWidth="1"/>
    <col min="3075" max="3075" width="13.77734375" customWidth="1"/>
    <col min="3076" max="3076" width="1.77734375" customWidth="1"/>
    <col min="3077" max="3077" width="13" customWidth="1"/>
    <col min="3318" max="3318" width="6" customWidth="1"/>
    <col min="3319" max="3319" width="1.44140625" customWidth="1"/>
    <col min="3320" max="3320" width="39.109375" customWidth="1"/>
    <col min="3321" max="3321" width="12" customWidth="1"/>
    <col min="3322" max="3322" width="14.44140625" customWidth="1"/>
    <col min="3323" max="3323" width="11.77734375" customWidth="1"/>
    <col min="3324" max="3324" width="14.109375" customWidth="1"/>
    <col min="3325" max="3325" width="13.77734375" customWidth="1"/>
    <col min="3326" max="3327" width="12.77734375" customWidth="1"/>
    <col min="3328" max="3328" width="13.5546875" customWidth="1"/>
    <col min="3329" max="3329" width="15.21875" customWidth="1"/>
    <col min="3330" max="3330" width="12.77734375" customWidth="1"/>
    <col min="3331" max="3331" width="13.77734375" customWidth="1"/>
    <col min="3332" max="3332" width="1.77734375" customWidth="1"/>
    <col min="3333" max="3333" width="13" customWidth="1"/>
    <col min="3574" max="3574" width="6" customWidth="1"/>
    <col min="3575" max="3575" width="1.44140625" customWidth="1"/>
    <col min="3576" max="3576" width="39.109375" customWidth="1"/>
    <col min="3577" max="3577" width="12" customWidth="1"/>
    <col min="3578" max="3578" width="14.44140625" customWidth="1"/>
    <col min="3579" max="3579" width="11.77734375" customWidth="1"/>
    <col min="3580" max="3580" width="14.109375" customWidth="1"/>
    <col min="3581" max="3581" width="13.77734375" customWidth="1"/>
    <col min="3582" max="3583" width="12.77734375" customWidth="1"/>
    <col min="3584" max="3584" width="13.5546875" customWidth="1"/>
    <col min="3585" max="3585" width="15.21875" customWidth="1"/>
    <col min="3586" max="3586" width="12.77734375" customWidth="1"/>
    <col min="3587" max="3587" width="13.77734375" customWidth="1"/>
    <col min="3588" max="3588" width="1.77734375" customWidth="1"/>
    <col min="3589" max="3589" width="13" customWidth="1"/>
    <col min="3830" max="3830" width="6" customWidth="1"/>
    <col min="3831" max="3831" width="1.44140625" customWidth="1"/>
    <col min="3832" max="3832" width="39.109375" customWidth="1"/>
    <col min="3833" max="3833" width="12" customWidth="1"/>
    <col min="3834" max="3834" width="14.44140625" customWidth="1"/>
    <col min="3835" max="3835" width="11.77734375" customWidth="1"/>
    <col min="3836" max="3836" width="14.109375" customWidth="1"/>
    <col min="3837" max="3837" width="13.77734375" customWidth="1"/>
    <col min="3838" max="3839" width="12.77734375" customWidth="1"/>
    <col min="3840" max="3840" width="13.5546875" customWidth="1"/>
    <col min="3841" max="3841" width="15.21875" customWidth="1"/>
    <col min="3842" max="3842" width="12.77734375" customWidth="1"/>
    <col min="3843" max="3843" width="13.77734375" customWidth="1"/>
    <col min="3844" max="3844" width="1.77734375" customWidth="1"/>
    <col min="3845" max="3845" width="13" customWidth="1"/>
    <col min="4086" max="4086" width="6" customWidth="1"/>
    <col min="4087" max="4087" width="1.44140625" customWidth="1"/>
    <col min="4088" max="4088" width="39.109375" customWidth="1"/>
    <col min="4089" max="4089" width="12" customWidth="1"/>
    <col min="4090" max="4090" width="14.44140625" customWidth="1"/>
    <col min="4091" max="4091" width="11.77734375" customWidth="1"/>
    <col min="4092" max="4092" width="14.109375" customWidth="1"/>
    <col min="4093" max="4093" width="13.77734375" customWidth="1"/>
    <col min="4094" max="4095" width="12.77734375" customWidth="1"/>
    <col min="4096" max="4096" width="13.5546875" customWidth="1"/>
    <col min="4097" max="4097" width="15.21875" customWidth="1"/>
    <col min="4098" max="4098" width="12.77734375" customWidth="1"/>
    <col min="4099" max="4099" width="13.77734375" customWidth="1"/>
    <col min="4100" max="4100" width="1.77734375" customWidth="1"/>
    <col min="4101" max="4101" width="13" customWidth="1"/>
    <col min="4342" max="4342" width="6" customWidth="1"/>
    <col min="4343" max="4343" width="1.44140625" customWidth="1"/>
    <col min="4344" max="4344" width="39.109375" customWidth="1"/>
    <col min="4345" max="4345" width="12" customWidth="1"/>
    <col min="4346" max="4346" width="14.44140625" customWidth="1"/>
    <col min="4347" max="4347" width="11.77734375" customWidth="1"/>
    <col min="4348" max="4348" width="14.109375" customWidth="1"/>
    <col min="4349" max="4349" width="13.77734375" customWidth="1"/>
    <col min="4350" max="4351" width="12.77734375" customWidth="1"/>
    <col min="4352" max="4352" width="13.5546875" customWidth="1"/>
    <col min="4353" max="4353" width="15.21875" customWidth="1"/>
    <col min="4354" max="4354" width="12.77734375" customWidth="1"/>
    <col min="4355" max="4355" width="13.77734375" customWidth="1"/>
    <col min="4356" max="4356" width="1.77734375" customWidth="1"/>
    <col min="4357" max="4357" width="13" customWidth="1"/>
    <col min="4598" max="4598" width="6" customWidth="1"/>
    <col min="4599" max="4599" width="1.44140625" customWidth="1"/>
    <col min="4600" max="4600" width="39.109375" customWidth="1"/>
    <col min="4601" max="4601" width="12" customWidth="1"/>
    <col min="4602" max="4602" width="14.44140625" customWidth="1"/>
    <col min="4603" max="4603" width="11.77734375" customWidth="1"/>
    <col min="4604" max="4604" width="14.109375" customWidth="1"/>
    <col min="4605" max="4605" width="13.77734375" customWidth="1"/>
    <col min="4606" max="4607" width="12.77734375" customWidth="1"/>
    <col min="4608" max="4608" width="13.5546875" customWidth="1"/>
    <col min="4609" max="4609" width="15.21875" customWidth="1"/>
    <col min="4610" max="4610" width="12.77734375" customWidth="1"/>
    <col min="4611" max="4611" width="13.77734375" customWidth="1"/>
    <col min="4612" max="4612" width="1.77734375" customWidth="1"/>
    <col min="4613" max="4613" width="13" customWidth="1"/>
    <col min="4854" max="4854" width="6" customWidth="1"/>
    <col min="4855" max="4855" width="1.44140625" customWidth="1"/>
    <col min="4856" max="4856" width="39.109375" customWidth="1"/>
    <col min="4857" max="4857" width="12" customWidth="1"/>
    <col min="4858" max="4858" width="14.44140625" customWidth="1"/>
    <col min="4859" max="4859" width="11.77734375" customWidth="1"/>
    <col min="4860" max="4860" width="14.109375" customWidth="1"/>
    <col min="4861" max="4861" width="13.77734375" customWidth="1"/>
    <col min="4862" max="4863" width="12.77734375" customWidth="1"/>
    <col min="4864" max="4864" width="13.5546875" customWidth="1"/>
    <col min="4865" max="4865" width="15.21875" customWidth="1"/>
    <col min="4866" max="4866" width="12.77734375" customWidth="1"/>
    <col min="4867" max="4867" width="13.77734375" customWidth="1"/>
    <col min="4868" max="4868" width="1.77734375" customWidth="1"/>
    <col min="4869" max="4869" width="13" customWidth="1"/>
    <col min="5110" max="5110" width="6" customWidth="1"/>
    <col min="5111" max="5111" width="1.44140625" customWidth="1"/>
    <col min="5112" max="5112" width="39.109375" customWidth="1"/>
    <col min="5113" max="5113" width="12" customWidth="1"/>
    <col min="5114" max="5114" width="14.44140625" customWidth="1"/>
    <col min="5115" max="5115" width="11.77734375" customWidth="1"/>
    <col min="5116" max="5116" width="14.109375" customWidth="1"/>
    <col min="5117" max="5117" width="13.77734375" customWidth="1"/>
    <col min="5118" max="5119" width="12.77734375" customWidth="1"/>
    <col min="5120" max="5120" width="13.5546875" customWidth="1"/>
    <col min="5121" max="5121" width="15.21875" customWidth="1"/>
    <col min="5122" max="5122" width="12.77734375" customWidth="1"/>
    <col min="5123" max="5123" width="13.77734375" customWidth="1"/>
    <col min="5124" max="5124" width="1.77734375" customWidth="1"/>
    <col min="5125" max="5125" width="13" customWidth="1"/>
    <col min="5366" max="5366" width="6" customWidth="1"/>
    <col min="5367" max="5367" width="1.44140625" customWidth="1"/>
    <col min="5368" max="5368" width="39.109375" customWidth="1"/>
    <col min="5369" max="5369" width="12" customWidth="1"/>
    <col min="5370" max="5370" width="14.44140625" customWidth="1"/>
    <col min="5371" max="5371" width="11.77734375" customWidth="1"/>
    <col min="5372" max="5372" width="14.109375" customWidth="1"/>
    <col min="5373" max="5373" width="13.77734375" customWidth="1"/>
    <col min="5374" max="5375" width="12.77734375" customWidth="1"/>
    <col min="5376" max="5376" width="13.5546875" customWidth="1"/>
    <col min="5377" max="5377" width="15.21875" customWidth="1"/>
    <col min="5378" max="5378" width="12.77734375" customWidth="1"/>
    <col min="5379" max="5379" width="13.77734375" customWidth="1"/>
    <col min="5380" max="5380" width="1.77734375" customWidth="1"/>
    <col min="5381" max="5381" width="13" customWidth="1"/>
    <col min="5622" max="5622" width="6" customWidth="1"/>
    <col min="5623" max="5623" width="1.44140625" customWidth="1"/>
    <col min="5624" max="5624" width="39.109375" customWidth="1"/>
    <col min="5625" max="5625" width="12" customWidth="1"/>
    <col min="5626" max="5626" width="14.44140625" customWidth="1"/>
    <col min="5627" max="5627" width="11.77734375" customWidth="1"/>
    <col min="5628" max="5628" width="14.109375" customWidth="1"/>
    <col min="5629" max="5629" width="13.77734375" customWidth="1"/>
    <col min="5630" max="5631" width="12.77734375" customWidth="1"/>
    <col min="5632" max="5632" width="13.5546875" customWidth="1"/>
    <col min="5633" max="5633" width="15.21875" customWidth="1"/>
    <col min="5634" max="5634" width="12.77734375" customWidth="1"/>
    <col min="5635" max="5635" width="13.77734375" customWidth="1"/>
    <col min="5636" max="5636" width="1.77734375" customWidth="1"/>
    <col min="5637" max="5637" width="13" customWidth="1"/>
    <col min="5878" max="5878" width="6" customWidth="1"/>
    <col min="5879" max="5879" width="1.44140625" customWidth="1"/>
    <col min="5880" max="5880" width="39.109375" customWidth="1"/>
    <col min="5881" max="5881" width="12" customWidth="1"/>
    <col min="5882" max="5882" width="14.44140625" customWidth="1"/>
    <col min="5883" max="5883" width="11.77734375" customWidth="1"/>
    <col min="5884" max="5884" width="14.109375" customWidth="1"/>
    <col min="5885" max="5885" width="13.77734375" customWidth="1"/>
    <col min="5886" max="5887" width="12.77734375" customWidth="1"/>
    <col min="5888" max="5888" width="13.5546875" customWidth="1"/>
    <col min="5889" max="5889" width="15.21875" customWidth="1"/>
    <col min="5890" max="5890" width="12.77734375" customWidth="1"/>
    <col min="5891" max="5891" width="13.77734375" customWidth="1"/>
    <col min="5892" max="5892" width="1.77734375" customWidth="1"/>
    <col min="5893" max="5893" width="13" customWidth="1"/>
    <col min="6134" max="6134" width="6" customWidth="1"/>
    <col min="6135" max="6135" width="1.44140625" customWidth="1"/>
    <col min="6136" max="6136" width="39.109375" customWidth="1"/>
    <col min="6137" max="6137" width="12" customWidth="1"/>
    <col min="6138" max="6138" width="14.44140625" customWidth="1"/>
    <col min="6139" max="6139" width="11.77734375" customWidth="1"/>
    <col min="6140" max="6140" width="14.109375" customWidth="1"/>
    <col min="6141" max="6141" width="13.77734375" customWidth="1"/>
    <col min="6142" max="6143" width="12.77734375" customWidth="1"/>
    <col min="6144" max="6144" width="13.5546875" customWidth="1"/>
    <col min="6145" max="6145" width="15.21875" customWidth="1"/>
    <col min="6146" max="6146" width="12.77734375" customWidth="1"/>
    <col min="6147" max="6147" width="13.77734375" customWidth="1"/>
    <col min="6148" max="6148" width="1.77734375" customWidth="1"/>
    <col min="6149" max="6149" width="13" customWidth="1"/>
    <col min="6390" max="6390" width="6" customWidth="1"/>
    <col min="6391" max="6391" width="1.44140625" customWidth="1"/>
    <col min="6392" max="6392" width="39.109375" customWidth="1"/>
    <col min="6393" max="6393" width="12" customWidth="1"/>
    <col min="6394" max="6394" width="14.44140625" customWidth="1"/>
    <col min="6395" max="6395" width="11.77734375" customWidth="1"/>
    <col min="6396" max="6396" width="14.109375" customWidth="1"/>
    <col min="6397" max="6397" width="13.77734375" customWidth="1"/>
    <col min="6398" max="6399" width="12.77734375" customWidth="1"/>
    <col min="6400" max="6400" width="13.5546875" customWidth="1"/>
    <col min="6401" max="6401" width="15.21875" customWidth="1"/>
    <col min="6402" max="6402" width="12.77734375" customWidth="1"/>
    <col min="6403" max="6403" width="13.77734375" customWidth="1"/>
    <col min="6404" max="6404" width="1.77734375" customWidth="1"/>
    <col min="6405" max="6405" width="13" customWidth="1"/>
    <col min="6646" max="6646" width="6" customWidth="1"/>
    <col min="6647" max="6647" width="1.44140625" customWidth="1"/>
    <col min="6648" max="6648" width="39.109375" customWidth="1"/>
    <col min="6649" max="6649" width="12" customWidth="1"/>
    <col min="6650" max="6650" width="14.44140625" customWidth="1"/>
    <col min="6651" max="6651" width="11.77734375" customWidth="1"/>
    <col min="6652" max="6652" width="14.109375" customWidth="1"/>
    <col min="6653" max="6653" width="13.77734375" customWidth="1"/>
    <col min="6654" max="6655" width="12.77734375" customWidth="1"/>
    <col min="6656" max="6656" width="13.5546875" customWidth="1"/>
    <col min="6657" max="6657" width="15.21875" customWidth="1"/>
    <col min="6658" max="6658" width="12.77734375" customWidth="1"/>
    <col min="6659" max="6659" width="13.77734375" customWidth="1"/>
    <col min="6660" max="6660" width="1.77734375" customWidth="1"/>
    <col min="6661" max="6661" width="13" customWidth="1"/>
    <col min="6902" max="6902" width="6" customWidth="1"/>
    <col min="6903" max="6903" width="1.44140625" customWidth="1"/>
    <col min="6904" max="6904" width="39.109375" customWidth="1"/>
    <col min="6905" max="6905" width="12" customWidth="1"/>
    <col min="6906" max="6906" width="14.44140625" customWidth="1"/>
    <col min="6907" max="6907" width="11.77734375" customWidth="1"/>
    <col min="6908" max="6908" width="14.109375" customWidth="1"/>
    <col min="6909" max="6909" width="13.77734375" customWidth="1"/>
    <col min="6910" max="6911" width="12.77734375" customWidth="1"/>
    <col min="6912" max="6912" width="13.5546875" customWidth="1"/>
    <col min="6913" max="6913" width="15.21875" customWidth="1"/>
    <col min="6914" max="6914" width="12.77734375" customWidth="1"/>
    <col min="6915" max="6915" width="13.77734375" customWidth="1"/>
    <col min="6916" max="6916" width="1.77734375" customWidth="1"/>
    <col min="6917" max="6917" width="13" customWidth="1"/>
    <col min="7158" max="7158" width="6" customWidth="1"/>
    <col min="7159" max="7159" width="1.44140625" customWidth="1"/>
    <col min="7160" max="7160" width="39.109375" customWidth="1"/>
    <col min="7161" max="7161" width="12" customWidth="1"/>
    <col min="7162" max="7162" width="14.44140625" customWidth="1"/>
    <col min="7163" max="7163" width="11.77734375" customWidth="1"/>
    <col min="7164" max="7164" width="14.109375" customWidth="1"/>
    <col min="7165" max="7165" width="13.77734375" customWidth="1"/>
    <col min="7166" max="7167" width="12.77734375" customWidth="1"/>
    <col min="7168" max="7168" width="13.5546875" customWidth="1"/>
    <col min="7169" max="7169" width="15.21875" customWidth="1"/>
    <col min="7170" max="7170" width="12.77734375" customWidth="1"/>
    <col min="7171" max="7171" width="13.77734375" customWidth="1"/>
    <col min="7172" max="7172" width="1.77734375" customWidth="1"/>
    <col min="7173" max="7173" width="13" customWidth="1"/>
    <col min="7414" max="7414" width="6" customWidth="1"/>
    <col min="7415" max="7415" width="1.44140625" customWidth="1"/>
    <col min="7416" max="7416" width="39.109375" customWidth="1"/>
    <col min="7417" max="7417" width="12" customWidth="1"/>
    <col min="7418" max="7418" width="14.44140625" customWidth="1"/>
    <col min="7419" max="7419" width="11.77734375" customWidth="1"/>
    <col min="7420" max="7420" width="14.109375" customWidth="1"/>
    <col min="7421" max="7421" width="13.77734375" customWidth="1"/>
    <col min="7422" max="7423" width="12.77734375" customWidth="1"/>
    <col min="7424" max="7424" width="13.5546875" customWidth="1"/>
    <col min="7425" max="7425" width="15.21875" customWidth="1"/>
    <col min="7426" max="7426" width="12.77734375" customWidth="1"/>
    <col min="7427" max="7427" width="13.77734375" customWidth="1"/>
    <col min="7428" max="7428" width="1.77734375" customWidth="1"/>
    <col min="7429" max="7429" width="13" customWidth="1"/>
    <col min="7670" max="7670" width="6" customWidth="1"/>
    <col min="7671" max="7671" width="1.44140625" customWidth="1"/>
    <col min="7672" max="7672" width="39.109375" customWidth="1"/>
    <col min="7673" max="7673" width="12" customWidth="1"/>
    <col min="7674" max="7674" width="14.44140625" customWidth="1"/>
    <col min="7675" max="7675" width="11.77734375" customWidth="1"/>
    <col min="7676" max="7676" width="14.109375" customWidth="1"/>
    <col min="7677" max="7677" width="13.77734375" customWidth="1"/>
    <col min="7678" max="7679" width="12.77734375" customWidth="1"/>
    <col min="7680" max="7680" width="13.5546875" customWidth="1"/>
    <col min="7681" max="7681" width="15.21875" customWidth="1"/>
    <col min="7682" max="7682" width="12.77734375" customWidth="1"/>
    <col min="7683" max="7683" width="13.77734375" customWidth="1"/>
    <col min="7684" max="7684" width="1.77734375" customWidth="1"/>
    <col min="7685" max="7685" width="13" customWidth="1"/>
    <col min="7926" max="7926" width="6" customWidth="1"/>
    <col min="7927" max="7927" width="1.44140625" customWidth="1"/>
    <col min="7928" max="7928" width="39.109375" customWidth="1"/>
    <col min="7929" max="7929" width="12" customWidth="1"/>
    <col min="7930" max="7930" width="14.44140625" customWidth="1"/>
    <col min="7931" max="7931" width="11.77734375" customWidth="1"/>
    <col min="7932" max="7932" width="14.109375" customWidth="1"/>
    <col min="7933" max="7933" width="13.77734375" customWidth="1"/>
    <col min="7934" max="7935" width="12.77734375" customWidth="1"/>
    <col min="7936" max="7936" width="13.5546875" customWidth="1"/>
    <col min="7937" max="7937" width="15.21875" customWidth="1"/>
    <col min="7938" max="7938" width="12.77734375" customWidth="1"/>
    <col min="7939" max="7939" width="13.77734375" customWidth="1"/>
    <col min="7940" max="7940" width="1.77734375" customWidth="1"/>
    <col min="7941" max="7941" width="13" customWidth="1"/>
    <col min="8182" max="8182" width="6" customWidth="1"/>
    <col min="8183" max="8183" width="1.44140625" customWidth="1"/>
    <col min="8184" max="8184" width="39.109375" customWidth="1"/>
    <col min="8185" max="8185" width="12" customWidth="1"/>
    <col min="8186" max="8186" width="14.44140625" customWidth="1"/>
    <col min="8187" max="8187" width="11.77734375" customWidth="1"/>
    <col min="8188" max="8188" width="14.109375" customWidth="1"/>
    <col min="8189" max="8189" width="13.77734375" customWidth="1"/>
    <col min="8190" max="8191" width="12.77734375" customWidth="1"/>
    <col min="8192" max="8192" width="13.5546875" customWidth="1"/>
    <col min="8193" max="8193" width="15.21875" customWidth="1"/>
    <col min="8194" max="8194" width="12.77734375" customWidth="1"/>
    <col min="8195" max="8195" width="13.77734375" customWidth="1"/>
    <col min="8196" max="8196" width="1.77734375" customWidth="1"/>
    <col min="8197" max="8197" width="13" customWidth="1"/>
    <col min="8438" max="8438" width="6" customWidth="1"/>
    <col min="8439" max="8439" width="1.44140625" customWidth="1"/>
    <col min="8440" max="8440" width="39.109375" customWidth="1"/>
    <col min="8441" max="8441" width="12" customWidth="1"/>
    <col min="8442" max="8442" width="14.44140625" customWidth="1"/>
    <col min="8443" max="8443" width="11.77734375" customWidth="1"/>
    <col min="8444" max="8444" width="14.109375" customWidth="1"/>
    <col min="8445" max="8445" width="13.77734375" customWidth="1"/>
    <col min="8446" max="8447" width="12.77734375" customWidth="1"/>
    <col min="8448" max="8448" width="13.5546875" customWidth="1"/>
    <col min="8449" max="8449" width="15.21875" customWidth="1"/>
    <col min="8450" max="8450" width="12.77734375" customWidth="1"/>
    <col min="8451" max="8451" width="13.77734375" customWidth="1"/>
    <col min="8452" max="8452" width="1.77734375" customWidth="1"/>
    <col min="8453" max="8453" width="13" customWidth="1"/>
    <col min="8694" max="8694" width="6" customWidth="1"/>
    <col min="8695" max="8695" width="1.44140625" customWidth="1"/>
    <col min="8696" max="8696" width="39.109375" customWidth="1"/>
    <col min="8697" max="8697" width="12" customWidth="1"/>
    <col min="8698" max="8698" width="14.44140625" customWidth="1"/>
    <col min="8699" max="8699" width="11.77734375" customWidth="1"/>
    <col min="8700" max="8700" width="14.109375" customWidth="1"/>
    <col min="8701" max="8701" width="13.77734375" customWidth="1"/>
    <col min="8702" max="8703" width="12.77734375" customWidth="1"/>
    <col min="8704" max="8704" width="13.5546875" customWidth="1"/>
    <col min="8705" max="8705" width="15.21875" customWidth="1"/>
    <col min="8706" max="8706" width="12.77734375" customWidth="1"/>
    <col min="8707" max="8707" width="13.77734375" customWidth="1"/>
    <col min="8708" max="8708" width="1.77734375" customWidth="1"/>
    <col min="8709" max="8709" width="13" customWidth="1"/>
    <col min="8950" max="8950" width="6" customWidth="1"/>
    <col min="8951" max="8951" width="1.44140625" customWidth="1"/>
    <col min="8952" max="8952" width="39.109375" customWidth="1"/>
    <col min="8953" max="8953" width="12" customWidth="1"/>
    <col min="8954" max="8954" width="14.44140625" customWidth="1"/>
    <col min="8955" max="8955" width="11.77734375" customWidth="1"/>
    <col min="8956" max="8956" width="14.109375" customWidth="1"/>
    <col min="8957" max="8957" width="13.77734375" customWidth="1"/>
    <col min="8958" max="8959" width="12.77734375" customWidth="1"/>
    <col min="8960" max="8960" width="13.5546875" customWidth="1"/>
    <col min="8961" max="8961" width="15.21875" customWidth="1"/>
    <col min="8962" max="8962" width="12.77734375" customWidth="1"/>
    <col min="8963" max="8963" width="13.77734375" customWidth="1"/>
    <col min="8964" max="8964" width="1.77734375" customWidth="1"/>
    <col min="8965" max="8965" width="13" customWidth="1"/>
    <col min="9206" max="9206" width="6" customWidth="1"/>
    <col min="9207" max="9207" width="1.44140625" customWidth="1"/>
    <col min="9208" max="9208" width="39.109375" customWidth="1"/>
    <col min="9209" max="9209" width="12" customWidth="1"/>
    <col min="9210" max="9210" width="14.44140625" customWidth="1"/>
    <col min="9211" max="9211" width="11.77734375" customWidth="1"/>
    <col min="9212" max="9212" width="14.109375" customWidth="1"/>
    <col min="9213" max="9213" width="13.77734375" customWidth="1"/>
    <col min="9214" max="9215" width="12.77734375" customWidth="1"/>
    <col min="9216" max="9216" width="13.5546875" customWidth="1"/>
    <col min="9217" max="9217" width="15.21875" customWidth="1"/>
    <col min="9218" max="9218" width="12.77734375" customWidth="1"/>
    <col min="9219" max="9219" width="13.77734375" customWidth="1"/>
    <col min="9220" max="9220" width="1.77734375" customWidth="1"/>
    <col min="9221" max="9221" width="13" customWidth="1"/>
    <col min="9462" max="9462" width="6" customWidth="1"/>
    <col min="9463" max="9463" width="1.44140625" customWidth="1"/>
    <col min="9464" max="9464" width="39.109375" customWidth="1"/>
    <col min="9465" max="9465" width="12" customWidth="1"/>
    <col min="9466" max="9466" width="14.44140625" customWidth="1"/>
    <col min="9467" max="9467" width="11.77734375" customWidth="1"/>
    <col min="9468" max="9468" width="14.109375" customWidth="1"/>
    <col min="9469" max="9469" width="13.77734375" customWidth="1"/>
    <col min="9470" max="9471" width="12.77734375" customWidth="1"/>
    <col min="9472" max="9472" width="13.5546875" customWidth="1"/>
    <col min="9473" max="9473" width="15.21875" customWidth="1"/>
    <col min="9474" max="9474" width="12.77734375" customWidth="1"/>
    <col min="9475" max="9475" width="13.77734375" customWidth="1"/>
    <col min="9476" max="9476" width="1.77734375" customWidth="1"/>
    <col min="9477" max="9477" width="13" customWidth="1"/>
    <col min="9718" max="9718" width="6" customWidth="1"/>
    <col min="9719" max="9719" width="1.44140625" customWidth="1"/>
    <col min="9720" max="9720" width="39.109375" customWidth="1"/>
    <col min="9721" max="9721" width="12" customWidth="1"/>
    <col min="9722" max="9722" width="14.44140625" customWidth="1"/>
    <col min="9723" max="9723" width="11.77734375" customWidth="1"/>
    <col min="9724" max="9724" width="14.109375" customWidth="1"/>
    <col min="9725" max="9725" width="13.77734375" customWidth="1"/>
    <col min="9726" max="9727" width="12.77734375" customWidth="1"/>
    <col min="9728" max="9728" width="13.5546875" customWidth="1"/>
    <col min="9729" max="9729" width="15.21875" customWidth="1"/>
    <col min="9730" max="9730" width="12.77734375" customWidth="1"/>
    <col min="9731" max="9731" width="13.77734375" customWidth="1"/>
    <col min="9732" max="9732" width="1.77734375" customWidth="1"/>
    <col min="9733" max="9733" width="13" customWidth="1"/>
    <col min="9974" max="9974" width="6" customWidth="1"/>
    <col min="9975" max="9975" width="1.44140625" customWidth="1"/>
    <col min="9976" max="9976" width="39.109375" customWidth="1"/>
    <col min="9977" max="9977" width="12" customWidth="1"/>
    <col min="9978" max="9978" width="14.44140625" customWidth="1"/>
    <col min="9979" max="9979" width="11.77734375" customWidth="1"/>
    <col min="9980" max="9980" width="14.109375" customWidth="1"/>
    <col min="9981" max="9981" width="13.77734375" customWidth="1"/>
    <col min="9982" max="9983" width="12.77734375" customWidth="1"/>
    <col min="9984" max="9984" width="13.5546875" customWidth="1"/>
    <col min="9985" max="9985" width="15.21875" customWidth="1"/>
    <col min="9986" max="9986" width="12.77734375" customWidth="1"/>
    <col min="9987" max="9987" width="13.77734375" customWidth="1"/>
    <col min="9988" max="9988" width="1.77734375" customWidth="1"/>
    <col min="9989" max="9989" width="13" customWidth="1"/>
    <col min="10230" max="10230" width="6" customWidth="1"/>
    <col min="10231" max="10231" width="1.44140625" customWidth="1"/>
    <col min="10232" max="10232" width="39.109375" customWidth="1"/>
    <col min="10233" max="10233" width="12" customWidth="1"/>
    <col min="10234" max="10234" width="14.44140625" customWidth="1"/>
    <col min="10235" max="10235" width="11.77734375" customWidth="1"/>
    <col min="10236" max="10236" width="14.109375" customWidth="1"/>
    <col min="10237" max="10237" width="13.77734375" customWidth="1"/>
    <col min="10238" max="10239" width="12.77734375" customWidth="1"/>
    <col min="10240" max="10240" width="13.5546875" customWidth="1"/>
    <col min="10241" max="10241" width="15.21875" customWidth="1"/>
    <col min="10242" max="10242" width="12.77734375" customWidth="1"/>
    <col min="10243" max="10243" width="13.77734375" customWidth="1"/>
    <col min="10244" max="10244" width="1.77734375" customWidth="1"/>
    <col min="10245" max="10245" width="13" customWidth="1"/>
    <col min="10486" max="10486" width="6" customWidth="1"/>
    <col min="10487" max="10487" width="1.44140625" customWidth="1"/>
    <col min="10488" max="10488" width="39.109375" customWidth="1"/>
    <col min="10489" max="10489" width="12" customWidth="1"/>
    <col min="10490" max="10490" width="14.44140625" customWidth="1"/>
    <col min="10491" max="10491" width="11.77734375" customWidth="1"/>
    <col min="10492" max="10492" width="14.109375" customWidth="1"/>
    <col min="10493" max="10493" width="13.77734375" customWidth="1"/>
    <col min="10494" max="10495" width="12.77734375" customWidth="1"/>
    <col min="10496" max="10496" width="13.5546875" customWidth="1"/>
    <col min="10497" max="10497" width="15.21875" customWidth="1"/>
    <col min="10498" max="10498" width="12.77734375" customWidth="1"/>
    <col min="10499" max="10499" width="13.77734375" customWidth="1"/>
    <col min="10500" max="10500" width="1.77734375" customWidth="1"/>
    <col min="10501" max="10501" width="13" customWidth="1"/>
    <col min="10742" max="10742" width="6" customWidth="1"/>
    <col min="10743" max="10743" width="1.44140625" customWidth="1"/>
    <col min="10744" max="10744" width="39.109375" customWidth="1"/>
    <col min="10745" max="10745" width="12" customWidth="1"/>
    <col min="10746" max="10746" width="14.44140625" customWidth="1"/>
    <col min="10747" max="10747" width="11.77734375" customWidth="1"/>
    <col min="10748" max="10748" width="14.109375" customWidth="1"/>
    <col min="10749" max="10749" width="13.77734375" customWidth="1"/>
    <col min="10750" max="10751" width="12.77734375" customWidth="1"/>
    <col min="10752" max="10752" width="13.5546875" customWidth="1"/>
    <col min="10753" max="10753" width="15.21875" customWidth="1"/>
    <col min="10754" max="10754" width="12.77734375" customWidth="1"/>
    <col min="10755" max="10755" width="13.77734375" customWidth="1"/>
    <col min="10756" max="10756" width="1.77734375" customWidth="1"/>
    <col min="10757" max="10757" width="13" customWidth="1"/>
    <col min="10998" max="10998" width="6" customWidth="1"/>
    <col min="10999" max="10999" width="1.44140625" customWidth="1"/>
    <col min="11000" max="11000" width="39.109375" customWidth="1"/>
    <col min="11001" max="11001" width="12" customWidth="1"/>
    <col min="11002" max="11002" width="14.44140625" customWidth="1"/>
    <col min="11003" max="11003" width="11.77734375" customWidth="1"/>
    <col min="11004" max="11004" width="14.109375" customWidth="1"/>
    <col min="11005" max="11005" width="13.77734375" customWidth="1"/>
    <col min="11006" max="11007" width="12.77734375" customWidth="1"/>
    <col min="11008" max="11008" width="13.5546875" customWidth="1"/>
    <col min="11009" max="11009" width="15.21875" customWidth="1"/>
    <col min="11010" max="11010" width="12.77734375" customWidth="1"/>
    <col min="11011" max="11011" width="13.77734375" customWidth="1"/>
    <col min="11012" max="11012" width="1.77734375" customWidth="1"/>
    <col min="11013" max="11013" width="13" customWidth="1"/>
    <col min="11254" max="11254" width="6" customWidth="1"/>
    <col min="11255" max="11255" width="1.44140625" customWidth="1"/>
    <col min="11256" max="11256" width="39.109375" customWidth="1"/>
    <col min="11257" max="11257" width="12" customWidth="1"/>
    <col min="11258" max="11258" width="14.44140625" customWidth="1"/>
    <col min="11259" max="11259" width="11.77734375" customWidth="1"/>
    <col min="11260" max="11260" width="14.109375" customWidth="1"/>
    <col min="11261" max="11261" width="13.77734375" customWidth="1"/>
    <col min="11262" max="11263" width="12.77734375" customWidth="1"/>
    <col min="11264" max="11264" width="13.5546875" customWidth="1"/>
    <col min="11265" max="11265" width="15.21875" customWidth="1"/>
    <col min="11266" max="11266" width="12.77734375" customWidth="1"/>
    <col min="11267" max="11267" width="13.77734375" customWidth="1"/>
    <col min="11268" max="11268" width="1.77734375" customWidth="1"/>
    <col min="11269" max="11269" width="13" customWidth="1"/>
    <col min="11510" max="11510" width="6" customWidth="1"/>
    <col min="11511" max="11511" width="1.44140625" customWidth="1"/>
    <col min="11512" max="11512" width="39.109375" customWidth="1"/>
    <col min="11513" max="11513" width="12" customWidth="1"/>
    <col min="11514" max="11514" width="14.44140625" customWidth="1"/>
    <col min="11515" max="11515" width="11.77734375" customWidth="1"/>
    <col min="11516" max="11516" width="14.109375" customWidth="1"/>
    <col min="11517" max="11517" width="13.77734375" customWidth="1"/>
    <col min="11518" max="11519" width="12.77734375" customWidth="1"/>
    <col min="11520" max="11520" width="13.5546875" customWidth="1"/>
    <col min="11521" max="11521" width="15.21875" customWidth="1"/>
    <col min="11522" max="11522" width="12.77734375" customWidth="1"/>
    <col min="11523" max="11523" width="13.77734375" customWidth="1"/>
    <col min="11524" max="11524" width="1.77734375" customWidth="1"/>
    <col min="11525" max="11525" width="13" customWidth="1"/>
    <col min="11766" max="11766" width="6" customWidth="1"/>
    <col min="11767" max="11767" width="1.44140625" customWidth="1"/>
    <col min="11768" max="11768" width="39.109375" customWidth="1"/>
    <col min="11769" max="11769" width="12" customWidth="1"/>
    <col min="11770" max="11770" width="14.44140625" customWidth="1"/>
    <col min="11771" max="11771" width="11.77734375" customWidth="1"/>
    <col min="11772" max="11772" width="14.109375" customWidth="1"/>
    <col min="11773" max="11773" width="13.77734375" customWidth="1"/>
    <col min="11774" max="11775" width="12.77734375" customWidth="1"/>
    <col min="11776" max="11776" width="13.5546875" customWidth="1"/>
    <col min="11777" max="11777" width="15.21875" customWidth="1"/>
    <col min="11778" max="11778" width="12.77734375" customWidth="1"/>
    <col min="11779" max="11779" width="13.77734375" customWidth="1"/>
    <col min="11780" max="11780" width="1.77734375" customWidth="1"/>
    <col min="11781" max="11781" width="13" customWidth="1"/>
    <col min="12022" max="12022" width="6" customWidth="1"/>
    <col min="12023" max="12023" width="1.44140625" customWidth="1"/>
    <col min="12024" max="12024" width="39.109375" customWidth="1"/>
    <col min="12025" max="12025" width="12" customWidth="1"/>
    <col min="12026" max="12026" width="14.44140625" customWidth="1"/>
    <col min="12027" max="12027" width="11.77734375" customWidth="1"/>
    <col min="12028" max="12028" width="14.109375" customWidth="1"/>
    <col min="12029" max="12029" width="13.77734375" customWidth="1"/>
    <col min="12030" max="12031" width="12.77734375" customWidth="1"/>
    <col min="12032" max="12032" width="13.5546875" customWidth="1"/>
    <col min="12033" max="12033" width="15.21875" customWidth="1"/>
    <col min="12034" max="12034" width="12.77734375" customWidth="1"/>
    <col min="12035" max="12035" width="13.77734375" customWidth="1"/>
    <col min="12036" max="12036" width="1.77734375" customWidth="1"/>
    <col min="12037" max="12037" width="13" customWidth="1"/>
    <col min="12278" max="12278" width="6" customWidth="1"/>
    <col min="12279" max="12279" width="1.44140625" customWidth="1"/>
    <col min="12280" max="12280" width="39.109375" customWidth="1"/>
    <col min="12281" max="12281" width="12" customWidth="1"/>
    <col min="12282" max="12282" width="14.44140625" customWidth="1"/>
    <col min="12283" max="12283" width="11.77734375" customWidth="1"/>
    <col min="12284" max="12284" width="14.109375" customWidth="1"/>
    <col min="12285" max="12285" width="13.77734375" customWidth="1"/>
    <col min="12286" max="12287" width="12.77734375" customWidth="1"/>
    <col min="12288" max="12288" width="13.5546875" customWidth="1"/>
    <col min="12289" max="12289" width="15.21875" customWidth="1"/>
    <col min="12290" max="12290" width="12.77734375" customWidth="1"/>
    <col min="12291" max="12291" width="13.77734375" customWidth="1"/>
    <col min="12292" max="12292" width="1.77734375" customWidth="1"/>
    <col min="12293" max="12293" width="13" customWidth="1"/>
    <col min="12534" max="12534" width="6" customWidth="1"/>
    <col min="12535" max="12535" width="1.44140625" customWidth="1"/>
    <col min="12536" max="12536" width="39.109375" customWidth="1"/>
    <col min="12537" max="12537" width="12" customWidth="1"/>
    <col min="12538" max="12538" width="14.44140625" customWidth="1"/>
    <col min="12539" max="12539" width="11.77734375" customWidth="1"/>
    <col min="12540" max="12540" width="14.109375" customWidth="1"/>
    <col min="12541" max="12541" width="13.77734375" customWidth="1"/>
    <col min="12542" max="12543" width="12.77734375" customWidth="1"/>
    <col min="12544" max="12544" width="13.5546875" customWidth="1"/>
    <col min="12545" max="12545" width="15.21875" customWidth="1"/>
    <col min="12546" max="12546" width="12.77734375" customWidth="1"/>
    <col min="12547" max="12547" width="13.77734375" customWidth="1"/>
    <col min="12548" max="12548" width="1.77734375" customWidth="1"/>
    <col min="12549" max="12549" width="13" customWidth="1"/>
    <col min="12790" max="12790" width="6" customWidth="1"/>
    <col min="12791" max="12791" width="1.44140625" customWidth="1"/>
    <col min="12792" max="12792" width="39.109375" customWidth="1"/>
    <col min="12793" max="12793" width="12" customWidth="1"/>
    <col min="12794" max="12794" width="14.44140625" customWidth="1"/>
    <col min="12795" max="12795" width="11.77734375" customWidth="1"/>
    <col min="12796" max="12796" width="14.109375" customWidth="1"/>
    <col min="12797" max="12797" width="13.77734375" customWidth="1"/>
    <col min="12798" max="12799" width="12.77734375" customWidth="1"/>
    <col min="12800" max="12800" width="13.5546875" customWidth="1"/>
    <col min="12801" max="12801" width="15.21875" customWidth="1"/>
    <col min="12802" max="12802" width="12.77734375" customWidth="1"/>
    <col min="12803" max="12803" width="13.77734375" customWidth="1"/>
    <col min="12804" max="12804" width="1.77734375" customWidth="1"/>
    <col min="12805" max="12805" width="13" customWidth="1"/>
    <col min="13046" max="13046" width="6" customWidth="1"/>
    <col min="13047" max="13047" width="1.44140625" customWidth="1"/>
    <col min="13048" max="13048" width="39.109375" customWidth="1"/>
    <col min="13049" max="13049" width="12" customWidth="1"/>
    <col min="13050" max="13050" width="14.44140625" customWidth="1"/>
    <col min="13051" max="13051" width="11.77734375" customWidth="1"/>
    <col min="13052" max="13052" width="14.109375" customWidth="1"/>
    <col min="13053" max="13053" width="13.77734375" customWidth="1"/>
    <col min="13054" max="13055" width="12.77734375" customWidth="1"/>
    <col min="13056" max="13056" width="13.5546875" customWidth="1"/>
    <col min="13057" max="13057" width="15.21875" customWidth="1"/>
    <col min="13058" max="13058" width="12.77734375" customWidth="1"/>
    <col min="13059" max="13059" width="13.77734375" customWidth="1"/>
    <col min="13060" max="13060" width="1.77734375" customWidth="1"/>
    <col min="13061" max="13061" width="13" customWidth="1"/>
    <col min="13302" max="13302" width="6" customWidth="1"/>
    <col min="13303" max="13303" width="1.44140625" customWidth="1"/>
    <col min="13304" max="13304" width="39.109375" customWidth="1"/>
    <col min="13305" max="13305" width="12" customWidth="1"/>
    <col min="13306" max="13306" width="14.44140625" customWidth="1"/>
    <col min="13307" max="13307" width="11.77734375" customWidth="1"/>
    <col min="13308" max="13308" width="14.109375" customWidth="1"/>
    <col min="13309" max="13309" width="13.77734375" customWidth="1"/>
    <col min="13310" max="13311" width="12.77734375" customWidth="1"/>
    <col min="13312" max="13312" width="13.5546875" customWidth="1"/>
    <col min="13313" max="13313" width="15.21875" customWidth="1"/>
    <col min="13314" max="13314" width="12.77734375" customWidth="1"/>
    <col min="13315" max="13315" width="13.77734375" customWidth="1"/>
    <col min="13316" max="13316" width="1.77734375" customWidth="1"/>
    <col min="13317" max="13317" width="13" customWidth="1"/>
    <col min="13558" max="13558" width="6" customWidth="1"/>
    <col min="13559" max="13559" width="1.44140625" customWidth="1"/>
    <col min="13560" max="13560" width="39.109375" customWidth="1"/>
    <col min="13561" max="13561" width="12" customWidth="1"/>
    <col min="13562" max="13562" width="14.44140625" customWidth="1"/>
    <col min="13563" max="13563" width="11.77734375" customWidth="1"/>
    <col min="13564" max="13564" width="14.109375" customWidth="1"/>
    <col min="13565" max="13565" width="13.77734375" customWidth="1"/>
    <col min="13566" max="13567" width="12.77734375" customWidth="1"/>
    <col min="13568" max="13568" width="13.5546875" customWidth="1"/>
    <col min="13569" max="13569" width="15.21875" customWidth="1"/>
    <col min="13570" max="13570" width="12.77734375" customWidth="1"/>
    <col min="13571" max="13571" width="13.77734375" customWidth="1"/>
    <col min="13572" max="13572" width="1.77734375" customWidth="1"/>
    <col min="13573" max="13573" width="13" customWidth="1"/>
    <col min="13814" max="13814" width="6" customWidth="1"/>
    <col min="13815" max="13815" width="1.44140625" customWidth="1"/>
    <col min="13816" max="13816" width="39.109375" customWidth="1"/>
    <col min="13817" max="13817" width="12" customWidth="1"/>
    <col min="13818" max="13818" width="14.44140625" customWidth="1"/>
    <col min="13819" max="13819" width="11.77734375" customWidth="1"/>
    <col min="13820" max="13820" width="14.109375" customWidth="1"/>
    <col min="13821" max="13821" width="13.77734375" customWidth="1"/>
    <col min="13822" max="13823" width="12.77734375" customWidth="1"/>
    <col min="13824" max="13824" width="13.5546875" customWidth="1"/>
    <col min="13825" max="13825" width="15.21875" customWidth="1"/>
    <col min="13826" max="13826" width="12.77734375" customWidth="1"/>
    <col min="13827" max="13827" width="13.77734375" customWidth="1"/>
    <col min="13828" max="13828" width="1.77734375" customWidth="1"/>
    <col min="13829" max="13829" width="13" customWidth="1"/>
    <col min="14070" max="14070" width="6" customWidth="1"/>
    <col min="14071" max="14071" width="1.44140625" customWidth="1"/>
    <col min="14072" max="14072" width="39.109375" customWidth="1"/>
    <col min="14073" max="14073" width="12" customWidth="1"/>
    <col min="14074" max="14074" width="14.44140625" customWidth="1"/>
    <col min="14075" max="14075" width="11.77734375" customWidth="1"/>
    <col min="14076" max="14076" width="14.109375" customWidth="1"/>
    <col min="14077" max="14077" width="13.77734375" customWidth="1"/>
    <col min="14078" max="14079" width="12.77734375" customWidth="1"/>
    <col min="14080" max="14080" width="13.5546875" customWidth="1"/>
    <col min="14081" max="14081" width="15.21875" customWidth="1"/>
    <col min="14082" max="14082" width="12.77734375" customWidth="1"/>
    <col min="14083" max="14083" width="13.77734375" customWidth="1"/>
    <col min="14084" max="14084" width="1.77734375" customWidth="1"/>
    <col min="14085" max="14085" width="13" customWidth="1"/>
    <col min="14326" max="14326" width="6" customWidth="1"/>
    <col min="14327" max="14327" width="1.44140625" customWidth="1"/>
    <col min="14328" max="14328" width="39.109375" customWidth="1"/>
    <col min="14329" max="14329" width="12" customWidth="1"/>
    <col min="14330" max="14330" width="14.44140625" customWidth="1"/>
    <col min="14331" max="14331" width="11.77734375" customWidth="1"/>
    <col min="14332" max="14332" width="14.109375" customWidth="1"/>
    <col min="14333" max="14333" width="13.77734375" customWidth="1"/>
    <col min="14334" max="14335" width="12.77734375" customWidth="1"/>
    <col min="14336" max="14336" width="13.5546875" customWidth="1"/>
    <col min="14337" max="14337" width="15.21875" customWidth="1"/>
    <col min="14338" max="14338" width="12.77734375" customWidth="1"/>
    <col min="14339" max="14339" width="13.77734375" customWidth="1"/>
    <col min="14340" max="14340" width="1.77734375" customWidth="1"/>
    <col min="14341" max="14341" width="13" customWidth="1"/>
    <col min="14582" max="14582" width="6" customWidth="1"/>
    <col min="14583" max="14583" width="1.44140625" customWidth="1"/>
    <col min="14584" max="14584" width="39.109375" customWidth="1"/>
    <col min="14585" max="14585" width="12" customWidth="1"/>
    <col min="14586" max="14586" width="14.44140625" customWidth="1"/>
    <col min="14587" max="14587" width="11.77734375" customWidth="1"/>
    <col min="14588" max="14588" width="14.109375" customWidth="1"/>
    <col min="14589" max="14589" width="13.77734375" customWidth="1"/>
    <col min="14590" max="14591" width="12.77734375" customWidth="1"/>
    <col min="14592" max="14592" width="13.5546875" customWidth="1"/>
    <col min="14593" max="14593" width="15.21875" customWidth="1"/>
    <col min="14594" max="14594" width="12.77734375" customWidth="1"/>
    <col min="14595" max="14595" width="13.77734375" customWidth="1"/>
    <col min="14596" max="14596" width="1.77734375" customWidth="1"/>
    <col min="14597" max="14597" width="13" customWidth="1"/>
    <col min="14838" max="14838" width="6" customWidth="1"/>
    <col min="14839" max="14839" width="1.44140625" customWidth="1"/>
    <col min="14840" max="14840" width="39.109375" customWidth="1"/>
    <col min="14841" max="14841" width="12" customWidth="1"/>
    <col min="14842" max="14842" width="14.44140625" customWidth="1"/>
    <col min="14843" max="14843" width="11.77734375" customWidth="1"/>
    <col min="14844" max="14844" width="14.109375" customWidth="1"/>
    <col min="14845" max="14845" width="13.77734375" customWidth="1"/>
    <col min="14846" max="14847" width="12.77734375" customWidth="1"/>
    <col min="14848" max="14848" width="13.5546875" customWidth="1"/>
    <col min="14849" max="14849" width="15.21875" customWidth="1"/>
    <col min="14850" max="14850" width="12.77734375" customWidth="1"/>
    <col min="14851" max="14851" width="13.77734375" customWidth="1"/>
    <col min="14852" max="14852" width="1.77734375" customWidth="1"/>
    <col min="14853" max="14853" width="13" customWidth="1"/>
    <col min="15094" max="15094" width="6" customWidth="1"/>
    <col min="15095" max="15095" width="1.44140625" customWidth="1"/>
    <col min="15096" max="15096" width="39.109375" customWidth="1"/>
    <col min="15097" max="15097" width="12" customWidth="1"/>
    <col min="15098" max="15098" width="14.44140625" customWidth="1"/>
    <col min="15099" max="15099" width="11.77734375" customWidth="1"/>
    <col min="15100" max="15100" width="14.109375" customWidth="1"/>
    <col min="15101" max="15101" width="13.77734375" customWidth="1"/>
    <col min="15102" max="15103" width="12.77734375" customWidth="1"/>
    <col min="15104" max="15104" width="13.5546875" customWidth="1"/>
    <col min="15105" max="15105" width="15.21875" customWidth="1"/>
    <col min="15106" max="15106" width="12.77734375" customWidth="1"/>
    <col min="15107" max="15107" width="13.77734375" customWidth="1"/>
    <col min="15108" max="15108" width="1.77734375" customWidth="1"/>
    <col min="15109" max="15109" width="13" customWidth="1"/>
    <col min="15350" max="15350" width="6" customWidth="1"/>
    <col min="15351" max="15351" width="1.44140625" customWidth="1"/>
    <col min="15352" max="15352" width="39.109375" customWidth="1"/>
    <col min="15353" max="15353" width="12" customWidth="1"/>
    <col min="15354" max="15354" width="14.44140625" customWidth="1"/>
    <col min="15355" max="15355" width="11.77734375" customWidth="1"/>
    <col min="15356" max="15356" width="14.109375" customWidth="1"/>
    <col min="15357" max="15357" width="13.77734375" customWidth="1"/>
    <col min="15358" max="15359" width="12.77734375" customWidth="1"/>
    <col min="15360" max="15360" width="13.5546875" customWidth="1"/>
    <col min="15361" max="15361" width="15.21875" customWidth="1"/>
    <col min="15362" max="15362" width="12.77734375" customWidth="1"/>
    <col min="15363" max="15363" width="13.77734375" customWidth="1"/>
    <col min="15364" max="15364" width="1.77734375" customWidth="1"/>
    <col min="15365" max="15365" width="13" customWidth="1"/>
    <col min="15606" max="15606" width="6" customWidth="1"/>
    <col min="15607" max="15607" width="1.44140625" customWidth="1"/>
    <col min="15608" max="15608" width="39.109375" customWidth="1"/>
    <col min="15609" max="15609" width="12" customWidth="1"/>
    <col min="15610" max="15610" width="14.44140625" customWidth="1"/>
    <col min="15611" max="15611" width="11.77734375" customWidth="1"/>
    <col min="15612" max="15612" width="14.109375" customWidth="1"/>
    <col min="15613" max="15613" width="13.77734375" customWidth="1"/>
    <col min="15614" max="15615" width="12.77734375" customWidth="1"/>
    <col min="15616" max="15616" width="13.5546875" customWidth="1"/>
    <col min="15617" max="15617" width="15.21875" customWidth="1"/>
    <col min="15618" max="15618" width="12.77734375" customWidth="1"/>
    <col min="15619" max="15619" width="13.77734375" customWidth="1"/>
    <col min="15620" max="15620" width="1.77734375" customWidth="1"/>
    <col min="15621" max="15621" width="13" customWidth="1"/>
    <col min="15862" max="15862" width="6" customWidth="1"/>
    <col min="15863" max="15863" width="1.44140625" customWidth="1"/>
    <col min="15864" max="15864" width="39.109375" customWidth="1"/>
    <col min="15865" max="15865" width="12" customWidth="1"/>
    <col min="15866" max="15866" width="14.44140625" customWidth="1"/>
    <col min="15867" max="15867" width="11.77734375" customWidth="1"/>
    <col min="15868" max="15868" width="14.109375" customWidth="1"/>
    <col min="15869" max="15869" width="13.77734375" customWidth="1"/>
    <col min="15870" max="15871" width="12.77734375" customWidth="1"/>
    <col min="15872" max="15872" width="13.5546875" customWidth="1"/>
    <col min="15873" max="15873" width="15.21875" customWidth="1"/>
    <col min="15874" max="15874" width="12.77734375" customWidth="1"/>
    <col min="15875" max="15875" width="13.77734375" customWidth="1"/>
    <col min="15876" max="15876" width="1.77734375" customWidth="1"/>
    <col min="15877" max="15877" width="13" customWidth="1"/>
    <col min="16118" max="16118" width="6" customWidth="1"/>
    <col min="16119" max="16119" width="1.44140625" customWidth="1"/>
    <col min="16120" max="16120" width="39.109375" customWidth="1"/>
    <col min="16121" max="16121" width="12" customWidth="1"/>
    <col min="16122" max="16122" width="14.44140625" customWidth="1"/>
    <col min="16123" max="16123" width="11.77734375" customWidth="1"/>
    <col min="16124" max="16124" width="14.109375" customWidth="1"/>
    <col min="16125" max="16125" width="13.77734375" customWidth="1"/>
    <col min="16126" max="16127" width="12.77734375" customWidth="1"/>
    <col min="16128" max="16128" width="13.5546875" customWidth="1"/>
    <col min="16129" max="16129" width="15.21875" customWidth="1"/>
    <col min="16130" max="16130" width="12.77734375" customWidth="1"/>
    <col min="16131" max="16131" width="13.77734375" customWidth="1"/>
    <col min="16132" max="16132" width="1.77734375" customWidth="1"/>
    <col min="16133" max="16133" width="13" customWidth="1"/>
    <col min="16374" max="16384" width="8.77734375" customWidth="1"/>
  </cols>
  <sheetData>
    <row r="1" spans="1:14">
      <c r="I1" s="50" t="s">
        <v>296</v>
      </c>
      <c r="M1" s="785"/>
    </row>
    <row r="2" spans="1:14">
      <c r="I2" s="50" t="s">
        <v>294</v>
      </c>
      <c r="M2" s="785"/>
      <c r="N2" s="785"/>
    </row>
    <row r="3" spans="1:14">
      <c r="I3" s="50" t="s">
        <v>192</v>
      </c>
    </row>
    <row r="4" spans="1:14">
      <c r="I4" s="61" t="str">
        <f>"For the 12 months ended: "&amp;TEXT(INPUT!B1,"mm/dd/yyyy")</f>
        <v>For the 12 months ended: 12/31/2021</v>
      </c>
    </row>
    <row r="5" spans="1:14">
      <c r="C5" s="24"/>
    </row>
    <row r="6" spans="1:14">
      <c r="A6" s="144" t="s">
        <v>255</v>
      </c>
      <c r="B6" s="174"/>
      <c r="C6" s="174"/>
      <c r="D6" s="144"/>
      <c r="E6" s="144"/>
      <c r="F6" s="144"/>
      <c r="G6" s="174"/>
      <c r="H6" s="144"/>
      <c r="I6" s="144"/>
    </row>
    <row r="7" spans="1:14">
      <c r="A7" s="145" t="s">
        <v>297</v>
      </c>
      <c r="B7" s="174"/>
      <c r="C7" s="174"/>
      <c r="D7" s="146"/>
      <c r="E7" s="146"/>
      <c r="F7" s="146"/>
      <c r="G7" s="174"/>
      <c r="H7" s="146"/>
      <c r="I7" s="146"/>
    </row>
    <row r="8" spans="1:14">
      <c r="A8" s="146"/>
      <c r="B8" s="174"/>
      <c r="C8" s="174"/>
      <c r="D8" s="146"/>
      <c r="E8" s="146"/>
      <c r="F8" s="146"/>
      <c r="G8" s="174"/>
      <c r="H8" s="146"/>
      <c r="I8" s="146"/>
    </row>
    <row r="9" spans="1:14">
      <c r="A9" s="258" t="str">
        <f>DEO!A11</f>
        <v>DUKE ENERGY OHIO (DEO)</v>
      </c>
      <c r="B9" s="174"/>
      <c r="C9" s="174"/>
      <c r="D9" s="146"/>
      <c r="E9" s="146"/>
      <c r="F9" s="146"/>
      <c r="G9" s="174"/>
      <c r="H9" s="177"/>
      <c r="I9" s="146"/>
    </row>
    <row r="10" spans="1:14">
      <c r="A10" s="176" t="s">
        <v>597</v>
      </c>
      <c r="B10" s="174"/>
      <c r="C10" s="146"/>
      <c r="D10" s="146"/>
      <c r="E10" s="146"/>
      <c r="F10" s="146"/>
      <c r="G10" s="174"/>
      <c r="H10" s="177"/>
      <c r="I10" s="146"/>
    </row>
    <row r="11" spans="1:14">
      <c r="A11" s="250"/>
      <c r="B11" s="174"/>
      <c r="C11" s="146"/>
      <c r="D11" s="146"/>
      <c r="E11" s="146"/>
      <c r="F11" s="146"/>
      <c r="G11" s="177"/>
      <c r="H11" s="146"/>
      <c r="I11" s="146"/>
    </row>
    <row r="12" spans="1:14">
      <c r="A12" s="146" t="s">
        <v>785</v>
      </c>
      <c r="B12" s="174"/>
      <c r="C12" s="174"/>
      <c r="D12" s="146"/>
      <c r="E12" s="146"/>
      <c r="F12" s="146"/>
      <c r="G12" s="177"/>
      <c r="H12" s="146"/>
      <c r="I12" s="146"/>
    </row>
    <row r="13" spans="1:14">
      <c r="A13" s="86"/>
      <c r="C13" s="1"/>
      <c r="D13" s="1"/>
      <c r="E13" s="1"/>
      <c r="F13" s="1"/>
      <c r="G13" s="17"/>
    </row>
    <row r="14" spans="1:14">
      <c r="A14" s="86"/>
      <c r="C14" s="1"/>
      <c r="D14" s="1"/>
      <c r="E14" s="1"/>
      <c r="F14" s="1"/>
      <c r="G14" s="1"/>
    </row>
    <row r="15" spans="1:14">
      <c r="C15" s="3" t="s">
        <v>18</v>
      </c>
      <c r="D15" s="3"/>
      <c r="E15" s="3" t="s">
        <v>19</v>
      </c>
      <c r="F15" s="3"/>
      <c r="G15" s="3" t="s">
        <v>20</v>
      </c>
      <c r="I15" s="5" t="s">
        <v>21</v>
      </c>
    </row>
    <row r="16" spans="1:14">
      <c r="C16" s="1"/>
      <c r="D16" s="1"/>
    </row>
    <row r="17" spans="1:12">
      <c r="A17" s="26" t="s">
        <v>8</v>
      </c>
      <c r="C17" s="1"/>
      <c r="D17" s="1"/>
      <c r="E17" s="4" t="s">
        <v>296</v>
      </c>
      <c r="F17" s="4"/>
      <c r="G17" s="2"/>
    </row>
    <row r="18" spans="1:12">
      <c r="A18" s="180" t="s">
        <v>10</v>
      </c>
      <c r="B18" s="249"/>
      <c r="C18" s="184"/>
      <c r="D18" s="184"/>
      <c r="E18" s="238" t="s">
        <v>25</v>
      </c>
      <c r="F18" s="238"/>
      <c r="G18" s="180" t="s">
        <v>24</v>
      </c>
      <c r="H18" s="249"/>
      <c r="I18" s="180" t="s">
        <v>13</v>
      </c>
    </row>
    <row r="19" spans="1:12" ht="15.75">
      <c r="A19" s="90"/>
      <c r="C19" s="1" t="s">
        <v>335</v>
      </c>
      <c r="D19" s="1"/>
      <c r="E19" s="4"/>
      <c r="F19" s="2"/>
      <c r="G19" s="2"/>
      <c r="I19" s="2"/>
    </row>
    <row r="20" spans="1:12">
      <c r="A20" s="91">
        <v>1</v>
      </c>
      <c r="C20" s="1" t="s">
        <v>212</v>
      </c>
      <c r="D20" s="1"/>
      <c r="E20" s="4" t="s">
        <v>643</v>
      </c>
      <c r="F20" s="4"/>
      <c r="G20" s="92">
        <f>DEO!J54</f>
        <v>1262220857</v>
      </c>
    </row>
    <row r="21" spans="1:12">
      <c r="A21" s="91">
        <v>2</v>
      </c>
      <c r="C21" s="1" t="s">
        <v>213</v>
      </c>
      <c r="D21" s="1"/>
      <c r="E21" s="4" t="s">
        <v>644</v>
      </c>
      <c r="F21" s="4"/>
      <c r="G21" s="92">
        <f>DEO!J70</f>
        <v>1078093884</v>
      </c>
    </row>
    <row r="22" spans="1:12">
      <c r="A22" s="91"/>
      <c r="E22" s="4"/>
      <c r="F22" s="4"/>
    </row>
    <row r="23" spans="1:12">
      <c r="A23" s="91"/>
      <c r="C23" s="1" t="s">
        <v>193</v>
      </c>
      <c r="D23" s="1"/>
      <c r="E23" s="4"/>
      <c r="F23" s="4"/>
      <c r="G23" s="2"/>
      <c r="I23" s="2"/>
    </row>
    <row r="24" spans="1:12">
      <c r="A24" s="91">
        <v>3</v>
      </c>
      <c r="C24" s="1" t="s">
        <v>214</v>
      </c>
      <c r="D24" s="1"/>
      <c r="E24" s="4" t="s">
        <v>642</v>
      </c>
      <c r="F24" s="4"/>
      <c r="G24" s="92">
        <f>DEO!J127</f>
        <v>27348835</v>
      </c>
    </row>
    <row r="25" spans="1:12">
      <c r="A25" s="91">
        <v>4</v>
      </c>
      <c r="C25" s="1" t="s">
        <v>215</v>
      </c>
      <c r="D25" s="1"/>
      <c r="E25" s="4" t="s">
        <v>649</v>
      </c>
      <c r="F25" s="4"/>
      <c r="G25" s="93">
        <f>ROUND(IF(G24=0,0,G24/G20),4)</f>
        <v>2.1700000000000001E-2</v>
      </c>
      <c r="I25" s="94">
        <f>G25</f>
        <v>2.1700000000000001E-2</v>
      </c>
    </row>
    <row r="26" spans="1:12">
      <c r="A26" s="91"/>
      <c r="E26" s="4"/>
      <c r="F26" s="4"/>
    </row>
    <row r="27" spans="1:12" ht="30">
      <c r="A27" s="97"/>
      <c r="C27" s="381" t="s">
        <v>569</v>
      </c>
      <c r="D27" s="1"/>
      <c r="E27" s="67"/>
      <c r="F27" s="4"/>
    </row>
    <row r="28" spans="1:12">
      <c r="A28" s="97" t="s">
        <v>216</v>
      </c>
      <c r="C28" s="1" t="s">
        <v>570</v>
      </c>
      <c r="D28" s="1"/>
      <c r="E28" s="4" t="s">
        <v>535</v>
      </c>
      <c r="F28" s="4"/>
      <c r="G28" s="92">
        <f>DEO!J131+DEO!J132</f>
        <v>7334290</v>
      </c>
    </row>
    <row r="29" spans="1:12" ht="30">
      <c r="A29" s="382" t="s">
        <v>217</v>
      </c>
      <c r="C29" s="381" t="s">
        <v>571</v>
      </c>
      <c r="D29" s="1"/>
      <c r="E29" s="383" t="s">
        <v>646</v>
      </c>
      <c r="F29" s="383"/>
      <c r="G29" s="384">
        <f>ROUND(IF(G28=0,0,G28/G20),4)</f>
        <v>5.7999999999999996E-3</v>
      </c>
      <c r="H29" s="385"/>
      <c r="I29" s="386">
        <f>G29</f>
        <v>5.7999999999999996E-3</v>
      </c>
      <c r="K29" s="87"/>
      <c r="L29" s="84"/>
    </row>
    <row r="30" spans="1:12">
      <c r="A30" s="91"/>
      <c r="E30" s="4"/>
      <c r="F30" s="4"/>
    </row>
    <row r="31" spans="1:12">
      <c r="A31" s="97"/>
      <c r="C31" s="1" t="s">
        <v>196</v>
      </c>
      <c r="D31" s="1"/>
      <c r="E31" s="67"/>
      <c r="F31" s="67"/>
      <c r="G31" s="2"/>
      <c r="I31" s="2"/>
    </row>
    <row r="32" spans="1:12">
      <c r="A32" s="97" t="s">
        <v>219</v>
      </c>
      <c r="C32" s="1" t="s">
        <v>198</v>
      </c>
      <c r="D32" s="1"/>
      <c r="E32" s="4" t="s">
        <v>641</v>
      </c>
      <c r="F32" s="4"/>
      <c r="G32" s="92">
        <f>DEO!J144</f>
        <v>52162325</v>
      </c>
    </row>
    <row r="33" spans="1:10">
      <c r="A33" s="97" t="s">
        <v>221</v>
      </c>
      <c r="C33" s="1" t="s">
        <v>218</v>
      </c>
      <c r="D33" s="1"/>
      <c r="E33" s="4" t="s">
        <v>647</v>
      </c>
      <c r="F33" s="4"/>
      <c r="G33" s="93">
        <f>ROUND(IF(G32=0,0,G32/G20),4)</f>
        <v>4.1300000000000003E-2</v>
      </c>
      <c r="I33" s="94">
        <f>G33</f>
        <v>4.1300000000000003E-2</v>
      </c>
    </row>
    <row r="34" spans="1:10">
      <c r="A34" s="97"/>
      <c r="C34" s="1"/>
      <c r="D34" s="1"/>
      <c r="E34" s="4"/>
      <c r="F34" s="4"/>
      <c r="G34" s="2"/>
      <c r="I34" s="2"/>
    </row>
    <row r="35" spans="1:10" ht="15.75">
      <c r="A35" s="98" t="s">
        <v>194</v>
      </c>
      <c r="B35" s="99"/>
      <c r="C35" s="10" t="s">
        <v>220</v>
      </c>
      <c r="D35" s="10"/>
      <c r="E35" s="88" t="s">
        <v>402</v>
      </c>
      <c r="F35" s="88"/>
      <c r="G35" s="100"/>
      <c r="I35" s="101">
        <f>I25+I29+I33</f>
        <v>6.88E-2</v>
      </c>
    </row>
    <row r="36" spans="1:10">
      <c r="A36" s="229"/>
      <c r="C36" s="1"/>
      <c r="D36" s="1"/>
      <c r="E36" s="4"/>
      <c r="F36" s="4"/>
      <c r="G36" s="2"/>
      <c r="I36" s="2"/>
    </row>
    <row r="37" spans="1:10">
      <c r="A37" s="97"/>
      <c r="B37" s="102"/>
      <c r="C37" s="2" t="s">
        <v>200</v>
      </c>
      <c r="D37" s="2"/>
      <c r="E37" s="4"/>
      <c r="F37" s="4"/>
      <c r="G37" s="2"/>
      <c r="I37" s="2"/>
    </row>
    <row r="38" spans="1:10">
      <c r="A38" s="97" t="s">
        <v>195</v>
      </c>
      <c r="B38" s="102"/>
      <c r="C38" s="2" t="s">
        <v>125</v>
      </c>
      <c r="D38" s="2"/>
      <c r="E38" s="4" t="s">
        <v>801</v>
      </c>
      <c r="F38" s="4"/>
      <c r="G38" s="92">
        <f>DEO!J161</f>
        <v>8847140</v>
      </c>
      <c r="I38" s="2"/>
    </row>
    <row r="39" spans="1:10">
      <c r="A39" s="97" t="s">
        <v>197</v>
      </c>
      <c r="B39" s="102"/>
      <c r="C39" s="2" t="s">
        <v>222</v>
      </c>
      <c r="D39" s="2"/>
      <c r="E39" s="4" t="s">
        <v>648</v>
      </c>
      <c r="F39" s="4"/>
      <c r="G39" s="93">
        <f>ROUND(IF(G38=0,0,G38/G21),4)</f>
        <v>8.2000000000000007E-3</v>
      </c>
      <c r="I39" s="94">
        <f>G39</f>
        <v>8.2000000000000007E-3</v>
      </c>
    </row>
    <row r="40" spans="1:10">
      <c r="A40" s="97"/>
      <c r="C40" s="2"/>
      <c r="D40" s="2"/>
      <c r="E40" s="4"/>
      <c r="F40" s="4"/>
      <c r="G40" s="2"/>
      <c r="I40" s="2"/>
    </row>
    <row r="41" spans="1:10">
      <c r="A41" s="97"/>
      <c r="C41" s="1" t="s">
        <v>59</v>
      </c>
      <c r="D41" s="1"/>
      <c r="E41" s="15"/>
      <c r="F41" s="15"/>
    </row>
    <row r="42" spans="1:10">
      <c r="A42" s="97" t="s">
        <v>199</v>
      </c>
      <c r="C42" s="1" t="s">
        <v>201</v>
      </c>
      <c r="D42" s="1"/>
      <c r="E42" s="4" t="s">
        <v>802</v>
      </c>
      <c r="F42" s="4"/>
      <c r="G42" s="92">
        <f>DEO!J163</f>
        <v>72280102</v>
      </c>
      <c r="I42" s="2"/>
    </row>
    <row r="43" spans="1:10">
      <c r="A43" s="97" t="s">
        <v>260</v>
      </c>
      <c r="B43" s="102"/>
      <c r="C43" s="2" t="s">
        <v>223</v>
      </c>
      <c r="D43" s="2"/>
      <c r="E43" s="4" t="s">
        <v>645</v>
      </c>
      <c r="F43" s="4"/>
      <c r="G43" s="103">
        <f>ROUND(IF(G42=0,0,G42/G21),4)</f>
        <v>6.7000000000000004E-2</v>
      </c>
      <c r="I43" s="94">
        <f>G43</f>
        <v>6.7000000000000004E-2</v>
      </c>
    </row>
    <row r="44" spans="1:10">
      <c r="A44" s="97"/>
      <c r="C44" s="1"/>
      <c r="D44" s="1"/>
      <c r="E44" s="4"/>
      <c r="F44" s="4"/>
      <c r="G44" s="2"/>
      <c r="I44" s="2"/>
    </row>
    <row r="45" spans="1:10" ht="15.75">
      <c r="A45" s="98" t="s">
        <v>261</v>
      </c>
      <c r="B45" s="99"/>
      <c r="C45" s="10" t="s">
        <v>224</v>
      </c>
      <c r="D45" s="10"/>
      <c r="E45" s="88" t="s">
        <v>337</v>
      </c>
      <c r="F45" s="88"/>
      <c r="G45" s="100"/>
      <c r="I45" s="101">
        <f>I39+I43</f>
        <v>7.5200000000000003E-2</v>
      </c>
    </row>
    <row r="47" spans="1:10">
      <c r="A47" s="106"/>
      <c r="C47" s="97"/>
      <c r="D47" s="97"/>
      <c r="E47" s="67"/>
      <c r="F47" s="67"/>
      <c r="G47" s="2"/>
      <c r="H47" s="9"/>
      <c r="I47" s="9"/>
      <c r="J47" s="93"/>
    </row>
    <row r="48" spans="1:10">
      <c r="A48" s="86"/>
      <c r="C48" s="9"/>
      <c r="D48" s="9"/>
      <c r="E48" s="9"/>
      <c r="F48" s="9"/>
      <c r="G48" s="2"/>
      <c r="H48" s="9"/>
      <c r="I48" s="9"/>
      <c r="J48" s="9"/>
    </row>
    <row r="49" spans="11:28">
      <c r="X49" s="50" t="s">
        <v>296</v>
      </c>
    </row>
    <row r="50" spans="11:28">
      <c r="X50" s="50" t="s">
        <v>294</v>
      </c>
    </row>
    <row r="51" spans="11:28">
      <c r="X51" s="107" t="s">
        <v>202</v>
      </c>
    </row>
    <row r="52" spans="11:28">
      <c r="K52" s="86"/>
      <c r="M52" s="9"/>
      <c r="N52" s="9"/>
      <c r="O52" s="9"/>
      <c r="P52" s="9"/>
      <c r="Q52" s="2"/>
      <c r="R52" s="9"/>
      <c r="S52" s="9"/>
      <c r="T52" s="9"/>
      <c r="U52" s="9"/>
      <c r="W52" s="2"/>
      <c r="X52" s="107" t="str">
        <f>I4</f>
        <v>For the 12 months ended: 12/31/2021</v>
      </c>
      <c r="Y52" s="87"/>
      <c r="Z52" s="84"/>
      <c r="AA52" s="87"/>
      <c r="AB52" s="84"/>
    </row>
    <row r="53" spans="11:28">
      <c r="K53" s="86"/>
      <c r="M53" s="1"/>
      <c r="N53" s="9"/>
      <c r="O53" s="9"/>
      <c r="P53" s="9"/>
      <c r="Q53" s="2"/>
      <c r="R53" s="9"/>
      <c r="S53" s="9"/>
      <c r="T53" s="9"/>
      <c r="U53" s="9"/>
      <c r="W53" s="2"/>
      <c r="Y53" s="87"/>
      <c r="Z53" s="84"/>
      <c r="AA53" s="87"/>
      <c r="AB53" s="84"/>
    </row>
    <row r="54" spans="11:28">
      <c r="K54" s="70" t="str">
        <f>A6</f>
        <v>Rate Formula Template</v>
      </c>
      <c r="L54" s="174"/>
      <c r="M54" s="174"/>
      <c r="N54" s="146"/>
      <c r="O54" s="70"/>
      <c r="P54" s="70"/>
      <c r="Q54" s="174"/>
      <c r="R54" s="70"/>
      <c r="S54" s="70"/>
      <c r="T54" s="70"/>
      <c r="U54" s="70"/>
      <c r="V54" s="174"/>
      <c r="W54" s="145"/>
      <c r="X54" s="174"/>
      <c r="Y54" s="87"/>
      <c r="Z54" s="84"/>
      <c r="AA54" s="87"/>
      <c r="AB54" s="84"/>
    </row>
    <row r="55" spans="11:28">
      <c r="K55" s="70" t="str">
        <f>A7</f>
        <v>Utilizing Attachment H-22A Data</v>
      </c>
      <c r="L55" s="174"/>
      <c r="M55" s="146"/>
      <c r="N55" s="146"/>
      <c r="O55" s="70"/>
      <c r="P55" s="70"/>
      <c r="Q55" s="174"/>
      <c r="R55" s="70"/>
      <c r="S55" s="70"/>
      <c r="T55" s="70"/>
      <c r="U55" s="70"/>
      <c r="V55" s="145"/>
      <c r="W55" s="145"/>
      <c r="X55" s="174"/>
      <c r="Y55" s="87"/>
      <c r="Z55" s="84"/>
      <c r="AA55" s="87"/>
      <c r="AB55" s="84"/>
    </row>
    <row r="56" spans="11:28" ht="14.25" customHeight="1">
      <c r="K56" s="173"/>
      <c r="M56" s="9"/>
      <c r="N56" s="9"/>
      <c r="O56" s="9"/>
      <c r="P56" s="9"/>
      <c r="R56" s="70"/>
      <c r="S56" s="9"/>
      <c r="T56" s="9"/>
      <c r="U56" s="9"/>
      <c r="W56" s="2"/>
      <c r="X56" s="9"/>
      <c r="Y56" s="87"/>
      <c r="Z56" s="84"/>
      <c r="AA56" s="87"/>
      <c r="AB56" s="84"/>
    </row>
    <row r="57" spans="11:28">
      <c r="K57" s="70" t="str">
        <f>A9</f>
        <v>DUKE ENERGY OHIO (DEO)</v>
      </c>
      <c r="L57" s="174"/>
      <c r="M57" s="174"/>
      <c r="N57" s="174"/>
      <c r="O57" s="70"/>
      <c r="P57" s="70"/>
      <c r="Q57" s="174"/>
      <c r="R57" s="70"/>
      <c r="S57" s="70"/>
      <c r="T57" s="70"/>
      <c r="U57" s="70"/>
      <c r="V57" s="70"/>
      <c r="W57" s="145"/>
      <c r="X57" s="145"/>
      <c r="Y57" s="87"/>
      <c r="Z57" s="84"/>
      <c r="AA57" s="87"/>
      <c r="AB57" s="84"/>
    </row>
    <row r="58" spans="11:28">
      <c r="K58" s="70" t="str">
        <f>A10</f>
        <v>MTEP - Transmission Enhancement Charges</v>
      </c>
      <c r="L58" s="174"/>
      <c r="M58" s="174"/>
      <c r="N58" s="174"/>
      <c r="O58" s="146"/>
      <c r="P58" s="146"/>
      <c r="Q58" s="146"/>
      <c r="R58" s="146"/>
      <c r="S58" s="146"/>
      <c r="T58" s="146"/>
      <c r="U58" s="146"/>
      <c r="V58" s="146"/>
      <c r="W58" s="146"/>
      <c r="X58" s="146"/>
      <c r="Y58" s="87"/>
      <c r="Z58" s="84"/>
      <c r="AA58" s="87"/>
      <c r="AB58" s="84"/>
    </row>
    <row r="59" spans="11:28">
      <c r="K59" s="86"/>
      <c r="O59" s="1"/>
      <c r="P59" s="1"/>
      <c r="Q59" s="1"/>
      <c r="R59" s="1"/>
      <c r="S59" s="1"/>
      <c r="T59" s="1"/>
      <c r="U59" s="1"/>
      <c r="V59" s="1"/>
      <c r="W59" s="1"/>
      <c r="X59" s="1"/>
      <c r="Y59" s="87"/>
      <c r="Z59" s="84"/>
      <c r="AA59" s="87"/>
      <c r="AB59" s="84"/>
    </row>
    <row r="60" spans="11:28" ht="15.75">
      <c r="K60" s="175" t="s">
        <v>269</v>
      </c>
      <c r="L60" s="174"/>
      <c r="M60" s="70"/>
      <c r="N60" s="70"/>
      <c r="O60" s="174"/>
      <c r="P60" s="175"/>
      <c r="Q60" s="174"/>
      <c r="R60" s="146"/>
      <c r="S60" s="146"/>
      <c r="T60" s="146"/>
      <c r="U60" s="146"/>
      <c r="V60" s="146"/>
      <c r="W60" s="145"/>
      <c r="X60" s="145"/>
      <c r="Y60" s="87"/>
      <c r="Z60" s="84"/>
      <c r="AA60" s="87"/>
      <c r="AB60" s="84"/>
    </row>
    <row r="61" spans="11:28" ht="15.75">
      <c r="K61" s="86"/>
      <c r="M61" s="9"/>
      <c r="N61" s="9"/>
      <c r="O61" s="10"/>
      <c r="P61" s="10"/>
      <c r="R61" s="1"/>
      <c r="S61" s="1"/>
      <c r="T61" s="1"/>
      <c r="U61" s="1"/>
      <c r="V61" s="1"/>
      <c r="W61" s="2"/>
      <c r="X61" s="2"/>
      <c r="Y61" s="87"/>
      <c r="Z61" s="84"/>
      <c r="AA61" s="87"/>
      <c r="AB61" s="84"/>
    </row>
    <row r="62" spans="11:28" ht="15.75">
      <c r="K62" s="86"/>
      <c r="M62" s="108">
        <v>-1</v>
      </c>
      <c r="N62" s="108">
        <v>-2</v>
      </c>
      <c r="O62" s="108">
        <v>-3</v>
      </c>
      <c r="P62" s="108">
        <v>-4</v>
      </c>
      <c r="Q62" s="108">
        <v>-5</v>
      </c>
      <c r="R62" s="108">
        <v>-6</v>
      </c>
      <c r="S62" s="108">
        <v>-7</v>
      </c>
      <c r="T62" s="108">
        <v>-8</v>
      </c>
      <c r="U62" s="108">
        <v>-9</v>
      </c>
      <c r="V62" s="108">
        <v>-10</v>
      </c>
      <c r="W62" s="108">
        <v>-11</v>
      </c>
      <c r="X62" s="108">
        <v>-12</v>
      </c>
      <c r="Y62" s="87"/>
      <c r="Z62" s="84"/>
      <c r="AA62" s="87"/>
      <c r="AB62" s="84"/>
    </row>
    <row r="63" spans="11:28" ht="63">
      <c r="K63" s="109" t="s">
        <v>225</v>
      </c>
      <c r="L63" s="110"/>
      <c r="M63" s="110" t="s">
        <v>206</v>
      </c>
      <c r="N63" s="111" t="s">
        <v>226</v>
      </c>
      <c r="O63" s="112" t="s">
        <v>227</v>
      </c>
      <c r="P63" s="112" t="s">
        <v>220</v>
      </c>
      <c r="Q63" s="113" t="s">
        <v>228</v>
      </c>
      <c r="R63" s="112" t="s">
        <v>229</v>
      </c>
      <c r="S63" s="112" t="s">
        <v>224</v>
      </c>
      <c r="T63" s="113" t="s">
        <v>230</v>
      </c>
      <c r="U63" s="112" t="s">
        <v>231</v>
      </c>
      <c r="V63" s="114" t="s">
        <v>232</v>
      </c>
      <c r="W63" s="115" t="s">
        <v>233</v>
      </c>
      <c r="X63" s="114" t="s">
        <v>234</v>
      </c>
      <c r="Y63" s="96"/>
      <c r="Z63" s="84"/>
      <c r="AA63" s="87"/>
      <c r="AB63" s="84"/>
    </row>
    <row r="64" spans="11:28" ht="46.5" customHeight="1">
      <c r="K64" s="116"/>
      <c r="L64" s="117"/>
      <c r="M64" s="117"/>
      <c r="N64" s="117"/>
      <c r="O64" s="118" t="s">
        <v>16</v>
      </c>
      <c r="P64" s="118" t="s">
        <v>694</v>
      </c>
      <c r="Q64" s="119" t="s">
        <v>235</v>
      </c>
      <c r="R64" s="118" t="s">
        <v>17</v>
      </c>
      <c r="S64" s="118" t="s">
        <v>695</v>
      </c>
      <c r="T64" s="119" t="s">
        <v>236</v>
      </c>
      <c r="U64" s="118" t="s">
        <v>237</v>
      </c>
      <c r="V64" s="119" t="s">
        <v>238</v>
      </c>
      <c r="W64" s="120" t="s">
        <v>203</v>
      </c>
      <c r="X64" s="121" t="s">
        <v>239</v>
      </c>
      <c r="Y64" s="87"/>
      <c r="Z64" s="84"/>
      <c r="AA64" s="87"/>
      <c r="AB64" s="84"/>
    </row>
    <row r="65" spans="11:28">
      <c r="K65" s="122"/>
      <c r="L65" s="1"/>
      <c r="M65" s="1"/>
      <c r="N65" s="1"/>
      <c r="O65" s="1"/>
      <c r="P65" s="1"/>
      <c r="Q65" s="123"/>
      <c r="R65" s="1"/>
      <c r="S65" s="1"/>
      <c r="T65" s="123"/>
      <c r="U65" s="1"/>
      <c r="V65" s="123"/>
      <c r="W65" s="2"/>
      <c r="X65" s="124"/>
      <c r="Y65" s="87"/>
      <c r="Z65" s="84"/>
      <c r="AA65" s="87"/>
      <c r="AB65" s="84"/>
    </row>
    <row r="66" spans="11:28">
      <c r="K66" s="610" t="s">
        <v>1</v>
      </c>
      <c r="L66" s="255"/>
      <c r="M66" s="255" t="s">
        <v>254</v>
      </c>
      <c r="N66" s="607">
        <v>91</v>
      </c>
      <c r="O66" s="160">
        <v>17171005</v>
      </c>
      <c r="P66" s="94">
        <f>$I$35</f>
        <v>6.88E-2</v>
      </c>
      <c r="Q66" s="565">
        <f>ROUND(O66*P66,0)</f>
        <v>1181365</v>
      </c>
      <c r="R66" s="126">
        <v>15773028</v>
      </c>
      <c r="S66" s="94">
        <f>$I$45</f>
        <v>7.5200000000000003E-2</v>
      </c>
      <c r="T66" s="565">
        <f>ROUND(R66*S66,0)</f>
        <v>1186132</v>
      </c>
      <c r="U66" s="566">
        <v>308282</v>
      </c>
      <c r="V66" s="565">
        <f>Q66+T66+U66</f>
        <v>2675779</v>
      </c>
      <c r="W66" s="128">
        <v>0</v>
      </c>
      <c r="X66" s="565">
        <f>V66+W66</f>
        <v>2675779</v>
      </c>
      <c r="Y66" s="129"/>
      <c r="Z66" s="129"/>
      <c r="AA66" s="129"/>
      <c r="AB66" s="129"/>
    </row>
    <row r="67" spans="11:28">
      <c r="K67" s="610" t="s">
        <v>242</v>
      </c>
      <c r="L67" s="255"/>
      <c r="M67" s="255" t="s">
        <v>243</v>
      </c>
      <c r="N67" s="608" t="s">
        <v>244</v>
      </c>
      <c r="O67" s="160">
        <v>0</v>
      </c>
      <c r="P67" s="94">
        <f>$I$35</f>
        <v>6.88E-2</v>
      </c>
      <c r="Q67" s="565">
        <f t="shared" ref="Q67:Q68" si="0">ROUND(O67*P67,0)</f>
        <v>0</v>
      </c>
      <c r="R67" s="126">
        <v>0</v>
      </c>
      <c r="S67" s="94">
        <f>$I$45</f>
        <v>7.5200000000000003E-2</v>
      </c>
      <c r="T67" s="565">
        <f t="shared" ref="T67:T68" si="1">ROUND(R67*S67,0)</f>
        <v>0</v>
      </c>
      <c r="U67" s="566">
        <v>0</v>
      </c>
      <c r="V67" s="565">
        <f>Q67+T67+U67</f>
        <v>0</v>
      </c>
      <c r="W67" s="128">
        <v>0</v>
      </c>
      <c r="X67" s="565">
        <f>V67+W67</f>
        <v>0</v>
      </c>
      <c r="Y67" s="129"/>
      <c r="Z67" s="129"/>
      <c r="AA67" s="129"/>
      <c r="AB67" s="129"/>
    </row>
    <row r="68" spans="11:28">
      <c r="K68" s="611" t="s">
        <v>245</v>
      </c>
      <c r="L68" s="255"/>
      <c r="M68" s="255" t="s">
        <v>246</v>
      </c>
      <c r="N68" s="608" t="s">
        <v>247</v>
      </c>
      <c r="O68" s="160">
        <v>0</v>
      </c>
      <c r="P68" s="94">
        <f>$I$35</f>
        <v>6.88E-2</v>
      </c>
      <c r="Q68" s="565">
        <f t="shared" si="0"/>
        <v>0</v>
      </c>
      <c r="R68" s="126">
        <v>0</v>
      </c>
      <c r="S68" s="94">
        <f>$I$45</f>
        <v>7.5200000000000003E-2</v>
      </c>
      <c r="T68" s="565">
        <f t="shared" si="1"/>
        <v>0</v>
      </c>
      <c r="U68" s="566">
        <v>0</v>
      </c>
      <c r="V68" s="565">
        <f>Q68+T68+U68</f>
        <v>0</v>
      </c>
      <c r="W68" s="126">
        <v>0</v>
      </c>
      <c r="X68" s="565">
        <f>V68+W68</f>
        <v>0</v>
      </c>
      <c r="Y68" s="129"/>
      <c r="Z68" s="129"/>
      <c r="AA68" s="129"/>
      <c r="AB68" s="129"/>
    </row>
    <row r="69" spans="11:28">
      <c r="K69" s="125"/>
      <c r="Q69" s="127"/>
      <c r="T69" s="127"/>
      <c r="V69" s="127"/>
      <c r="X69" s="127"/>
      <c r="Y69" s="129"/>
      <c r="Z69" s="129"/>
      <c r="AA69" s="129"/>
      <c r="AB69" s="129"/>
    </row>
    <row r="70" spans="11:28">
      <c r="K70" s="125"/>
      <c r="Q70" s="127"/>
      <c r="T70" s="127"/>
      <c r="V70" s="127"/>
      <c r="X70" s="127"/>
      <c r="Y70" s="129"/>
      <c r="Z70" s="129"/>
      <c r="AA70" s="129"/>
      <c r="AB70" s="129"/>
    </row>
    <row r="71" spans="11:28">
      <c r="K71" s="125"/>
      <c r="Q71" s="127"/>
      <c r="T71" s="127"/>
      <c r="V71" s="127"/>
      <c r="X71" s="127"/>
      <c r="Y71" s="129"/>
      <c r="Z71" s="129"/>
      <c r="AA71" s="129"/>
      <c r="AB71" s="129"/>
    </row>
    <row r="72" spans="11:28">
      <c r="K72" s="125"/>
      <c r="Q72" s="127"/>
      <c r="T72" s="127"/>
      <c r="V72" s="127"/>
      <c r="X72" s="127"/>
      <c r="Y72" s="129"/>
      <c r="Z72" s="129"/>
      <c r="AA72" s="129"/>
      <c r="AB72" s="129"/>
    </row>
    <row r="73" spans="11:28">
      <c r="K73" s="125"/>
      <c r="Q73" s="127"/>
      <c r="T73" s="127"/>
      <c r="V73" s="127"/>
      <c r="X73" s="127"/>
      <c r="Y73" s="129"/>
      <c r="Z73" s="129"/>
      <c r="AA73" s="129"/>
      <c r="AB73" s="129"/>
    </row>
    <row r="74" spans="11:28">
      <c r="K74" s="125"/>
      <c r="M74" s="129"/>
      <c r="N74" s="129"/>
      <c r="O74" s="129"/>
      <c r="P74" s="129"/>
      <c r="Q74" s="130"/>
      <c r="R74" s="129"/>
      <c r="S74" s="129"/>
      <c r="T74" s="130"/>
      <c r="U74" s="129"/>
      <c r="V74" s="130"/>
      <c r="W74" s="129"/>
      <c r="X74" s="130"/>
      <c r="Y74" s="129"/>
      <c r="Z74" s="129"/>
      <c r="AA74" s="129"/>
      <c r="AB74" s="129"/>
    </row>
    <row r="75" spans="11:28">
      <c r="K75" s="125"/>
      <c r="M75" s="129"/>
      <c r="N75" s="129"/>
      <c r="O75" s="129"/>
      <c r="P75" s="129"/>
      <c r="Q75" s="130"/>
      <c r="R75" s="129"/>
      <c r="S75" s="129"/>
      <c r="T75" s="130"/>
      <c r="U75" s="129"/>
      <c r="V75" s="130"/>
      <c r="W75" s="129"/>
      <c r="X75" s="130"/>
      <c r="Y75" s="129"/>
      <c r="Z75" s="129"/>
      <c r="AA75" s="129"/>
      <c r="AB75" s="129"/>
    </row>
    <row r="76" spans="11:28">
      <c r="K76" s="125"/>
      <c r="M76" s="129"/>
      <c r="N76" s="129"/>
      <c r="O76" s="129"/>
      <c r="P76" s="129"/>
      <c r="Q76" s="130"/>
      <c r="R76" s="129"/>
      <c r="S76" s="129"/>
      <c r="T76" s="130"/>
      <c r="U76" s="129"/>
      <c r="V76" s="130"/>
      <c r="W76" s="129"/>
      <c r="X76" s="130"/>
      <c r="Y76" s="129"/>
      <c r="Z76" s="129"/>
      <c r="AA76" s="129"/>
      <c r="AB76" s="129"/>
    </row>
    <row r="77" spans="11:28">
      <c r="K77" s="125"/>
      <c r="M77" s="129"/>
      <c r="N77" s="129"/>
      <c r="O77" s="129"/>
      <c r="P77" s="129"/>
      <c r="Q77" s="130"/>
      <c r="R77" s="129"/>
      <c r="S77" s="129"/>
      <c r="T77" s="130"/>
      <c r="U77" s="129"/>
      <c r="V77" s="130"/>
      <c r="W77" s="129"/>
      <c r="X77" s="130"/>
      <c r="Y77" s="129"/>
      <c r="Z77" s="129"/>
      <c r="AA77" s="129"/>
      <c r="AB77" s="129"/>
    </row>
    <row r="78" spans="11:28">
      <c r="K78" s="125"/>
      <c r="M78" s="129"/>
      <c r="N78" s="129"/>
      <c r="O78" s="129"/>
      <c r="P78" s="129"/>
      <c r="Q78" s="130"/>
      <c r="R78" s="129"/>
      <c r="S78" s="129"/>
      <c r="T78" s="130"/>
      <c r="U78" s="129"/>
      <c r="V78" s="130"/>
      <c r="W78" s="129"/>
      <c r="X78" s="130"/>
      <c r="Y78" s="129"/>
      <c r="Z78" s="129"/>
      <c r="AA78" s="129"/>
      <c r="AB78" s="129"/>
    </row>
    <row r="79" spans="11:28">
      <c r="K79" s="125"/>
      <c r="M79" s="129"/>
      <c r="N79" s="129"/>
      <c r="O79" s="129"/>
      <c r="P79" s="129"/>
      <c r="Q79" s="130"/>
      <c r="R79" s="129"/>
      <c r="S79" s="129"/>
      <c r="T79" s="130"/>
      <c r="U79" s="129"/>
      <c r="V79" s="130"/>
      <c r="W79" s="129"/>
      <c r="X79" s="130"/>
      <c r="Y79" s="129"/>
      <c r="Z79" s="129"/>
      <c r="AA79" s="129"/>
      <c r="AB79" s="129"/>
    </row>
    <row r="80" spans="11:28">
      <c r="K80" s="125"/>
      <c r="M80" s="129"/>
      <c r="N80" s="129"/>
      <c r="O80" s="129"/>
      <c r="P80" s="129"/>
      <c r="Q80" s="130"/>
      <c r="R80" s="129"/>
      <c r="S80" s="129"/>
      <c r="T80" s="130"/>
      <c r="U80" s="129"/>
      <c r="V80" s="130"/>
      <c r="W80" s="129"/>
      <c r="X80" s="130"/>
      <c r="Y80" s="129"/>
      <c r="Z80" s="129"/>
      <c r="AA80" s="129"/>
      <c r="AB80" s="129"/>
    </row>
    <row r="81" spans="11:28">
      <c r="K81" s="125"/>
      <c r="M81" s="129"/>
      <c r="N81" s="129"/>
      <c r="O81" s="129"/>
      <c r="P81" s="129"/>
      <c r="Q81" s="130"/>
      <c r="R81" s="129"/>
      <c r="S81" s="129"/>
      <c r="T81" s="130"/>
      <c r="U81" s="129"/>
      <c r="V81" s="130"/>
      <c r="W81" s="129"/>
      <c r="X81" s="130"/>
      <c r="Y81" s="129"/>
      <c r="Z81" s="129"/>
      <c r="AA81" s="129"/>
      <c r="AB81" s="129"/>
    </row>
    <row r="82" spans="11:28">
      <c r="K82" s="125"/>
      <c r="M82" s="129"/>
      <c r="N82" s="129"/>
      <c r="O82" s="129"/>
      <c r="P82" s="129"/>
      <c r="Q82" s="130"/>
      <c r="R82" s="129"/>
      <c r="S82" s="129"/>
      <c r="T82" s="130"/>
      <c r="U82" s="129"/>
      <c r="V82" s="130"/>
      <c r="W82" s="129"/>
      <c r="X82" s="130"/>
      <c r="Y82" s="129"/>
      <c r="Z82" s="129"/>
      <c r="AA82" s="129"/>
      <c r="AB82" s="129"/>
    </row>
    <row r="83" spans="11:28">
      <c r="K83" s="125"/>
      <c r="M83" s="129"/>
      <c r="N83" s="129"/>
      <c r="O83" s="129"/>
      <c r="P83" s="129"/>
      <c r="Q83" s="130"/>
      <c r="R83" s="129"/>
      <c r="S83" s="129"/>
      <c r="T83" s="130"/>
      <c r="U83" s="129"/>
      <c r="V83" s="130"/>
      <c r="W83" s="129"/>
      <c r="X83" s="130"/>
      <c r="Y83" s="129"/>
      <c r="Z83" s="129"/>
      <c r="AA83" s="129"/>
      <c r="AB83" s="129"/>
    </row>
    <row r="84" spans="11:28">
      <c r="K84" s="125"/>
      <c r="M84" s="129"/>
      <c r="N84" s="129"/>
      <c r="O84" s="129"/>
      <c r="P84" s="129"/>
      <c r="Q84" s="130"/>
      <c r="R84" s="129"/>
      <c r="S84" s="129"/>
      <c r="T84" s="130"/>
      <c r="U84" s="129"/>
      <c r="V84" s="130"/>
      <c r="W84" s="129"/>
      <c r="X84" s="130"/>
      <c r="Y84" s="129"/>
      <c r="Z84" s="129"/>
      <c r="AA84" s="129"/>
      <c r="AB84" s="129"/>
    </row>
    <row r="85" spans="11:28">
      <c r="K85" s="131"/>
      <c r="L85" s="132"/>
      <c r="M85" s="133"/>
      <c r="N85" s="133"/>
      <c r="O85" s="133"/>
      <c r="P85" s="133"/>
      <c r="Q85" s="134"/>
      <c r="R85" s="133"/>
      <c r="S85" s="133"/>
      <c r="T85" s="134"/>
      <c r="U85" s="133"/>
      <c r="V85" s="134"/>
      <c r="W85" s="133"/>
      <c r="X85" s="134"/>
      <c r="Y85" s="129"/>
      <c r="Z85" s="129"/>
      <c r="AA85" s="129"/>
      <c r="AB85" s="129"/>
    </row>
    <row r="86" spans="11:28">
      <c r="K86" s="5" t="s">
        <v>248</v>
      </c>
      <c r="L86" s="102"/>
      <c r="M86" s="1" t="s">
        <v>249</v>
      </c>
      <c r="N86" s="1"/>
      <c r="O86" s="67"/>
      <c r="P86" s="67"/>
      <c r="Q86" s="2"/>
      <c r="R86" s="2"/>
      <c r="S86" s="2"/>
      <c r="T86" s="2"/>
      <c r="U86" s="2"/>
      <c r="V86" s="544">
        <f>SUM(V66:V85)</f>
        <v>2675779</v>
      </c>
      <c r="W86" s="544">
        <f>SUM(W66:W85)</f>
        <v>0</v>
      </c>
      <c r="X86" s="544">
        <f>SUM(X66:X85)</f>
        <v>2675779</v>
      </c>
      <c r="Y86" s="129"/>
      <c r="Z86" s="129"/>
      <c r="AA86" s="129"/>
      <c r="AB86" s="129"/>
    </row>
    <row r="87" spans="11:28">
      <c r="K87" s="52"/>
      <c r="L87" s="129"/>
      <c r="M87" s="129"/>
      <c r="N87" s="129"/>
      <c r="O87" s="129"/>
      <c r="P87" s="129"/>
      <c r="Q87" s="129"/>
      <c r="R87" s="129"/>
      <c r="S87" s="129"/>
      <c r="T87" s="129"/>
      <c r="U87" s="129"/>
      <c r="V87" s="564"/>
      <c r="W87" s="564"/>
      <c r="X87" s="564"/>
      <c r="Y87" s="129"/>
      <c r="Z87" s="129"/>
      <c r="AA87" s="129"/>
      <c r="AB87" s="129"/>
    </row>
    <row r="88" spans="11:28">
      <c r="K88" s="135">
        <v>3</v>
      </c>
      <c r="L88" s="129"/>
      <c r="M88" s="9" t="str">
        <f>'Appx C - DEOK(MTEP)'!D40</f>
        <v>MTEP Transmission Enhancement Charges</v>
      </c>
      <c r="N88" s="129"/>
      <c r="O88" s="129"/>
      <c r="P88" s="129"/>
      <c r="Q88" s="129"/>
      <c r="R88" s="129"/>
      <c r="S88" s="129"/>
      <c r="T88" s="129"/>
      <c r="U88" s="129"/>
      <c r="V88" s="544"/>
      <c r="W88" s="564"/>
      <c r="X88" s="544">
        <f>X86</f>
        <v>2675779</v>
      </c>
      <c r="Y88" s="129"/>
      <c r="Z88" s="129"/>
      <c r="AA88" s="129"/>
      <c r="AB88" s="129"/>
    </row>
    <row r="89" spans="11:28">
      <c r="K89" s="129"/>
      <c r="L89" s="129"/>
      <c r="M89" s="129"/>
      <c r="N89" s="129"/>
      <c r="O89" s="129"/>
      <c r="P89" s="129"/>
      <c r="Q89" s="129"/>
      <c r="R89" s="129"/>
      <c r="S89" s="129"/>
      <c r="T89" s="129"/>
      <c r="U89" s="129"/>
      <c r="V89" s="129"/>
      <c r="W89" s="129"/>
      <c r="X89" s="129"/>
      <c r="Y89" s="129"/>
      <c r="Z89" s="129"/>
      <c r="AA89" s="129"/>
      <c r="AB89" s="129"/>
    </row>
    <row r="90" spans="11:28">
      <c r="K90" s="129"/>
      <c r="L90" s="129"/>
      <c r="M90" s="129"/>
      <c r="N90" s="129"/>
      <c r="O90" s="129"/>
      <c r="P90" s="129"/>
      <c r="Q90" s="129"/>
      <c r="R90" s="129"/>
      <c r="S90" s="129"/>
      <c r="T90" s="129"/>
      <c r="U90" s="129"/>
      <c r="V90" s="129"/>
      <c r="W90" s="129"/>
      <c r="X90" s="129"/>
      <c r="Y90" s="129"/>
      <c r="Z90" s="129"/>
      <c r="AA90" s="129"/>
      <c r="AB90" s="129"/>
    </row>
    <row r="91" spans="11:28">
      <c r="K91" s="67" t="s">
        <v>94</v>
      </c>
      <c r="L91" s="129"/>
      <c r="M91" s="129"/>
      <c r="N91" s="129"/>
      <c r="O91" s="129"/>
      <c r="P91" s="129"/>
      <c r="Q91" s="129"/>
      <c r="R91" s="129"/>
      <c r="S91" s="129"/>
      <c r="T91" s="129"/>
      <c r="U91" s="129"/>
      <c r="V91" s="129"/>
      <c r="W91" s="129"/>
      <c r="X91" s="129"/>
      <c r="Y91" s="129"/>
      <c r="Z91" s="129"/>
      <c r="AA91" s="129"/>
      <c r="AB91" s="129"/>
    </row>
    <row r="92" spans="11:28" ht="15.75" thickBot="1">
      <c r="K92" s="492" t="s">
        <v>95</v>
      </c>
      <c r="L92" s="129"/>
      <c r="M92" s="129"/>
      <c r="N92" s="129"/>
      <c r="O92" s="129"/>
      <c r="P92" s="129"/>
      <c r="Q92" s="129"/>
      <c r="R92" s="129"/>
      <c r="S92" s="129"/>
      <c r="T92" s="129"/>
      <c r="U92" s="129"/>
      <c r="V92" s="129"/>
      <c r="W92" s="129"/>
      <c r="X92" s="129"/>
      <c r="Y92" s="129"/>
      <c r="Z92" s="129"/>
      <c r="AA92" s="129"/>
      <c r="AB92" s="129"/>
    </row>
    <row r="93" spans="11:28">
      <c r="K93" s="136" t="s">
        <v>96</v>
      </c>
      <c r="L93" s="66"/>
      <c r="M93" s="1033" t="s">
        <v>573</v>
      </c>
      <c r="N93" s="1034"/>
      <c r="O93" s="1034"/>
      <c r="P93" s="1034"/>
      <c r="Q93" s="1034"/>
      <c r="R93" s="1034"/>
      <c r="S93" s="1034"/>
      <c r="T93" s="1034"/>
      <c r="U93" s="1034"/>
      <c r="V93" s="1034"/>
      <c r="W93" s="1034"/>
      <c r="X93" s="1034"/>
      <c r="Y93" s="129"/>
      <c r="Z93" s="129"/>
      <c r="AA93" s="129"/>
      <c r="AB93" s="129"/>
    </row>
    <row r="94" spans="11:28">
      <c r="K94" s="136" t="s">
        <v>97</v>
      </c>
      <c r="L94" s="66"/>
      <c r="M94" s="1033" t="s">
        <v>574</v>
      </c>
      <c r="N94" s="1034"/>
      <c r="O94" s="1034"/>
      <c r="P94" s="1034"/>
      <c r="Q94" s="1034"/>
      <c r="R94" s="1034"/>
      <c r="S94" s="1034"/>
      <c r="T94" s="1034"/>
      <c r="U94" s="1034"/>
      <c r="V94" s="1034"/>
      <c r="W94" s="1034"/>
      <c r="X94" s="1034"/>
      <c r="Y94" s="129"/>
      <c r="Z94" s="129"/>
      <c r="AA94" s="129"/>
      <c r="AB94" s="129"/>
    </row>
    <row r="95" spans="11:28" ht="27.75" customHeight="1">
      <c r="K95" s="137" t="s">
        <v>98</v>
      </c>
      <c r="L95" s="66"/>
      <c r="M95" s="1035" t="s">
        <v>250</v>
      </c>
      <c r="N95" s="1035"/>
      <c r="O95" s="1035"/>
      <c r="P95" s="1035"/>
      <c r="Q95" s="1035"/>
      <c r="R95" s="1035"/>
      <c r="S95" s="1035"/>
      <c r="T95" s="1035"/>
      <c r="U95" s="1035"/>
      <c r="V95" s="1035"/>
      <c r="W95" s="1035"/>
      <c r="X95" s="1035"/>
      <c r="Y95" s="129"/>
      <c r="Z95" s="129"/>
      <c r="AA95" s="129"/>
      <c r="AB95" s="129"/>
    </row>
    <row r="96" spans="11:28" ht="15" customHeight="1">
      <c r="K96" s="137" t="s">
        <v>99</v>
      </c>
      <c r="L96" s="66"/>
      <c r="M96" s="1035" t="s">
        <v>251</v>
      </c>
      <c r="N96" s="1035"/>
      <c r="O96" s="1035"/>
      <c r="P96" s="1035"/>
      <c r="Q96" s="1035"/>
      <c r="R96" s="1035"/>
      <c r="S96" s="1035"/>
      <c r="T96" s="1035"/>
      <c r="U96" s="1035"/>
      <c r="V96" s="1035"/>
      <c r="W96" s="1035"/>
      <c r="X96" s="1035"/>
      <c r="Y96" s="129"/>
      <c r="Z96" s="129"/>
      <c r="AA96" s="129"/>
      <c r="AB96" s="129"/>
    </row>
    <row r="97" spans="3:28">
      <c r="K97" s="136" t="s">
        <v>100</v>
      </c>
      <c r="L97" s="66"/>
      <c r="M97" s="1034" t="s">
        <v>312</v>
      </c>
      <c r="N97" s="1034"/>
      <c r="O97" s="1034"/>
      <c r="P97" s="1034"/>
      <c r="Q97" s="1034"/>
      <c r="R97" s="1034"/>
      <c r="S97" s="1034"/>
      <c r="T97" s="1034"/>
      <c r="U97" s="1034"/>
      <c r="V97" s="1034"/>
      <c r="W97" s="1034"/>
      <c r="X97" s="1034"/>
      <c r="Y97" s="129"/>
      <c r="Z97" s="129"/>
      <c r="AA97" s="129"/>
      <c r="AB97" s="129"/>
    </row>
    <row r="98" spans="3:28">
      <c r="K98" s="136" t="s">
        <v>101</v>
      </c>
      <c r="L98" s="66"/>
      <c r="M98" s="1034" t="s">
        <v>252</v>
      </c>
      <c r="N98" s="1034"/>
      <c r="O98" s="1034"/>
      <c r="P98" s="1034"/>
      <c r="Q98" s="1034"/>
      <c r="R98" s="1034"/>
      <c r="S98" s="1034"/>
      <c r="T98" s="1034"/>
      <c r="U98" s="1034"/>
      <c r="V98" s="1034"/>
      <c r="W98" s="1034"/>
      <c r="X98" s="1034"/>
      <c r="Y98" s="129"/>
      <c r="Z98" s="129"/>
      <c r="AA98" s="129"/>
      <c r="AB98" s="129"/>
    </row>
    <row r="99" spans="3:28">
      <c r="K99" s="136" t="s">
        <v>102</v>
      </c>
      <c r="L99" s="66"/>
      <c r="M99" s="1034" t="s">
        <v>253</v>
      </c>
      <c r="N99" s="1034"/>
      <c r="O99" s="1034"/>
      <c r="P99" s="1034"/>
      <c r="Q99" s="1034"/>
      <c r="R99" s="1034"/>
      <c r="S99" s="1034"/>
      <c r="T99" s="1034"/>
      <c r="U99" s="1034"/>
      <c r="V99" s="1034"/>
      <c r="W99" s="1034"/>
      <c r="X99" s="1034"/>
      <c r="Y99" s="129"/>
      <c r="Z99" s="129"/>
      <c r="AA99" s="129"/>
      <c r="AB99" s="129"/>
    </row>
    <row r="100" spans="3:28">
      <c r="K100" s="248" t="s">
        <v>103</v>
      </c>
      <c r="M100" s="1033" t="s">
        <v>334</v>
      </c>
      <c r="N100" s="1033"/>
      <c r="O100" s="1033"/>
      <c r="P100" s="1033"/>
      <c r="Q100" s="1033"/>
      <c r="R100" s="1033"/>
      <c r="S100" s="1033"/>
      <c r="T100" s="1033"/>
      <c r="U100" s="1033"/>
      <c r="V100" s="1033"/>
      <c r="W100" s="1033"/>
      <c r="X100" s="1033"/>
      <c r="Y100" s="129"/>
      <c r="Z100" s="129"/>
      <c r="AA100" s="129"/>
      <c r="AB100" s="129"/>
    </row>
    <row r="101" spans="3:28" ht="15.75">
      <c r="K101" s="104"/>
      <c r="L101" s="138"/>
      <c r="M101" s="139"/>
      <c r="N101" s="97"/>
      <c r="O101" s="67"/>
      <c r="P101" s="67"/>
      <c r="Q101" s="2"/>
      <c r="R101" s="9"/>
      <c r="S101" s="9"/>
      <c r="T101" s="93"/>
      <c r="U101" s="9"/>
      <c r="W101" s="2"/>
      <c r="X101" s="105"/>
      <c r="Y101" s="129"/>
      <c r="Z101" s="129"/>
      <c r="AA101" s="129"/>
      <c r="AB101" s="129"/>
    </row>
    <row r="102" spans="3:28" ht="15.75">
      <c r="K102" s="104"/>
      <c r="L102" s="138"/>
      <c r="M102" s="139"/>
      <c r="N102" s="97"/>
      <c r="O102" s="67"/>
      <c r="P102" s="67"/>
      <c r="Q102" s="2"/>
      <c r="R102" s="9"/>
      <c r="S102" s="9"/>
      <c r="T102" s="93"/>
      <c r="U102" s="9"/>
      <c r="W102" s="2"/>
      <c r="X102" s="95"/>
      <c r="Y102" s="129"/>
      <c r="Z102" s="129"/>
      <c r="AA102" s="129"/>
      <c r="AB102" s="129"/>
    </row>
    <row r="103" spans="3:28">
      <c r="M103" s="129"/>
      <c r="N103" s="129"/>
      <c r="O103" s="129"/>
      <c r="P103" s="129"/>
      <c r="Q103" s="129"/>
      <c r="R103" s="129"/>
      <c r="S103" s="129"/>
      <c r="T103" s="129"/>
      <c r="U103" s="129"/>
      <c r="V103" s="129"/>
      <c r="W103" s="129"/>
      <c r="X103" s="129"/>
      <c r="Y103" s="129"/>
      <c r="Z103" s="129"/>
      <c r="AA103" s="129"/>
      <c r="AB103" s="129"/>
    </row>
    <row r="104" spans="3:28">
      <c r="C104" s="129"/>
      <c r="D104" s="129"/>
      <c r="E104" s="129"/>
      <c r="F104" s="129"/>
      <c r="G104" s="129"/>
      <c r="H104" s="129"/>
      <c r="I104" s="129"/>
      <c r="J104" s="129"/>
    </row>
    <row r="105" spans="3:28">
      <c r="C105" s="129"/>
      <c r="D105" s="129"/>
      <c r="E105" s="129"/>
      <c r="F105" s="129"/>
      <c r="G105" s="129"/>
      <c r="H105" s="129"/>
      <c r="I105" s="129"/>
      <c r="J105" s="129"/>
    </row>
    <row r="106" spans="3:28">
      <c r="C106" s="129"/>
      <c r="D106" s="129"/>
      <c r="E106" s="129"/>
      <c r="F106" s="129"/>
      <c r="G106" s="129"/>
      <c r="H106" s="129"/>
      <c r="I106" s="129"/>
      <c r="J106" s="129"/>
    </row>
    <row r="107" spans="3:28">
      <c r="C107" s="129"/>
      <c r="D107" s="129"/>
      <c r="E107" s="129"/>
      <c r="F107" s="129"/>
      <c r="G107" s="129"/>
      <c r="H107" s="129"/>
      <c r="I107" s="129"/>
      <c r="J107" s="129"/>
    </row>
    <row r="108" spans="3:28">
      <c r="C108" s="129"/>
      <c r="D108" s="129"/>
      <c r="E108" s="129"/>
      <c r="F108" s="129"/>
      <c r="G108" s="129"/>
      <c r="H108" s="129"/>
      <c r="I108" s="129"/>
      <c r="J108" s="129"/>
    </row>
    <row r="109" spans="3:28">
      <c r="C109" s="129"/>
      <c r="D109" s="129"/>
      <c r="E109" s="129"/>
      <c r="F109" s="129"/>
      <c r="G109" s="129"/>
      <c r="H109" s="129"/>
      <c r="I109" s="129"/>
      <c r="J109" s="129"/>
    </row>
    <row r="110" spans="3:28">
      <c r="C110" s="129"/>
      <c r="D110" s="129"/>
      <c r="E110" s="129"/>
      <c r="F110" s="129"/>
      <c r="G110" s="129"/>
      <c r="H110" s="129"/>
      <c r="I110" s="129"/>
      <c r="J110" s="129"/>
    </row>
    <row r="111" spans="3:28">
      <c r="C111" s="129"/>
      <c r="D111" s="129"/>
      <c r="E111" s="129"/>
      <c r="F111" s="129"/>
      <c r="G111" s="129"/>
      <c r="H111" s="129"/>
      <c r="I111" s="129"/>
      <c r="J111" s="129"/>
    </row>
    <row r="112" spans="3:28">
      <c r="C112" s="129"/>
      <c r="D112" s="129"/>
      <c r="E112" s="129"/>
      <c r="F112" s="129"/>
      <c r="G112" s="129"/>
      <c r="H112" s="129"/>
      <c r="I112" s="129"/>
      <c r="J112" s="129"/>
    </row>
    <row r="113" spans="3:10">
      <c r="C113" s="129"/>
      <c r="D113" s="129"/>
      <c r="E113" s="129"/>
      <c r="F113" s="129"/>
      <c r="G113" s="129"/>
      <c r="H113" s="129"/>
      <c r="I113" s="129"/>
      <c r="J113" s="129"/>
    </row>
    <row r="114" spans="3:10">
      <c r="C114" s="129"/>
      <c r="D114" s="129"/>
      <c r="E114" s="129"/>
      <c r="F114" s="129"/>
      <c r="G114" s="129"/>
      <c r="H114" s="129"/>
      <c r="I114" s="129"/>
      <c r="J114" s="129"/>
    </row>
    <row r="115" spans="3:10">
      <c r="C115" s="129"/>
      <c r="D115" s="129"/>
      <c r="E115" s="129"/>
      <c r="F115" s="129"/>
      <c r="G115" s="129"/>
      <c r="H115" s="129"/>
      <c r="I115" s="129"/>
      <c r="J115" s="129"/>
    </row>
    <row r="116" spans="3:10">
      <c r="C116" s="129"/>
      <c r="D116" s="129"/>
      <c r="E116" s="129"/>
      <c r="F116" s="129"/>
      <c r="G116" s="129"/>
      <c r="H116" s="129"/>
      <c r="I116" s="129"/>
      <c r="J116" s="129"/>
    </row>
    <row r="117" spans="3:10">
      <c r="C117" s="129"/>
      <c r="D117" s="129"/>
      <c r="E117" s="129"/>
      <c r="F117" s="129"/>
      <c r="G117" s="129"/>
      <c r="H117" s="129"/>
      <c r="I117" s="129"/>
      <c r="J117" s="129"/>
    </row>
    <row r="118" spans="3:10">
      <c r="C118" s="129"/>
      <c r="D118" s="129"/>
      <c r="E118" s="129"/>
      <c r="F118" s="129"/>
      <c r="G118" s="129"/>
      <c r="H118" s="129"/>
      <c r="I118" s="129"/>
      <c r="J118" s="129"/>
    </row>
    <row r="119" spans="3:10">
      <c r="C119" s="129"/>
      <c r="D119" s="129"/>
      <c r="E119" s="129"/>
      <c r="F119" s="129"/>
      <c r="G119" s="129"/>
      <c r="H119" s="129"/>
      <c r="I119" s="129"/>
      <c r="J119" s="129"/>
    </row>
    <row r="120" spans="3:10">
      <c r="C120" s="129"/>
      <c r="D120" s="129"/>
      <c r="E120" s="129"/>
      <c r="F120" s="129"/>
      <c r="G120" s="129"/>
      <c r="H120" s="129"/>
      <c r="I120" s="129"/>
      <c r="J120" s="129"/>
    </row>
    <row r="121" spans="3:10">
      <c r="C121" s="129"/>
      <c r="D121" s="129"/>
      <c r="E121" s="129"/>
      <c r="F121" s="129"/>
      <c r="G121" s="129"/>
      <c r="H121" s="129"/>
      <c r="I121" s="129"/>
      <c r="J121" s="129"/>
    </row>
    <row r="122" spans="3:10">
      <c r="C122" s="129"/>
      <c r="D122" s="129"/>
      <c r="E122" s="129"/>
      <c r="F122" s="129"/>
      <c r="G122" s="129"/>
      <c r="H122" s="129"/>
      <c r="I122" s="129"/>
      <c r="J122" s="129"/>
    </row>
    <row r="123" spans="3:10">
      <c r="C123" s="129"/>
      <c r="D123" s="129"/>
      <c r="E123" s="129"/>
      <c r="F123" s="129"/>
      <c r="G123" s="129"/>
      <c r="H123" s="129"/>
      <c r="I123" s="129"/>
      <c r="J123" s="129"/>
    </row>
    <row r="124" spans="3:10">
      <c r="C124" s="129"/>
      <c r="D124" s="129"/>
      <c r="E124" s="129"/>
      <c r="F124" s="129"/>
      <c r="G124" s="129"/>
      <c r="H124" s="129"/>
      <c r="I124" s="129"/>
      <c r="J124" s="129"/>
    </row>
    <row r="125" spans="3:10">
      <c r="C125" s="129"/>
      <c r="D125" s="129"/>
      <c r="E125" s="129"/>
      <c r="F125" s="129"/>
      <c r="G125" s="129"/>
      <c r="H125" s="129"/>
      <c r="I125" s="129"/>
      <c r="J125" s="129"/>
    </row>
    <row r="126" spans="3:10">
      <c r="C126" s="129"/>
      <c r="D126" s="129"/>
      <c r="E126" s="129"/>
      <c r="F126" s="129"/>
      <c r="G126" s="129"/>
      <c r="H126" s="129"/>
      <c r="I126" s="129"/>
      <c r="J126" s="129"/>
    </row>
    <row r="127" spans="3:10">
      <c r="C127" s="129"/>
      <c r="D127" s="129"/>
      <c r="E127" s="129"/>
      <c r="F127" s="129"/>
      <c r="G127" s="129"/>
      <c r="H127" s="129"/>
      <c r="I127" s="129"/>
      <c r="J127" s="129"/>
    </row>
    <row r="128" spans="3:10">
      <c r="C128" s="129"/>
      <c r="D128" s="129"/>
      <c r="E128" s="129"/>
      <c r="F128" s="129"/>
      <c r="G128" s="129"/>
      <c r="H128" s="129"/>
      <c r="I128" s="129"/>
      <c r="J128" s="129"/>
    </row>
    <row r="129" spans="3:10">
      <c r="C129" s="129"/>
      <c r="D129" s="129"/>
      <c r="E129" s="129"/>
      <c r="F129" s="129"/>
      <c r="G129" s="129"/>
      <c r="H129" s="129"/>
      <c r="I129" s="129"/>
      <c r="J129" s="129"/>
    </row>
    <row r="130" spans="3:10">
      <c r="C130" s="129"/>
      <c r="D130" s="129"/>
      <c r="E130" s="129"/>
      <c r="F130" s="129"/>
      <c r="G130" s="129"/>
      <c r="H130" s="129"/>
      <c r="I130" s="129"/>
      <c r="J130" s="129"/>
    </row>
    <row r="131" spans="3:10">
      <c r="C131" s="129"/>
      <c r="D131" s="129"/>
      <c r="E131" s="129"/>
      <c r="F131" s="129"/>
      <c r="G131" s="129"/>
      <c r="H131" s="129"/>
      <c r="I131" s="129"/>
      <c r="J131" s="129"/>
    </row>
    <row r="132" spans="3:10">
      <c r="C132" s="129"/>
      <c r="D132" s="129"/>
      <c r="E132" s="129"/>
      <c r="F132" s="129"/>
      <c r="G132" s="129"/>
      <c r="H132" s="129"/>
      <c r="I132" s="129"/>
      <c r="J132" s="129"/>
    </row>
    <row r="133" spans="3:10">
      <c r="C133" s="129"/>
      <c r="D133" s="129"/>
      <c r="E133" s="129"/>
      <c r="F133" s="129"/>
      <c r="G133" s="129"/>
      <c r="H133" s="129"/>
      <c r="I133" s="129"/>
      <c r="J133" s="129"/>
    </row>
    <row r="134" spans="3:10">
      <c r="C134" s="129"/>
      <c r="D134" s="129"/>
      <c r="E134" s="129"/>
      <c r="F134" s="129"/>
      <c r="G134" s="129"/>
      <c r="H134" s="129"/>
      <c r="I134" s="129"/>
      <c r="J134" s="129"/>
    </row>
    <row r="135" spans="3:10">
      <c r="C135" s="129"/>
      <c r="D135" s="129"/>
      <c r="E135" s="129"/>
      <c r="F135" s="129"/>
      <c r="G135" s="129"/>
      <c r="H135" s="129"/>
      <c r="I135" s="129"/>
      <c r="J135" s="129"/>
    </row>
    <row r="136" spans="3:10">
      <c r="C136" s="129"/>
      <c r="D136" s="129"/>
      <c r="E136" s="129"/>
      <c r="F136" s="129"/>
      <c r="G136" s="129"/>
      <c r="H136" s="129"/>
      <c r="I136" s="129"/>
      <c r="J136" s="129"/>
    </row>
    <row r="137" spans="3:10">
      <c r="C137" s="129"/>
      <c r="D137" s="129"/>
      <c r="E137" s="129"/>
      <c r="F137" s="129"/>
      <c r="G137" s="129"/>
      <c r="H137" s="129"/>
      <c r="I137" s="129"/>
      <c r="J137" s="129"/>
    </row>
    <row r="138" spans="3:10">
      <c r="C138" s="129"/>
      <c r="D138" s="129"/>
      <c r="E138" s="129"/>
      <c r="F138" s="129"/>
      <c r="G138" s="129"/>
      <c r="H138" s="129"/>
      <c r="I138" s="129"/>
      <c r="J138" s="129"/>
    </row>
    <row r="139" spans="3:10">
      <c r="C139" s="129"/>
      <c r="D139" s="129"/>
      <c r="E139" s="129"/>
      <c r="F139" s="129"/>
      <c r="G139" s="129"/>
      <c r="H139" s="129"/>
      <c r="I139" s="129"/>
      <c r="J139" s="129"/>
    </row>
    <row r="140" spans="3:10">
      <c r="C140" s="129"/>
      <c r="D140" s="129"/>
      <c r="E140" s="129"/>
      <c r="F140" s="129"/>
      <c r="G140" s="129"/>
      <c r="H140" s="129"/>
      <c r="I140" s="129"/>
      <c r="J140" s="129"/>
    </row>
    <row r="141" spans="3:10">
      <c r="C141" s="129"/>
      <c r="D141" s="129"/>
      <c r="E141" s="129"/>
      <c r="F141" s="129"/>
      <c r="G141" s="129"/>
      <c r="H141" s="129"/>
      <c r="I141" s="129"/>
      <c r="J141" s="129"/>
    </row>
    <row r="142" spans="3:10">
      <c r="C142" s="129"/>
      <c r="D142" s="129"/>
      <c r="E142" s="129"/>
      <c r="F142" s="129"/>
      <c r="G142" s="129"/>
      <c r="H142" s="129"/>
      <c r="I142" s="129"/>
      <c r="J142" s="129"/>
    </row>
    <row r="143" spans="3:10">
      <c r="C143" s="129"/>
      <c r="D143" s="129"/>
      <c r="E143" s="129"/>
      <c r="F143" s="129"/>
      <c r="G143" s="129"/>
      <c r="H143" s="129"/>
      <c r="I143" s="129"/>
      <c r="J143" s="129"/>
    </row>
    <row r="144" spans="3:10">
      <c r="C144" s="129"/>
      <c r="D144" s="129"/>
      <c r="E144" s="129"/>
      <c r="F144" s="129"/>
      <c r="G144" s="129"/>
      <c r="H144" s="129"/>
      <c r="I144" s="129"/>
      <c r="J144" s="129"/>
    </row>
    <row r="145" spans="3:10">
      <c r="C145" s="129"/>
      <c r="D145" s="129"/>
      <c r="E145" s="129"/>
      <c r="F145" s="129"/>
      <c r="G145" s="129"/>
      <c r="H145" s="129"/>
      <c r="I145" s="129"/>
      <c r="J145" s="129"/>
    </row>
    <row r="146" spans="3:10">
      <c r="C146" s="129"/>
      <c r="D146" s="129"/>
      <c r="E146" s="129"/>
      <c r="F146" s="129"/>
      <c r="G146" s="129"/>
      <c r="H146" s="129"/>
      <c r="I146" s="129"/>
      <c r="J146" s="129"/>
    </row>
    <row r="147" spans="3:10">
      <c r="C147" s="129"/>
      <c r="D147" s="129"/>
      <c r="E147" s="129"/>
      <c r="F147" s="129"/>
      <c r="G147" s="129"/>
      <c r="H147" s="129"/>
      <c r="I147" s="129"/>
      <c r="J147" s="129"/>
    </row>
    <row r="148" spans="3:10">
      <c r="C148" s="129"/>
      <c r="D148" s="129"/>
      <c r="E148" s="129"/>
      <c r="F148" s="129"/>
      <c r="G148" s="129"/>
      <c r="H148" s="129"/>
      <c r="I148" s="129"/>
      <c r="J148" s="129"/>
    </row>
    <row r="149" spans="3:10">
      <c r="C149" s="129"/>
      <c r="D149" s="129"/>
      <c r="E149" s="129"/>
      <c r="F149" s="129"/>
      <c r="G149" s="129"/>
      <c r="H149" s="129"/>
      <c r="I149" s="129"/>
      <c r="J149" s="129"/>
    </row>
    <row r="150" spans="3:10">
      <c r="C150" s="129"/>
      <c r="D150" s="129"/>
      <c r="E150" s="129"/>
      <c r="F150" s="129"/>
      <c r="G150" s="129"/>
      <c r="H150" s="129"/>
      <c r="I150" s="129"/>
      <c r="J150" s="129"/>
    </row>
    <row r="151" spans="3:10">
      <c r="C151" s="129"/>
      <c r="D151" s="129"/>
      <c r="E151" s="129"/>
      <c r="F151" s="129"/>
      <c r="G151" s="129"/>
      <c r="H151" s="129"/>
      <c r="I151" s="129"/>
      <c r="J151" s="129"/>
    </row>
    <row r="152" spans="3:10">
      <c r="C152" s="129"/>
      <c r="D152" s="129"/>
      <c r="E152" s="129"/>
      <c r="F152" s="129"/>
      <c r="G152" s="129"/>
      <c r="H152" s="129"/>
      <c r="I152" s="129"/>
      <c r="J152" s="129"/>
    </row>
    <row r="153" spans="3:10">
      <c r="C153" s="129"/>
      <c r="D153" s="129"/>
      <c r="E153" s="129"/>
      <c r="F153" s="129"/>
      <c r="G153" s="129"/>
      <c r="H153" s="129"/>
      <c r="I153" s="129"/>
      <c r="J153" s="129"/>
    </row>
    <row r="154" spans="3:10">
      <c r="C154" s="129"/>
      <c r="D154" s="129"/>
      <c r="E154" s="129"/>
      <c r="F154" s="129"/>
      <c r="G154" s="129"/>
      <c r="H154" s="129"/>
      <c r="I154" s="129"/>
      <c r="J154" s="129"/>
    </row>
    <row r="155" spans="3:10">
      <c r="C155" s="129"/>
      <c r="D155" s="129"/>
      <c r="E155" s="129"/>
      <c r="F155" s="129"/>
      <c r="G155" s="129"/>
      <c r="H155" s="129"/>
      <c r="I155" s="129"/>
      <c r="J155" s="129"/>
    </row>
    <row r="156" spans="3:10">
      <c r="C156" s="129"/>
      <c r="D156" s="129"/>
      <c r="E156" s="129"/>
      <c r="F156" s="129"/>
      <c r="G156" s="129"/>
      <c r="H156" s="129"/>
      <c r="I156" s="129"/>
      <c r="J156" s="129"/>
    </row>
    <row r="157" spans="3:10">
      <c r="C157" s="129"/>
      <c r="D157" s="129"/>
      <c r="E157" s="129"/>
      <c r="F157" s="129"/>
      <c r="G157" s="129"/>
      <c r="H157" s="129"/>
      <c r="I157" s="129"/>
      <c r="J157" s="129"/>
    </row>
    <row r="158" spans="3:10">
      <c r="C158" s="129"/>
      <c r="D158" s="129"/>
      <c r="E158" s="129"/>
      <c r="F158" s="129"/>
      <c r="G158" s="129"/>
      <c r="H158" s="129"/>
      <c r="I158" s="129"/>
      <c r="J158" s="129"/>
    </row>
    <row r="159" spans="3:10">
      <c r="C159" s="129"/>
      <c r="D159" s="129"/>
      <c r="E159" s="129"/>
      <c r="F159" s="129"/>
      <c r="G159" s="129"/>
      <c r="H159" s="129"/>
      <c r="I159" s="129"/>
      <c r="J159" s="129"/>
    </row>
    <row r="160" spans="3:10">
      <c r="C160" s="129"/>
      <c r="D160" s="129"/>
      <c r="E160" s="129"/>
      <c r="F160" s="129"/>
      <c r="G160" s="129"/>
      <c r="H160" s="129"/>
      <c r="I160" s="129"/>
      <c r="J160" s="129"/>
    </row>
    <row r="161" spans="3:10">
      <c r="C161" s="129"/>
      <c r="D161" s="129"/>
      <c r="E161" s="129"/>
      <c r="F161" s="129"/>
      <c r="G161" s="129"/>
      <c r="H161" s="129"/>
      <c r="I161" s="129"/>
      <c r="J161" s="129"/>
    </row>
    <row r="162" spans="3:10">
      <c r="C162" s="129"/>
      <c r="D162" s="129"/>
      <c r="E162" s="129"/>
      <c r="F162" s="129"/>
      <c r="G162" s="129"/>
      <c r="H162" s="129"/>
      <c r="I162" s="129"/>
      <c r="J162" s="129"/>
    </row>
    <row r="163" spans="3:10">
      <c r="C163" s="129"/>
      <c r="D163" s="129"/>
      <c r="E163" s="129"/>
      <c r="F163" s="129"/>
      <c r="G163" s="129"/>
      <c r="H163" s="129"/>
      <c r="I163" s="129"/>
      <c r="J163" s="129"/>
    </row>
    <row r="164" spans="3:10">
      <c r="C164" s="129"/>
      <c r="D164" s="129"/>
      <c r="E164" s="129"/>
      <c r="F164" s="129"/>
      <c r="G164" s="129"/>
      <c r="H164" s="129"/>
      <c r="I164" s="129"/>
      <c r="J164" s="129"/>
    </row>
    <row r="165" spans="3:10">
      <c r="C165" s="129"/>
      <c r="D165" s="129"/>
      <c r="E165" s="129"/>
      <c r="F165" s="129"/>
      <c r="G165" s="129"/>
      <c r="H165" s="129"/>
      <c r="I165" s="129"/>
      <c r="J165" s="129"/>
    </row>
    <row r="166" spans="3:10">
      <c r="C166" s="129"/>
      <c r="D166" s="129"/>
      <c r="E166" s="129"/>
      <c r="F166" s="129"/>
      <c r="G166" s="129"/>
      <c r="H166" s="129"/>
      <c r="I166" s="129"/>
      <c r="J166" s="129"/>
    </row>
    <row r="167" spans="3:10">
      <c r="C167" s="129"/>
      <c r="D167" s="129"/>
      <c r="E167" s="129"/>
      <c r="F167" s="129"/>
      <c r="G167" s="129"/>
      <c r="H167" s="129"/>
      <c r="I167" s="129"/>
      <c r="J167" s="129"/>
    </row>
    <row r="168" spans="3:10">
      <c r="C168" s="129"/>
      <c r="D168" s="129"/>
      <c r="E168" s="129"/>
      <c r="F168" s="129"/>
      <c r="G168" s="129"/>
      <c r="H168" s="129"/>
      <c r="I168" s="129"/>
      <c r="J168" s="129"/>
    </row>
    <row r="169" spans="3:10">
      <c r="C169" s="129"/>
      <c r="D169" s="129"/>
      <c r="E169" s="129"/>
      <c r="F169" s="129"/>
      <c r="G169" s="129"/>
      <c r="H169" s="129"/>
      <c r="I169" s="129"/>
      <c r="J169" s="129"/>
    </row>
    <row r="170" spans="3:10">
      <c r="C170" s="129"/>
      <c r="D170" s="129"/>
      <c r="E170" s="129"/>
      <c r="F170" s="129"/>
      <c r="G170" s="129"/>
      <c r="H170" s="129"/>
      <c r="I170" s="129"/>
      <c r="J170" s="129"/>
    </row>
    <row r="171" spans="3:10">
      <c r="C171" s="129"/>
      <c r="D171" s="129"/>
      <c r="E171" s="129"/>
      <c r="F171" s="129"/>
      <c r="G171" s="129"/>
      <c r="H171" s="129"/>
      <c r="I171" s="129"/>
      <c r="J171" s="129"/>
    </row>
    <row r="172" spans="3:10">
      <c r="C172" s="129"/>
      <c r="D172" s="129"/>
      <c r="E172" s="129"/>
      <c r="F172" s="129"/>
      <c r="G172" s="129"/>
      <c r="H172" s="129"/>
      <c r="I172" s="129"/>
      <c r="J172" s="129"/>
    </row>
    <row r="173" spans="3:10">
      <c r="C173" s="129"/>
      <c r="D173" s="129"/>
      <c r="E173" s="129"/>
      <c r="F173" s="129"/>
      <c r="G173" s="129"/>
      <c r="H173" s="129"/>
      <c r="I173" s="129"/>
      <c r="J173" s="129"/>
    </row>
    <row r="174" spans="3:10">
      <c r="C174" s="129"/>
      <c r="D174" s="129"/>
      <c r="E174" s="129"/>
      <c r="F174" s="129"/>
      <c r="G174" s="129"/>
      <c r="H174" s="129"/>
      <c r="I174" s="129"/>
      <c r="J174" s="129"/>
    </row>
    <row r="175" spans="3:10">
      <c r="C175" s="129"/>
      <c r="D175" s="129"/>
      <c r="E175" s="129"/>
      <c r="F175" s="129"/>
      <c r="G175" s="129"/>
      <c r="H175" s="129"/>
      <c r="I175" s="129"/>
      <c r="J175" s="129"/>
    </row>
    <row r="176" spans="3:10">
      <c r="C176" s="129"/>
      <c r="D176" s="129"/>
      <c r="E176" s="129"/>
      <c r="F176" s="129"/>
      <c r="G176" s="129"/>
      <c r="H176" s="129"/>
      <c r="I176" s="129"/>
      <c r="J176" s="129"/>
    </row>
    <row r="177" spans="3:10">
      <c r="C177" s="129"/>
      <c r="D177" s="129"/>
      <c r="E177" s="129"/>
      <c r="F177" s="129"/>
      <c r="G177" s="129"/>
      <c r="H177" s="129"/>
      <c r="I177" s="129"/>
      <c r="J177" s="129"/>
    </row>
    <row r="178" spans="3:10">
      <c r="C178" s="129"/>
      <c r="D178" s="129"/>
      <c r="E178" s="129"/>
      <c r="F178" s="129"/>
      <c r="G178" s="129"/>
      <c r="H178" s="129"/>
      <c r="I178" s="129"/>
      <c r="J178" s="129"/>
    </row>
    <row r="179" spans="3:10">
      <c r="C179" s="129"/>
      <c r="D179" s="129"/>
      <c r="E179" s="129"/>
      <c r="F179" s="129"/>
      <c r="G179" s="129"/>
      <c r="H179" s="129"/>
      <c r="I179" s="129"/>
      <c r="J179" s="129"/>
    </row>
    <row r="180" spans="3:10">
      <c r="C180" s="129"/>
      <c r="D180" s="129"/>
      <c r="E180" s="129"/>
      <c r="F180" s="129"/>
      <c r="G180" s="129"/>
      <c r="H180" s="129"/>
      <c r="I180" s="129"/>
      <c r="J180" s="129"/>
    </row>
    <row r="181" spans="3:10">
      <c r="C181" s="129"/>
      <c r="D181" s="129"/>
      <c r="E181" s="129"/>
      <c r="F181" s="129"/>
      <c r="G181" s="129"/>
      <c r="H181" s="129"/>
      <c r="I181" s="129"/>
      <c r="J181" s="129"/>
    </row>
    <row r="182" spans="3:10">
      <c r="C182" s="129"/>
      <c r="D182" s="129"/>
      <c r="E182" s="129"/>
      <c r="F182" s="129"/>
      <c r="G182" s="129"/>
      <c r="H182" s="129"/>
      <c r="I182" s="129"/>
      <c r="J182" s="129"/>
    </row>
    <row r="183" spans="3:10">
      <c r="C183" s="129"/>
      <c r="D183" s="129"/>
      <c r="E183" s="129"/>
      <c r="F183" s="129"/>
      <c r="G183" s="129"/>
      <c r="H183" s="129"/>
      <c r="I183" s="129"/>
      <c r="J183" s="129"/>
    </row>
    <row r="184" spans="3:10">
      <c r="C184" s="129"/>
      <c r="D184" s="129"/>
      <c r="E184" s="129"/>
      <c r="F184" s="129"/>
      <c r="G184" s="129"/>
      <c r="H184" s="129"/>
      <c r="I184" s="129"/>
      <c r="J184" s="129"/>
    </row>
    <row r="185" spans="3:10">
      <c r="C185" s="129"/>
      <c r="D185" s="129"/>
      <c r="E185" s="129"/>
      <c r="F185" s="129"/>
      <c r="G185" s="129"/>
      <c r="H185" s="129"/>
      <c r="I185" s="129"/>
      <c r="J185" s="129"/>
    </row>
    <row r="186" spans="3:10">
      <c r="C186" s="129"/>
      <c r="D186" s="129"/>
      <c r="E186" s="129"/>
      <c r="F186" s="129"/>
      <c r="G186" s="129"/>
      <c r="H186" s="129"/>
      <c r="I186" s="129"/>
      <c r="J186" s="129"/>
    </row>
    <row r="187" spans="3:10">
      <c r="C187" s="129"/>
      <c r="D187" s="129"/>
      <c r="E187" s="129"/>
      <c r="F187" s="129"/>
      <c r="G187" s="129"/>
      <c r="H187" s="129"/>
      <c r="I187" s="129"/>
      <c r="J187" s="129"/>
    </row>
    <row r="188" spans="3:10">
      <c r="C188" s="129"/>
      <c r="D188" s="129"/>
      <c r="E188" s="129"/>
      <c r="F188" s="129"/>
      <c r="G188" s="129"/>
      <c r="H188" s="129"/>
      <c r="I188" s="129"/>
      <c r="J188" s="129"/>
    </row>
    <row r="189" spans="3:10">
      <c r="C189" s="129"/>
      <c r="D189" s="129"/>
      <c r="E189" s="129"/>
      <c r="F189" s="129"/>
      <c r="G189" s="129"/>
      <c r="H189" s="129"/>
      <c r="I189" s="129"/>
      <c r="J189" s="129"/>
    </row>
    <row r="190" spans="3:10">
      <c r="C190" s="129"/>
      <c r="D190" s="129"/>
      <c r="E190" s="129"/>
      <c r="F190" s="129"/>
      <c r="G190" s="129"/>
      <c r="H190" s="129"/>
      <c r="I190" s="129"/>
      <c r="J190" s="129"/>
    </row>
    <row r="191" spans="3:10">
      <c r="C191" s="129"/>
      <c r="D191" s="129"/>
      <c r="E191" s="129"/>
      <c r="F191" s="129"/>
      <c r="G191" s="129"/>
      <c r="H191" s="129"/>
      <c r="I191" s="129"/>
      <c r="J191" s="129"/>
    </row>
    <row r="192" spans="3:10">
      <c r="C192" s="129"/>
      <c r="D192" s="129"/>
      <c r="E192" s="129"/>
      <c r="F192" s="129"/>
      <c r="G192" s="129"/>
      <c r="H192" s="129"/>
      <c r="I192" s="129"/>
      <c r="J192" s="129"/>
    </row>
    <row r="193" spans="3:10">
      <c r="C193" s="129"/>
      <c r="D193" s="129"/>
      <c r="E193" s="129"/>
      <c r="F193" s="129"/>
      <c r="G193" s="129"/>
      <c r="H193" s="129"/>
      <c r="I193" s="129"/>
      <c r="J193" s="129"/>
    </row>
    <row r="194" spans="3:10">
      <c r="C194" s="129"/>
      <c r="D194" s="129"/>
      <c r="E194" s="129"/>
      <c r="F194" s="129"/>
      <c r="G194" s="129"/>
      <c r="H194" s="129"/>
      <c r="I194" s="129"/>
      <c r="J194" s="129"/>
    </row>
    <row r="195" spans="3:10">
      <c r="C195" s="129"/>
      <c r="D195" s="129"/>
      <c r="E195" s="129"/>
      <c r="F195" s="129"/>
      <c r="G195" s="129"/>
      <c r="H195" s="129"/>
      <c r="I195" s="129"/>
      <c r="J195" s="129"/>
    </row>
    <row r="196" spans="3:10">
      <c r="C196" s="129"/>
      <c r="D196" s="129"/>
      <c r="E196" s="129"/>
      <c r="F196" s="129"/>
      <c r="G196" s="129"/>
      <c r="H196" s="129"/>
      <c r="I196" s="129"/>
      <c r="J196" s="129"/>
    </row>
    <row r="197" spans="3:10">
      <c r="C197" s="129"/>
      <c r="D197" s="129"/>
      <c r="E197" s="129"/>
      <c r="F197" s="129"/>
      <c r="G197" s="129"/>
      <c r="H197" s="129"/>
      <c r="I197" s="129"/>
      <c r="J197" s="129"/>
    </row>
    <row r="198" spans="3:10">
      <c r="C198" s="129"/>
      <c r="D198" s="129"/>
      <c r="E198" s="129"/>
      <c r="F198" s="129"/>
      <c r="G198" s="129"/>
      <c r="H198" s="129"/>
      <c r="I198" s="129"/>
      <c r="J198" s="129"/>
    </row>
    <row r="199" spans="3:10">
      <c r="C199" s="129"/>
      <c r="D199" s="129"/>
      <c r="E199" s="129"/>
      <c r="F199" s="129"/>
      <c r="G199" s="129"/>
      <c r="H199" s="129"/>
      <c r="I199" s="129"/>
      <c r="J199" s="129"/>
    </row>
    <row r="200" spans="3:10">
      <c r="C200" s="129"/>
      <c r="D200" s="129"/>
      <c r="E200" s="129"/>
      <c r="F200" s="129"/>
      <c r="G200" s="129"/>
      <c r="H200" s="129"/>
      <c r="I200" s="129"/>
      <c r="J200" s="129"/>
    </row>
    <row r="201" spans="3:10">
      <c r="C201" s="129"/>
      <c r="D201" s="129"/>
      <c r="E201" s="129"/>
      <c r="F201" s="129"/>
      <c r="G201" s="129"/>
      <c r="H201" s="129"/>
      <c r="I201" s="129"/>
      <c r="J201" s="129"/>
    </row>
    <row r="202" spans="3:10">
      <c r="C202" s="129"/>
      <c r="D202" s="129"/>
      <c r="E202" s="129"/>
      <c r="F202" s="129"/>
      <c r="G202" s="129"/>
      <c r="H202" s="129"/>
      <c r="I202" s="129"/>
      <c r="J202" s="129"/>
    </row>
    <row r="203" spans="3:10">
      <c r="C203" s="129"/>
      <c r="D203" s="129"/>
      <c r="E203" s="129"/>
      <c r="F203" s="129"/>
      <c r="G203" s="129"/>
      <c r="H203" s="129"/>
      <c r="I203" s="129"/>
      <c r="J203" s="129"/>
    </row>
    <row r="204" spans="3:10">
      <c r="C204" s="129"/>
      <c r="D204" s="129"/>
      <c r="E204" s="129"/>
      <c r="F204" s="129"/>
      <c r="G204" s="129"/>
      <c r="H204" s="129"/>
      <c r="I204" s="129"/>
      <c r="J204" s="129"/>
    </row>
    <row r="205" spans="3:10">
      <c r="C205" s="129"/>
      <c r="D205" s="129"/>
      <c r="E205" s="129"/>
      <c r="F205" s="129"/>
      <c r="G205" s="129"/>
      <c r="H205" s="129"/>
      <c r="I205" s="129"/>
      <c r="J205" s="129"/>
    </row>
    <row r="206" spans="3:10">
      <c r="C206" s="129"/>
      <c r="D206" s="129"/>
      <c r="E206" s="129"/>
      <c r="F206" s="129"/>
      <c r="G206" s="129"/>
      <c r="H206" s="129"/>
      <c r="I206" s="129"/>
      <c r="J206" s="129"/>
    </row>
    <row r="207" spans="3:10">
      <c r="C207" s="129"/>
      <c r="D207" s="129"/>
      <c r="E207" s="129"/>
      <c r="F207" s="129"/>
      <c r="G207" s="129"/>
      <c r="H207" s="129"/>
      <c r="I207" s="129"/>
      <c r="J207" s="129"/>
    </row>
    <row r="208" spans="3:10">
      <c r="C208" s="129"/>
      <c r="D208" s="129"/>
      <c r="E208" s="129"/>
      <c r="F208" s="129"/>
      <c r="G208" s="129"/>
      <c r="H208" s="129"/>
      <c r="I208" s="129"/>
      <c r="J208" s="129"/>
    </row>
    <row r="209" spans="3:10">
      <c r="C209" s="129"/>
      <c r="D209" s="129"/>
      <c r="E209" s="129"/>
      <c r="F209" s="129"/>
      <c r="G209" s="129"/>
      <c r="H209" s="129"/>
      <c r="I209" s="129"/>
      <c r="J209" s="129"/>
    </row>
    <row r="210" spans="3:10">
      <c r="C210" s="129"/>
      <c r="D210" s="129"/>
      <c r="E210" s="129"/>
      <c r="F210" s="129"/>
      <c r="G210" s="129"/>
      <c r="H210" s="129"/>
      <c r="I210" s="129"/>
      <c r="J210" s="129"/>
    </row>
    <row r="211" spans="3:10">
      <c r="C211" s="129"/>
      <c r="D211" s="129"/>
      <c r="E211" s="129"/>
      <c r="F211" s="129"/>
      <c r="G211" s="129"/>
      <c r="H211" s="129"/>
      <c r="I211" s="129"/>
      <c r="J211" s="129"/>
    </row>
    <row r="212" spans="3:10">
      <c r="C212" s="129"/>
      <c r="D212" s="129"/>
      <c r="E212" s="129"/>
      <c r="F212" s="129"/>
      <c r="G212" s="129"/>
      <c r="H212" s="129"/>
      <c r="I212" s="129"/>
      <c r="J212" s="129"/>
    </row>
    <row r="213" spans="3:10">
      <c r="C213" s="129"/>
      <c r="D213" s="129"/>
      <c r="E213" s="129"/>
      <c r="F213" s="129"/>
      <c r="G213" s="129"/>
      <c r="H213" s="129"/>
      <c r="I213" s="129"/>
      <c r="J213" s="129"/>
    </row>
    <row r="214" spans="3:10">
      <c r="C214" s="129"/>
      <c r="D214" s="129"/>
      <c r="E214" s="129"/>
      <c r="F214" s="129"/>
      <c r="G214" s="129"/>
      <c r="H214" s="129"/>
      <c r="I214" s="129"/>
      <c r="J214" s="129"/>
    </row>
    <row r="215" spans="3:10">
      <c r="C215" s="129"/>
      <c r="D215" s="129"/>
      <c r="E215" s="129"/>
      <c r="F215" s="129"/>
      <c r="G215" s="129"/>
      <c r="H215" s="129"/>
      <c r="I215" s="129"/>
      <c r="J215" s="129"/>
    </row>
    <row r="216" spans="3:10">
      <c r="C216" s="129"/>
      <c r="D216" s="129"/>
      <c r="E216" s="129"/>
      <c r="F216" s="129"/>
      <c r="G216" s="129"/>
      <c r="H216" s="129"/>
      <c r="I216" s="129"/>
      <c r="J216" s="129"/>
    </row>
    <row r="217" spans="3:10">
      <c r="C217" s="129"/>
      <c r="D217" s="129"/>
      <c r="E217" s="129"/>
      <c r="F217" s="129"/>
      <c r="G217" s="129"/>
      <c r="H217" s="129"/>
      <c r="I217" s="129"/>
      <c r="J217" s="129"/>
    </row>
    <row r="218" spans="3:10">
      <c r="C218" s="129"/>
      <c r="D218" s="129"/>
      <c r="E218" s="129"/>
      <c r="F218" s="129"/>
      <c r="G218" s="129"/>
      <c r="H218" s="129"/>
      <c r="I218" s="129"/>
      <c r="J218" s="129"/>
    </row>
    <row r="219" spans="3:10">
      <c r="C219" s="129"/>
      <c r="D219" s="129"/>
      <c r="E219" s="129"/>
      <c r="F219" s="129"/>
      <c r="G219" s="129"/>
      <c r="H219" s="129"/>
      <c r="I219" s="129"/>
      <c r="J219" s="129"/>
    </row>
    <row r="220" spans="3:10">
      <c r="C220" s="129"/>
      <c r="D220" s="129"/>
      <c r="E220" s="129"/>
      <c r="F220" s="129"/>
      <c r="G220" s="129"/>
      <c r="H220" s="129"/>
      <c r="I220" s="129"/>
      <c r="J220" s="129"/>
    </row>
    <row r="221" spans="3:10">
      <c r="C221" s="129"/>
      <c r="D221" s="129"/>
      <c r="E221" s="129"/>
      <c r="F221" s="129"/>
      <c r="G221" s="129"/>
      <c r="H221" s="129"/>
      <c r="I221" s="129"/>
      <c r="J221" s="129"/>
    </row>
    <row r="222" spans="3:10">
      <c r="C222" s="129"/>
      <c r="D222" s="129"/>
      <c r="E222" s="129"/>
      <c r="F222" s="129"/>
      <c r="G222" s="129"/>
      <c r="H222" s="129"/>
      <c r="I222" s="129"/>
      <c r="J222" s="129"/>
    </row>
    <row r="223" spans="3:10">
      <c r="C223" s="129"/>
      <c r="D223" s="129"/>
      <c r="E223" s="129"/>
      <c r="F223" s="129"/>
      <c r="G223" s="129"/>
      <c r="H223" s="129"/>
      <c r="I223" s="129"/>
      <c r="J223" s="129"/>
    </row>
    <row r="224" spans="3:10">
      <c r="C224" s="129"/>
      <c r="D224" s="129"/>
      <c r="E224" s="129"/>
      <c r="F224" s="129"/>
      <c r="G224" s="129"/>
      <c r="H224" s="129"/>
      <c r="I224" s="129"/>
      <c r="J224" s="129"/>
    </row>
    <row r="225" spans="3:10">
      <c r="C225" s="129"/>
      <c r="D225" s="129"/>
      <c r="E225" s="129"/>
      <c r="F225" s="129"/>
      <c r="G225" s="129"/>
      <c r="H225" s="129"/>
      <c r="I225" s="129"/>
      <c r="J225" s="129"/>
    </row>
    <row r="226" spans="3:10">
      <c r="C226" s="129"/>
      <c r="D226" s="129"/>
      <c r="E226" s="129"/>
      <c r="F226" s="129"/>
      <c r="G226" s="129"/>
      <c r="H226" s="129"/>
      <c r="I226" s="129"/>
      <c r="J226" s="129"/>
    </row>
    <row r="227" spans="3:10">
      <c r="C227" s="129"/>
      <c r="D227" s="129"/>
      <c r="E227" s="129"/>
      <c r="F227" s="129"/>
      <c r="G227" s="129"/>
      <c r="H227" s="129"/>
      <c r="I227" s="129"/>
      <c r="J227" s="129"/>
    </row>
    <row r="228" spans="3:10">
      <c r="C228" s="129"/>
      <c r="D228" s="129"/>
      <c r="E228" s="129"/>
      <c r="F228" s="129"/>
      <c r="G228" s="129"/>
      <c r="H228" s="129"/>
      <c r="I228" s="129"/>
      <c r="J228" s="129"/>
    </row>
    <row r="229" spans="3:10">
      <c r="C229" s="129"/>
      <c r="D229" s="129"/>
      <c r="E229" s="129"/>
      <c r="F229" s="129"/>
      <c r="G229" s="129"/>
      <c r="H229" s="129"/>
      <c r="I229" s="129"/>
      <c r="J229" s="129"/>
    </row>
    <row r="230" spans="3:10">
      <c r="C230" s="129"/>
      <c r="D230" s="129"/>
      <c r="E230" s="129"/>
      <c r="F230" s="129"/>
      <c r="G230" s="129"/>
      <c r="H230" s="129"/>
      <c r="I230" s="129"/>
      <c r="J230" s="129"/>
    </row>
    <row r="231" spans="3:10">
      <c r="C231" s="129"/>
      <c r="D231" s="129"/>
      <c r="E231" s="129"/>
      <c r="F231" s="129"/>
      <c r="G231" s="129"/>
      <c r="H231" s="129"/>
      <c r="I231" s="129"/>
      <c r="J231" s="129"/>
    </row>
    <row r="232" spans="3:10">
      <c r="C232" s="129"/>
      <c r="D232" s="129"/>
      <c r="E232" s="129"/>
      <c r="F232" s="129"/>
      <c r="G232" s="129"/>
      <c r="H232" s="129"/>
      <c r="I232" s="129"/>
      <c r="J232" s="129"/>
    </row>
    <row r="233" spans="3:10">
      <c r="C233" s="129"/>
      <c r="D233" s="129"/>
      <c r="E233" s="129"/>
      <c r="F233" s="129"/>
      <c r="G233" s="129"/>
      <c r="H233" s="129"/>
      <c r="I233" s="129"/>
      <c r="J233" s="129"/>
    </row>
    <row r="234" spans="3:10">
      <c r="C234" s="129"/>
      <c r="D234" s="129"/>
      <c r="E234" s="129"/>
      <c r="F234" s="129"/>
      <c r="G234" s="129"/>
      <c r="H234" s="129"/>
      <c r="I234" s="129"/>
      <c r="J234" s="129"/>
    </row>
    <row r="235" spans="3:10">
      <c r="C235" s="129"/>
      <c r="D235" s="129"/>
      <c r="E235" s="129"/>
      <c r="F235" s="129"/>
      <c r="G235" s="129"/>
      <c r="H235" s="129"/>
      <c r="I235" s="129"/>
      <c r="J235" s="129"/>
    </row>
    <row r="236" spans="3:10">
      <c r="C236" s="129"/>
      <c r="D236" s="129"/>
      <c r="E236" s="129"/>
      <c r="F236" s="129"/>
      <c r="G236" s="129"/>
      <c r="H236" s="129"/>
      <c r="I236" s="129"/>
      <c r="J236" s="129"/>
    </row>
    <row r="237" spans="3:10">
      <c r="C237" s="129"/>
      <c r="D237" s="129"/>
      <c r="E237" s="129"/>
      <c r="F237" s="129"/>
      <c r="G237" s="129"/>
      <c r="H237" s="129"/>
      <c r="I237" s="129"/>
      <c r="J237" s="129"/>
    </row>
    <row r="238" spans="3:10">
      <c r="C238" s="129"/>
      <c r="D238" s="129"/>
      <c r="E238" s="129"/>
      <c r="F238" s="129"/>
      <c r="G238" s="129"/>
      <c r="H238" s="129"/>
      <c r="I238" s="129"/>
      <c r="J238" s="129"/>
    </row>
    <row r="239" spans="3:10">
      <c r="C239" s="129"/>
      <c r="D239" s="129"/>
      <c r="E239" s="129"/>
      <c r="F239" s="129"/>
      <c r="G239" s="129"/>
      <c r="H239" s="129"/>
      <c r="I239" s="129"/>
      <c r="J239" s="129"/>
    </row>
    <row r="240" spans="3:10">
      <c r="C240" s="129"/>
      <c r="D240" s="129"/>
      <c r="E240" s="129"/>
      <c r="F240" s="129"/>
      <c r="G240" s="129"/>
      <c r="H240" s="129"/>
      <c r="I240" s="129"/>
      <c r="J240" s="129"/>
    </row>
    <row r="241" spans="3:10">
      <c r="C241" s="129"/>
      <c r="D241" s="129"/>
      <c r="E241" s="129"/>
      <c r="F241" s="129"/>
      <c r="G241" s="129"/>
      <c r="H241" s="129"/>
      <c r="I241" s="129"/>
      <c r="J241" s="129"/>
    </row>
    <row r="242" spans="3:10">
      <c r="C242" s="129"/>
      <c r="D242" s="129"/>
      <c r="E242" s="129"/>
      <c r="F242" s="129"/>
      <c r="G242" s="129"/>
      <c r="H242" s="129"/>
      <c r="I242" s="129"/>
      <c r="J242" s="129"/>
    </row>
    <row r="243" spans="3:10">
      <c r="C243" s="129"/>
      <c r="D243" s="129"/>
      <c r="E243" s="129"/>
      <c r="F243" s="129"/>
      <c r="G243" s="129"/>
      <c r="H243" s="129"/>
      <c r="I243" s="129"/>
      <c r="J243" s="129"/>
    </row>
    <row r="244" spans="3:10">
      <c r="C244" s="129"/>
      <c r="D244" s="129"/>
      <c r="E244" s="129"/>
      <c r="F244" s="129"/>
      <c r="G244" s="129"/>
      <c r="H244" s="129"/>
      <c r="I244" s="129"/>
      <c r="J244" s="129"/>
    </row>
    <row r="245" spans="3:10">
      <c r="C245" s="129"/>
      <c r="D245" s="129"/>
      <c r="E245" s="129"/>
      <c r="F245" s="129"/>
      <c r="G245" s="129"/>
      <c r="H245" s="129"/>
      <c r="I245" s="129"/>
      <c r="J245" s="129"/>
    </row>
    <row r="246" spans="3:10">
      <c r="C246" s="129"/>
      <c r="D246" s="129"/>
      <c r="E246" s="129"/>
      <c r="F246" s="129"/>
      <c r="G246" s="129"/>
      <c r="H246" s="129"/>
      <c r="I246" s="129"/>
      <c r="J246" s="129"/>
    </row>
    <row r="247" spans="3:10">
      <c r="C247" s="129"/>
      <c r="D247" s="129"/>
      <c r="E247" s="129"/>
      <c r="F247" s="129"/>
      <c r="G247" s="129"/>
      <c r="H247" s="129"/>
      <c r="I247" s="129"/>
      <c r="J247" s="129"/>
    </row>
    <row r="248" spans="3:10">
      <c r="C248" s="129"/>
      <c r="D248" s="129"/>
      <c r="E248" s="129"/>
      <c r="F248" s="129"/>
      <c r="G248" s="129"/>
      <c r="H248" s="129"/>
      <c r="I248" s="129"/>
      <c r="J248" s="129"/>
    </row>
    <row r="249" spans="3:10">
      <c r="C249" s="129"/>
      <c r="D249" s="129"/>
      <c r="E249" s="129"/>
      <c r="F249" s="129"/>
      <c r="G249" s="129"/>
      <c r="H249" s="129"/>
      <c r="I249" s="129"/>
      <c r="J249" s="129"/>
    </row>
    <row r="250" spans="3:10">
      <c r="C250" s="129"/>
      <c r="D250" s="129"/>
      <c r="E250" s="129"/>
      <c r="F250" s="129"/>
      <c r="G250" s="129"/>
      <c r="H250" s="129"/>
      <c r="I250" s="129"/>
      <c r="J250" s="129"/>
    </row>
    <row r="251" spans="3:10">
      <c r="C251" s="129"/>
      <c r="D251" s="129"/>
      <c r="E251" s="129"/>
      <c r="F251" s="129"/>
      <c r="G251" s="129"/>
      <c r="H251" s="129"/>
      <c r="I251" s="129"/>
      <c r="J251" s="129"/>
    </row>
    <row r="252" spans="3:10">
      <c r="C252" s="129"/>
      <c r="D252" s="129"/>
      <c r="E252" s="129"/>
      <c r="F252" s="129"/>
      <c r="G252" s="129"/>
      <c r="H252" s="129"/>
      <c r="I252" s="129"/>
      <c r="J252" s="129"/>
    </row>
    <row r="253" spans="3:10">
      <c r="C253" s="129"/>
      <c r="D253" s="129"/>
      <c r="E253" s="129"/>
      <c r="F253" s="129"/>
      <c r="G253" s="129"/>
      <c r="H253" s="129"/>
      <c r="I253" s="129"/>
      <c r="J253" s="129"/>
    </row>
    <row r="254" spans="3:10">
      <c r="C254" s="129"/>
      <c r="D254" s="129"/>
      <c r="E254" s="129"/>
      <c r="F254" s="129"/>
      <c r="G254" s="129"/>
      <c r="H254" s="129"/>
      <c r="I254" s="129"/>
      <c r="J254" s="129"/>
    </row>
    <row r="255" spans="3:10">
      <c r="C255" s="129"/>
      <c r="D255" s="129"/>
      <c r="E255" s="129"/>
      <c r="F255" s="129"/>
      <c r="G255" s="129"/>
      <c r="H255" s="129"/>
      <c r="I255" s="129"/>
      <c r="J255" s="129"/>
    </row>
    <row r="256" spans="3:10">
      <c r="C256" s="129"/>
      <c r="D256" s="129"/>
      <c r="E256" s="129"/>
      <c r="F256" s="129"/>
      <c r="G256" s="129"/>
      <c r="H256" s="129"/>
      <c r="I256" s="129"/>
      <c r="J256" s="129"/>
    </row>
    <row r="257" spans="3:10">
      <c r="C257" s="129"/>
      <c r="D257" s="129"/>
      <c r="E257" s="129"/>
      <c r="F257" s="129"/>
      <c r="G257" s="129"/>
      <c r="H257" s="129"/>
      <c r="I257" s="129"/>
      <c r="J257" s="129"/>
    </row>
    <row r="258" spans="3:10">
      <c r="C258" s="129"/>
      <c r="D258" s="129"/>
      <c r="E258" s="129"/>
      <c r="F258" s="129"/>
      <c r="G258" s="129"/>
      <c r="H258" s="129"/>
      <c r="I258" s="129"/>
      <c r="J258" s="129"/>
    </row>
    <row r="259" spans="3:10">
      <c r="C259" s="129"/>
      <c r="D259" s="129"/>
      <c r="E259" s="129"/>
      <c r="F259" s="129"/>
      <c r="G259" s="129"/>
      <c r="H259" s="129"/>
      <c r="I259" s="129"/>
      <c r="J259" s="129"/>
    </row>
    <row r="260" spans="3:10">
      <c r="C260" s="129"/>
      <c r="D260" s="129"/>
      <c r="E260" s="129"/>
      <c r="F260" s="129"/>
      <c r="G260" s="129"/>
      <c r="H260" s="129"/>
      <c r="I260" s="129"/>
      <c r="J260" s="129"/>
    </row>
    <row r="261" spans="3:10">
      <c r="C261" s="129"/>
      <c r="D261" s="129"/>
      <c r="E261" s="129"/>
      <c r="F261" s="129"/>
      <c r="G261" s="129"/>
      <c r="H261" s="129"/>
      <c r="I261" s="129"/>
      <c r="J261" s="129"/>
    </row>
    <row r="262" spans="3:10">
      <c r="C262" s="129"/>
      <c r="D262" s="129"/>
      <c r="E262" s="129"/>
      <c r="F262" s="129"/>
      <c r="G262" s="129"/>
      <c r="H262" s="129"/>
      <c r="I262" s="129"/>
      <c r="J262" s="129"/>
    </row>
    <row r="263" spans="3:10">
      <c r="C263" s="129"/>
      <c r="D263" s="129"/>
      <c r="E263" s="129"/>
      <c r="F263" s="129"/>
      <c r="G263" s="129"/>
      <c r="H263" s="129"/>
      <c r="I263" s="129"/>
      <c r="J263" s="129"/>
    </row>
    <row r="264" spans="3:10">
      <c r="C264" s="129"/>
      <c r="D264" s="129"/>
      <c r="E264" s="129"/>
      <c r="F264" s="129"/>
      <c r="G264" s="129"/>
      <c r="H264" s="129"/>
      <c r="I264" s="129"/>
      <c r="J264" s="129"/>
    </row>
    <row r="265" spans="3:10">
      <c r="C265" s="129"/>
      <c r="D265" s="129"/>
      <c r="E265" s="129"/>
      <c r="F265" s="129"/>
      <c r="G265" s="129"/>
      <c r="H265" s="129"/>
      <c r="I265" s="129"/>
      <c r="J265" s="129"/>
    </row>
    <row r="266" spans="3:10">
      <c r="C266" s="129"/>
      <c r="D266" s="129"/>
      <c r="E266" s="129"/>
      <c r="F266" s="129"/>
      <c r="G266" s="129"/>
      <c r="H266" s="129"/>
      <c r="I266" s="129"/>
      <c r="J266" s="129"/>
    </row>
    <row r="267" spans="3:10">
      <c r="C267" s="129"/>
      <c r="D267" s="129"/>
      <c r="E267" s="129"/>
      <c r="F267" s="129"/>
      <c r="G267" s="129"/>
      <c r="H267" s="129"/>
      <c r="I267" s="129"/>
      <c r="J267" s="129"/>
    </row>
    <row r="268" spans="3:10">
      <c r="C268" s="129"/>
      <c r="D268" s="129"/>
      <c r="E268" s="129"/>
      <c r="F268" s="129"/>
      <c r="G268" s="129"/>
      <c r="H268" s="129"/>
      <c r="I268" s="129"/>
      <c r="J268" s="129"/>
    </row>
    <row r="269" spans="3:10">
      <c r="C269" s="129"/>
      <c r="D269" s="129"/>
      <c r="E269" s="129"/>
      <c r="F269" s="129"/>
      <c r="G269" s="129"/>
      <c r="H269" s="129"/>
      <c r="I269" s="129"/>
      <c r="J269" s="129"/>
    </row>
    <row r="270" spans="3:10">
      <c r="C270" s="129"/>
      <c r="D270" s="129"/>
      <c r="E270" s="129"/>
      <c r="F270" s="129"/>
      <c r="G270" s="129"/>
      <c r="H270" s="129"/>
      <c r="I270" s="129"/>
      <c r="J270" s="129"/>
    </row>
    <row r="271" spans="3:10">
      <c r="C271" s="129"/>
      <c r="D271" s="129"/>
      <c r="E271" s="129"/>
      <c r="F271" s="129"/>
      <c r="G271" s="129"/>
      <c r="H271" s="129"/>
      <c r="I271" s="129"/>
      <c r="J271" s="129"/>
    </row>
    <row r="272" spans="3:10">
      <c r="C272" s="129"/>
      <c r="D272" s="129"/>
      <c r="E272" s="129"/>
      <c r="F272" s="129"/>
      <c r="G272" s="129"/>
      <c r="H272" s="129"/>
      <c r="I272" s="129"/>
      <c r="J272" s="129"/>
    </row>
    <row r="273" spans="3:10">
      <c r="C273" s="129"/>
      <c r="D273" s="129"/>
      <c r="E273" s="129"/>
      <c r="F273" s="129"/>
      <c r="G273" s="129"/>
      <c r="H273" s="129"/>
      <c r="I273" s="129"/>
      <c r="J273" s="129"/>
    </row>
    <row r="274" spans="3:10">
      <c r="C274" s="129"/>
      <c r="D274" s="129"/>
      <c r="E274" s="129"/>
      <c r="F274" s="129"/>
      <c r="G274" s="129"/>
      <c r="H274" s="129"/>
      <c r="I274" s="129"/>
      <c r="J274" s="129"/>
    </row>
    <row r="275" spans="3:10">
      <c r="C275" s="129"/>
      <c r="D275" s="129"/>
      <c r="E275" s="129"/>
      <c r="F275" s="129"/>
      <c r="G275" s="129"/>
      <c r="H275" s="129"/>
      <c r="I275" s="129"/>
      <c r="J275" s="129"/>
    </row>
    <row r="276" spans="3:10">
      <c r="C276" s="129"/>
      <c r="D276" s="129"/>
      <c r="E276" s="129"/>
      <c r="F276" s="129"/>
      <c r="G276" s="129"/>
      <c r="H276" s="129"/>
      <c r="I276" s="129"/>
      <c r="J276" s="129"/>
    </row>
    <row r="277" spans="3:10">
      <c r="C277" s="129"/>
      <c r="D277" s="129"/>
      <c r="E277" s="129"/>
      <c r="F277" s="129"/>
      <c r="G277" s="129"/>
      <c r="H277" s="129"/>
      <c r="I277" s="129"/>
      <c r="J277" s="129"/>
    </row>
    <row r="278" spans="3:10">
      <c r="C278" s="129"/>
      <c r="D278" s="129"/>
      <c r="E278" s="129"/>
      <c r="F278" s="129"/>
      <c r="G278" s="129"/>
      <c r="H278" s="129"/>
      <c r="I278" s="129"/>
      <c r="J278" s="129"/>
    </row>
    <row r="279" spans="3:10">
      <c r="C279" s="129"/>
      <c r="D279" s="129"/>
      <c r="E279" s="129"/>
      <c r="F279" s="129"/>
      <c r="G279" s="129"/>
      <c r="H279" s="129"/>
      <c r="I279" s="129"/>
      <c r="J279" s="129"/>
    </row>
    <row r="280" spans="3:10">
      <c r="C280" s="129"/>
      <c r="D280" s="129"/>
      <c r="E280" s="129"/>
      <c r="F280" s="129"/>
      <c r="G280" s="129"/>
      <c r="H280" s="129"/>
      <c r="I280" s="129"/>
      <c r="J280" s="129"/>
    </row>
    <row r="281" spans="3:10">
      <c r="C281" s="129"/>
      <c r="D281" s="129"/>
      <c r="E281" s="129"/>
      <c r="F281" s="129"/>
      <c r="G281" s="129"/>
      <c r="H281" s="129"/>
      <c r="I281" s="129"/>
      <c r="J281" s="129"/>
    </row>
    <row r="282" spans="3:10">
      <c r="C282" s="129"/>
      <c r="D282" s="129"/>
      <c r="E282" s="129"/>
      <c r="F282" s="129"/>
      <c r="G282" s="129"/>
      <c r="H282" s="129"/>
      <c r="I282" s="129"/>
      <c r="J282" s="129"/>
    </row>
    <row r="283" spans="3:10">
      <c r="C283" s="129"/>
      <c r="D283" s="129"/>
      <c r="E283" s="129"/>
      <c r="F283" s="129"/>
      <c r="G283" s="129"/>
      <c r="H283" s="129"/>
      <c r="I283" s="129"/>
      <c r="J283" s="129"/>
    </row>
    <row r="284" spans="3:10">
      <c r="C284" s="129"/>
      <c r="D284" s="129"/>
      <c r="E284" s="129"/>
      <c r="F284" s="129"/>
      <c r="G284" s="129"/>
      <c r="H284" s="129"/>
      <c r="I284" s="129"/>
      <c r="J284" s="129"/>
    </row>
    <row r="285" spans="3:10">
      <c r="C285" s="129"/>
      <c r="D285" s="129"/>
      <c r="E285" s="129"/>
      <c r="F285" s="129"/>
      <c r="G285" s="129"/>
      <c r="H285" s="129"/>
      <c r="I285" s="129"/>
      <c r="J285" s="129"/>
    </row>
    <row r="286" spans="3:10">
      <c r="C286" s="129"/>
      <c r="D286" s="129"/>
      <c r="E286" s="129"/>
      <c r="F286" s="129"/>
      <c r="G286" s="129"/>
      <c r="H286" s="129"/>
      <c r="I286" s="129"/>
      <c r="J286" s="129"/>
    </row>
    <row r="287" spans="3:10">
      <c r="C287" s="129"/>
      <c r="D287" s="129"/>
      <c r="E287" s="129"/>
      <c r="F287" s="129"/>
      <c r="G287" s="129"/>
      <c r="H287" s="129"/>
      <c r="I287" s="129"/>
      <c r="J287" s="129"/>
    </row>
    <row r="288" spans="3:10">
      <c r="C288" s="129"/>
      <c r="D288" s="129"/>
      <c r="E288" s="129"/>
      <c r="F288" s="129"/>
      <c r="G288" s="129"/>
      <c r="H288" s="129"/>
      <c r="I288" s="129"/>
      <c r="J288" s="129"/>
    </row>
    <row r="289" spans="3:10">
      <c r="C289" s="129"/>
      <c r="D289" s="129"/>
      <c r="E289" s="129"/>
      <c r="F289" s="129"/>
      <c r="G289" s="129"/>
      <c r="H289" s="129"/>
      <c r="I289" s="129"/>
      <c r="J289" s="129"/>
    </row>
    <row r="290" spans="3:10">
      <c r="C290" s="129"/>
      <c r="D290" s="129"/>
      <c r="E290" s="129"/>
      <c r="F290" s="129"/>
      <c r="G290" s="129"/>
      <c r="H290" s="129"/>
      <c r="I290" s="129"/>
      <c r="J290" s="129"/>
    </row>
    <row r="291" spans="3:10">
      <c r="C291" s="129"/>
      <c r="D291" s="129"/>
      <c r="E291" s="129"/>
      <c r="F291" s="129"/>
      <c r="G291" s="129"/>
      <c r="H291" s="129"/>
      <c r="I291" s="129"/>
      <c r="J291" s="129"/>
    </row>
    <row r="292" spans="3:10">
      <c r="C292" s="129"/>
      <c r="D292" s="129"/>
      <c r="E292" s="129"/>
      <c r="F292" s="129"/>
      <c r="G292" s="129"/>
      <c r="H292" s="129"/>
      <c r="I292" s="129"/>
      <c r="J292" s="129"/>
    </row>
    <row r="293" spans="3:10">
      <c r="C293" s="129"/>
      <c r="D293" s="129"/>
      <c r="E293" s="129"/>
      <c r="F293" s="129"/>
      <c r="G293" s="129"/>
      <c r="H293" s="129"/>
      <c r="I293" s="129"/>
      <c r="J293" s="129"/>
    </row>
    <row r="294" spans="3:10">
      <c r="C294" s="129"/>
      <c r="D294" s="129"/>
      <c r="E294" s="129"/>
      <c r="F294" s="129"/>
      <c r="G294" s="129"/>
      <c r="H294" s="129"/>
      <c r="I294" s="129"/>
      <c r="J294" s="129"/>
    </row>
    <row r="295" spans="3:10">
      <c r="C295" s="129"/>
      <c r="D295" s="129"/>
      <c r="E295" s="129"/>
      <c r="F295" s="129"/>
      <c r="G295" s="129"/>
      <c r="H295" s="129"/>
      <c r="I295" s="129"/>
      <c r="J295" s="129"/>
    </row>
    <row r="296" spans="3:10">
      <c r="C296" s="129"/>
      <c r="D296" s="129"/>
      <c r="E296" s="129"/>
      <c r="F296" s="129"/>
      <c r="G296" s="129"/>
      <c r="H296" s="129"/>
      <c r="I296" s="129"/>
      <c r="J296" s="129"/>
    </row>
    <row r="297" spans="3:10">
      <c r="C297" s="129"/>
      <c r="D297" s="129"/>
      <c r="E297" s="129"/>
      <c r="F297" s="129"/>
      <c r="G297" s="129"/>
      <c r="H297" s="129"/>
      <c r="I297" s="129"/>
      <c r="J297" s="129"/>
    </row>
    <row r="298" spans="3:10">
      <c r="C298" s="129"/>
      <c r="D298" s="129"/>
      <c r="E298" s="129"/>
      <c r="F298" s="129"/>
      <c r="G298" s="129"/>
      <c r="H298" s="129"/>
      <c r="I298" s="129"/>
      <c r="J298" s="129"/>
    </row>
  </sheetData>
  <mergeCells count="8">
    <mergeCell ref="M99:X99"/>
    <mergeCell ref="M100:X100"/>
    <mergeCell ref="M93:X93"/>
    <mergeCell ref="M94:X94"/>
    <mergeCell ref="M95:X95"/>
    <mergeCell ref="M96:X96"/>
    <mergeCell ref="M97:X97"/>
    <mergeCell ref="M98:X98"/>
  </mergeCells>
  <printOptions horizontalCentered="1"/>
  <pageMargins left="0.75" right="0.75" top="0.75" bottom="0.5" header="0.5" footer="0.5"/>
  <pageSetup scale="58" orientation="landscape" horizontalDpi="300" verticalDpi="300" r:id="rId1"/>
  <headerFooter alignWithMargins="0"/>
  <rowBreaks count="1" manualBreakCount="1">
    <brk id="48" min="10" max="2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0000"/>
  </sheetPr>
  <dimension ref="A1:M340"/>
  <sheetViews>
    <sheetView view="pageBreakPreview" zoomScale="80" zoomScaleNormal="75" zoomScaleSheetLayoutView="80" workbookViewId="0"/>
  </sheetViews>
  <sheetFormatPr defaultColWidth="8.77734375" defaultRowHeight="15"/>
  <cols>
    <col min="1" max="1" width="5.109375" style="417" customWidth="1"/>
    <col min="2" max="2" width="1.44140625" style="9" customWidth="1"/>
    <col min="3" max="3" width="60.6640625" style="9" customWidth="1"/>
    <col min="4" max="4" width="24.44140625" style="9" customWidth="1"/>
    <col min="5" max="5" width="15.5546875" style="9" customWidth="1"/>
    <col min="6" max="6" width="7.88671875" style="9" customWidth="1"/>
    <col min="7" max="7" width="4.109375" style="9" customWidth="1"/>
    <col min="8" max="8" width="13.21875" style="9" customWidth="1"/>
    <col min="9" max="9" width="4.21875" style="9" customWidth="1"/>
    <col min="10" max="10" width="16.21875" style="9" customWidth="1"/>
    <col min="11" max="11" width="3.44140625" style="9" customWidth="1"/>
    <col min="12" max="12" width="18.21875" style="9" customWidth="1"/>
    <col min="13" max="13" width="1.77734375" style="9" customWidth="1"/>
    <col min="14" max="16384" width="8.77734375" style="9"/>
  </cols>
  <sheetData>
    <row r="1" spans="1:13" ht="18">
      <c r="A1" s="418"/>
      <c r="C1" s="24"/>
      <c r="D1" s="24"/>
      <c r="E1" s="25"/>
      <c r="F1" s="24"/>
      <c r="G1" s="24"/>
      <c r="H1" s="24"/>
      <c r="I1" s="24"/>
      <c r="J1" s="50" t="s">
        <v>296</v>
      </c>
      <c r="K1" s="60"/>
      <c r="M1" s="60"/>
    </row>
    <row r="2" spans="1:13">
      <c r="C2" s="24"/>
      <c r="D2" s="24"/>
      <c r="E2" s="25"/>
      <c r="F2" s="24"/>
      <c r="G2" s="24"/>
      <c r="H2" s="24"/>
      <c r="I2" s="24"/>
      <c r="J2" s="50" t="s">
        <v>404</v>
      </c>
      <c r="M2" s="50"/>
    </row>
    <row r="3" spans="1:13">
      <c r="C3" s="24"/>
      <c r="D3" s="24"/>
      <c r="E3" s="25"/>
      <c r="F3" s="24"/>
      <c r="G3" s="24"/>
      <c r="H3" s="24"/>
      <c r="I3" s="24"/>
      <c r="K3" s="1"/>
      <c r="M3" s="50"/>
    </row>
    <row r="4" spans="1:13">
      <c r="C4" s="24"/>
      <c r="D4" s="24"/>
      <c r="E4" s="25"/>
      <c r="F4" s="24"/>
      <c r="G4" s="24"/>
      <c r="H4" s="24"/>
      <c r="I4" s="24"/>
      <c r="K4" s="1"/>
      <c r="M4" s="50"/>
    </row>
    <row r="5" spans="1:13">
      <c r="C5" s="24"/>
      <c r="D5" s="24"/>
      <c r="E5" s="25"/>
      <c r="F5" s="24"/>
      <c r="G5" s="24"/>
      <c r="H5" s="24"/>
      <c r="I5" s="24"/>
      <c r="K5" s="1"/>
      <c r="M5" s="50"/>
    </row>
    <row r="6" spans="1:13">
      <c r="C6" s="24"/>
      <c r="D6" s="24"/>
      <c r="E6" s="25"/>
      <c r="F6" s="24"/>
      <c r="G6" s="24"/>
      <c r="H6" s="24"/>
      <c r="I6" s="24"/>
      <c r="J6" s="1"/>
      <c r="K6" s="1"/>
      <c r="M6" s="1"/>
    </row>
    <row r="7" spans="1:13">
      <c r="C7" s="24" t="s">
        <v>6</v>
      </c>
      <c r="D7" s="24"/>
      <c r="E7" s="25"/>
      <c r="F7" s="24"/>
      <c r="G7" s="24"/>
      <c r="H7" s="24"/>
      <c r="I7" s="24"/>
      <c r="J7" s="61" t="str">
        <f>"For the 12 months ended: "&amp;TEXT(INPUT!$B$1,"mm/dd/yyyy")</f>
        <v>For the 12 months ended: 12/31/2021</v>
      </c>
      <c r="K7" s="1"/>
      <c r="M7" s="1"/>
    </row>
    <row r="8" spans="1:13">
      <c r="A8" s="425" t="str">
        <f>DEO!A8</f>
        <v>Rate Formula Template</v>
      </c>
      <c r="B8" s="70"/>
      <c r="C8" s="70"/>
      <c r="D8" s="144"/>
      <c r="E8" s="70"/>
      <c r="F8" s="144"/>
      <c r="G8" s="144"/>
      <c r="H8" s="144"/>
      <c r="I8" s="144"/>
      <c r="J8" s="70"/>
      <c r="K8" s="1"/>
      <c r="L8" s="70"/>
      <c r="M8" s="1"/>
    </row>
    <row r="9" spans="1:13">
      <c r="A9" s="420" t="s">
        <v>267</v>
      </c>
      <c r="B9" s="70"/>
      <c r="C9" s="144"/>
      <c r="D9" s="145"/>
      <c r="E9" s="70"/>
      <c r="F9" s="145"/>
      <c r="G9" s="145"/>
      <c r="H9" s="145"/>
      <c r="I9" s="144"/>
      <c r="J9" s="144"/>
      <c r="K9" s="1"/>
      <c r="L9" s="146"/>
      <c r="M9" s="1"/>
    </row>
    <row r="10" spans="1:13">
      <c r="A10" s="420"/>
      <c r="B10" s="70"/>
      <c r="C10" s="146"/>
      <c r="D10" s="146"/>
      <c r="E10" s="70"/>
      <c r="F10" s="146"/>
      <c r="G10" s="146"/>
      <c r="H10" s="146"/>
      <c r="I10" s="146"/>
      <c r="J10" s="146"/>
      <c r="K10" s="1"/>
      <c r="L10" s="146"/>
      <c r="M10" s="1"/>
    </row>
    <row r="11" spans="1:13" ht="15.75">
      <c r="A11" s="426" t="s">
        <v>686</v>
      </c>
      <c r="B11" s="263"/>
      <c r="C11" s="264"/>
      <c r="D11" s="264"/>
      <c r="E11" s="263"/>
      <c r="F11" s="264"/>
      <c r="G11" s="264"/>
      <c r="H11" s="264"/>
      <c r="I11" s="264"/>
      <c r="J11" s="264"/>
      <c r="K11" s="1"/>
      <c r="L11" s="146"/>
      <c r="M11" s="1"/>
    </row>
    <row r="12" spans="1:13">
      <c r="A12" s="416"/>
      <c r="C12" s="3" t="s">
        <v>18</v>
      </c>
      <c r="D12" s="3" t="s">
        <v>19</v>
      </c>
      <c r="E12" s="3" t="s">
        <v>20</v>
      </c>
      <c r="F12" s="2" t="s">
        <v>7</v>
      </c>
      <c r="G12" s="177" t="s">
        <v>21</v>
      </c>
      <c r="H12" s="70"/>
      <c r="I12" s="2"/>
      <c r="J12" s="5" t="s">
        <v>22</v>
      </c>
      <c r="K12" s="1"/>
      <c r="L12" s="1"/>
      <c r="M12" s="1"/>
    </row>
    <row r="13" spans="1:13">
      <c r="A13" s="416" t="s">
        <v>8</v>
      </c>
      <c r="C13" s="1"/>
      <c r="D13" s="1"/>
      <c r="E13" s="17"/>
      <c r="F13" s="1"/>
      <c r="G13" s="1"/>
      <c r="H13" s="1"/>
      <c r="I13" s="1"/>
      <c r="J13" s="26" t="s">
        <v>9</v>
      </c>
      <c r="K13" s="1"/>
      <c r="L13" s="1"/>
      <c r="M13" s="1"/>
    </row>
    <row r="14" spans="1:13">
      <c r="A14" s="422" t="s">
        <v>10</v>
      </c>
      <c r="C14" s="1"/>
      <c r="D14" s="1"/>
      <c r="E14" s="1"/>
      <c r="F14" s="1"/>
      <c r="G14" s="1"/>
      <c r="H14" s="1"/>
      <c r="I14" s="1"/>
      <c r="J14" s="180" t="s">
        <v>11</v>
      </c>
      <c r="K14" s="1"/>
      <c r="L14" s="1"/>
      <c r="M14" s="1"/>
    </row>
    <row r="15" spans="1:13">
      <c r="A15" s="416">
        <v>1</v>
      </c>
      <c r="C15" s="1" t="str">
        <f>DEO!C15</f>
        <v>GROSS REVENUE REQUIREMENT</v>
      </c>
      <c r="D15" s="350" t="str">
        <f>DEO!D15</f>
        <v>(page 3, line 31)</v>
      </c>
      <c r="E15" s="2"/>
      <c r="F15" s="1"/>
      <c r="G15" s="1"/>
      <c r="H15" s="1"/>
      <c r="I15" s="1"/>
      <c r="J15" s="30">
        <f>J166</f>
        <v>9480966</v>
      </c>
      <c r="K15" s="1"/>
      <c r="L15" s="1"/>
      <c r="M15" s="1"/>
    </row>
    <row r="16" spans="1:13">
      <c r="A16" s="416"/>
      <c r="C16" s="1"/>
      <c r="D16" s="488"/>
      <c r="E16" s="1"/>
      <c r="F16" s="1"/>
      <c r="G16" s="1"/>
      <c r="H16" s="1"/>
      <c r="I16" s="1"/>
      <c r="J16" s="30"/>
      <c r="K16" s="1"/>
      <c r="L16" s="1"/>
      <c r="M16" s="1"/>
    </row>
    <row r="17" spans="1:13">
      <c r="A17" s="416"/>
      <c r="C17" s="1"/>
      <c r="D17" s="488"/>
      <c r="E17" s="1"/>
      <c r="F17" s="1"/>
      <c r="G17" s="1"/>
      <c r="H17" s="1"/>
      <c r="I17" s="1"/>
      <c r="J17" s="30"/>
      <c r="K17" s="1"/>
      <c r="L17" s="1"/>
      <c r="M17" s="1"/>
    </row>
    <row r="18" spans="1:13" ht="15.75" thickBot="1">
      <c r="A18" s="416" t="s">
        <v>7</v>
      </c>
      <c r="C18" s="1" t="str">
        <f>DEO!C18</f>
        <v>REVENUE CREDITS    (Note T)</v>
      </c>
      <c r="D18" s="489"/>
      <c r="E18" s="32" t="s">
        <v>12</v>
      </c>
      <c r="F18" s="2"/>
      <c r="G18" s="38" t="s">
        <v>13</v>
      </c>
      <c r="H18" s="38"/>
      <c r="I18" s="1"/>
      <c r="J18" s="30"/>
      <c r="K18" s="1"/>
      <c r="L18" s="1"/>
      <c r="M18" s="1"/>
    </row>
    <row r="19" spans="1:13">
      <c r="A19" s="416">
        <v>2</v>
      </c>
      <c r="C19" s="1" t="str">
        <f>DEO!C19</f>
        <v>Account No. 454</v>
      </c>
      <c r="D19" s="350" t="str">
        <f>DEO!D19</f>
        <v>(page 4, line 34)</v>
      </c>
      <c r="E19" s="30">
        <f>J242</f>
        <v>133097</v>
      </c>
      <c r="F19" s="30"/>
      <c r="G19" s="30" t="s">
        <v>14</v>
      </c>
      <c r="H19" s="16">
        <f>DEK_TP_Alloc</f>
        <v>0.82238</v>
      </c>
      <c r="I19" s="30"/>
      <c r="J19" s="30">
        <f>ROUND(H19*E19,0)</f>
        <v>109456</v>
      </c>
      <c r="K19" s="1"/>
      <c r="L19" s="1"/>
      <c r="M19" s="1"/>
    </row>
    <row r="20" spans="1:13">
      <c r="A20" s="416">
        <v>3</v>
      </c>
      <c r="C20" s="1" t="str">
        <f>DEO!C20</f>
        <v>Account No. 456.1</v>
      </c>
      <c r="D20" s="350" t="str">
        <f>DEO!D20</f>
        <v>(page 4, line 35)</v>
      </c>
      <c r="E20" s="147">
        <f>J244</f>
        <v>82619</v>
      </c>
      <c r="F20" s="30"/>
      <c r="G20" s="30" t="str">
        <f>G$19</f>
        <v>TP</v>
      </c>
      <c r="H20" s="16">
        <f>DEK_TP_Alloc</f>
        <v>0.82238</v>
      </c>
      <c r="I20" s="30"/>
      <c r="J20" s="147">
        <f>ROUND(H20*E20,0)</f>
        <v>67944</v>
      </c>
      <c r="K20" s="1"/>
      <c r="L20" s="1"/>
      <c r="M20" s="1"/>
    </row>
    <row r="21" spans="1:13">
      <c r="A21" s="416" t="s">
        <v>289</v>
      </c>
      <c r="C21" s="1" t="str">
        <f>DEO!C21</f>
        <v>Revenues from Grandfathered Interzonal Transactions</v>
      </c>
      <c r="D21" s="350"/>
      <c r="E21" s="228">
        <v>0</v>
      </c>
      <c r="F21" s="30"/>
      <c r="G21" s="30" t="str">
        <f>G$19</f>
        <v>TP</v>
      </c>
      <c r="H21" s="16">
        <f>DEK_TP_Alloc</f>
        <v>0.82238</v>
      </c>
      <c r="I21" s="30"/>
      <c r="J21" s="147">
        <f t="shared" ref="J21:J23" si="0">ROUND(H21*E21,0)</f>
        <v>0</v>
      </c>
      <c r="K21" s="1"/>
      <c r="L21" s="1"/>
      <c r="M21" s="1"/>
    </row>
    <row r="22" spans="1:13">
      <c r="A22" s="416" t="s">
        <v>290</v>
      </c>
      <c r="C22" s="1" t="str">
        <f>DEO!C22</f>
        <v>Revenues from service provided by ISO at a discount</v>
      </c>
      <c r="D22" s="350"/>
      <c r="E22" s="228">
        <v>0</v>
      </c>
      <c r="F22" s="30"/>
      <c r="G22" s="30" t="str">
        <f>G$19</f>
        <v>TP</v>
      </c>
      <c r="H22" s="16">
        <f>DEK_TP_Alloc</f>
        <v>0.82238</v>
      </c>
      <c r="I22" s="30"/>
      <c r="J22" s="147">
        <f t="shared" si="0"/>
        <v>0</v>
      </c>
      <c r="K22" s="1"/>
      <c r="L22" s="1"/>
      <c r="M22" s="1"/>
    </row>
    <row r="23" spans="1:13">
      <c r="A23" s="416">
        <v>5</v>
      </c>
      <c r="C23" s="1" t="str">
        <f>DEO!C23</f>
        <v>Legacy MTEP Credit (Account 456.1)</v>
      </c>
      <c r="D23" s="350" t="str">
        <f>DEO!D23</f>
        <v>(page 4, line 36)</v>
      </c>
      <c r="E23" s="375">
        <v>0</v>
      </c>
      <c r="F23" s="30"/>
      <c r="G23" s="30"/>
      <c r="H23" s="273">
        <v>1</v>
      </c>
      <c r="I23" s="30"/>
      <c r="J23" s="147">
        <f t="shared" si="0"/>
        <v>0</v>
      </c>
      <c r="K23" s="1"/>
      <c r="L23" s="1"/>
      <c r="M23" s="1"/>
    </row>
    <row r="24" spans="1:13">
      <c r="A24" s="416"/>
      <c r="C24" s="1"/>
      <c r="D24" s="350"/>
      <c r="E24" s="147"/>
      <c r="F24" s="30"/>
      <c r="G24" s="30"/>
      <c r="H24" s="273"/>
      <c r="I24" s="30"/>
      <c r="J24" s="30"/>
      <c r="K24" s="1"/>
      <c r="L24" s="1"/>
      <c r="M24" s="1"/>
    </row>
    <row r="25" spans="1:13">
      <c r="A25" s="416"/>
      <c r="C25" s="1"/>
      <c r="D25" s="350"/>
      <c r="E25" s="147"/>
      <c r="F25" s="30"/>
      <c r="G25" s="30"/>
      <c r="H25" s="273"/>
      <c r="I25" s="30"/>
      <c r="J25" s="30"/>
      <c r="K25" s="1"/>
      <c r="L25" s="1"/>
      <c r="M25" s="1"/>
    </row>
    <row r="26" spans="1:13">
      <c r="A26" s="416"/>
      <c r="C26" s="1"/>
      <c r="D26" s="350"/>
      <c r="E26" s="147"/>
      <c r="F26" s="30"/>
      <c r="G26" s="30"/>
      <c r="H26" s="273"/>
      <c r="I26" s="30"/>
      <c r="J26" s="30"/>
      <c r="K26" s="1"/>
      <c r="L26" s="1"/>
      <c r="M26" s="1"/>
    </row>
    <row r="27" spans="1:13">
      <c r="A27" s="416">
        <v>6</v>
      </c>
      <c r="C27" s="1" t="str">
        <f>DEO!C27</f>
        <v>TOTAL REVENUE CREDITS  (sum lines 2-5)</v>
      </c>
      <c r="D27" s="488"/>
      <c r="E27" s="14" t="s">
        <v>7</v>
      </c>
      <c r="F27" s="2"/>
      <c r="G27" s="2"/>
      <c r="H27" s="16"/>
      <c r="I27" s="2"/>
      <c r="J27" s="409">
        <f>SUM(J19:J23)</f>
        <v>177400</v>
      </c>
      <c r="K27" s="1"/>
      <c r="L27" s="1"/>
      <c r="M27" s="1"/>
    </row>
    <row r="28" spans="1:13">
      <c r="A28" s="416"/>
      <c r="D28" s="488"/>
      <c r="E28" s="2" t="s">
        <v>7</v>
      </c>
      <c r="F28" s="1"/>
      <c r="G28" s="1"/>
      <c r="H28" s="16"/>
      <c r="I28" s="1"/>
      <c r="J28" s="30"/>
      <c r="K28" s="1"/>
      <c r="L28" s="1"/>
      <c r="M28" s="1"/>
    </row>
    <row r="29" spans="1:13">
      <c r="A29" s="416"/>
      <c r="C29" s="1"/>
      <c r="D29" s="488"/>
      <c r="J29" s="30"/>
      <c r="K29" s="1"/>
      <c r="L29" s="1"/>
      <c r="M29" s="1"/>
    </row>
    <row r="30" spans="1:13" ht="15.75" thickBot="1">
      <c r="A30" s="416">
        <v>7</v>
      </c>
      <c r="C30" s="1" t="str">
        <f>DEO!C30</f>
        <v>NET REVENUE REQUIREMENT</v>
      </c>
      <c r="D30" s="350" t="str">
        <f>DEO!D30</f>
        <v>(line 1 minus line 6)</v>
      </c>
      <c r="E30" s="14" t="s">
        <v>7</v>
      </c>
      <c r="F30" s="2"/>
      <c r="G30" s="2"/>
      <c r="H30" s="2"/>
      <c r="I30" s="2"/>
      <c r="J30" s="39">
        <f>J15-J27</f>
        <v>9303566</v>
      </c>
      <c r="K30" s="1"/>
      <c r="L30" s="1"/>
      <c r="M30" s="1"/>
    </row>
    <row r="31" spans="1:13" ht="15.75" thickTop="1">
      <c r="A31" s="416"/>
      <c r="D31" s="488"/>
      <c r="E31" s="14"/>
      <c r="F31" s="2"/>
      <c r="G31" s="2"/>
      <c r="H31" s="2"/>
      <c r="I31" s="2"/>
      <c r="K31" s="1"/>
      <c r="L31" s="1"/>
      <c r="M31" s="1"/>
    </row>
    <row r="32" spans="1:13">
      <c r="A32" s="416"/>
      <c r="D32" s="350"/>
      <c r="J32" s="2"/>
      <c r="K32" s="1"/>
      <c r="L32" s="1"/>
      <c r="M32" s="1"/>
    </row>
    <row r="33" spans="1:13">
      <c r="A33" s="416"/>
      <c r="C33" s="1"/>
      <c r="D33" s="488"/>
      <c r="E33" s="30"/>
      <c r="F33" s="30"/>
      <c r="G33" s="30"/>
      <c r="H33" s="30"/>
      <c r="I33" s="30"/>
      <c r="J33" s="30"/>
      <c r="K33" s="1"/>
      <c r="L33" s="1"/>
      <c r="M33" s="1"/>
    </row>
    <row r="34" spans="1:13">
      <c r="C34" s="24"/>
      <c r="D34" s="24"/>
      <c r="E34" s="25"/>
      <c r="F34" s="24"/>
      <c r="G34" s="24"/>
      <c r="H34" s="24"/>
      <c r="I34" s="24"/>
      <c r="K34" s="26"/>
      <c r="L34" s="61"/>
      <c r="M34" s="26"/>
    </row>
    <row r="35" spans="1:13" ht="18">
      <c r="A35" s="418"/>
      <c r="C35" s="24"/>
      <c r="D35" s="24"/>
      <c r="E35" s="25"/>
      <c r="F35" s="24"/>
      <c r="G35" s="24"/>
      <c r="H35" s="24"/>
      <c r="I35" s="24"/>
      <c r="J35" s="50" t="s">
        <v>296</v>
      </c>
      <c r="K35" s="60"/>
      <c r="M35" s="60"/>
    </row>
    <row r="36" spans="1:13">
      <c r="C36" s="24"/>
      <c r="D36" s="24"/>
      <c r="E36" s="25"/>
      <c r="F36" s="24"/>
      <c r="G36" s="24"/>
      <c r="H36" s="24"/>
      <c r="I36" s="24"/>
      <c r="J36" s="50" t="s">
        <v>405</v>
      </c>
      <c r="M36" s="50"/>
    </row>
    <row r="37" spans="1:13">
      <c r="C37" s="24"/>
      <c r="D37" s="24"/>
      <c r="E37" s="25"/>
      <c r="F37" s="24"/>
      <c r="G37" s="24"/>
      <c r="H37" s="24"/>
      <c r="I37" s="24"/>
      <c r="K37" s="1"/>
      <c r="M37" s="50"/>
    </row>
    <row r="38" spans="1:13">
      <c r="C38" s="24"/>
      <c r="D38" s="24"/>
      <c r="E38" s="25"/>
      <c r="F38" s="24"/>
      <c r="G38" s="24"/>
      <c r="H38" s="24"/>
      <c r="I38" s="24"/>
      <c r="K38" s="1"/>
      <c r="M38" s="50"/>
    </row>
    <row r="39" spans="1:13">
      <c r="C39" s="24"/>
      <c r="D39" s="24"/>
      <c r="E39" s="25"/>
      <c r="F39" s="24"/>
      <c r="G39" s="24"/>
      <c r="H39" s="24"/>
      <c r="I39" s="24"/>
      <c r="K39" s="1"/>
      <c r="M39" s="50"/>
    </row>
    <row r="40" spans="1:13">
      <c r="C40" s="24"/>
      <c r="D40" s="24"/>
      <c r="E40" s="25"/>
      <c r="F40" s="24"/>
      <c r="G40" s="24"/>
      <c r="H40" s="24"/>
      <c r="I40" s="24"/>
      <c r="J40" s="50"/>
      <c r="K40" s="1"/>
      <c r="M40" s="50"/>
    </row>
    <row r="41" spans="1:13">
      <c r="C41" s="24" t="s">
        <v>6</v>
      </c>
      <c r="D41" s="24"/>
      <c r="E41" s="25"/>
      <c r="F41" s="24"/>
      <c r="G41" s="24"/>
      <c r="H41" s="24"/>
      <c r="I41" s="24"/>
      <c r="J41" s="61" t="str">
        <f>J7</f>
        <v>For the 12 months ended: 12/31/2021</v>
      </c>
      <c r="K41" s="2"/>
      <c r="M41" s="50"/>
    </row>
    <row r="42" spans="1:13">
      <c r="A42" s="419" t="str">
        <f>A8</f>
        <v>Rate Formula Template</v>
      </c>
      <c r="B42" s="70"/>
      <c r="C42" s="70"/>
      <c r="D42" s="144"/>
      <c r="E42" s="70"/>
      <c r="F42" s="144"/>
      <c r="G42" s="144"/>
      <c r="H42" s="144"/>
      <c r="I42" s="144"/>
      <c r="J42" s="70"/>
      <c r="K42" s="2"/>
      <c r="L42" s="70"/>
      <c r="M42" s="1"/>
    </row>
    <row r="43" spans="1:13">
      <c r="A43" s="420" t="s">
        <v>267</v>
      </c>
      <c r="B43" s="70"/>
      <c r="C43" s="144"/>
      <c r="D43" s="145"/>
      <c r="E43" s="70"/>
      <c r="F43" s="145"/>
      <c r="G43" s="145"/>
      <c r="H43" s="145"/>
      <c r="I43" s="144"/>
      <c r="J43" s="144"/>
      <c r="K43" s="2"/>
      <c r="L43" s="146"/>
      <c r="M43" s="1"/>
    </row>
    <row r="44" spans="1:13">
      <c r="A44" s="420"/>
      <c r="B44" s="70"/>
      <c r="C44" s="146"/>
      <c r="D44" s="146"/>
      <c r="E44" s="70"/>
      <c r="F44" s="146"/>
      <c r="G44" s="146"/>
      <c r="H44" s="146"/>
      <c r="I44" s="146"/>
      <c r="J44" s="146"/>
      <c r="K44" s="2"/>
      <c r="L44" s="146"/>
      <c r="M44" s="1"/>
    </row>
    <row r="45" spans="1:13" ht="15.75">
      <c r="A45" s="421" t="str">
        <f>$A$11</f>
        <v>DUKE ENERGY KENTUCKY (DEK)</v>
      </c>
      <c r="B45" s="70"/>
      <c r="C45" s="146"/>
      <c r="D45" s="146"/>
      <c r="E45" s="70"/>
      <c r="F45" s="146"/>
      <c r="G45" s="146"/>
      <c r="H45" s="146"/>
      <c r="I45" s="146"/>
      <c r="J45" s="146"/>
      <c r="K45" s="2"/>
      <c r="L45" s="146"/>
      <c r="M45" s="2"/>
    </row>
    <row r="46" spans="1:13">
      <c r="B46" s="70"/>
      <c r="C46" s="146"/>
      <c r="D46" s="146"/>
      <c r="E46" s="70"/>
      <c r="F46" s="146"/>
      <c r="G46" s="146"/>
      <c r="H46" s="146"/>
      <c r="I46" s="146"/>
      <c r="J46" s="146"/>
      <c r="K46" s="2"/>
      <c r="L46" s="146"/>
      <c r="M46" s="2"/>
    </row>
    <row r="47" spans="1:13">
      <c r="C47" s="3" t="s">
        <v>18</v>
      </c>
      <c r="D47" s="3" t="s">
        <v>19</v>
      </c>
      <c r="E47" s="3" t="s">
        <v>20</v>
      </c>
      <c r="F47" s="2" t="s">
        <v>7</v>
      </c>
      <c r="G47" s="177" t="s">
        <v>21</v>
      </c>
      <c r="H47" s="70"/>
      <c r="I47" s="2"/>
      <c r="J47" s="5" t="s">
        <v>22</v>
      </c>
      <c r="K47" s="2"/>
      <c r="L47" s="3"/>
      <c r="M47" s="2"/>
    </row>
    <row r="48" spans="1:13">
      <c r="A48" s="416" t="s">
        <v>8</v>
      </c>
      <c r="C48" s="1"/>
      <c r="D48" s="4" t="s">
        <v>23</v>
      </c>
      <c r="E48" s="2"/>
      <c r="F48" s="2"/>
      <c r="G48" s="2"/>
      <c r="H48" s="26"/>
      <c r="I48" s="2"/>
      <c r="J48" s="26" t="s">
        <v>24</v>
      </c>
      <c r="K48" s="2"/>
      <c r="L48" s="3"/>
      <c r="M48" s="2"/>
    </row>
    <row r="49" spans="1:13" ht="15.75" thickBot="1">
      <c r="A49" s="422" t="s">
        <v>10</v>
      </c>
      <c r="C49" s="184" t="s">
        <v>271</v>
      </c>
      <c r="D49" s="492" t="s">
        <v>25</v>
      </c>
      <c r="E49" s="32" t="s">
        <v>26</v>
      </c>
      <c r="F49" s="239"/>
      <c r="G49" s="38" t="s">
        <v>13</v>
      </c>
      <c r="H49" s="38"/>
      <c r="I49" s="239"/>
      <c r="J49" s="493" t="s">
        <v>339</v>
      </c>
      <c r="K49" s="2"/>
      <c r="L49" s="3"/>
      <c r="M49" s="1"/>
    </row>
    <row r="50" spans="1:13">
      <c r="D50" s="2"/>
      <c r="E50" s="2"/>
      <c r="F50" s="2"/>
      <c r="G50" s="2"/>
      <c r="H50" s="2"/>
      <c r="I50" s="2"/>
      <c r="J50" s="2"/>
      <c r="K50" s="2"/>
      <c r="L50" s="2"/>
      <c r="M50" s="1"/>
    </row>
    <row r="51" spans="1:13">
      <c r="A51" s="416"/>
      <c r="C51" s="1"/>
      <c r="D51" s="2"/>
      <c r="E51" s="2"/>
      <c r="F51" s="2"/>
      <c r="G51" s="2"/>
      <c r="H51" s="2"/>
      <c r="I51" s="2"/>
      <c r="J51" s="2"/>
      <c r="K51" s="2"/>
      <c r="L51" s="2"/>
      <c r="M51" s="1"/>
    </row>
    <row r="52" spans="1:13">
      <c r="A52" s="416"/>
      <c r="C52" s="1" t="str">
        <f>DEO!C52</f>
        <v>GROSS PLANT IN SERVICE</v>
      </c>
      <c r="D52" s="2"/>
      <c r="E52" s="2"/>
      <c r="F52" s="2"/>
      <c r="G52" s="2"/>
      <c r="H52" s="2"/>
      <c r="I52" s="2"/>
      <c r="J52" s="2"/>
      <c r="K52" s="2"/>
      <c r="L52" s="2"/>
      <c r="M52" s="1"/>
    </row>
    <row r="53" spans="1:13">
      <c r="A53" s="416">
        <v>1</v>
      </c>
      <c r="C53" s="1" t="str">
        <f>DEO!C53</f>
        <v xml:space="preserve">  Production</v>
      </c>
      <c r="D53" s="488" t="str">
        <f>DEO!D53</f>
        <v>205.46.g</v>
      </c>
      <c r="E53" s="267">
        <f>INPUT!D9</f>
        <v>1385031257</v>
      </c>
      <c r="F53" s="2"/>
      <c r="G53" s="2" t="s">
        <v>30</v>
      </c>
      <c r="H53" s="11" t="s">
        <v>7</v>
      </c>
      <c r="I53" s="2"/>
      <c r="J53" s="147"/>
      <c r="K53" s="2"/>
      <c r="L53" s="2"/>
      <c r="M53" s="1"/>
    </row>
    <row r="54" spans="1:13">
      <c r="A54" s="416">
        <v>2</v>
      </c>
      <c r="C54" s="1" t="str">
        <f>DEO!C54</f>
        <v xml:space="preserve">  Transmission</v>
      </c>
      <c r="D54" s="488" t="str">
        <f>DEO!D54</f>
        <v>207.58.g</v>
      </c>
      <c r="E54" s="228">
        <f>INPUT!D10</f>
        <v>95965669</v>
      </c>
      <c r="F54" s="2"/>
      <c r="G54" s="2" t="s">
        <v>14</v>
      </c>
      <c r="H54" s="16">
        <f>DEK_TP_Alloc</f>
        <v>0.82238</v>
      </c>
      <c r="I54" s="2"/>
      <c r="J54" s="30">
        <f>ROUND(H54*E54,0)</f>
        <v>78920247</v>
      </c>
      <c r="K54" s="2"/>
      <c r="L54" s="2"/>
      <c r="M54" s="1"/>
    </row>
    <row r="55" spans="1:13">
      <c r="A55" s="416">
        <v>3</v>
      </c>
      <c r="C55" s="1" t="str">
        <f>DEO!C55</f>
        <v xml:space="preserve">  Distribution</v>
      </c>
      <c r="D55" s="488" t="str">
        <f>DEO!D55</f>
        <v>207.75.g</v>
      </c>
      <c r="E55" s="228">
        <f>INPUT!D11</f>
        <v>622687366</v>
      </c>
      <c r="F55" s="2"/>
      <c r="G55" s="2" t="s">
        <v>30</v>
      </c>
      <c r="H55" s="11" t="s">
        <v>7</v>
      </c>
      <c r="I55" s="2"/>
      <c r="J55" s="147"/>
      <c r="K55" s="2"/>
      <c r="L55" s="2"/>
      <c r="M55" s="1"/>
    </row>
    <row r="56" spans="1:13">
      <c r="A56" s="416">
        <v>4</v>
      </c>
      <c r="C56" s="1" t="str">
        <f>DEO!C56</f>
        <v xml:space="preserve">  General &amp; Intangible</v>
      </c>
      <c r="D56" s="488" t="str">
        <f>DEO!D56</f>
        <v>205.5.g &amp; 207.99.g</v>
      </c>
      <c r="E56" s="228">
        <f>INPUT!D12</f>
        <v>37577003</v>
      </c>
      <c r="F56" s="2"/>
      <c r="G56" s="2" t="s">
        <v>142</v>
      </c>
      <c r="H56" s="11">
        <f>DEK_WS_Alloc</f>
        <v>3.3709999999999997E-2</v>
      </c>
      <c r="I56" s="2"/>
      <c r="J56" s="147">
        <f>ROUND(H56*E56,0)</f>
        <v>1266721</v>
      </c>
      <c r="K56" s="2"/>
      <c r="L56" s="2"/>
      <c r="M56" s="2"/>
    </row>
    <row r="57" spans="1:13" ht="15.75" thickBot="1">
      <c r="A57" s="416">
        <v>5</v>
      </c>
      <c r="C57" s="1" t="str">
        <f>DEO!C57</f>
        <v xml:space="preserve">  Common</v>
      </c>
      <c r="D57" s="488" t="str">
        <f>DEO!D57</f>
        <v>356</v>
      </c>
      <c r="E57" s="265">
        <f>INPUT!D13</f>
        <v>33493365</v>
      </c>
      <c r="F57" s="2"/>
      <c r="G57" s="2" t="s">
        <v>76</v>
      </c>
      <c r="H57" s="11">
        <f>DEK_CE_Alloc</f>
        <v>2.4899999999999999E-2</v>
      </c>
      <c r="I57" s="2"/>
      <c r="J57" s="148">
        <f>ROUND(H57*E57,0)</f>
        <v>833985</v>
      </c>
      <c r="K57" s="2"/>
      <c r="L57" s="2"/>
      <c r="M57" s="2"/>
    </row>
    <row r="58" spans="1:13">
      <c r="A58" s="416">
        <v>6</v>
      </c>
      <c r="C58" s="1" t="str">
        <f>DEO!C58</f>
        <v>TOTAL GROSS PLANT (sum lines 1-5)</v>
      </c>
      <c r="D58" s="350"/>
      <c r="E58" s="30">
        <f>SUM(E53:E57)</f>
        <v>2174754660</v>
      </c>
      <c r="F58" s="2"/>
      <c r="G58" s="2" t="s">
        <v>36</v>
      </c>
      <c r="H58" s="11">
        <f>IF(J58&gt;0,ROUND(J58/E58,5),0)</f>
        <v>3.7260000000000001E-2</v>
      </c>
      <c r="I58" s="2"/>
      <c r="J58" s="30">
        <f>SUM(J53:J57)</f>
        <v>81020953</v>
      </c>
      <c r="K58" s="2"/>
      <c r="L58" s="15"/>
      <c r="M58" s="1"/>
    </row>
    <row r="59" spans="1:13">
      <c r="C59" s="1"/>
      <c r="D59" s="350"/>
      <c r="E59" s="147"/>
      <c r="F59" s="2"/>
      <c r="G59" s="2"/>
      <c r="H59" s="15"/>
      <c r="I59" s="2"/>
      <c r="J59" s="147"/>
      <c r="K59" s="2"/>
      <c r="L59" s="15"/>
      <c r="M59" s="1"/>
    </row>
    <row r="60" spans="1:13">
      <c r="C60" s="1" t="str">
        <f>DEO!C60</f>
        <v>ACCUMULATED DEPRECIATION AND AMORTIZATION</v>
      </c>
      <c r="D60" s="350"/>
      <c r="E60" s="147"/>
      <c r="F60" s="2"/>
      <c r="G60" s="2"/>
      <c r="H60" s="2"/>
      <c r="I60" s="2"/>
      <c r="J60" s="147"/>
      <c r="K60" s="2"/>
      <c r="L60" s="2"/>
      <c r="M60" s="1"/>
    </row>
    <row r="61" spans="1:13">
      <c r="A61" s="416">
        <v>7</v>
      </c>
      <c r="C61" s="1" t="str">
        <f>DEO!C61</f>
        <v xml:space="preserve">  Production</v>
      </c>
      <c r="D61" s="488" t="str">
        <f>DEO!D61</f>
        <v>219.20.c-219.24.c</v>
      </c>
      <c r="E61" s="267">
        <f>INPUT!D17</f>
        <v>661591361</v>
      </c>
      <c r="F61" s="2"/>
      <c r="G61" s="2" t="str">
        <f t="shared" ref="G61:G65" si="1">G53</f>
        <v>NA</v>
      </c>
      <c r="H61" s="11"/>
      <c r="I61" s="2"/>
      <c r="J61" s="147"/>
      <c r="K61" s="2"/>
      <c r="L61" s="2"/>
      <c r="M61" s="1"/>
    </row>
    <row r="62" spans="1:13">
      <c r="A62" s="416">
        <v>8</v>
      </c>
      <c r="C62" s="1" t="str">
        <f>DEO!C62</f>
        <v xml:space="preserve">  Transmission</v>
      </c>
      <c r="D62" s="488" t="str">
        <f>DEO!D62</f>
        <v>219.25.c</v>
      </c>
      <c r="E62" s="228">
        <f>INPUT!D18</f>
        <v>10382698</v>
      </c>
      <c r="F62" s="2"/>
      <c r="G62" s="2" t="str">
        <f t="shared" si="1"/>
        <v>TP</v>
      </c>
      <c r="H62" s="16">
        <f>DEK_TP_Alloc</f>
        <v>0.82238</v>
      </c>
      <c r="I62" s="2"/>
      <c r="J62" s="30">
        <f>ROUND(H62*E62,0)</f>
        <v>8538523</v>
      </c>
      <c r="K62" s="2"/>
      <c r="L62" s="2"/>
      <c r="M62" s="1"/>
    </row>
    <row r="63" spans="1:13">
      <c r="A63" s="416">
        <v>9</v>
      </c>
      <c r="C63" s="1" t="str">
        <f>DEO!C63</f>
        <v xml:space="preserve">  Distribution</v>
      </c>
      <c r="D63" s="488" t="str">
        <f>DEO!D63</f>
        <v>219.26.c</v>
      </c>
      <c r="E63" s="228">
        <f>INPUT!D19</f>
        <v>150530889</v>
      </c>
      <c r="F63" s="2"/>
      <c r="G63" s="2" t="str">
        <f t="shared" si="1"/>
        <v>NA</v>
      </c>
      <c r="H63" s="11"/>
      <c r="I63" s="2"/>
      <c r="J63" s="147"/>
      <c r="K63" s="2"/>
      <c r="L63" s="2"/>
      <c r="M63" s="1"/>
    </row>
    <row r="64" spans="1:13">
      <c r="A64" s="416">
        <v>10</v>
      </c>
      <c r="C64" s="1" t="str">
        <f>DEO!C64</f>
        <v xml:space="preserve">  General &amp; Intangible</v>
      </c>
      <c r="D64" s="488" t="str">
        <f>DEO!D64</f>
        <v xml:space="preserve">200.21.c &amp; 219.28.c </v>
      </c>
      <c r="E64" s="228">
        <f>INPUT!D20</f>
        <v>17762510</v>
      </c>
      <c r="F64" s="2"/>
      <c r="G64" s="2" t="str">
        <f t="shared" si="1"/>
        <v>WS</v>
      </c>
      <c r="H64" s="11">
        <f>DEK_WS_Alloc</f>
        <v>3.3709999999999997E-2</v>
      </c>
      <c r="I64" s="2"/>
      <c r="J64" s="147">
        <f>ROUND(H64*E64,0)</f>
        <v>598774</v>
      </c>
      <c r="K64" s="2"/>
      <c r="L64" s="2"/>
      <c r="M64" s="1"/>
    </row>
    <row r="65" spans="1:13" ht="15.75" thickBot="1">
      <c r="A65" s="416">
        <v>11</v>
      </c>
      <c r="C65" s="1" t="str">
        <f>DEO!C65</f>
        <v xml:space="preserve">  Common</v>
      </c>
      <c r="D65" s="488" t="str">
        <f>DEO!D65</f>
        <v>356</v>
      </c>
      <c r="E65" s="265">
        <f>INPUT!D21</f>
        <v>21155645</v>
      </c>
      <c r="F65" s="2"/>
      <c r="G65" s="2" t="str">
        <f t="shared" si="1"/>
        <v>CE</v>
      </c>
      <c r="H65" s="11">
        <f>DEK_CE_Alloc</f>
        <v>2.4899999999999999E-2</v>
      </c>
      <c r="I65" s="2"/>
      <c r="J65" s="148">
        <f>ROUND(H65*E65,0)</f>
        <v>526776</v>
      </c>
      <c r="K65" s="2"/>
      <c r="L65" s="2"/>
      <c r="M65" s="1"/>
    </row>
    <row r="66" spans="1:13">
      <c r="A66" s="416">
        <v>12</v>
      </c>
      <c r="C66" s="1" t="str">
        <f>DEO!C66</f>
        <v>TOTAL ACCUM. DEPRECIATION AND AMORTIZATION (sum lines 7-11)</v>
      </c>
      <c r="D66" s="350"/>
      <c r="E66" s="30">
        <f>SUM(E61:E65)</f>
        <v>861423103</v>
      </c>
      <c r="F66" s="2"/>
      <c r="G66" s="2"/>
      <c r="H66" s="2"/>
      <c r="I66" s="2"/>
      <c r="J66" s="30">
        <f>SUM(J61:J65)</f>
        <v>9664073</v>
      </c>
      <c r="K66" s="2"/>
      <c r="L66" s="2"/>
      <c r="M66" s="1"/>
    </row>
    <row r="67" spans="1:13">
      <c r="A67" s="416"/>
      <c r="C67"/>
      <c r="D67" s="350" t="s">
        <v>7</v>
      </c>
      <c r="E67" s="147"/>
      <c r="F67" s="2"/>
      <c r="G67" s="2"/>
      <c r="H67" s="15"/>
      <c r="I67" s="2"/>
      <c r="J67" s="147"/>
      <c r="K67" s="2"/>
      <c r="L67" s="15"/>
      <c r="M67" s="1"/>
    </row>
    <row r="68" spans="1:13">
      <c r="A68" s="416"/>
      <c r="C68" s="1" t="str">
        <f>DEO!C68</f>
        <v>NET PLANT IN SERVICE</v>
      </c>
      <c r="D68" s="350"/>
      <c r="E68" s="147"/>
      <c r="F68" s="2"/>
      <c r="G68" s="2"/>
      <c r="H68" s="2"/>
      <c r="I68" s="2"/>
      <c r="J68" s="147"/>
      <c r="K68" s="2"/>
      <c r="L68" s="2"/>
      <c r="M68" s="1"/>
    </row>
    <row r="69" spans="1:13">
      <c r="A69" s="416">
        <v>13</v>
      </c>
      <c r="C69" s="1" t="str">
        <f>DEO!C69</f>
        <v xml:space="preserve">  Production</v>
      </c>
      <c r="D69" s="488" t="str">
        <f>DEO!D69</f>
        <v>(line 1 - line 7)</v>
      </c>
      <c r="E69" s="30">
        <f>E53-E61</f>
        <v>723439896</v>
      </c>
      <c r="F69" s="2"/>
      <c r="G69" s="2"/>
      <c r="H69" s="15"/>
      <c r="I69" s="2"/>
      <c r="J69" s="147" t="s">
        <v>7</v>
      </c>
      <c r="K69" s="2"/>
      <c r="L69" s="15"/>
      <c r="M69" s="1"/>
    </row>
    <row r="70" spans="1:13">
      <c r="A70" s="416">
        <v>14</v>
      </c>
      <c r="C70" s="1" t="str">
        <f>DEO!C70</f>
        <v xml:space="preserve">  Transmission</v>
      </c>
      <c r="D70" s="488" t="str">
        <f>DEO!D70</f>
        <v>(line 2 - line 8)</v>
      </c>
      <c r="E70" s="147">
        <f>E54-E62</f>
        <v>85582971</v>
      </c>
      <c r="F70" s="2"/>
      <c r="G70" s="2"/>
      <c r="H70" s="11"/>
      <c r="I70" s="2"/>
      <c r="J70" s="30">
        <f>J54-J62</f>
        <v>70381724</v>
      </c>
      <c r="K70" s="2"/>
      <c r="L70" s="15"/>
      <c r="M70" s="1"/>
    </row>
    <row r="71" spans="1:13">
      <c r="A71" s="416">
        <v>15</v>
      </c>
      <c r="C71" s="1" t="str">
        <f>DEO!C71</f>
        <v xml:space="preserve">  Distribution</v>
      </c>
      <c r="D71" s="488" t="str">
        <f>DEO!D71</f>
        <v>(line 3 - line 9)</v>
      </c>
      <c r="E71" s="147">
        <f>E55-E63</f>
        <v>472156477</v>
      </c>
      <c r="F71" s="2"/>
      <c r="G71" s="2"/>
      <c r="H71" s="15"/>
      <c r="I71" s="2"/>
      <c r="J71" s="147" t="s">
        <v>7</v>
      </c>
      <c r="K71" s="2"/>
      <c r="L71" s="15"/>
      <c r="M71" s="1"/>
    </row>
    <row r="72" spans="1:13">
      <c r="A72" s="416">
        <v>16</v>
      </c>
      <c r="C72" s="1" t="str">
        <f>DEO!C72</f>
        <v xml:space="preserve">  General &amp; Intangible</v>
      </c>
      <c r="D72" s="488" t="str">
        <f>DEO!D72</f>
        <v>(line 4 - line 10)</v>
      </c>
      <c r="E72" s="147">
        <f>E56-E64</f>
        <v>19814493</v>
      </c>
      <c r="F72" s="2"/>
      <c r="G72" s="2"/>
      <c r="H72" s="15"/>
      <c r="I72" s="2"/>
      <c r="J72" s="147">
        <f>J56-J64</f>
        <v>667947</v>
      </c>
      <c r="K72" s="2"/>
      <c r="L72" s="15"/>
      <c r="M72" s="1"/>
    </row>
    <row r="73" spans="1:13" ht="15.75" thickBot="1">
      <c r="A73" s="416">
        <v>17</v>
      </c>
      <c r="C73" s="1" t="str">
        <f>DEO!C73</f>
        <v xml:space="preserve">  Common</v>
      </c>
      <c r="D73" s="488" t="str">
        <f>DEO!D73</f>
        <v>(line 5 - line 11)</v>
      </c>
      <c r="E73" s="148">
        <f>E57-E65</f>
        <v>12337720</v>
      </c>
      <c r="F73" s="2"/>
      <c r="G73" s="2"/>
      <c r="H73" s="15"/>
      <c r="I73" s="2"/>
      <c r="J73" s="148">
        <f>J57-J65</f>
        <v>307209</v>
      </c>
      <c r="K73" s="2"/>
      <c r="L73" s="15"/>
      <c r="M73" s="1"/>
    </row>
    <row r="74" spans="1:13">
      <c r="A74" s="416">
        <v>18</v>
      </c>
      <c r="C74" s="1" t="str">
        <f>DEO!C74</f>
        <v>TOTAL NET PLANT (sum lines 13-17)</v>
      </c>
      <c r="D74" s="350"/>
      <c r="E74" s="30">
        <f>SUM(E69:E73)</f>
        <v>1313331557</v>
      </c>
      <c r="F74" s="2"/>
      <c r="G74" s="2" t="s">
        <v>40</v>
      </c>
      <c r="H74" s="11">
        <f>IF(J74&gt;0,ROUND(J74/E74,5),0)</f>
        <v>5.4330000000000003E-2</v>
      </c>
      <c r="I74" s="2"/>
      <c r="J74" s="30">
        <f>SUM(J69:J73)</f>
        <v>71356880</v>
      </c>
      <c r="K74" s="2"/>
      <c r="L74" s="11"/>
      <c r="M74" s="1"/>
    </row>
    <row r="75" spans="1:13">
      <c r="A75" s="416"/>
      <c r="C75"/>
      <c r="D75" s="350"/>
      <c r="E75" s="147"/>
      <c r="F75" s="2"/>
      <c r="I75" s="2"/>
      <c r="J75" s="147"/>
      <c r="K75" s="2"/>
      <c r="L75" s="15"/>
      <c r="M75" s="1"/>
    </row>
    <row r="76" spans="1:13">
      <c r="A76" s="416"/>
      <c r="C76" s="1" t="str">
        <f>DEO!C76</f>
        <v>ADJUSTMENTS TO RATE BASE   (Note F)</v>
      </c>
      <c r="D76" s="350"/>
      <c r="E76" s="147"/>
      <c r="F76" s="2"/>
      <c r="G76" s="2"/>
      <c r="H76" s="2"/>
      <c r="I76" s="2"/>
      <c r="J76" s="147"/>
      <c r="K76" s="2"/>
      <c r="L76" s="2"/>
      <c r="M76" s="1"/>
    </row>
    <row r="77" spans="1:13">
      <c r="A77" s="416">
        <v>19</v>
      </c>
      <c r="C77" s="1" t="str">
        <f>DEO!C77</f>
        <v xml:space="preserve">  Account No. 281 (enter negative)</v>
      </c>
      <c r="D77" s="488" t="str">
        <f>DEO!D77</f>
        <v>273.8.k</v>
      </c>
      <c r="E77" s="267">
        <f>INPUT!D33</f>
        <v>0</v>
      </c>
      <c r="F77" s="2"/>
      <c r="G77" s="2" t="str">
        <f>G61</f>
        <v>NA</v>
      </c>
      <c r="H77" s="53" t="s">
        <v>148</v>
      </c>
      <c r="I77" s="2"/>
      <c r="J77" s="30">
        <v>0</v>
      </c>
      <c r="K77" s="2"/>
      <c r="L77" s="15"/>
      <c r="M77" s="1"/>
    </row>
    <row r="78" spans="1:13">
      <c r="A78" s="416">
        <v>20</v>
      </c>
      <c r="C78" s="1" t="str">
        <f>DEO!C78</f>
        <v xml:space="preserve">  Account No. 282 (enter negative)</v>
      </c>
      <c r="D78" s="488" t="str">
        <f>DEO!D78</f>
        <v>275.2.k &amp; 275.6.k</v>
      </c>
      <c r="E78" s="228">
        <f>INPUT!D34</f>
        <v>-200892969</v>
      </c>
      <c r="F78" s="2"/>
      <c r="G78" s="2" t="str">
        <f>DEO!G78</f>
        <v>NP</v>
      </c>
      <c r="H78" s="11">
        <f>DEK_NP_Alloc</f>
        <v>5.4330000000000003E-2</v>
      </c>
      <c r="I78" s="2"/>
      <c r="J78" s="147">
        <f>ROUND(H78*E78,0)</f>
        <v>-10914515</v>
      </c>
      <c r="K78" s="2"/>
      <c r="L78" s="15"/>
      <c r="M78" s="1"/>
    </row>
    <row r="79" spans="1:13">
      <c r="A79" s="416">
        <v>21</v>
      </c>
      <c r="C79" s="1" t="str">
        <f>DEO!C79</f>
        <v xml:space="preserve">  Account No. 283 (enter negative)</v>
      </c>
      <c r="D79" s="488" t="str">
        <f>DEO!D79</f>
        <v>277.9.k &amp; 277.18.k</v>
      </c>
      <c r="E79" s="228">
        <f>INPUT!D35</f>
        <v>-31068273.46456768</v>
      </c>
      <c r="F79" s="2"/>
      <c r="G79" s="2" t="str">
        <f>DEO!G79</f>
        <v>NP</v>
      </c>
      <c r="H79" s="11">
        <f>DEK_NP_Alloc</f>
        <v>5.4330000000000003E-2</v>
      </c>
      <c r="I79" s="2"/>
      <c r="J79" s="147">
        <f>ROUND(H79*E79,0)</f>
        <v>-1687939</v>
      </c>
      <c r="K79" s="2"/>
      <c r="L79" s="15"/>
      <c r="M79" s="1"/>
    </row>
    <row r="80" spans="1:13">
      <c r="A80" s="416">
        <v>22</v>
      </c>
      <c r="C80" s="1" t="str">
        <f>DEO!C80</f>
        <v xml:space="preserve">  Account No. 190 </v>
      </c>
      <c r="D80" s="488" t="str">
        <f>DEO!D80</f>
        <v>234.8.c &amp; 234.17.c</v>
      </c>
      <c r="E80" s="228">
        <f>INPUT!D36</f>
        <v>28657310</v>
      </c>
      <c r="F80" s="2"/>
      <c r="G80" s="2" t="str">
        <f>DEO!G80</f>
        <v>NP</v>
      </c>
      <c r="H80" s="11">
        <f>DEK_NP_Alloc</f>
        <v>5.4330000000000003E-2</v>
      </c>
      <c r="I80" s="2"/>
      <c r="J80" s="147">
        <f>ROUND(H80*E80,0)</f>
        <v>1556952</v>
      </c>
      <c r="K80" s="2"/>
      <c r="L80" s="15"/>
      <c r="M80" s="1"/>
    </row>
    <row r="81" spans="1:13">
      <c r="A81" s="416">
        <v>23</v>
      </c>
      <c r="C81" s="1" t="str">
        <f>DEO!C81</f>
        <v xml:space="preserve">  Net (Excess) / Deficient Deferred Tax Adj. (Account No. 182.3 and 254)</v>
      </c>
      <c r="D81" s="488" t="str">
        <f>DEO!D81</f>
        <v>DIT Worksheet, x.g</v>
      </c>
      <c r="E81" s="228">
        <f>INPUT!D37</f>
        <v>-60334056.054307766</v>
      </c>
      <c r="F81" s="2"/>
      <c r="G81" s="2" t="str">
        <f>DEO!G81</f>
        <v>NP</v>
      </c>
      <c r="H81" s="11">
        <f>DEK_NP_Alloc</f>
        <v>5.4330000000000003E-2</v>
      </c>
      <c r="I81" s="2"/>
      <c r="J81" s="147">
        <f>ROUND(H81*E81,0)</f>
        <v>-3277949</v>
      </c>
      <c r="K81" s="2"/>
      <c r="L81" s="15"/>
      <c r="M81" s="1"/>
    </row>
    <row r="82" spans="1:13" ht="15.75" thickBot="1">
      <c r="A82" s="416">
        <v>24</v>
      </c>
      <c r="C82" s="1" t="str">
        <f>DEO!C82</f>
        <v xml:space="preserve">  Account No. 255 (enter negative)  (Note K)</v>
      </c>
      <c r="D82" s="488" t="str">
        <f>DEO!D82</f>
        <v>267.8.h</v>
      </c>
      <c r="E82" s="228">
        <f>INPUT!D38</f>
        <v>0</v>
      </c>
      <c r="F82" s="2"/>
      <c r="G82" s="2" t="str">
        <f>DEO!G82</f>
        <v>NP</v>
      </c>
      <c r="H82" s="11">
        <f>DEK_NP_Alloc</f>
        <v>5.4330000000000003E-2</v>
      </c>
      <c r="I82" s="2"/>
      <c r="J82" s="147">
        <f>ROUND(H82*E82,0)</f>
        <v>0</v>
      </c>
      <c r="K82" s="2"/>
      <c r="L82" s="15"/>
      <c r="M82" s="1"/>
    </row>
    <row r="83" spans="1:13">
      <c r="A83" s="416">
        <v>25</v>
      </c>
      <c r="C83" s="1" t="str">
        <f>DEO!C83</f>
        <v>TOTAL ADJUSTMENTS  (sum lines 19 - 24)</v>
      </c>
      <c r="D83" s="350"/>
      <c r="E83" s="411">
        <f>SUM(E77:E82)</f>
        <v>-263637988.51887545</v>
      </c>
      <c r="F83" s="2"/>
      <c r="G83" s="2"/>
      <c r="H83" s="2"/>
      <c r="I83" s="2"/>
      <c r="J83" s="411">
        <f>SUM(J77:J82)</f>
        <v>-14323451</v>
      </c>
      <c r="K83" s="2"/>
      <c r="L83" s="2"/>
      <c r="M83" s="1"/>
    </row>
    <row r="84" spans="1:13">
      <c r="A84" s="416"/>
      <c r="C84"/>
      <c r="D84" s="350"/>
      <c r="E84" s="147"/>
      <c r="F84" s="2"/>
      <c r="G84" s="2"/>
      <c r="H84" s="15"/>
      <c r="I84" s="2"/>
      <c r="J84" s="147"/>
      <c r="K84" s="2"/>
      <c r="L84" s="15"/>
      <c r="M84" s="1"/>
    </row>
    <row r="85" spans="1:13">
      <c r="A85" s="416">
        <v>26</v>
      </c>
      <c r="C85" s="1" t="str">
        <f>DEO!C85</f>
        <v>LAND HELD FOR FUTURE USE   (Note G)</v>
      </c>
      <c r="D85" s="488" t="str">
        <f>DEO!D85</f>
        <v xml:space="preserve">214.x.d  </v>
      </c>
      <c r="E85" s="267">
        <f>INPUT!D41</f>
        <v>0</v>
      </c>
      <c r="F85" s="2"/>
      <c r="G85" s="2" t="str">
        <f>DEO!G85</f>
        <v>TP</v>
      </c>
      <c r="H85" s="266">
        <v>1</v>
      </c>
      <c r="I85" s="2"/>
      <c r="J85" s="30">
        <f>ROUND(H85*E85,0)</f>
        <v>0</v>
      </c>
      <c r="K85" s="2"/>
      <c r="L85" s="2"/>
      <c r="M85" s="1"/>
    </row>
    <row r="86" spans="1:13">
      <c r="A86" s="416"/>
      <c r="C86" s="1"/>
      <c r="D86" s="350"/>
      <c r="E86" s="147"/>
      <c r="F86" s="2"/>
      <c r="G86" s="2"/>
      <c r="H86" s="2"/>
      <c r="I86" s="2"/>
      <c r="J86" s="147"/>
      <c r="K86" s="2"/>
      <c r="L86" s="2"/>
      <c r="M86" s="1"/>
    </row>
    <row r="87" spans="1:13">
      <c r="A87" s="416"/>
      <c r="C87" s="1" t="str">
        <f>DEO!C87</f>
        <v>WORKING CAPITAL    (Note H)</v>
      </c>
      <c r="D87" s="350" t="s">
        <v>7</v>
      </c>
      <c r="E87" s="147"/>
      <c r="F87" s="2"/>
      <c r="G87" s="2"/>
      <c r="H87" s="2"/>
      <c r="I87" s="2"/>
      <c r="J87" s="147"/>
      <c r="K87" s="2"/>
      <c r="L87" s="2"/>
      <c r="M87" s="1"/>
    </row>
    <row r="88" spans="1:13">
      <c r="A88" s="416">
        <v>27</v>
      </c>
      <c r="C88" s="1" t="str">
        <f>DEO!C88</f>
        <v xml:space="preserve">  CWC  </v>
      </c>
      <c r="D88" s="488" t="str">
        <f>DEO!D88</f>
        <v>calculated</v>
      </c>
      <c r="E88" s="30">
        <f>ROUND(E127/8,0)</f>
        <v>3044175</v>
      </c>
      <c r="F88" s="2"/>
      <c r="G88" s="2"/>
      <c r="H88" s="15"/>
      <c r="I88" s="2"/>
      <c r="J88" s="30">
        <f>ROUND(J127/8,0)</f>
        <v>231166</v>
      </c>
      <c r="K88" s="1"/>
      <c r="L88" s="15"/>
      <c r="M88" s="1"/>
    </row>
    <row r="89" spans="1:13">
      <c r="A89" s="416">
        <v>28</v>
      </c>
      <c r="C89" s="1" t="str">
        <f>DEO!C89</f>
        <v xml:space="preserve">  Materials &amp; Supplies     (Note G)</v>
      </c>
      <c r="D89" s="488" t="str">
        <f>DEO!D89</f>
        <v>227.5.c &amp; 227.8.c &amp; 227.16.c</v>
      </c>
      <c r="E89" s="228">
        <f>INPUT!D45</f>
        <v>402</v>
      </c>
      <c r="F89" s="2"/>
      <c r="G89" s="2" t="s">
        <v>43</v>
      </c>
      <c r="H89" s="11">
        <f>DEK_TE_Alloc</f>
        <v>0.80694999999999995</v>
      </c>
      <c r="I89" s="2"/>
      <c r="J89" s="147">
        <f>ROUND(H89*E89,0)</f>
        <v>324</v>
      </c>
      <c r="K89" s="2" t="s">
        <v>7</v>
      </c>
      <c r="L89" s="15"/>
      <c r="M89" s="1"/>
    </row>
    <row r="90" spans="1:13" ht="15.75" thickBot="1">
      <c r="A90" s="416">
        <v>29</v>
      </c>
      <c r="C90" s="1" t="str">
        <f>DEO!C90</f>
        <v xml:space="preserve">  Prepayments (Account 165)</v>
      </c>
      <c r="D90" s="488" t="str">
        <f>DEO!D90</f>
        <v>111.57.c</v>
      </c>
      <c r="E90" s="265">
        <f>INPUT!D46</f>
        <v>1202355</v>
      </c>
      <c r="F90" s="2"/>
      <c r="G90" s="2" t="s">
        <v>44</v>
      </c>
      <c r="H90" s="11">
        <f>DEK_GP_Alloc</f>
        <v>3.7260000000000001E-2</v>
      </c>
      <c r="I90" s="2"/>
      <c r="J90" s="148">
        <f>ROUND(H90*E90,0)</f>
        <v>44800</v>
      </c>
      <c r="K90" s="2"/>
      <c r="L90" s="15"/>
      <c r="M90" s="1"/>
    </row>
    <row r="91" spans="1:13">
      <c r="A91" s="416">
        <v>30</v>
      </c>
      <c r="C91" s="1" t="str">
        <f>DEO!C91</f>
        <v>TOTAL WORKING CAPITAL (sum lines 27 - 29)</v>
      </c>
      <c r="D91" s="488"/>
      <c r="E91" s="30">
        <f>E88+E89+E90</f>
        <v>4246932</v>
      </c>
      <c r="F91" s="1"/>
      <c r="G91" s="1"/>
      <c r="H91" s="1"/>
      <c r="I91" s="1"/>
      <c r="J91" s="30">
        <f>J88+J89+J90</f>
        <v>276290</v>
      </c>
      <c r="K91" s="1"/>
      <c r="L91" s="1"/>
      <c r="M91" s="1"/>
    </row>
    <row r="92" spans="1:13" ht="15.75" thickBot="1">
      <c r="C92"/>
      <c r="D92" s="350"/>
      <c r="E92" s="148"/>
      <c r="F92" s="2"/>
      <c r="G92" s="2"/>
      <c r="H92" s="2"/>
      <c r="I92" s="2"/>
      <c r="J92" s="148"/>
      <c r="K92" s="2"/>
      <c r="L92" s="2"/>
      <c r="M92" s="1"/>
    </row>
    <row r="93" spans="1:13" ht="15.75" thickBot="1">
      <c r="A93" s="416">
        <v>31</v>
      </c>
      <c r="C93" s="1" t="str">
        <f>DEO!C93</f>
        <v>RATE BASE  (sum lines 18, 25, 26, &amp; 30)</v>
      </c>
      <c r="D93" s="350"/>
      <c r="E93" s="227">
        <f>E91+E85+E83+E74</f>
        <v>1053940500.4811245</v>
      </c>
      <c r="F93" s="2"/>
      <c r="G93" s="2"/>
      <c r="H93" s="15"/>
      <c r="I93" s="2"/>
      <c r="J93" s="227">
        <f>J91+J85+J83+J74</f>
        <v>57309719</v>
      </c>
      <c r="K93" s="2"/>
      <c r="L93" s="15"/>
      <c r="M93" s="2"/>
    </row>
    <row r="94" spans="1:13" ht="15.75" thickTop="1">
      <c r="A94" s="416"/>
      <c r="C94" s="1"/>
      <c r="D94" s="2"/>
      <c r="E94" s="2"/>
      <c r="F94" s="2"/>
      <c r="G94" s="2"/>
      <c r="H94" s="2"/>
      <c r="I94" s="2"/>
      <c r="J94" s="2"/>
      <c r="K94" s="2"/>
      <c r="L94" s="2"/>
      <c r="M94" s="2"/>
    </row>
    <row r="95" spans="1:13">
      <c r="A95" s="416"/>
      <c r="C95" s="24"/>
      <c r="D95" s="24"/>
      <c r="E95" s="25"/>
      <c r="F95" s="24"/>
      <c r="G95" s="24"/>
      <c r="H95" s="24"/>
      <c r="I95" s="24"/>
      <c r="K95" s="26"/>
      <c r="L95" s="61"/>
      <c r="M95" s="26"/>
    </row>
    <row r="96" spans="1:13" ht="18">
      <c r="A96" s="418"/>
      <c r="C96" s="24"/>
      <c r="D96" s="24"/>
      <c r="E96" s="25"/>
      <c r="F96" s="24"/>
      <c r="G96" s="24"/>
      <c r="H96" s="24"/>
      <c r="I96" s="24"/>
      <c r="J96" s="50" t="s">
        <v>296</v>
      </c>
      <c r="K96" s="60"/>
      <c r="M96" s="60"/>
    </row>
    <row r="97" spans="1:13">
      <c r="C97" s="24"/>
      <c r="D97" s="24"/>
      <c r="E97" s="25"/>
      <c r="F97" s="24"/>
      <c r="G97" s="24"/>
      <c r="H97" s="24"/>
      <c r="I97" s="24"/>
      <c r="J97" s="50" t="s">
        <v>406</v>
      </c>
      <c r="M97" s="50"/>
    </row>
    <row r="98" spans="1:13">
      <c r="C98" s="24"/>
      <c r="D98" s="24"/>
      <c r="E98" s="25"/>
      <c r="F98" s="24"/>
      <c r="G98" s="24"/>
      <c r="H98" s="24"/>
      <c r="I98" s="24"/>
      <c r="J98" s="50"/>
      <c r="M98" s="50"/>
    </row>
    <row r="99" spans="1:13">
      <c r="C99" s="24"/>
      <c r="D99" s="24"/>
      <c r="E99" s="25"/>
      <c r="F99" s="24"/>
      <c r="G99" s="24"/>
      <c r="H99" s="24"/>
      <c r="I99" s="24"/>
      <c r="M99" s="50"/>
    </row>
    <row r="100" spans="1:13">
      <c r="C100" s="24"/>
      <c r="D100" s="24"/>
      <c r="E100" s="25"/>
      <c r="F100" s="24"/>
      <c r="G100" s="24"/>
      <c r="H100" s="24"/>
      <c r="I100" s="24"/>
      <c r="K100" s="1"/>
      <c r="M100" s="50"/>
    </row>
    <row r="101" spans="1:13">
      <c r="C101" s="24"/>
      <c r="D101" s="24"/>
      <c r="E101" s="25"/>
      <c r="F101" s="24"/>
      <c r="G101" s="24"/>
      <c r="H101" s="24"/>
      <c r="I101" s="24"/>
      <c r="J101" s="50"/>
      <c r="K101" s="1"/>
      <c r="M101" s="50"/>
    </row>
    <row r="102" spans="1:13">
      <c r="C102" s="24" t="s">
        <v>6</v>
      </c>
      <c r="D102" s="24"/>
      <c r="E102" s="25"/>
      <c r="F102" s="24"/>
      <c r="G102" s="24"/>
      <c r="H102" s="24"/>
      <c r="I102" s="24"/>
      <c r="J102" s="61" t="str">
        <f>J7</f>
        <v>For the 12 months ended: 12/31/2021</v>
      </c>
      <c r="K102" s="1"/>
      <c r="M102" s="50"/>
    </row>
    <row r="103" spans="1:13">
      <c r="A103" s="419" t="str">
        <f>A8</f>
        <v>Rate Formula Template</v>
      </c>
      <c r="B103" s="70"/>
      <c r="C103" s="70"/>
      <c r="D103" s="144"/>
      <c r="E103" s="70"/>
      <c r="F103" s="144"/>
      <c r="G103" s="144"/>
      <c r="H103" s="144"/>
      <c r="I103" s="144"/>
      <c r="J103" s="70"/>
      <c r="K103" s="2"/>
      <c r="L103" s="70"/>
      <c r="M103" s="1"/>
    </row>
    <row r="104" spans="1:13">
      <c r="A104" s="420" t="s">
        <v>267</v>
      </c>
      <c r="B104" s="70"/>
      <c r="C104" s="144"/>
      <c r="D104" s="145"/>
      <c r="E104" s="70"/>
      <c r="F104" s="145"/>
      <c r="G104" s="145"/>
      <c r="H104" s="145"/>
      <c r="I104" s="144"/>
      <c r="J104" s="144"/>
      <c r="K104" s="2"/>
      <c r="L104" s="146"/>
      <c r="M104" s="1"/>
    </row>
    <row r="105" spans="1:13">
      <c r="A105" s="420"/>
      <c r="B105" s="70"/>
      <c r="C105" s="146"/>
      <c r="D105" s="146"/>
      <c r="E105" s="70"/>
      <c r="F105" s="146"/>
      <c r="G105" s="146"/>
      <c r="H105" s="146"/>
      <c r="I105" s="146"/>
      <c r="J105" s="146"/>
      <c r="K105" s="2"/>
      <c r="L105" s="146"/>
      <c r="M105" s="1"/>
    </row>
    <row r="106" spans="1:13" ht="15.75">
      <c r="A106" s="421" t="str">
        <f>$A$11</f>
        <v>DUKE ENERGY KENTUCKY (DEK)</v>
      </c>
      <c r="B106" s="70"/>
      <c r="C106" s="146"/>
      <c r="D106" s="146"/>
      <c r="E106" s="70"/>
      <c r="F106" s="146"/>
      <c r="G106" s="146"/>
      <c r="H106" s="146"/>
      <c r="I106" s="146"/>
      <c r="J106" s="146"/>
      <c r="K106" s="2"/>
      <c r="L106" s="146"/>
      <c r="M106" s="2"/>
    </row>
    <row r="107" spans="1:13">
      <c r="A107" s="416"/>
      <c r="K107" s="2"/>
      <c r="L107" s="2"/>
      <c r="M107" s="2"/>
    </row>
    <row r="108" spans="1:13" ht="15.75">
      <c r="A108" s="416"/>
      <c r="C108" s="3" t="s">
        <v>18</v>
      </c>
      <c r="D108" s="3" t="s">
        <v>19</v>
      </c>
      <c r="E108" s="3" t="s">
        <v>20</v>
      </c>
      <c r="F108" s="2" t="s">
        <v>7</v>
      </c>
      <c r="G108" s="177" t="s">
        <v>21</v>
      </c>
      <c r="H108" s="70"/>
      <c r="I108" s="2"/>
      <c r="J108" s="5" t="s">
        <v>22</v>
      </c>
      <c r="K108" s="2"/>
      <c r="L108" s="27"/>
      <c r="M108" s="24"/>
    </row>
    <row r="109" spans="1:13" ht="15.75">
      <c r="A109" s="416" t="s">
        <v>8</v>
      </c>
      <c r="C109" s="1"/>
      <c r="D109" s="4" t="s">
        <v>23</v>
      </c>
      <c r="E109" s="2"/>
      <c r="F109" s="2"/>
      <c r="G109" s="2"/>
      <c r="H109" s="26"/>
      <c r="I109" s="2"/>
      <c r="J109" s="26" t="s">
        <v>24</v>
      </c>
      <c r="K109" s="2"/>
      <c r="L109" s="27"/>
      <c r="M109" s="2"/>
    </row>
    <row r="110" spans="1:13" ht="15.75">
      <c r="A110" s="422" t="s">
        <v>10</v>
      </c>
      <c r="B110" s="181"/>
      <c r="C110" s="184"/>
      <c r="D110" s="238" t="s">
        <v>25</v>
      </c>
      <c r="E110" s="180" t="s">
        <v>26</v>
      </c>
      <c r="F110" s="239"/>
      <c r="G110" s="240" t="s">
        <v>13</v>
      </c>
      <c r="H110" s="183"/>
      <c r="I110" s="239"/>
      <c r="J110" s="182" t="s">
        <v>339</v>
      </c>
      <c r="K110" s="2"/>
      <c r="L110" s="27"/>
      <c r="M110" s="40"/>
    </row>
    <row r="111" spans="1:13" ht="15.75">
      <c r="C111" s="1"/>
      <c r="D111" s="2"/>
      <c r="E111" s="6"/>
      <c r="F111" s="7"/>
      <c r="G111" s="8"/>
      <c r="I111" s="7"/>
      <c r="J111" s="6"/>
      <c r="K111" s="2"/>
      <c r="L111" s="2"/>
      <c r="M111" s="2"/>
    </row>
    <row r="112" spans="1:13">
      <c r="A112" s="416"/>
      <c r="C112" s="1" t="str">
        <f>DEO!C112</f>
        <v>O&amp;M</v>
      </c>
      <c r="D112" s="2"/>
      <c r="E112" s="2"/>
      <c r="F112" s="2"/>
      <c r="G112" s="2"/>
      <c r="H112" s="2"/>
      <c r="I112" s="2"/>
      <c r="J112" s="2"/>
      <c r="K112" s="2"/>
      <c r="L112" s="2"/>
      <c r="M112" s="2"/>
    </row>
    <row r="113" spans="1:13">
      <c r="A113" s="416">
        <v>1</v>
      </c>
      <c r="C113" s="1" t="str">
        <f>DEO!C113</f>
        <v xml:space="preserve">  Transmission </v>
      </c>
      <c r="D113" s="488" t="str">
        <f>DEO!D113</f>
        <v>321.112.b</v>
      </c>
      <c r="E113" s="30">
        <f>INPUT!D52</f>
        <v>25679253</v>
      </c>
      <c r="F113" s="2"/>
      <c r="G113" s="2" t="s">
        <v>43</v>
      </c>
      <c r="H113" s="11">
        <f>DEK_TE_Alloc</f>
        <v>0.80694999999999995</v>
      </c>
      <c r="I113" s="2"/>
      <c r="J113" s="30">
        <f>ROUND(H113*E113,0)</f>
        <v>20721873</v>
      </c>
      <c r="K113" s="1"/>
      <c r="L113" s="2"/>
      <c r="M113" s="2"/>
    </row>
    <row r="114" spans="1:13">
      <c r="A114" s="416" t="s">
        <v>1</v>
      </c>
      <c r="C114" s="251" t="str">
        <f>DEO!C114</f>
        <v>Less LSE Expenses included in Transmission O&amp;M Accounts  (Note V)</v>
      </c>
      <c r="D114" s="488" t="str">
        <f>DEO!D114</f>
        <v>321.88.b &amp; 321.92.b</v>
      </c>
      <c r="E114" s="228">
        <f>'P17 LSE Expenses'!H21</f>
        <v>3907217</v>
      </c>
      <c r="F114" s="2"/>
      <c r="G114" s="2"/>
      <c r="H114" s="11">
        <v>1</v>
      </c>
      <c r="I114" s="2"/>
      <c r="J114" s="147">
        <f>ROUND(H114*E114,0)</f>
        <v>3907217</v>
      </c>
      <c r="K114" s="1"/>
      <c r="L114" s="2"/>
      <c r="M114" s="2"/>
    </row>
    <row r="115" spans="1:13">
      <c r="A115" s="416" t="s">
        <v>242</v>
      </c>
      <c r="C115" s="343" t="str">
        <f>DEO!C115</f>
        <v>Less Midcontinent ISO Exit Fees included in Transmission O&amp;M</v>
      </c>
      <c r="D115" s="488" t="str">
        <f>DEO!D115</f>
        <v>(Note X)</v>
      </c>
      <c r="E115" s="228">
        <f>INPUT!D54</f>
        <v>0</v>
      </c>
      <c r="F115" s="2"/>
      <c r="G115" s="2" t="s">
        <v>43</v>
      </c>
      <c r="H115" s="11">
        <f>DEK_TE_Alloc</f>
        <v>0.80694999999999995</v>
      </c>
      <c r="I115" s="2"/>
      <c r="J115" s="147">
        <f>ROUND(H115*E115,0)</f>
        <v>0</v>
      </c>
      <c r="K115" s="1"/>
      <c r="L115" s="2"/>
      <c r="M115" s="2"/>
    </row>
    <row r="116" spans="1:13">
      <c r="A116" s="416" t="s">
        <v>245</v>
      </c>
      <c r="C116" s="343" t="str">
        <f>DEO!C116</f>
        <v>Less EPRI Annual Membership Dues</v>
      </c>
      <c r="D116" s="488" t="str">
        <f>DEO!D116</f>
        <v>(Note I)</v>
      </c>
      <c r="E116" s="228">
        <f>INPUT!D55</f>
        <v>11225</v>
      </c>
      <c r="F116" s="2"/>
      <c r="G116" s="2" t="s">
        <v>43</v>
      </c>
      <c r="H116" s="11">
        <f>DEK_TE_Alloc</f>
        <v>0.80694999999999995</v>
      </c>
      <c r="I116" s="2"/>
      <c r="J116" s="147">
        <f>ROUND(H116*E116,0)</f>
        <v>9058</v>
      </c>
      <c r="K116" s="1"/>
      <c r="L116" s="2"/>
      <c r="M116" s="2"/>
    </row>
    <row r="117" spans="1:13">
      <c r="A117" s="416">
        <v>2</v>
      </c>
      <c r="C117" s="343" t="str">
        <f>DEO!C117</f>
        <v>Less Account 565</v>
      </c>
      <c r="D117" s="488" t="str">
        <f>DEO!D117</f>
        <v>321.96.b</v>
      </c>
      <c r="E117" s="228">
        <f>INPUT!D56</f>
        <v>19455367</v>
      </c>
      <c r="F117" s="2"/>
      <c r="G117" s="2" t="s">
        <v>43</v>
      </c>
      <c r="H117" s="11">
        <f>DEK_TE_Alloc</f>
        <v>0.80694999999999995</v>
      </c>
      <c r="I117" s="2"/>
      <c r="J117" s="147">
        <f t="shared" ref="J117:J126" si="2">ROUND(H117*E117,0)</f>
        <v>15699508</v>
      </c>
      <c r="K117" s="1"/>
      <c r="L117" s="2"/>
      <c r="M117" s="2"/>
    </row>
    <row r="118" spans="1:13">
      <c r="A118" s="416">
        <v>3</v>
      </c>
      <c r="C118" s="1" t="str">
        <f>DEO!C118</f>
        <v xml:space="preserve">  A&amp;G</v>
      </c>
      <c r="D118" s="488" t="str">
        <f>DEO!D118</f>
        <v>323.197.b</v>
      </c>
      <c r="E118" s="147">
        <f>'P5 A&amp;G Adjusments'!F20</f>
        <v>23024646</v>
      </c>
      <c r="F118" s="2"/>
      <c r="G118" s="2" t="s">
        <v>142</v>
      </c>
      <c r="H118" s="11">
        <f>DEK_WS_Alloc</f>
        <v>3.3709999999999997E-2</v>
      </c>
      <c r="I118" s="2"/>
      <c r="J118" s="147">
        <f t="shared" si="2"/>
        <v>776161</v>
      </c>
      <c r="K118" s="2"/>
      <c r="L118" s="2" t="s">
        <v>7</v>
      </c>
      <c r="M118" s="2"/>
    </row>
    <row r="119" spans="1:13" ht="30">
      <c r="A119" s="423" t="s">
        <v>368</v>
      </c>
      <c r="C119" s="410" t="str">
        <f>DEO!C119</f>
        <v>PBOP Expense excluding Pension Expense included in line 3 for information only</v>
      </c>
      <c r="D119" s="350" t="str">
        <f>DEO!D119</f>
        <v>(Note E)</v>
      </c>
      <c r="E119" s="379">
        <f>INPUT!D58</f>
        <v>80042</v>
      </c>
      <c r="F119" s="350"/>
      <c r="G119" s="2" t="s">
        <v>142</v>
      </c>
      <c r="H119" s="412"/>
      <c r="I119" s="350"/>
      <c r="J119" s="380"/>
      <c r="K119" s="2"/>
      <c r="L119" s="2"/>
      <c r="M119" s="2"/>
    </row>
    <row r="120" spans="1:13">
      <c r="A120" s="416" t="s">
        <v>369</v>
      </c>
      <c r="C120" s="343" t="str">
        <f>DEO!C120</f>
        <v>Less PJM Integration Costs included in A&amp;G and</v>
      </c>
      <c r="D120" s="488" t="str">
        <f>DEO!D120</f>
        <v>(Note Y)</v>
      </c>
      <c r="E120" s="228">
        <f>INPUT!D59</f>
        <v>0</v>
      </c>
      <c r="F120" s="2"/>
      <c r="G120" s="2" t="s">
        <v>142</v>
      </c>
      <c r="H120" s="11">
        <f>DEK_WS_Alloc</f>
        <v>3.3709999999999997E-2</v>
      </c>
      <c r="I120" s="2"/>
      <c r="J120" s="147">
        <f t="shared" si="2"/>
        <v>0</v>
      </c>
      <c r="K120" s="2"/>
      <c r="L120" s="2"/>
      <c r="M120" s="2"/>
    </row>
    <row r="121" spans="1:13">
      <c r="A121" s="416"/>
      <c r="C121" s="343" t="str">
        <f>DEO!C121</f>
        <v xml:space="preserve">         Internal Integration Costs included in A&amp;G</v>
      </c>
      <c r="D121" s="350"/>
      <c r="E121" s="147"/>
      <c r="F121" s="2"/>
      <c r="G121" s="2"/>
      <c r="H121" s="11"/>
      <c r="I121" s="2"/>
      <c r="J121" s="147"/>
      <c r="K121" s="2"/>
      <c r="L121" s="2"/>
      <c r="M121" s="2"/>
    </row>
    <row r="122" spans="1:13">
      <c r="A122" s="416">
        <v>4</v>
      </c>
      <c r="C122" s="343" t="str">
        <f>DEO!C122</f>
        <v>Less FERC Annual Fees</v>
      </c>
      <c r="D122" s="488" t="str">
        <f>DEO!D122</f>
        <v>350.x.b</v>
      </c>
      <c r="E122" s="228">
        <f>INPUT!D61</f>
        <v>0</v>
      </c>
      <c r="F122" s="2"/>
      <c r="G122" s="2" t="s">
        <v>142</v>
      </c>
      <c r="H122" s="11">
        <f>DEK_WS_Alloc</f>
        <v>3.3709999999999997E-2</v>
      </c>
      <c r="I122" s="2"/>
      <c r="J122" s="147">
        <f t="shared" si="2"/>
        <v>0</v>
      </c>
      <c r="K122" s="2"/>
      <c r="L122" s="2"/>
      <c r="M122" s="2"/>
    </row>
    <row r="123" spans="1:13">
      <c r="A123" s="416">
        <v>5</v>
      </c>
      <c r="C123" s="251" t="str">
        <f>DEO!C123</f>
        <v>Less EPRI &amp; Reg. Comm. Exp. &amp; Non-safety Advertising    (Note I)</v>
      </c>
      <c r="D123" s="350"/>
      <c r="E123" s="228">
        <f>INPUT!D62</f>
        <v>976690</v>
      </c>
      <c r="F123" s="2"/>
      <c r="G123" s="2" t="s">
        <v>142</v>
      </c>
      <c r="H123" s="11">
        <f>DEK_WS_Alloc</f>
        <v>3.3709999999999997E-2</v>
      </c>
      <c r="I123" s="2"/>
      <c r="J123" s="147">
        <f t="shared" si="2"/>
        <v>32924</v>
      </c>
      <c r="K123" s="2"/>
      <c r="L123" s="2"/>
      <c r="M123" s="2"/>
    </row>
    <row r="124" spans="1:13">
      <c r="A124" s="424" t="s">
        <v>147</v>
      </c>
      <c r="C124" s="251" t="str">
        <f>DEO!C124</f>
        <v>Plus Transmission Related Reg. Comm. Exp.   (Note I)</v>
      </c>
      <c r="D124" s="350"/>
      <c r="E124" s="228">
        <f>INPUT!D63</f>
        <v>0</v>
      </c>
      <c r="F124" s="2"/>
      <c r="G124" s="49" t="str">
        <f>G113</f>
        <v>TE</v>
      </c>
      <c r="H124" s="11">
        <f>DEK_TE_Alloc</f>
        <v>0.80694999999999995</v>
      </c>
      <c r="I124" s="2"/>
      <c r="J124" s="147">
        <f t="shared" si="2"/>
        <v>0</v>
      </c>
      <c r="K124" s="2"/>
      <c r="L124" s="2"/>
      <c r="M124" s="2"/>
    </row>
    <row r="125" spans="1:13">
      <c r="A125" s="416">
        <v>6</v>
      </c>
      <c r="C125" s="1" t="str">
        <f>DEO!C125</f>
        <v xml:space="preserve">  Common</v>
      </c>
      <c r="D125" s="488" t="str">
        <f>DEO!D125</f>
        <v>356</v>
      </c>
      <c r="E125" s="228">
        <f>INPUT!D64</f>
        <v>0</v>
      </c>
      <c r="F125" s="2"/>
      <c r="G125" s="2" t="s">
        <v>76</v>
      </c>
      <c r="H125" s="11">
        <f>DEK_CE_Alloc</f>
        <v>2.4899999999999999E-2</v>
      </c>
      <c r="I125" s="2"/>
      <c r="J125" s="147">
        <f t="shared" si="2"/>
        <v>0</v>
      </c>
      <c r="K125" s="2"/>
      <c r="L125" s="2"/>
      <c r="M125" s="2"/>
    </row>
    <row r="126" spans="1:13" ht="15.75" thickBot="1">
      <c r="A126" s="416">
        <v>7</v>
      </c>
      <c r="C126" s="1" t="str">
        <f>DEO!C126</f>
        <v xml:space="preserve">  Transmission Lease Payments</v>
      </c>
      <c r="D126" s="350"/>
      <c r="E126" s="265">
        <f>INPUT!D65</f>
        <v>0</v>
      </c>
      <c r="F126" s="2"/>
      <c r="G126" s="2" t="s">
        <v>7</v>
      </c>
      <c r="H126" s="266">
        <v>1</v>
      </c>
      <c r="I126" s="2"/>
      <c r="J126" s="148">
        <f t="shared" si="2"/>
        <v>0</v>
      </c>
      <c r="K126" s="2"/>
      <c r="L126" s="2"/>
      <c r="M126" s="2"/>
    </row>
    <row r="127" spans="1:13">
      <c r="A127" s="416">
        <v>8</v>
      </c>
      <c r="C127" s="1" t="str">
        <f>DEO!C127</f>
        <v>TOTAL O&amp;M   (sum lines 1, 3, 5a, 6, 7 less lines 1a, 1b, 1c, 2, 3b, 4, 5)</v>
      </c>
      <c r="D127" s="350"/>
      <c r="E127" s="30">
        <f>E113-E114-E115-E116-E117+E118-E120-E122-E123+E124+E125+E126</f>
        <v>24353400</v>
      </c>
      <c r="F127" s="2"/>
      <c r="G127" s="2"/>
      <c r="H127" s="2"/>
      <c r="I127" s="2"/>
      <c r="J127" s="30">
        <f>J113-J114-J115-J116-J117+J118-J120-J122-J123+J124+J125+J126</f>
        <v>1849327</v>
      </c>
      <c r="K127" s="2"/>
      <c r="L127" s="2"/>
      <c r="M127" s="2"/>
    </row>
    <row r="128" spans="1:13">
      <c r="A128" s="416"/>
      <c r="D128" s="350"/>
      <c r="E128" s="147"/>
      <c r="F128" s="2"/>
      <c r="G128" s="2"/>
      <c r="H128" s="2"/>
      <c r="I128" s="2"/>
      <c r="J128" s="147"/>
      <c r="K128" s="2"/>
      <c r="L128" s="2"/>
      <c r="M128" s="2"/>
    </row>
    <row r="129" spans="1:13">
      <c r="A129" s="416"/>
      <c r="C129" s="1" t="str">
        <f>DEO!C129</f>
        <v>DEPRECIATION AND AMORTIZATION EXPENSE</v>
      </c>
      <c r="D129" s="350"/>
      <c r="E129" s="147"/>
      <c r="F129" s="2"/>
      <c r="G129" s="2"/>
      <c r="H129" s="2"/>
      <c r="I129" s="2"/>
      <c r="J129" s="147"/>
      <c r="K129" s="2"/>
      <c r="L129" s="2"/>
      <c r="M129" s="2"/>
    </row>
    <row r="130" spans="1:13">
      <c r="A130" s="416">
        <v>9</v>
      </c>
      <c r="C130" s="1" t="str">
        <f>DEO!C130</f>
        <v xml:space="preserve">  Transmission </v>
      </c>
      <c r="D130" s="488" t="str">
        <f>DEO!D130</f>
        <v>336.7.f</v>
      </c>
      <c r="E130" s="267">
        <f>INPUT!D69</f>
        <v>1960755</v>
      </c>
      <c r="F130" s="2"/>
      <c r="G130" s="2" t="s">
        <v>14</v>
      </c>
      <c r="H130" s="16">
        <f>DEK_TP_Alloc</f>
        <v>0.82238</v>
      </c>
      <c r="I130" s="2"/>
      <c r="J130" s="30">
        <f>ROUND(H130*E130,0)</f>
        <v>1612486</v>
      </c>
      <c r="K130" s="2"/>
      <c r="L130" s="15"/>
      <c r="M130" s="2"/>
    </row>
    <row r="131" spans="1:13">
      <c r="A131" s="416">
        <v>10</v>
      </c>
      <c r="C131" s="1" t="str">
        <f>DEO!C131</f>
        <v xml:space="preserve">  General &amp; Intangible</v>
      </c>
      <c r="D131" s="488" t="str">
        <f>DEO!D131</f>
        <v xml:space="preserve">336.1.f &amp; 336.10.f </v>
      </c>
      <c r="E131" s="228">
        <f>INPUT!D70</f>
        <v>3998612</v>
      </c>
      <c r="F131" s="2"/>
      <c r="G131" s="2" t="s">
        <v>142</v>
      </c>
      <c r="H131" s="11">
        <f>DEK_WS_Alloc</f>
        <v>3.3709999999999997E-2</v>
      </c>
      <c r="I131" s="2"/>
      <c r="J131" s="147">
        <f>ROUND(H131*E131,0)</f>
        <v>134793</v>
      </c>
      <c r="K131" s="2"/>
      <c r="L131" s="15"/>
      <c r="M131" s="2"/>
    </row>
    <row r="132" spans="1:13" ht="15.75" thickBot="1">
      <c r="A132" s="416">
        <v>11</v>
      </c>
      <c r="C132" s="1" t="str">
        <f>DEO!C132</f>
        <v xml:space="preserve">  Common</v>
      </c>
      <c r="D132" s="488" t="str">
        <f>DEO!D132</f>
        <v>336.11.f</v>
      </c>
      <c r="E132" s="265">
        <f>INPUT!D71</f>
        <v>67403</v>
      </c>
      <c r="F132" s="2"/>
      <c r="G132" s="2" t="s">
        <v>76</v>
      </c>
      <c r="H132" s="11">
        <f>DEK_CE_Alloc</f>
        <v>2.4899999999999999E-2</v>
      </c>
      <c r="I132" s="2"/>
      <c r="J132" s="148">
        <f>ROUND(H132*E132,0)</f>
        <v>1678</v>
      </c>
      <c r="K132" s="2"/>
      <c r="L132" s="15"/>
      <c r="M132" s="2"/>
    </row>
    <row r="133" spans="1:13">
      <c r="A133" s="416">
        <v>12</v>
      </c>
      <c r="C133" s="1" t="str">
        <f>DEO!C133</f>
        <v>TOTAL DEPRECIATION AND AMORTIZATION (sum lines 9 - 11)</v>
      </c>
      <c r="D133" s="350"/>
      <c r="E133" s="30">
        <f>SUM(E130:E132)</f>
        <v>6026770</v>
      </c>
      <c r="F133" s="2"/>
      <c r="G133" s="2"/>
      <c r="H133" s="2"/>
      <c r="I133" s="2"/>
      <c r="J133" s="30">
        <f>SUM(J130:J132)</f>
        <v>1748957</v>
      </c>
      <c r="K133" s="2"/>
      <c r="L133" s="2"/>
      <c r="M133" s="2"/>
    </row>
    <row r="134" spans="1:13">
      <c r="A134" s="416"/>
      <c r="C134" s="1"/>
      <c r="D134" s="350"/>
      <c r="E134" s="147"/>
      <c r="F134" s="2"/>
      <c r="G134" s="2"/>
      <c r="H134" s="2"/>
      <c r="I134" s="2"/>
      <c r="J134" s="147"/>
      <c r="K134" s="2"/>
      <c r="L134" s="2"/>
      <c r="M134" s="2"/>
    </row>
    <row r="135" spans="1:13">
      <c r="A135" s="416" t="s">
        <v>7</v>
      </c>
      <c r="C135" s="345" t="str">
        <f>DEO!C135</f>
        <v>TAXES OTHER THAN INCOME TAXES    (Note J)</v>
      </c>
      <c r="D135" s="489"/>
      <c r="E135" s="147"/>
      <c r="F135" s="2"/>
      <c r="G135" s="2"/>
      <c r="H135" s="2"/>
      <c r="I135" s="2"/>
      <c r="J135" s="147"/>
      <c r="K135" s="2"/>
      <c r="L135" s="2"/>
      <c r="M135" s="2"/>
    </row>
    <row r="136" spans="1:13">
      <c r="A136" s="416"/>
      <c r="C136" s="1" t="str">
        <f>DEO!C136</f>
        <v xml:space="preserve">  LABOR RELATED</v>
      </c>
      <c r="D136" s="489"/>
      <c r="E136" s="147"/>
      <c r="F136" s="2"/>
      <c r="G136" s="2"/>
      <c r="I136" s="2"/>
      <c r="J136" s="147"/>
      <c r="K136" s="2"/>
      <c r="L136" s="15"/>
      <c r="M136" s="2"/>
    </row>
    <row r="137" spans="1:13">
      <c r="A137" s="416">
        <v>13</v>
      </c>
      <c r="C137" s="344" t="str">
        <f>DEO!C137</f>
        <v>Payroll</v>
      </c>
      <c r="D137" s="488" t="str">
        <f>DEO!D137</f>
        <v>[263.i]*</v>
      </c>
      <c r="E137" s="267">
        <f>INPUT!D76</f>
        <v>1798074</v>
      </c>
      <c r="F137" s="2"/>
      <c r="G137" s="2" t="s">
        <v>142</v>
      </c>
      <c r="H137" s="11">
        <f>DEK_WS_Alloc</f>
        <v>3.3709999999999997E-2</v>
      </c>
      <c r="I137" s="2"/>
      <c r="J137" s="30">
        <f>ROUND(H137*E137,0)</f>
        <v>60613</v>
      </c>
      <c r="K137" s="2"/>
      <c r="L137" s="15"/>
      <c r="M137" s="2"/>
    </row>
    <row r="138" spans="1:13">
      <c r="A138" s="416">
        <v>14</v>
      </c>
      <c r="C138" s="344" t="str">
        <f>DEO!C138</f>
        <v>Highway and vehicle</v>
      </c>
      <c r="D138" s="488" t="str">
        <f>DEO!D138</f>
        <v>[263.i]*</v>
      </c>
      <c r="E138" s="228">
        <f>INPUT!D77</f>
        <v>0</v>
      </c>
      <c r="F138" s="2"/>
      <c r="G138" s="2" t="s">
        <v>142</v>
      </c>
      <c r="H138" s="11">
        <f>DEK_WS_Alloc</f>
        <v>3.3709999999999997E-2</v>
      </c>
      <c r="I138" s="2"/>
      <c r="J138" s="147">
        <f>ROUND(H138*E138,0)</f>
        <v>0</v>
      </c>
      <c r="K138" s="2"/>
      <c r="L138" s="15"/>
      <c r="M138" s="2"/>
    </row>
    <row r="139" spans="1:13">
      <c r="A139" s="416">
        <v>15</v>
      </c>
      <c r="C139" s="1" t="str">
        <f>DEO!C139</f>
        <v xml:space="preserve">  PLANT RELATED</v>
      </c>
      <c r="D139" s="378" t="s">
        <v>7</v>
      </c>
      <c r="E139" s="228"/>
      <c r="F139" s="2"/>
      <c r="G139" s="2"/>
      <c r="I139" s="2"/>
      <c r="J139" s="147"/>
      <c r="K139" s="2"/>
      <c r="L139" s="15"/>
      <c r="M139" s="2"/>
    </row>
    <row r="140" spans="1:13">
      <c r="A140" s="416">
        <v>16</v>
      </c>
      <c r="C140" s="344" t="str">
        <f>DEO!C140</f>
        <v>Property</v>
      </c>
      <c r="D140" s="488" t="str">
        <f>DEO!D140</f>
        <v>[263.i]*</v>
      </c>
      <c r="E140" s="228">
        <f>INPUT!D79</f>
        <v>14497979</v>
      </c>
      <c r="F140" s="2"/>
      <c r="G140" s="2" t="s">
        <v>44</v>
      </c>
      <c r="H140" s="16">
        <f>DEK_GP_Alloc</f>
        <v>3.7260000000000001E-2</v>
      </c>
      <c r="I140" s="2"/>
      <c r="J140" s="147">
        <f>ROUND(H140*E140,0)</f>
        <v>540195</v>
      </c>
      <c r="K140" s="2"/>
      <c r="L140" s="15"/>
      <c r="M140" s="2"/>
    </row>
    <row r="141" spans="1:13">
      <c r="A141" s="416">
        <v>17</v>
      </c>
      <c r="C141" s="344" t="str">
        <f>DEO!C141</f>
        <v>Gross Receipts</v>
      </c>
      <c r="D141" s="488" t="str">
        <f>DEO!D141</f>
        <v>[263.i]*</v>
      </c>
      <c r="E141" s="228">
        <f>INPUT!D80</f>
        <v>0</v>
      </c>
      <c r="F141" s="2"/>
      <c r="G141" s="2" t="str">
        <f>G77</f>
        <v>NA</v>
      </c>
      <c r="H141" s="54" t="s">
        <v>148</v>
      </c>
      <c r="I141" s="2"/>
      <c r="J141" s="149">
        <v>0</v>
      </c>
      <c r="K141" s="2"/>
      <c r="L141" s="15"/>
      <c r="M141" s="2"/>
    </row>
    <row r="142" spans="1:13">
      <c r="A142" s="416">
        <v>18</v>
      </c>
      <c r="C142" s="344" t="str">
        <f>DEO!C142</f>
        <v>Other</v>
      </c>
      <c r="D142" s="488" t="str">
        <f>DEO!D142</f>
        <v>[263.i]*</v>
      </c>
      <c r="E142" s="228">
        <f>INPUT!D81</f>
        <v>0</v>
      </c>
      <c r="F142" s="2"/>
      <c r="G142" s="2" t="str">
        <f>G140</f>
        <v>GP</v>
      </c>
      <c r="H142" s="16">
        <f>DEK_GP_Alloc</f>
        <v>3.7260000000000001E-2</v>
      </c>
      <c r="I142" s="2"/>
      <c r="J142" s="147">
        <f>ROUND(H142*E142,0)</f>
        <v>0</v>
      </c>
      <c r="K142" s="2"/>
      <c r="L142" s="15"/>
      <c r="M142" s="2"/>
    </row>
    <row r="143" spans="1:13" ht="15.75" thickBot="1">
      <c r="A143" s="416">
        <v>19</v>
      </c>
      <c r="C143" s="344" t="str">
        <f>DEO!C143</f>
        <v>Payments in lieu of taxes</v>
      </c>
      <c r="D143" s="350"/>
      <c r="E143" s="265">
        <f>INPUT!D82</f>
        <v>0</v>
      </c>
      <c r="F143" s="2"/>
      <c r="G143" s="2" t="s">
        <v>44</v>
      </c>
      <c r="H143" s="16">
        <f>DEK_GP_Alloc</f>
        <v>3.7260000000000001E-2</v>
      </c>
      <c r="I143" s="2"/>
      <c r="J143" s="148">
        <f>ROUND(H143*E143,0)</f>
        <v>0</v>
      </c>
      <c r="K143" s="2"/>
      <c r="L143" s="15"/>
      <c r="M143" s="2"/>
    </row>
    <row r="144" spans="1:13">
      <c r="A144" s="416">
        <v>20</v>
      </c>
      <c r="C144" s="1" t="str">
        <f>DEO!C144</f>
        <v>TOTAL OTHER TAXES  (sum lines 13 - 19)</v>
      </c>
      <c r="D144" s="350"/>
      <c r="E144" s="30">
        <f>E137+E138+E140+E141+E142+E143</f>
        <v>16296053</v>
      </c>
      <c r="F144" s="2"/>
      <c r="G144" s="2"/>
      <c r="H144" s="16"/>
      <c r="I144" s="2"/>
      <c r="J144" s="30">
        <f>J137+J138+J140+J141+J142+J143</f>
        <v>600808</v>
      </c>
      <c r="K144" s="2"/>
      <c r="L144" s="2"/>
      <c r="M144" s="2"/>
    </row>
    <row r="145" spans="1:13">
      <c r="A145" s="416"/>
      <c r="C145" s="1"/>
      <c r="D145" s="350"/>
      <c r="E145" s="147"/>
      <c r="F145" s="2"/>
      <c r="G145" s="2"/>
      <c r="H145" s="16"/>
      <c r="I145" s="2"/>
      <c r="J145" s="2"/>
      <c r="K145" s="2"/>
      <c r="L145" s="2"/>
      <c r="M145" s="2"/>
    </row>
    <row r="146" spans="1:13">
      <c r="A146" s="416" t="s">
        <v>58</v>
      </c>
      <c r="C146" s="1"/>
      <c r="D146" s="350"/>
      <c r="E146" s="2"/>
      <c r="F146" s="2"/>
      <c r="G146" s="2"/>
      <c r="H146" s="16"/>
      <c r="I146" s="2"/>
      <c r="J146" s="2"/>
      <c r="K146" s="2"/>
      <c r="L146" s="2"/>
      <c r="M146" s="2"/>
    </row>
    <row r="147" spans="1:13">
      <c r="A147" s="416" t="s">
        <v>7</v>
      </c>
      <c r="C147" s="1" t="str">
        <f>DEO!C147</f>
        <v>INCOME TAXES           (Note K)</v>
      </c>
      <c r="D147" s="350"/>
      <c r="E147" s="2"/>
      <c r="F147" s="2"/>
      <c r="H147" s="13"/>
      <c r="I147" s="2"/>
      <c r="K147" s="2"/>
      <c r="M147" s="2"/>
    </row>
    <row r="148" spans="1:13">
      <c r="A148" s="416">
        <v>21</v>
      </c>
      <c r="C148" s="1" t="str">
        <f>DEO!C148</f>
        <v xml:space="preserve">     T=1 - {[(1 - SIT) * (1 - FIT)] / (1 - SIT * FIT * p)} =</v>
      </c>
      <c r="D148" s="350"/>
      <c r="E148" s="298">
        <f>IF(FIT&gt;0,1-(((1-SIT_DEK)*(1-FIT))/(1-SIT_DEK*FIT*E290)),0)</f>
        <v>0.24950000000000006</v>
      </c>
      <c r="F148" s="2"/>
      <c r="H148" s="13"/>
      <c r="I148" s="2"/>
      <c r="K148" s="2"/>
      <c r="M148" s="2"/>
    </row>
    <row r="149" spans="1:13">
      <c r="A149" s="416">
        <v>22</v>
      </c>
      <c r="C149" s="1" t="str">
        <f>DEO!C149</f>
        <v xml:space="preserve">     CIT=(T/1-T) * (1-(WCLTD/R)) =</v>
      </c>
      <c r="D149" s="350"/>
      <c r="E149" s="241">
        <f>IF(J232&gt;0,(E148/(1-E148))*(1-WCLTD_DEK/R_DEK),0)</f>
        <v>0.25856836183285226</v>
      </c>
      <c r="F149" s="2"/>
      <c r="H149" s="13"/>
      <c r="I149" s="2"/>
      <c r="K149" s="2"/>
      <c r="M149" s="2"/>
    </row>
    <row r="150" spans="1:13">
      <c r="A150" s="416"/>
      <c r="C150" s="1" t="str">
        <f>DEO!C150</f>
        <v xml:space="preserve">       where WCLTD=(page 4, line 27) and R= (page 4, line 30)</v>
      </c>
      <c r="D150" s="350"/>
      <c r="E150" s="2"/>
      <c r="F150" s="2"/>
      <c r="H150" s="13"/>
      <c r="I150" s="2"/>
      <c r="K150" s="2"/>
      <c r="M150" s="2"/>
    </row>
    <row r="151" spans="1:13">
      <c r="A151" s="416"/>
      <c r="C151" s="1" t="str">
        <f>DEO!C151</f>
        <v xml:space="preserve">       and FIT, SIT &amp; p are as given in footnote K.</v>
      </c>
      <c r="D151" s="350"/>
      <c r="E151" s="2"/>
      <c r="F151" s="2"/>
      <c r="H151" s="13"/>
      <c r="I151" s="2"/>
      <c r="K151" s="2"/>
      <c r="M151" s="2"/>
    </row>
    <row r="152" spans="1:13">
      <c r="A152" s="416">
        <v>23</v>
      </c>
      <c r="C152" s="1" t="str">
        <f>DEO!C152</f>
        <v xml:space="preserve">      1 / (1 - T)  = (from line 21)</v>
      </c>
      <c r="D152" s="350"/>
      <c r="E152" s="339">
        <f>IF(E148&gt;0,1/(1-E148),0)</f>
        <v>1.3324450366422387</v>
      </c>
      <c r="F152" s="2"/>
      <c r="H152" s="13"/>
      <c r="I152" s="2"/>
      <c r="J152" s="147"/>
      <c r="K152" s="2"/>
      <c r="M152" s="2"/>
    </row>
    <row r="153" spans="1:13">
      <c r="A153" s="416">
        <v>24</v>
      </c>
      <c r="C153" s="1" t="str">
        <f>DEO!C153</f>
        <v>Amortized Investment Tax Credit</v>
      </c>
      <c r="D153" s="488" t="str">
        <f>DEO!D153</f>
        <v>266.8.f (enter negative)</v>
      </c>
      <c r="E153" s="267">
        <f>INPUT!D92</f>
        <v>-428</v>
      </c>
      <c r="F153" s="2"/>
      <c r="H153" s="13"/>
      <c r="I153" s="2"/>
      <c r="J153" s="147"/>
      <c r="K153" s="2"/>
      <c r="M153" s="2"/>
    </row>
    <row r="154" spans="1:13">
      <c r="A154" s="416">
        <v>25</v>
      </c>
      <c r="C154" s="1" t="str">
        <f>DEO!C154</f>
        <v>Amortization of Excess/Deficient Deferred Income Taxes (Note O)</v>
      </c>
      <c r="D154" s="488" t="str">
        <f>DEO!D154</f>
        <v>DIT Worksheet, x.d and x.e</v>
      </c>
      <c r="E154" s="228">
        <f>INPUT!D93</f>
        <v>-4322474.9599999981</v>
      </c>
      <c r="F154" s="2"/>
      <c r="H154" s="13"/>
      <c r="I154" s="2"/>
      <c r="J154" s="147"/>
      <c r="K154" s="2"/>
      <c r="M154" s="2"/>
    </row>
    <row r="155" spans="1:13">
      <c r="A155" s="416" t="s">
        <v>905</v>
      </c>
      <c r="C155" s="1" t="str">
        <f>DEO!C155</f>
        <v>Tax Effect of Permanent Differences and AFUDC Equity</v>
      </c>
      <c r="D155" s="488" t="str">
        <f>DEO!D155</f>
        <v>(Note Z)</v>
      </c>
      <c r="E155" s="147">
        <f>'P19 Perm Tax Diff'!G15</f>
        <v>167060.75141500012</v>
      </c>
      <c r="F155" s="2"/>
      <c r="H155" s="13"/>
      <c r="I155" s="2"/>
      <c r="J155" s="147"/>
      <c r="K155" s="2"/>
      <c r="M155" s="2"/>
    </row>
    <row r="156" spans="1:13">
      <c r="A156" s="416"/>
      <c r="C156" s="1"/>
      <c r="D156" s="350"/>
      <c r="E156" s="147"/>
      <c r="F156" s="2"/>
      <c r="H156" s="13"/>
      <c r="I156" s="2"/>
      <c r="J156" s="147"/>
      <c r="K156" s="2"/>
      <c r="M156" s="2"/>
    </row>
    <row r="157" spans="1:13">
      <c r="A157" s="416">
        <v>26</v>
      </c>
      <c r="C157" s="1" t="str">
        <f>DEO!C157</f>
        <v>Income Tax Calculation (line 22 * line 30)</v>
      </c>
      <c r="D157" s="618"/>
      <c r="E157" s="30">
        <f>ROUND(E149*E163,0)</f>
        <v>21092713</v>
      </c>
      <c r="F157" s="2"/>
      <c r="G157" s="2" t="s">
        <v>30</v>
      </c>
      <c r="H157" s="16"/>
      <c r="I157" s="2"/>
      <c r="J157" s="30">
        <f>ROUND(E149*J163,0)</f>
        <v>1146950</v>
      </c>
      <c r="K157" s="2"/>
      <c r="L157" s="12" t="s">
        <v>7</v>
      </c>
      <c r="M157" s="2"/>
    </row>
    <row r="158" spans="1:13">
      <c r="A158" s="416">
        <v>27</v>
      </c>
      <c r="C158" s="1" t="str">
        <f>DEO!C158</f>
        <v>ITC adjustment (line 23 * line 24)</v>
      </c>
      <c r="D158" s="618"/>
      <c r="E158" s="147">
        <f>ROUND(E152*E153,0)</f>
        <v>-570</v>
      </c>
      <c r="F158" s="2"/>
      <c r="G158" s="9" t="s">
        <v>42</v>
      </c>
      <c r="H158" s="16">
        <f>DEK_NP_Alloc</f>
        <v>5.4330000000000003E-2</v>
      </c>
      <c r="I158" s="2"/>
      <c r="J158" s="147">
        <f>ROUND(H158*E158,0)</f>
        <v>-31</v>
      </c>
      <c r="K158" s="2"/>
      <c r="L158" s="12"/>
      <c r="M158" s="2"/>
    </row>
    <row r="159" spans="1:13">
      <c r="A159" s="416">
        <v>28</v>
      </c>
      <c r="C159" s="1" t="str">
        <f>DEO!C159</f>
        <v>Excess/Deficient DIT amortization (line 23 * line 25)</v>
      </c>
      <c r="D159" s="618"/>
      <c r="E159" s="147">
        <f>ROUND(E152*E154,0)</f>
        <v>-5759460</v>
      </c>
      <c r="F159" s="2"/>
      <c r="G159" s="9" t="s">
        <v>42</v>
      </c>
      <c r="H159" s="16">
        <f>DEK_NP_Alloc</f>
        <v>5.4330000000000003E-2</v>
      </c>
      <c r="I159" s="2"/>
      <c r="J159" s="147">
        <f>ROUND(H159*E159,0)</f>
        <v>-312911</v>
      </c>
      <c r="K159" s="2"/>
      <c r="L159" s="12"/>
      <c r="M159" s="2"/>
    </row>
    <row r="160" spans="1:13" ht="15.75" thickBot="1">
      <c r="A160" s="416" t="s">
        <v>906</v>
      </c>
      <c r="C160" s="1" t="str">
        <f>DEO!C160</f>
        <v>Permanent Differences and AFUDC Equity Tax Adjustment (line 23 * line 25b)</v>
      </c>
      <c r="D160" s="618"/>
      <c r="E160" s="147">
        <f>ROUND(E152*E155,0)</f>
        <v>222599</v>
      </c>
      <c r="F160" s="2"/>
      <c r="G160" s="9" t="s">
        <v>42</v>
      </c>
      <c r="H160" s="16">
        <f>DEK_NP_Alloc</f>
        <v>5.4330000000000003E-2</v>
      </c>
      <c r="I160" s="2"/>
      <c r="J160" s="147">
        <f>ROUND(H160*E160,0)</f>
        <v>12094</v>
      </c>
      <c r="K160" s="2"/>
      <c r="L160" s="12"/>
      <c r="M160" s="2"/>
    </row>
    <row r="161" spans="1:13">
      <c r="A161" s="416">
        <v>29</v>
      </c>
      <c r="C161" s="1" t="str">
        <f>DEO!C161</f>
        <v>Total Income Taxes (sum lines 26 - 28b)</v>
      </c>
      <c r="D161" s="488"/>
      <c r="E161" s="864">
        <f>SUM(E157:E160)</f>
        <v>15555282</v>
      </c>
      <c r="F161" s="2"/>
      <c r="G161" s="2" t="s">
        <v>7</v>
      </c>
      <c r="H161" s="16" t="s">
        <v>7</v>
      </c>
      <c r="I161" s="2"/>
      <c r="J161" s="864">
        <f>SUM(J157:J160)</f>
        <v>846102</v>
      </c>
      <c r="K161" s="2"/>
      <c r="L161" s="2"/>
      <c r="M161" s="2"/>
    </row>
    <row r="162" spans="1:13">
      <c r="A162" s="416" t="s">
        <v>7</v>
      </c>
      <c r="C162"/>
      <c r="D162" s="619"/>
      <c r="E162" s="147"/>
      <c r="F162" s="2"/>
      <c r="G162" s="2"/>
      <c r="H162" s="16"/>
      <c r="I162" s="2"/>
      <c r="J162" s="147"/>
      <c r="K162" s="2"/>
      <c r="L162" s="2"/>
      <c r="M162" s="2"/>
    </row>
    <row r="163" spans="1:13">
      <c r="A163" s="416">
        <v>30</v>
      </c>
      <c r="C163" s="1" t="str">
        <f>DEO!C163</f>
        <v xml:space="preserve">RETURN </v>
      </c>
      <c r="D163" s="620"/>
      <c r="E163" s="30">
        <f>ROUND($J232*E93,0)</f>
        <v>81574995</v>
      </c>
      <c r="F163" s="2"/>
      <c r="G163" s="2" t="s">
        <v>30</v>
      </c>
      <c r="H163" s="13"/>
      <c r="I163" s="2"/>
      <c r="J163" s="30">
        <f>ROUND($J232*J93,0)</f>
        <v>4435772</v>
      </c>
      <c r="K163" s="2"/>
      <c r="M163" s="2"/>
    </row>
    <row r="164" spans="1:13">
      <c r="A164" s="416"/>
      <c r="C164" s="615" t="str">
        <f>DEO!C164</f>
        <v xml:space="preserve">  [Rate Base (page 2, line 31) * Rate of Return (page 4, line 30)]</v>
      </c>
      <c r="D164" s="489"/>
      <c r="E164" s="147"/>
      <c r="F164" s="2"/>
      <c r="G164" s="2"/>
      <c r="H164" s="13"/>
      <c r="I164" s="2"/>
      <c r="J164" s="147"/>
      <c r="K164" s="2"/>
      <c r="L164" s="15"/>
      <c r="M164" s="2"/>
    </row>
    <row r="165" spans="1:13">
      <c r="A165" s="416"/>
      <c r="C165" s="1"/>
      <c r="D165" s="489"/>
      <c r="E165" s="147"/>
      <c r="F165" s="2"/>
      <c r="G165" s="2"/>
      <c r="H165" s="13"/>
      <c r="I165" s="2"/>
      <c r="J165" s="147"/>
      <c r="K165" s="2"/>
      <c r="L165" s="15"/>
      <c r="M165" s="2"/>
    </row>
    <row r="166" spans="1:13" ht="15.75" thickBot="1">
      <c r="A166" s="416">
        <v>31</v>
      </c>
      <c r="C166" s="1" t="str">
        <f>DEO!C166</f>
        <v>REV. REQUIREMENT  (sum lines 8, 12, 20, 29, 30)</v>
      </c>
      <c r="D166" s="350"/>
      <c r="E166" s="227">
        <f>E163+E161+E144+E133+E127</f>
        <v>143806500</v>
      </c>
      <c r="F166" s="2"/>
      <c r="G166" s="2"/>
      <c r="H166" s="2"/>
      <c r="I166" s="2"/>
      <c r="J166" s="227">
        <f>J163+J161+J144+J133+J127</f>
        <v>9480966</v>
      </c>
      <c r="K166" s="1"/>
      <c r="L166" s="1"/>
      <c r="M166" s="1"/>
    </row>
    <row r="167" spans="1:13" ht="15.75" thickTop="1">
      <c r="A167" s="416"/>
      <c r="C167" s="1"/>
      <c r="D167" s="2"/>
      <c r="E167" s="2"/>
      <c r="F167" s="2"/>
      <c r="G167" s="2"/>
      <c r="H167" s="2"/>
      <c r="I167" s="2"/>
      <c r="J167" s="2"/>
      <c r="K167" s="1"/>
      <c r="L167" s="1"/>
      <c r="M167" s="1"/>
    </row>
    <row r="168" spans="1:13">
      <c r="A168" s="416"/>
      <c r="B168" s="9" t="str">
        <f>DEO!B168</f>
        <v>*</v>
      </c>
      <c r="C168" s="9" t="str">
        <f>DEO!C168</f>
        <v>FF1 reference to 263.i changed to 263.l in new XBRL format</v>
      </c>
      <c r="D168" s="2"/>
      <c r="E168" s="2"/>
      <c r="F168" s="2"/>
      <c r="G168" s="2"/>
      <c r="H168" s="2"/>
      <c r="I168" s="2"/>
      <c r="J168" s="2"/>
      <c r="K168" s="1"/>
      <c r="L168" s="1"/>
      <c r="M168" s="1"/>
    </row>
    <row r="169" spans="1:13">
      <c r="A169" s="416"/>
      <c r="C169" s="24"/>
      <c r="D169" s="24"/>
      <c r="E169" s="25"/>
      <c r="F169" s="24"/>
      <c r="G169" s="24"/>
      <c r="H169" s="24"/>
      <c r="I169" s="24"/>
      <c r="K169" s="26"/>
      <c r="L169" s="61"/>
      <c r="M169" s="26"/>
    </row>
    <row r="170" spans="1:13" ht="18">
      <c r="A170" s="418"/>
      <c r="C170" s="24"/>
      <c r="D170" s="24"/>
      <c r="E170" s="25"/>
      <c r="F170" s="24"/>
      <c r="G170" s="24"/>
      <c r="H170" s="24"/>
      <c r="I170" s="24"/>
      <c r="J170" s="50" t="s">
        <v>296</v>
      </c>
      <c r="M170" s="60"/>
    </row>
    <row r="171" spans="1:13">
      <c r="C171" s="24"/>
      <c r="D171" s="24"/>
      <c r="E171" s="25"/>
      <c r="F171" s="24"/>
      <c r="G171" s="24"/>
      <c r="H171" s="24"/>
      <c r="I171" s="24"/>
      <c r="J171" s="50" t="s">
        <v>408</v>
      </c>
      <c r="M171" s="50"/>
    </row>
    <row r="172" spans="1:13">
      <c r="C172" s="24"/>
      <c r="D172" s="24"/>
      <c r="E172" s="25"/>
      <c r="F172" s="24"/>
      <c r="G172" s="24"/>
      <c r="H172" s="24"/>
      <c r="I172" s="24"/>
      <c r="M172" s="50"/>
    </row>
    <row r="173" spans="1:13">
      <c r="C173" s="24"/>
      <c r="D173" s="24"/>
      <c r="E173" s="25"/>
      <c r="F173" s="24"/>
      <c r="G173" s="24"/>
      <c r="H173" s="24"/>
      <c r="I173" s="24"/>
      <c r="M173" s="50"/>
    </row>
    <row r="174" spans="1:13">
      <c r="C174" s="24"/>
      <c r="D174" s="24"/>
      <c r="E174" s="25"/>
      <c r="F174" s="24"/>
      <c r="G174" s="24"/>
      <c r="H174" s="24"/>
      <c r="I174" s="24"/>
      <c r="M174" s="50"/>
    </row>
    <row r="175" spans="1:13">
      <c r="C175" s="24"/>
      <c r="D175" s="24"/>
      <c r="E175" s="25"/>
      <c r="F175" s="24"/>
      <c r="G175" s="24"/>
      <c r="H175" s="24"/>
      <c r="I175" s="24"/>
      <c r="J175" s="50"/>
      <c r="M175" s="50"/>
    </row>
    <row r="176" spans="1:13">
      <c r="C176" s="24" t="s">
        <v>6</v>
      </c>
      <c r="D176" s="24"/>
      <c r="E176" s="25"/>
      <c r="F176" s="24"/>
      <c r="G176" s="24"/>
      <c r="H176" s="24"/>
      <c r="I176" s="24"/>
      <c r="J176" s="61" t="str">
        <f>J7</f>
        <v>For the 12 months ended: 12/31/2021</v>
      </c>
      <c r="M176" s="50"/>
    </row>
    <row r="177" spans="1:13">
      <c r="A177" s="419" t="str">
        <f>A8</f>
        <v>Rate Formula Template</v>
      </c>
      <c r="B177" s="70"/>
      <c r="C177" s="70"/>
      <c r="D177" s="144"/>
      <c r="E177" s="70"/>
      <c r="F177" s="144"/>
      <c r="G177" s="144"/>
      <c r="H177" s="144"/>
      <c r="I177" s="144"/>
      <c r="J177" s="70"/>
      <c r="K177" s="146"/>
      <c r="L177" s="70"/>
      <c r="M177" s="1"/>
    </row>
    <row r="178" spans="1:13">
      <c r="A178" s="420" t="s">
        <v>267</v>
      </c>
      <c r="B178" s="70"/>
      <c r="C178" s="144"/>
      <c r="D178" s="145"/>
      <c r="E178" s="70"/>
      <c r="F178" s="145"/>
      <c r="G178" s="145"/>
      <c r="H178" s="145"/>
      <c r="I178" s="144"/>
      <c r="J178" s="144"/>
      <c r="K178" s="146"/>
      <c r="L178" s="146"/>
      <c r="M178" s="1"/>
    </row>
    <row r="179" spans="1:13">
      <c r="A179" s="420"/>
      <c r="B179" s="70"/>
      <c r="C179" s="146"/>
      <c r="D179" s="146"/>
      <c r="E179" s="70"/>
      <c r="F179" s="146"/>
      <c r="G179" s="146"/>
      <c r="H179" s="146"/>
      <c r="I179" s="146"/>
      <c r="J179" s="146"/>
      <c r="K179" s="146"/>
      <c r="L179" s="146"/>
      <c r="M179" s="2"/>
    </row>
    <row r="180" spans="1:13" ht="15.75">
      <c r="A180" s="421" t="str">
        <f>$A$11</f>
        <v>DUKE ENERGY KENTUCKY (DEK)</v>
      </c>
      <c r="B180" s="70"/>
      <c r="C180" s="146"/>
      <c r="D180" s="146"/>
      <c r="E180" s="70"/>
      <c r="F180" s="146"/>
      <c r="G180" s="146"/>
      <c r="H180" s="146"/>
      <c r="I180" s="146"/>
      <c r="J180" s="146"/>
      <c r="K180" s="146"/>
      <c r="L180" s="146"/>
      <c r="M180" s="2"/>
    </row>
    <row r="181" spans="1:13" ht="15.75">
      <c r="A181" s="421" t="s">
        <v>268</v>
      </c>
      <c r="B181" s="70"/>
      <c r="C181" s="70"/>
      <c r="D181" s="70"/>
      <c r="E181" s="70"/>
      <c r="F181" s="146"/>
      <c r="G181" s="146"/>
      <c r="H181" s="146"/>
      <c r="I181" s="146"/>
      <c r="J181" s="146"/>
      <c r="K181" s="145"/>
      <c r="L181" s="145"/>
      <c r="M181" s="2"/>
    </row>
    <row r="182" spans="1:13" ht="15.75">
      <c r="A182" s="416" t="s">
        <v>8</v>
      </c>
      <c r="C182" s="10"/>
      <c r="D182" s="1"/>
      <c r="E182" s="1"/>
      <c r="F182" s="1"/>
      <c r="G182" s="1"/>
      <c r="H182" s="1"/>
      <c r="I182" s="1"/>
      <c r="J182" s="1"/>
      <c r="K182" s="2"/>
      <c r="L182" s="2"/>
      <c r="M182" s="2"/>
    </row>
    <row r="183" spans="1:13" ht="15.75">
      <c r="A183" s="422" t="s">
        <v>10</v>
      </c>
      <c r="B183" s="181"/>
      <c r="C183" s="40" t="str">
        <f>DEO!C183</f>
        <v>TRANSMISSION PLANT INCLUDED IN ISO RATES</v>
      </c>
      <c r="D183" s="1"/>
      <c r="E183" s="1"/>
      <c r="F183" s="1"/>
      <c r="G183" s="1"/>
      <c r="H183" s="1"/>
      <c r="K183" s="2"/>
      <c r="L183" s="2"/>
      <c r="M183" s="2"/>
    </row>
    <row r="184" spans="1:13">
      <c r="A184" s="416"/>
      <c r="C184" s="24"/>
      <c r="D184" s="1"/>
      <c r="E184" s="1"/>
      <c r="F184" s="1"/>
      <c r="G184" s="1"/>
      <c r="H184" s="1"/>
      <c r="I184" s="1"/>
      <c r="J184" s="1"/>
      <c r="K184" s="2"/>
      <c r="L184" s="2"/>
      <c r="M184" s="2"/>
    </row>
    <row r="185" spans="1:13">
      <c r="A185" s="416">
        <v>1</v>
      </c>
      <c r="C185" s="24" t="str">
        <f>DEO!C185</f>
        <v>Total transmission plant (page 2, line 2, column 3)</v>
      </c>
      <c r="D185" s="1"/>
      <c r="E185" s="2"/>
      <c r="F185" s="2"/>
      <c r="G185" s="2"/>
      <c r="H185" s="2"/>
      <c r="I185" s="2"/>
      <c r="J185" s="30">
        <f>E54</f>
        <v>95965669</v>
      </c>
      <c r="K185" s="2"/>
      <c r="L185" s="2"/>
      <c r="M185" s="2"/>
    </row>
    <row r="186" spans="1:13">
      <c r="A186" s="416">
        <v>2</v>
      </c>
      <c r="C186" s="252" t="str">
        <f>DEO!C186</f>
        <v>Less transmission plant excluded from ISO rates  (Note M)</v>
      </c>
      <c r="J186" s="150">
        <f>INPUT!D97</f>
        <v>0</v>
      </c>
      <c r="K186" s="2"/>
      <c r="L186" s="2"/>
      <c r="M186" s="2"/>
    </row>
    <row r="187" spans="1:13" ht="15.75" thickBot="1">
      <c r="A187" s="416">
        <v>3</v>
      </c>
      <c r="C187" s="253" t="str">
        <f>DEO!C187</f>
        <v>Less transmission plant included in OATT Ancillary Services  (Note N)</v>
      </c>
      <c r="D187" s="42"/>
      <c r="E187" s="35"/>
      <c r="F187" s="2"/>
      <c r="G187" s="2"/>
      <c r="H187" s="4"/>
      <c r="I187" s="2"/>
      <c r="J187" s="151">
        <f>INPUT!D98</f>
        <v>17045647</v>
      </c>
      <c r="K187" s="2"/>
      <c r="L187" s="2"/>
      <c r="M187" s="2"/>
    </row>
    <row r="188" spans="1:13">
      <c r="A188" s="416">
        <v>4</v>
      </c>
      <c r="C188" s="24" t="str">
        <f>DEO!C188</f>
        <v>Transmission plant included in ISO Rates  (line 1 less lines 2 &amp; 3)</v>
      </c>
      <c r="D188" s="1"/>
      <c r="E188" s="2"/>
      <c r="F188" s="2"/>
      <c r="G188" s="2"/>
      <c r="H188" s="4"/>
      <c r="I188" s="2"/>
      <c r="J188" s="30">
        <f>J185-J186-J187</f>
        <v>78920022</v>
      </c>
      <c r="K188" s="2"/>
      <c r="L188" s="2"/>
      <c r="M188" s="2"/>
    </row>
    <row r="189" spans="1:13">
      <c r="A189" s="416"/>
      <c r="D189" s="1"/>
      <c r="E189" s="2"/>
      <c r="F189" s="2"/>
      <c r="G189" s="2"/>
      <c r="H189" s="4"/>
      <c r="I189" s="2"/>
      <c r="K189" s="2"/>
      <c r="L189" s="2"/>
      <c r="M189" s="2"/>
    </row>
    <row r="190" spans="1:13">
      <c r="A190" s="416">
        <v>5</v>
      </c>
      <c r="C190" s="24" t="str">
        <f>DEO!C190</f>
        <v>Percentage of transmission plant included in ISO Rates (line 4 divided by line 1)</v>
      </c>
      <c r="D190" s="17"/>
      <c r="E190" s="17"/>
      <c r="F190" s="17"/>
      <c r="G190" s="17"/>
      <c r="H190" s="5"/>
      <c r="I190" s="2" t="s">
        <v>63</v>
      </c>
      <c r="J190" s="48">
        <f>IF(J185&gt;0,ROUND(J188/J185,5),0)</f>
        <v>0.82238</v>
      </c>
      <c r="K190" s="2"/>
      <c r="L190" s="2"/>
      <c r="M190" s="2"/>
    </row>
    <row r="191" spans="1:13">
      <c r="A191" s="416"/>
      <c r="K191" s="2"/>
      <c r="L191" s="2"/>
      <c r="M191" s="2"/>
    </row>
    <row r="192" spans="1:13" ht="15.75">
      <c r="A192" s="416"/>
      <c r="C192" s="10" t="str">
        <f>DEO!C192</f>
        <v xml:space="preserve">TRANSMISSION EXPENSES </v>
      </c>
      <c r="K192" s="2"/>
      <c r="L192" s="2"/>
      <c r="M192" s="2"/>
    </row>
    <row r="193" spans="1:13">
      <c r="A193" s="416"/>
      <c r="K193" s="2"/>
      <c r="L193" s="2"/>
      <c r="M193" s="2"/>
    </row>
    <row r="194" spans="1:13">
      <c r="A194" s="416">
        <v>6</v>
      </c>
      <c r="C194" s="9" t="str">
        <f>DEO!C194</f>
        <v>Total transmission expenses    (page 3, line 1, column 3)</v>
      </c>
      <c r="E194" s="1"/>
      <c r="F194" s="1"/>
      <c r="G194" s="1"/>
      <c r="H194" s="3"/>
      <c r="I194" s="1"/>
      <c r="J194" s="30">
        <f>E113</f>
        <v>25679253</v>
      </c>
      <c r="K194" s="2"/>
      <c r="L194" s="2"/>
      <c r="M194" s="2"/>
    </row>
    <row r="195" spans="1:13" ht="15.75" thickBot="1">
      <c r="A195" s="416">
        <v>7</v>
      </c>
      <c r="C195" s="253" t="str">
        <f>DEO!C195</f>
        <v>Less transmission expenses included in OATT Ancillary Services  (Note L)</v>
      </c>
      <c r="D195" s="42"/>
      <c r="E195" s="35"/>
      <c r="F195" s="35"/>
      <c r="G195" s="2"/>
      <c r="H195" s="2"/>
      <c r="I195" s="2"/>
      <c r="J195" s="151">
        <f>INPUT!D105</f>
        <v>481695</v>
      </c>
      <c r="K195" s="2"/>
      <c r="L195" s="2"/>
      <c r="M195" s="2"/>
    </row>
    <row r="196" spans="1:13">
      <c r="A196" s="416">
        <v>8</v>
      </c>
      <c r="C196" s="24" t="str">
        <f>DEO!C196</f>
        <v>Included transmission expenses (line 6 less line 7)</v>
      </c>
      <c r="D196" s="17"/>
      <c r="E196" s="17"/>
      <c r="F196" s="17"/>
      <c r="G196" s="17"/>
      <c r="H196" s="5"/>
      <c r="I196" s="17"/>
      <c r="J196" s="30">
        <f>J194-J195</f>
        <v>25197558</v>
      </c>
      <c r="M196" s="2"/>
    </row>
    <row r="197" spans="1:13">
      <c r="A197" s="416"/>
      <c r="C197" s="24"/>
      <c r="D197" s="1"/>
      <c r="E197" s="2"/>
      <c r="F197" s="2"/>
      <c r="G197" s="2"/>
      <c r="H197" s="2"/>
      <c r="M197" s="2"/>
    </row>
    <row r="198" spans="1:13">
      <c r="A198" s="416">
        <v>9</v>
      </c>
      <c r="C198" s="24" t="str">
        <f>DEO!C198</f>
        <v>Percentage of transmission expenses after adjustment (line 8 divided by line 6)</v>
      </c>
      <c r="D198" s="1"/>
      <c r="E198" s="2"/>
      <c r="F198" s="2"/>
      <c r="G198" s="2"/>
      <c r="H198" s="2"/>
      <c r="I198" s="2"/>
      <c r="J198" s="11">
        <f>IF(J194&gt;0,ROUND(J196/J194,5),0)</f>
        <v>0.98124</v>
      </c>
      <c r="M198" s="2"/>
    </row>
    <row r="199" spans="1:13">
      <c r="A199" s="416">
        <v>10</v>
      </c>
      <c r="C199" s="24" t="str">
        <f>DEO!C199</f>
        <v>Percentage of transmission plant included in ISO Rates (line 5)</v>
      </c>
      <c r="D199" s="1"/>
      <c r="E199" s="2"/>
      <c r="F199" s="2"/>
      <c r="G199" s="2"/>
      <c r="H199" s="2"/>
      <c r="I199" s="1" t="s">
        <v>14</v>
      </c>
      <c r="J199" s="16">
        <f>DEK_TP_Alloc</f>
        <v>0.82238</v>
      </c>
      <c r="M199" s="2"/>
    </row>
    <row r="200" spans="1:13">
      <c r="A200" s="416">
        <v>11</v>
      </c>
      <c r="C200" s="24" t="str">
        <f>DEO!C200</f>
        <v>Percentage of transmission expenses included in ISO Rates (line 9 times line 10)</v>
      </c>
      <c r="D200" s="1"/>
      <c r="E200" s="1"/>
      <c r="F200" s="1"/>
      <c r="G200" s="1"/>
      <c r="H200" s="1"/>
      <c r="I200" s="1" t="s">
        <v>62</v>
      </c>
      <c r="J200" s="16">
        <f>ROUND(J199*J198,5)</f>
        <v>0.80694999999999995</v>
      </c>
      <c r="M200" s="2"/>
    </row>
    <row r="201" spans="1:13">
      <c r="A201" s="416"/>
      <c r="D201" s="1"/>
      <c r="E201" s="2"/>
      <c r="F201" s="2"/>
      <c r="G201" s="2"/>
      <c r="H201" s="4"/>
      <c r="I201" s="2"/>
      <c r="M201" s="2"/>
    </row>
    <row r="202" spans="1:13" ht="15.75">
      <c r="A202" s="416" t="s">
        <v>7</v>
      </c>
      <c r="C202" s="10" t="str">
        <f>DEO!C202</f>
        <v>WAGES &amp; SALARY ALLOCATOR   (WS)</v>
      </c>
      <c r="D202" s="2"/>
      <c r="E202" s="2"/>
      <c r="F202" s="2"/>
      <c r="G202" s="2"/>
      <c r="H202" s="2"/>
      <c r="I202" s="2"/>
      <c r="J202" s="2"/>
      <c r="K202" s="2"/>
      <c r="L202" s="2"/>
      <c r="M202" s="2"/>
    </row>
    <row r="203" spans="1:13" ht="15.75" thickBot="1">
      <c r="A203" s="416" t="s">
        <v>7</v>
      </c>
      <c r="C203" s="1"/>
      <c r="D203" s="35" t="s">
        <v>65</v>
      </c>
      <c r="E203" s="36" t="s">
        <v>66</v>
      </c>
      <c r="F203" s="36" t="s">
        <v>14</v>
      </c>
      <c r="G203" s="2"/>
      <c r="H203" s="36" t="s">
        <v>67</v>
      </c>
      <c r="I203" s="2"/>
      <c r="J203" s="2"/>
      <c r="K203" s="2"/>
      <c r="L203" s="2"/>
      <c r="M203" s="2"/>
    </row>
    <row r="204" spans="1:13">
      <c r="A204" s="416">
        <v>12</v>
      </c>
      <c r="C204" s="1" t="str">
        <f>DEO!C204</f>
        <v xml:space="preserve">  Production</v>
      </c>
      <c r="D204" s="1" t="str">
        <f>DEO!D204</f>
        <v>354.20.b</v>
      </c>
      <c r="E204" s="228">
        <f>INPUT!D110</f>
        <v>12898341</v>
      </c>
      <c r="F204" s="55">
        <v>0</v>
      </c>
      <c r="G204" s="18"/>
      <c r="H204" s="147">
        <f>E204*F204</f>
        <v>0</v>
      </c>
      <c r="I204" s="2"/>
      <c r="J204" s="2"/>
      <c r="K204" s="2"/>
      <c r="L204" s="2"/>
      <c r="M204" s="2"/>
    </row>
    <row r="205" spans="1:13">
      <c r="A205" s="416">
        <v>13</v>
      </c>
      <c r="C205" s="1" t="str">
        <f>DEO!C205</f>
        <v xml:space="preserve">  Transmission</v>
      </c>
      <c r="D205" s="1" t="str">
        <f>DEO!D205</f>
        <v>354.21.b</v>
      </c>
      <c r="E205" s="228">
        <f>INPUT!D111</f>
        <v>765355</v>
      </c>
      <c r="F205" s="11">
        <f>J190</f>
        <v>0.82238</v>
      </c>
      <c r="G205" s="18"/>
      <c r="H205" s="147">
        <f>E205*F205</f>
        <v>629412.64489999996</v>
      </c>
      <c r="I205" s="2"/>
      <c r="J205" s="2"/>
      <c r="K205" s="2"/>
      <c r="L205" s="2"/>
      <c r="M205" s="1"/>
    </row>
    <row r="206" spans="1:13">
      <c r="A206" s="416">
        <v>14</v>
      </c>
      <c r="C206" s="1" t="str">
        <f>DEO!C206</f>
        <v xml:space="preserve">  Distribution</v>
      </c>
      <c r="D206" s="1" t="str">
        <f>DEO!D206</f>
        <v>354.23.b</v>
      </c>
      <c r="E206" s="228">
        <f>INPUT!D112</f>
        <v>2991586</v>
      </c>
      <c r="F206" s="55">
        <v>0</v>
      </c>
      <c r="G206" s="18"/>
      <c r="H206" s="147">
        <f>E206*F206</f>
        <v>0</v>
      </c>
      <c r="I206" s="2"/>
      <c r="J206" s="4" t="str">
        <f>DEO!J206</f>
        <v>WS Allocator</v>
      </c>
      <c r="K206" s="2"/>
      <c r="L206" s="2"/>
      <c r="M206" s="2"/>
    </row>
    <row r="207" spans="1:13" ht="15.75" thickBot="1">
      <c r="A207" s="416">
        <v>15</v>
      </c>
      <c r="C207" s="1" t="str">
        <f>DEO!C207</f>
        <v xml:space="preserve">  Other</v>
      </c>
      <c r="D207" s="1" t="str">
        <f>DEO!D207</f>
        <v>354.24,25,26.b</v>
      </c>
      <c r="E207" s="151">
        <f>INPUT!D113</f>
        <v>2013609</v>
      </c>
      <c r="F207" s="55">
        <v>0</v>
      </c>
      <c r="G207" s="18"/>
      <c r="H207" s="148">
        <f>E207*F207</f>
        <v>0</v>
      </c>
      <c r="I207" s="2"/>
      <c r="J207" s="32" t="s">
        <v>70</v>
      </c>
      <c r="K207" s="2"/>
      <c r="L207" s="2"/>
      <c r="M207" s="2"/>
    </row>
    <row r="208" spans="1:13">
      <c r="A208" s="416">
        <v>16</v>
      </c>
      <c r="C208" s="1" t="str">
        <f>DEO!C208</f>
        <v xml:space="preserve">  Total Electric (sum lines 12-15)</v>
      </c>
      <c r="D208" s="2"/>
      <c r="E208" s="147">
        <f>SUM(E204:E207)</f>
        <v>18668891</v>
      </c>
      <c r="F208" s="2"/>
      <c r="G208" s="2"/>
      <c r="H208" s="147">
        <f>SUM(H204:H207)</f>
        <v>629412.64489999996</v>
      </c>
      <c r="I208" s="3" t="s">
        <v>71</v>
      </c>
      <c r="J208" s="11">
        <f>IF(H208&gt;0,ROUND(H208/E208,5),0)</f>
        <v>3.3709999999999997E-2</v>
      </c>
      <c r="K208" s="4" t="s">
        <v>71</v>
      </c>
      <c r="L208" s="2" t="s">
        <v>142</v>
      </c>
      <c r="M208" s="2"/>
    </row>
    <row r="209" spans="1:13">
      <c r="A209" s="416"/>
      <c r="C209" s="1"/>
      <c r="D209" s="2"/>
      <c r="E209" s="2"/>
      <c r="F209" s="2"/>
      <c r="G209" s="2"/>
      <c r="H209" s="2"/>
      <c r="I209" s="2"/>
      <c r="J209" s="2"/>
      <c r="K209" s="2"/>
      <c r="L209" s="2"/>
      <c r="M209" s="2" t="s">
        <v>7</v>
      </c>
    </row>
    <row r="210" spans="1:13" ht="15.75">
      <c r="A210" s="416"/>
      <c r="C210" s="254" t="str">
        <f>DEO!C210</f>
        <v>COMMON PLANT ALLOCATOR  (CE)</v>
      </c>
      <c r="D210" s="2"/>
      <c r="E210" s="2"/>
      <c r="F210" s="2"/>
      <c r="G210" s="2"/>
      <c r="M210" s="2"/>
    </row>
    <row r="211" spans="1:13" ht="15.75" thickBot="1">
      <c r="A211" s="416"/>
      <c r="C211" s="1"/>
      <c r="D211" s="2"/>
      <c r="E211" s="36" t="s">
        <v>66</v>
      </c>
      <c r="F211" s="2"/>
      <c r="G211" s="2"/>
      <c r="H211" s="4" t="str">
        <f>DEO!H211</f>
        <v>% Electric</v>
      </c>
      <c r="I211" s="13" t="s">
        <v>7</v>
      </c>
      <c r="J211" s="4" t="str">
        <f>DEO!J211</f>
        <v>WS Allocator</v>
      </c>
      <c r="M211" s="2"/>
    </row>
    <row r="212" spans="1:13">
      <c r="A212" s="416">
        <v>17</v>
      </c>
      <c r="C212" s="1" t="str">
        <f>DEO!C212</f>
        <v xml:space="preserve">  Electric</v>
      </c>
      <c r="D212" s="1" t="str">
        <f>DEO!D212</f>
        <v>200.3.c</v>
      </c>
      <c r="E212" s="228">
        <f>INPUT!D118</f>
        <v>1979969127</v>
      </c>
      <c r="F212" s="2"/>
      <c r="H212" s="4" t="str">
        <f>DEO!H212</f>
        <v>(line 17 / line 20)</v>
      </c>
      <c r="I212" s="28"/>
      <c r="J212" s="4" t="str">
        <f>DEO!J212</f>
        <v>(line 16)</v>
      </c>
      <c r="K212" s="2"/>
      <c r="L212" s="275" t="s">
        <v>76</v>
      </c>
      <c r="M212" s="2"/>
    </row>
    <row r="213" spans="1:13">
      <c r="A213" s="416">
        <v>18</v>
      </c>
      <c r="C213" s="1" t="str">
        <f>DEO!C213</f>
        <v xml:space="preserve">  Gas</v>
      </c>
      <c r="D213" s="1" t="str">
        <f>DEO!D213</f>
        <v>201.3.d</v>
      </c>
      <c r="E213" s="228">
        <f>INPUT!D119</f>
        <v>701052507</v>
      </c>
      <c r="F213" s="2"/>
      <c r="H213" s="16">
        <f>IF(E215&gt;0,ROUND(E212/E215,5),0)</f>
        <v>0.73851</v>
      </c>
      <c r="I213" s="4" t="s">
        <v>78</v>
      </c>
      <c r="J213" s="16">
        <f>DEK_WS_Alloc</f>
        <v>3.3709999999999997E-2</v>
      </c>
      <c r="K213" s="13" t="s">
        <v>71</v>
      </c>
      <c r="L213" s="276">
        <f>ROUND(J213*H213,5)</f>
        <v>2.4899999999999999E-2</v>
      </c>
      <c r="M213" s="2"/>
    </row>
    <row r="214" spans="1:13" ht="15.75" thickBot="1">
      <c r="A214" s="416">
        <v>19</v>
      </c>
      <c r="C214" s="42" t="str">
        <f>DEO!C214</f>
        <v xml:space="preserve">  Water</v>
      </c>
      <c r="D214" s="42" t="str">
        <f>DEO!D214</f>
        <v>201.3.e</v>
      </c>
      <c r="E214" s="151">
        <f>INPUT!D120</f>
        <v>0</v>
      </c>
      <c r="F214" s="2"/>
      <c r="G214" s="2"/>
      <c r="H214" s="2" t="s">
        <v>7</v>
      </c>
      <c r="I214" s="2"/>
      <c r="J214" s="2"/>
      <c r="K214" s="2"/>
      <c r="L214" s="2"/>
      <c r="M214" s="2"/>
    </row>
    <row r="215" spans="1:13">
      <c r="A215" s="416">
        <v>20</v>
      </c>
      <c r="C215" s="1" t="str">
        <f>DEO!C215</f>
        <v xml:space="preserve">  Total  (sum lines 17 - 19)</v>
      </c>
      <c r="D215" s="2"/>
      <c r="E215" s="147">
        <f>E212+E213+E214</f>
        <v>2681021634</v>
      </c>
      <c r="F215" s="2"/>
      <c r="G215" s="2"/>
      <c r="H215" s="2"/>
      <c r="I215" s="2"/>
      <c r="J215" s="2"/>
      <c r="K215" s="2"/>
      <c r="L215" s="2"/>
      <c r="M215" s="2"/>
    </row>
    <row r="216" spans="1:13">
      <c r="A216" s="416"/>
      <c r="C216" s="1"/>
      <c r="D216" s="2"/>
      <c r="F216" s="2"/>
      <c r="G216" s="2"/>
      <c r="H216" s="2"/>
      <c r="I216" s="2"/>
      <c r="J216" s="2"/>
      <c r="K216" s="2"/>
      <c r="L216" s="2"/>
      <c r="M216" s="2"/>
    </row>
    <row r="217" spans="1:13" ht="16.5" thickBot="1">
      <c r="A217" s="416"/>
      <c r="B217" s="24"/>
      <c r="C217" s="40" t="str">
        <f>DEO!C217</f>
        <v>RETURN (R)</v>
      </c>
      <c r="D217" s="2"/>
      <c r="E217" s="2"/>
      <c r="F217" s="2"/>
      <c r="G217" s="2"/>
      <c r="H217" s="2"/>
      <c r="I217" s="2"/>
      <c r="J217" s="36" t="s">
        <v>66</v>
      </c>
      <c r="K217" s="2"/>
      <c r="L217" s="2"/>
      <c r="M217" s="2"/>
    </row>
    <row r="218" spans="1:13">
      <c r="A218" s="416">
        <v>21</v>
      </c>
      <c r="B218" s="24"/>
      <c r="C218" s="24"/>
      <c r="D218" s="1" t="str">
        <f>DEO!D218</f>
        <v>Long Term Interest (117, sum of 62.c through 67.c)</v>
      </c>
      <c r="E218" s="2"/>
      <c r="F218" s="2"/>
      <c r="G218" s="2"/>
      <c r="H218" s="2"/>
      <c r="I218" s="2"/>
      <c r="J218" s="297">
        <f>INPUT!D130</f>
        <v>26679917</v>
      </c>
      <c r="K218" s="2"/>
      <c r="L218" s="2"/>
      <c r="M218" s="2"/>
    </row>
    <row r="219" spans="1:13">
      <c r="A219" s="416"/>
      <c r="C219" s="1"/>
      <c r="D219" s="2"/>
      <c r="E219" s="2"/>
      <c r="F219" s="2"/>
      <c r="G219" s="2"/>
      <c r="H219" s="2"/>
      <c r="I219" s="2"/>
      <c r="J219" s="147"/>
      <c r="K219" s="2"/>
      <c r="L219" s="2"/>
      <c r="M219" s="2"/>
    </row>
    <row r="220" spans="1:13">
      <c r="A220" s="416">
        <v>22</v>
      </c>
      <c r="B220" s="24"/>
      <c r="C220" s="24"/>
      <c r="D220" s="1" t="str">
        <f>DEO!D220</f>
        <v>Preferred Dividends (118.29.c) (positive number)</v>
      </c>
      <c r="E220" s="2"/>
      <c r="F220" s="2"/>
      <c r="G220" s="2"/>
      <c r="H220" s="2"/>
      <c r="I220" s="2"/>
      <c r="J220" s="296">
        <f>INPUT!D132</f>
        <v>0</v>
      </c>
      <c r="K220" s="2"/>
      <c r="L220" s="2"/>
      <c r="M220" s="2"/>
    </row>
    <row r="221" spans="1:13">
      <c r="A221" s="416"/>
      <c r="B221" s="24"/>
      <c r="C221" s="24"/>
      <c r="D221" s="2"/>
      <c r="E221" s="2"/>
      <c r="F221" s="2"/>
      <c r="G221" s="2"/>
      <c r="H221" s="2"/>
      <c r="I221" s="2"/>
      <c r="J221" s="147"/>
      <c r="K221" s="2"/>
      <c r="L221" s="2"/>
      <c r="M221" s="2"/>
    </row>
    <row r="222" spans="1:13">
      <c r="A222" s="416"/>
      <c r="B222" s="24"/>
      <c r="C222" s="24" t="str">
        <f>DEO!C222</f>
        <v xml:space="preserve">                                          Development of Common Stock:</v>
      </c>
      <c r="D222" s="2"/>
      <c r="E222" s="2"/>
      <c r="F222" s="2"/>
      <c r="G222" s="2"/>
      <c r="H222" s="2"/>
      <c r="I222" s="2"/>
      <c r="J222" s="147"/>
      <c r="K222" s="2"/>
      <c r="L222" s="2"/>
      <c r="M222" s="2"/>
    </row>
    <row r="223" spans="1:13">
      <c r="A223" s="416">
        <v>23</v>
      </c>
      <c r="B223" s="24"/>
      <c r="C223" s="24"/>
      <c r="D223" s="1" t="str">
        <f>DEO!D223</f>
        <v>Proprietary Capital (112.16.c)</v>
      </c>
      <c r="E223" s="24"/>
      <c r="F223" s="2"/>
      <c r="G223" s="2"/>
      <c r="H223" s="2"/>
      <c r="I223" s="2"/>
      <c r="J223" s="228">
        <f>INPUT!D135</f>
        <v>821642468</v>
      </c>
      <c r="K223" s="2"/>
      <c r="L223" s="2"/>
      <c r="M223" s="2"/>
    </row>
    <row r="224" spans="1:13">
      <c r="A224" s="416">
        <v>24</v>
      </c>
      <c r="B224" s="24"/>
      <c r="C224" s="24"/>
      <c r="D224" s="1" t="str">
        <f>DEO!D224</f>
        <v xml:space="preserve">Less Preferred Stock (line 28) </v>
      </c>
      <c r="E224" s="2"/>
      <c r="F224" s="2"/>
      <c r="G224" s="2"/>
      <c r="H224" s="2"/>
      <c r="I224" s="2"/>
      <c r="J224" s="299">
        <f>INPUT!D136</f>
        <v>0</v>
      </c>
      <c r="K224" s="2"/>
      <c r="L224" s="2"/>
      <c r="M224" s="2"/>
    </row>
    <row r="225" spans="1:13" ht="15.75" thickBot="1">
      <c r="A225" s="416">
        <v>25</v>
      </c>
      <c r="B225" s="24"/>
      <c r="C225" s="24"/>
      <c r="D225" s="1" t="str">
        <f>DEO!D225</f>
        <v>Less Account 216.1 (112.12.c)  (enter negative)</v>
      </c>
      <c r="E225" s="2"/>
      <c r="F225" s="2"/>
      <c r="G225" s="2"/>
      <c r="H225" s="2"/>
      <c r="I225" s="2"/>
      <c r="J225" s="151">
        <f>INPUT!D137</f>
        <v>0</v>
      </c>
      <c r="K225" s="2"/>
      <c r="L225" s="2"/>
      <c r="M225" s="2"/>
    </row>
    <row r="226" spans="1:13">
      <c r="A226" s="416">
        <v>26</v>
      </c>
      <c r="B226" s="24"/>
      <c r="C226" s="24"/>
      <c r="D226" s="1" t="str">
        <f>DEO!D226</f>
        <v>Common Stock (sum lines 23-25)</v>
      </c>
      <c r="E226" s="24"/>
      <c r="F226" s="24"/>
      <c r="G226" s="24"/>
      <c r="H226" s="24"/>
      <c r="I226" s="24"/>
      <c r="J226" s="147">
        <f>J223+J224+J225</f>
        <v>821642468</v>
      </c>
      <c r="K226" s="2"/>
      <c r="L226" s="2"/>
      <c r="M226" s="2"/>
    </row>
    <row r="227" spans="1:13">
      <c r="A227" s="416"/>
      <c r="C227" s="1"/>
      <c r="D227" s="2"/>
      <c r="E227" s="2"/>
      <c r="F227" s="2"/>
      <c r="G227" s="2"/>
      <c r="H227" s="4"/>
      <c r="I227" s="2"/>
      <c r="J227" s="2"/>
      <c r="K227" s="2"/>
      <c r="L227" s="2"/>
      <c r="M227" s="2"/>
    </row>
    <row r="228" spans="1:13" ht="15.75" thickBot="1">
      <c r="A228" s="416"/>
      <c r="C228" s="1"/>
      <c r="D228" s="1" t="str">
        <f>DEO!D228</f>
        <v>(Note P)</v>
      </c>
      <c r="E228" s="32" t="s">
        <v>66</v>
      </c>
      <c r="F228" s="32" t="s">
        <v>84</v>
      </c>
      <c r="G228" s="2"/>
      <c r="H228" s="32" t="s">
        <v>83</v>
      </c>
      <c r="I228" s="2"/>
      <c r="J228" s="32" t="s">
        <v>85</v>
      </c>
      <c r="K228" s="2"/>
      <c r="L228" s="2"/>
      <c r="M228" s="2"/>
    </row>
    <row r="229" spans="1:13">
      <c r="A229" s="416">
        <v>27</v>
      </c>
      <c r="C229" s="24" t="str">
        <f>DEO!C229</f>
        <v xml:space="preserve">  Long Term Debt (112, sum of 18.c through 21.c)</v>
      </c>
      <c r="E229" s="228">
        <f>INPUT!D145</f>
        <v>731720000</v>
      </c>
      <c r="F229" s="43">
        <f>IF($E$232&gt;0,E229/$E$232,0)</f>
        <v>0.4710555424595208</v>
      </c>
      <c r="G229" s="19"/>
      <c r="H229" s="19">
        <f>IF(E229&gt;0,J218/E229,0)</f>
        <v>3.6461921226698737E-2</v>
      </c>
      <c r="J229" s="19">
        <f>ROUND(H229*F229,4)</f>
        <v>1.72E-2</v>
      </c>
      <c r="K229" s="20" t="s">
        <v>86</v>
      </c>
      <c r="M229" s="2"/>
    </row>
    <row r="230" spans="1:13">
      <c r="A230" s="416">
        <v>28</v>
      </c>
      <c r="C230" s="24" t="str">
        <f>DEO!C230</f>
        <v xml:space="preserve">  Preferred Stock  (112.3.c)</v>
      </c>
      <c r="E230" s="228">
        <f>INPUT!D146</f>
        <v>0</v>
      </c>
      <c r="F230" s="43">
        <f>IF($E$232&gt;0,E230/$E$232,0)</f>
        <v>0</v>
      </c>
      <c r="G230" s="19"/>
      <c r="H230" s="19">
        <f>IF(E230&gt;0,J220/E230,0)</f>
        <v>0</v>
      </c>
      <c r="J230" s="19">
        <f>ROUND(H230*F230,4)</f>
        <v>0</v>
      </c>
      <c r="K230" s="2"/>
      <c r="M230" s="2"/>
    </row>
    <row r="231" spans="1:13" ht="16.5" thickBot="1">
      <c r="A231" s="416">
        <v>29</v>
      </c>
      <c r="C231" s="24" t="str">
        <f>DEO!C231</f>
        <v xml:space="preserve">  Common Stock  (line 26)</v>
      </c>
      <c r="E231" s="148">
        <f>J226</f>
        <v>821642468</v>
      </c>
      <c r="F231" s="43">
        <f>IF($E$232&gt;0,E231/$E$232,0)</f>
        <v>0.52894445754047925</v>
      </c>
      <c r="G231" s="19"/>
      <c r="H231" s="140">
        <f>INPUT!D162</f>
        <v>0.1138</v>
      </c>
      <c r="J231" s="47">
        <f>ROUND(H231*F231,4)</f>
        <v>6.0199999999999997E-2</v>
      </c>
      <c r="K231" s="2"/>
      <c r="M231" s="2"/>
    </row>
    <row r="232" spans="1:13">
      <c r="A232" s="416">
        <v>30</v>
      </c>
      <c r="C232" s="1" t="str">
        <f>DEO!C232</f>
        <v>Total  (sum lines 27-29)</v>
      </c>
      <c r="E232" s="147">
        <f>E231+E230+E229</f>
        <v>1553362468</v>
      </c>
      <c r="F232" s="2" t="s">
        <v>7</v>
      </c>
      <c r="G232" s="2"/>
      <c r="H232" s="2"/>
      <c r="I232" s="2"/>
      <c r="J232" s="19">
        <f>SUM(J229:J231)</f>
        <v>7.7399999999999997E-2</v>
      </c>
      <c r="K232" s="20" t="s">
        <v>88</v>
      </c>
      <c r="M232" s="2"/>
    </row>
    <row r="233" spans="1:13">
      <c r="F233" s="2"/>
      <c r="G233" s="2"/>
      <c r="H233" s="2"/>
      <c r="I233" s="2"/>
      <c r="M233" s="2"/>
    </row>
    <row r="234" spans="1:13">
      <c r="L234" s="2"/>
      <c r="M234" s="2"/>
    </row>
    <row r="235" spans="1:13" ht="15.75">
      <c r="A235" s="416"/>
      <c r="C235" s="40" t="str">
        <f>DEO!C235</f>
        <v>REVENUE CREDITS</v>
      </c>
      <c r="D235" s="24"/>
      <c r="E235" s="24"/>
      <c r="F235" s="24"/>
      <c r="G235" s="24"/>
      <c r="H235" s="24"/>
      <c r="I235" s="24"/>
      <c r="J235" s="24"/>
      <c r="K235" s="24"/>
      <c r="L235" s="24"/>
      <c r="M235" s="2"/>
    </row>
    <row r="236" spans="1:13" ht="15.75" thickBot="1">
      <c r="A236" s="416"/>
      <c r="C236" s="24"/>
      <c r="D236" s="24"/>
      <c r="E236" s="24"/>
      <c r="F236" s="24"/>
      <c r="G236" s="24"/>
      <c r="H236" s="24"/>
      <c r="I236" s="24"/>
      <c r="J236" s="32" t="s">
        <v>127</v>
      </c>
      <c r="K236" s="26"/>
    </row>
    <row r="237" spans="1:13">
      <c r="A237" s="416"/>
      <c r="C237" s="252" t="str">
        <f>DEO!C237</f>
        <v>ACCOUNT 447 (SALES FOR RESALE)  (Note Q)</v>
      </c>
      <c r="D237" s="24"/>
      <c r="E237" s="24" t="str">
        <f>DEO!E237</f>
        <v>(310-311)</v>
      </c>
      <c r="F237" s="24"/>
      <c r="G237" s="24"/>
      <c r="H237" s="29" t="s">
        <v>7</v>
      </c>
      <c r="I237" s="23"/>
      <c r="J237" s="152"/>
      <c r="K237" s="152"/>
    </row>
    <row r="238" spans="1:13">
      <c r="A238" s="416">
        <v>31</v>
      </c>
      <c r="C238" s="9" t="str">
        <f>DEO!C238</f>
        <v xml:space="preserve">  a. Bundled Non-RQ Sales for Resale (311.x.h)</v>
      </c>
      <c r="D238" s="24"/>
      <c r="E238" s="24"/>
      <c r="G238" s="24"/>
      <c r="I238" s="23"/>
      <c r="J238" s="242">
        <v>0</v>
      </c>
      <c r="K238" s="46"/>
    </row>
    <row r="239" spans="1:13" ht="15.75" thickBot="1">
      <c r="A239" s="416">
        <v>32</v>
      </c>
      <c r="C239" s="44" t="str">
        <f>DEO!C239</f>
        <v xml:space="preserve">  b. Bundled Sales for Resale included in Divisor on page 1</v>
      </c>
      <c r="D239" s="42"/>
      <c r="E239" s="44"/>
      <c r="F239" s="41"/>
      <c r="G239" s="41"/>
      <c r="H239" s="41"/>
      <c r="I239" s="24"/>
      <c r="J239" s="243">
        <v>0</v>
      </c>
      <c r="K239" s="153"/>
    </row>
    <row r="240" spans="1:13">
      <c r="A240" s="416">
        <v>33</v>
      </c>
      <c r="C240" s="9" t="str">
        <f>DEO!C240</f>
        <v xml:space="preserve">  Total of (a)-(b)</v>
      </c>
      <c r="D240" s="1"/>
      <c r="F240" s="24"/>
      <c r="G240" s="24"/>
      <c r="H240" s="24"/>
      <c r="I240" s="24"/>
      <c r="J240" s="159">
        <f>J238-J239</f>
        <v>0</v>
      </c>
      <c r="K240" s="46"/>
    </row>
    <row r="241" spans="1:13">
      <c r="A241" s="416"/>
      <c r="C241" s="9" t="s">
        <v>7</v>
      </c>
      <c r="D241" s="1"/>
      <c r="F241" s="24"/>
      <c r="G241" s="24"/>
      <c r="H241" s="37"/>
      <c r="I241" s="24"/>
      <c r="J241" s="33" t="s">
        <v>7</v>
      </c>
      <c r="K241" s="152"/>
      <c r="L241" s="34"/>
      <c r="M241" s="2"/>
    </row>
    <row r="242" spans="1:13">
      <c r="A242" s="416">
        <v>34</v>
      </c>
      <c r="C242" s="252" t="str">
        <f>DEO!C242</f>
        <v>ACCOUNT 454 (RENT FROM ELECTRIC PROPERTY)    (Note R)</v>
      </c>
      <c r="D242" s="1"/>
      <c r="F242" s="24"/>
      <c r="G242" s="24"/>
      <c r="H242" s="45"/>
      <c r="I242" s="24"/>
      <c r="J242" s="68">
        <f>ROUND('P8 Rev Cred Support'!G28,0)</f>
        <v>133097</v>
      </c>
      <c r="K242" s="152"/>
      <c r="L242" s="34"/>
      <c r="M242" s="2"/>
    </row>
    <row r="243" spans="1:13">
      <c r="A243" s="416"/>
      <c r="D243" s="24"/>
      <c r="E243" s="24"/>
      <c r="F243" s="24"/>
      <c r="G243" s="24"/>
      <c r="H243" s="24"/>
      <c r="I243" s="24"/>
      <c r="J243" s="51"/>
      <c r="K243" s="152"/>
      <c r="L243" s="34"/>
      <c r="M243" s="2"/>
    </row>
    <row r="244" spans="1:13">
      <c r="A244" s="416">
        <v>35</v>
      </c>
      <c r="C244" s="252" t="str">
        <f>DEO!C244</f>
        <v>ACCOUNT 456.1 (OTHER ELECTRIC REVENUES)        (Note U)</v>
      </c>
      <c r="D244" s="24"/>
      <c r="E244" s="24" t="str">
        <f>DEO!E244</f>
        <v>(330.x.n)</v>
      </c>
      <c r="F244" s="24"/>
      <c r="G244" s="24"/>
      <c r="H244" s="24"/>
      <c r="I244" s="24"/>
      <c r="J244" s="68">
        <f>'P8 Rev Cred Support'!G47</f>
        <v>82619</v>
      </c>
      <c r="L244" s="34"/>
      <c r="M244" s="2"/>
    </row>
    <row r="245" spans="1:13">
      <c r="A245" s="416">
        <v>36</v>
      </c>
      <c r="C245" s="252" t="str">
        <f>DEO!C245</f>
        <v>ACCOUNT 456.1 (OTHER ELECTRIC REVENUES)        (Note W)</v>
      </c>
      <c r="D245" s="24"/>
      <c r="E245" s="24" t="str">
        <f>DEO!E245</f>
        <v>(330.x.n)</v>
      </c>
      <c r="F245" s="24"/>
      <c r="G245" s="24"/>
      <c r="H245" s="24"/>
      <c r="I245" s="24"/>
      <c r="J245" s="68">
        <f>'P8 Rev Cred Support'!G40</f>
        <v>0</v>
      </c>
      <c r="K245" s="26"/>
      <c r="L245" s="61"/>
      <c r="M245" s="26"/>
    </row>
    <row r="246" spans="1:13">
      <c r="A246" s="416"/>
      <c r="C246" s="24"/>
      <c r="D246" s="24"/>
      <c r="E246" s="25"/>
      <c r="F246" s="24"/>
      <c r="G246" s="24"/>
      <c r="H246" s="24"/>
      <c r="I246" s="24"/>
      <c r="K246" s="26"/>
      <c r="L246" s="61"/>
      <c r="M246" s="26"/>
    </row>
    <row r="247" spans="1:13" ht="18">
      <c r="A247" s="418"/>
      <c r="C247" s="24"/>
      <c r="D247" s="24"/>
      <c r="E247" s="25"/>
      <c r="F247" s="24"/>
      <c r="G247" s="24"/>
      <c r="H247" s="24"/>
      <c r="I247" s="24"/>
      <c r="J247" s="50" t="s">
        <v>296</v>
      </c>
      <c r="K247" s="60"/>
      <c r="M247" s="60"/>
    </row>
    <row r="248" spans="1:13">
      <c r="C248" s="24"/>
      <c r="D248" s="24"/>
      <c r="E248" s="25"/>
      <c r="F248" s="24"/>
      <c r="G248" s="24"/>
      <c r="H248" s="24"/>
      <c r="I248" s="24"/>
      <c r="J248" s="50" t="s">
        <v>407</v>
      </c>
      <c r="M248" s="50"/>
    </row>
    <row r="249" spans="1:13">
      <c r="C249" s="24"/>
      <c r="D249" s="24"/>
      <c r="E249" s="25"/>
      <c r="F249" s="24"/>
      <c r="G249" s="24"/>
      <c r="H249" s="24"/>
      <c r="I249" s="24"/>
      <c r="J249" s="50"/>
      <c r="M249" s="50"/>
    </row>
    <row r="250" spans="1:13">
      <c r="C250" s="24"/>
      <c r="D250" s="24"/>
      <c r="E250" s="25"/>
      <c r="F250" s="24"/>
      <c r="G250" s="24"/>
      <c r="H250" s="24"/>
      <c r="I250" s="24"/>
      <c r="M250" s="50"/>
    </row>
    <row r="251" spans="1:13">
      <c r="C251" s="24"/>
      <c r="D251" s="24"/>
      <c r="E251" s="25"/>
      <c r="F251" s="24"/>
      <c r="G251" s="24"/>
      <c r="H251" s="24"/>
      <c r="I251" s="24"/>
      <c r="K251" s="1"/>
      <c r="M251" s="50"/>
    </row>
    <row r="252" spans="1:13">
      <c r="C252" s="24" t="s">
        <v>6</v>
      </c>
      <c r="D252" s="24"/>
      <c r="E252" s="25"/>
      <c r="F252" s="24"/>
      <c r="G252" s="24"/>
      <c r="H252" s="24"/>
      <c r="I252" s="24"/>
      <c r="J252" s="50"/>
      <c r="K252" s="1"/>
      <c r="M252" s="50"/>
    </row>
    <row r="253" spans="1:13">
      <c r="C253" s="24"/>
      <c r="D253" s="24"/>
      <c r="E253" s="25"/>
      <c r="F253" s="24"/>
      <c r="G253" s="24"/>
      <c r="H253" s="24"/>
      <c r="I253" s="24"/>
      <c r="J253" s="61" t="str">
        <f>$J$7</f>
        <v>For the 12 months ended: 12/31/2021</v>
      </c>
      <c r="K253" s="1"/>
      <c r="M253" s="50"/>
    </row>
    <row r="254" spans="1:13">
      <c r="A254" s="420" t="str">
        <f>$A$8</f>
        <v>Rate Formula Template</v>
      </c>
      <c r="B254" s="70"/>
      <c r="C254" s="70"/>
      <c r="D254" s="144"/>
      <c r="E254" s="70"/>
      <c r="F254" s="144"/>
      <c r="G254" s="144"/>
      <c r="H254" s="144"/>
      <c r="I254" s="144"/>
      <c r="J254" s="70"/>
      <c r="K254" s="24"/>
      <c r="L254" s="70"/>
      <c r="M254" s="1"/>
    </row>
    <row r="255" spans="1:13">
      <c r="A255" s="425" t="s">
        <v>267</v>
      </c>
      <c r="B255" s="70"/>
      <c r="C255" s="144"/>
      <c r="D255" s="145"/>
      <c r="E255" s="70"/>
      <c r="F255" s="145"/>
      <c r="G255" s="145"/>
      <c r="H255" s="145"/>
      <c r="I255" s="144"/>
      <c r="J255" s="144"/>
      <c r="K255" s="24"/>
      <c r="L255" s="146"/>
      <c r="M255" s="1"/>
    </row>
    <row r="256" spans="1:13">
      <c r="A256" s="420"/>
      <c r="B256" s="70"/>
      <c r="C256" s="146"/>
      <c r="D256" s="146"/>
      <c r="E256" s="70"/>
      <c r="F256" s="146"/>
      <c r="G256" s="146"/>
      <c r="H256" s="146"/>
      <c r="I256" s="146"/>
      <c r="J256" s="146"/>
      <c r="K256" s="24"/>
      <c r="L256" s="146"/>
      <c r="M256" s="24"/>
    </row>
    <row r="257" spans="1:13" ht="15.75">
      <c r="A257" s="421" t="str">
        <f>$A$11</f>
        <v>DUKE ENERGY KENTUCKY (DEK)</v>
      </c>
      <c r="B257" s="70"/>
      <c r="C257" s="146"/>
      <c r="D257" s="146"/>
      <c r="E257" s="70"/>
      <c r="F257" s="146"/>
      <c r="G257" s="146"/>
      <c r="H257" s="146"/>
      <c r="I257" s="146"/>
      <c r="J257" s="146"/>
      <c r="K257" s="24"/>
      <c r="L257" s="146"/>
      <c r="M257" s="24"/>
    </row>
    <row r="258" spans="1:13" ht="15.75">
      <c r="A258" s="427"/>
      <c r="B258" s="24"/>
      <c r="C258" s="31"/>
      <c r="D258" s="26"/>
      <c r="E258" s="2"/>
      <c r="F258" s="2"/>
      <c r="G258" s="2"/>
      <c r="H258" s="2"/>
      <c r="I258" s="24"/>
      <c r="J258" s="155"/>
      <c r="K258" s="24"/>
      <c r="L258" s="154"/>
      <c r="M258" s="24"/>
    </row>
    <row r="259" spans="1:13" ht="20.25">
      <c r="A259" s="416"/>
      <c r="B259" s="24"/>
      <c r="C259" s="24" t="s">
        <v>93</v>
      </c>
      <c r="D259" s="26"/>
      <c r="E259" s="2"/>
      <c r="F259" s="2"/>
      <c r="G259" s="2"/>
      <c r="H259" s="2"/>
      <c r="I259" s="24"/>
      <c r="J259" s="2"/>
      <c r="K259" s="24"/>
      <c r="L259" s="2"/>
      <c r="M259" s="156"/>
    </row>
    <row r="260" spans="1:13" ht="20.25">
      <c r="A260" s="416"/>
      <c r="B260" s="24"/>
      <c r="C260" s="24" t="s">
        <v>576</v>
      </c>
      <c r="D260" s="24"/>
      <c r="E260" s="2"/>
      <c r="F260" s="2"/>
      <c r="G260" s="2"/>
      <c r="H260" s="2"/>
      <c r="I260" s="24"/>
      <c r="J260" s="2"/>
      <c r="K260" s="24"/>
      <c r="L260" s="2"/>
      <c r="M260" s="156"/>
    </row>
    <row r="261" spans="1:13" ht="20.25">
      <c r="A261" s="422" t="s">
        <v>575</v>
      </c>
      <c r="B261" s="24"/>
      <c r="C261" s="24"/>
      <c r="D261" s="24"/>
      <c r="E261" s="2"/>
      <c r="F261" s="2"/>
      <c r="G261" s="2"/>
      <c r="H261" s="2"/>
      <c r="I261" s="24"/>
      <c r="J261" s="2"/>
      <c r="K261" s="24"/>
      <c r="L261" s="2"/>
      <c r="M261" s="156"/>
    </row>
    <row r="262" spans="1:13" ht="20.25">
      <c r="A262" s="416" t="s">
        <v>96</v>
      </c>
      <c r="B262" s="24"/>
      <c r="C262" s="349" t="str">
        <f>DEO!C262</f>
        <v>DEOK 1 CP is Duke Energy Ohio ("DEO") Monthly Firm Transmission System Peak Load as reported on page 400, column b of Form 1 at the time of DEO's annual peak.</v>
      </c>
      <c r="D262" s="24"/>
      <c r="E262" s="2"/>
      <c r="F262" s="2"/>
      <c r="G262" s="2"/>
      <c r="H262" s="2"/>
      <c r="I262" s="24"/>
      <c r="J262" s="2"/>
      <c r="K262" s="24"/>
      <c r="L262" s="2"/>
      <c r="M262" s="156"/>
    </row>
    <row r="263" spans="1:13" ht="20.25">
      <c r="A263" s="416" t="s">
        <v>97</v>
      </c>
      <c r="B263" s="24"/>
      <c r="C263" s="349" t="str">
        <f>DEO!C263</f>
        <v>DEOK 12 CP is Duke Energy Ohio ("DEO") Monthly Firm Transmission System Peak Load as reported on page 400, column b of Form 1 at the time of DEO's monthly peaks.</v>
      </c>
      <c r="D263" s="24"/>
      <c r="E263" s="2"/>
      <c r="F263" s="2"/>
      <c r="G263" s="2"/>
      <c r="H263" s="2"/>
      <c r="I263" s="24"/>
      <c r="J263" s="2"/>
      <c r="K263" s="24"/>
      <c r="L263" s="2"/>
      <c r="M263" s="156"/>
    </row>
    <row r="264" spans="1:13" ht="20.25">
      <c r="A264" s="416" t="s">
        <v>98</v>
      </c>
      <c r="B264" s="24"/>
      <c r="C264" s="349" t="str">
        <f>DEO!C264</f>
        <v>Reserved</v>
      </c>
      <c r="D264" s="24"/>
      <c r="E264" s="24"/>
      <c r="F264" s="24"/>
      <c r="G264" s="24"/>
      <c r="H264" s="24"/>
      <c r="I264" s="24"/>
      <c r="J264" s="2"/>
      <c r="K264" s="24"/>
      <c r="L264" s="24"/>
      <c r="M264" s="156"/>
    </row>
    <row r="265" spans="1:13" ht="20.25">
      <c r="A265" s="416" t="s">
        <v>99</v>
      </c>
      <c r="B265" s="24"/>
      <c r="C265" s="349" t="str">
        <f>DEO!C265</f>
        <v>Reserved</v>
      </c>
      <c r="D265" s="24"/>
      <c r="E265" s="24"/>
      <c r="F265" s="24"/>
      <c r="G265" s="24"/>
      <c r="H265" s="24"/>
      <c r="I265" s="24"/>
      <c r="J265" s="2"/>
      <c r="K265" s="24"/>
      <c r="L265" s="24"/>
      <c r="M265" s="156"/>
    </row>
    <row r="266" spans="1:13" ht="20.25">
      <c r="A266" s="416" t="s">
        <v>100</v>
      </c>
      <c r="B266" s="24"/>
      <c r="C266" s="349" t="str">
        <f>DEO!C266</f>
        <v xml:space="preserve">DEOK will provide, in connection with each Annual Update, a copy of the entire annual actuarial valuation report supporting the derivation of the annual Postretirement Benefits </v>
      </c>
      <c r="D266" s="24"/>
      <c r="E266" s="24"/>
      <c r="F266" s="24"/>
      <c r="G266" s="24"/>
      <c r="H266" s="24"/>
      <c r="I266" s="24"/>
      <c r="J266" s="2"/>
      <c r="K266" s="24"/>
      <c r="L266" s="24"/>
      <c r="M266" s="156"/>
    </row>
    <row r="267" spans="1:13" ht="20.25">
      <c r="A267" s="416"/>
      <c r="B267" s="24"/>
      <c r="C267" s="349" t="str">
        <f>DEO!C267</f>
        <v>Other than Pensions (“PBOP”) expense as charged to FERC account 926, and the amount of such expense included in Total Admin and General Expenses provided on</v>
      </c>
      <c r="D267" s="24"/>
      <c r="E267" s="24"/>
      <c r="F267" s="24"/>
      <c r="G267" s="24"/>
      <c r="H267" s="24"/>
      <c r="I267" s="24"/>
      <c r="J267" s="2"/>
      <c r="K267" s="24"/>
      <c r="L267" s="24"/>
      <c r="M267" s="156"/>
    </row>
    <row r="268" spans="1:13" ht="20.25">
      <c r="A268" s="416"/>
      <c r="B268" s="24"/>
      <c r="C268" s="349" t="str">
        <f>DEO!C268</f>
        <v xml:space="preserve">Attachment H-22A, page 3 of 6, line 3 of the Formula Rate.  DEOK will provide, in connection with each Annual Update, a worksheet that shows the actual PBOP expense </v>
      </c>
      <c r="D268" s="24"/>
      <c r="E268" s="24"/>
      <c r="F268" s="24"/>
      <c r="G268" s="24"/>
      <c r="H268" s="24"/>
      <c r="I268" s="24"/>
      <c r="J268" s="2"/>
      <c r="K268" s="24"/>
      <c r="L268" s="24"/>
      <c r="M268" s="156"/>
    </row>
    <row r="269" spans="1:13" ht="20.25">
      <c r="A269" s="416"/>
      <c r="B269" s="24"/>
      <c r="C269" s="349" t="str">
        <f>DEO!C269</f>
        <v xml:space="preserve">components and calculation derivation (including, for each account to which PBOP expense is recorded, the account number, expense amount, description, calculation </v>
      </c>
      <c r="D269" s="24"/>
      <c r="E269" s="24"/>
      <c r="F269" s="24"/>
      <c r="G269" s="24"/>
      <c r="H269" s="24"/>
      <c r="I269" s="24"/>
      <c r="J269" s="2"/>
      <c r="K269" s="24"/>
      <c r="L269" s="24"/>
      <c r="M269" s="156"/>
    </row>
    <row r="270" spans="1:13" ht="20.25">
      <c r="A270" s="416"/>
      <c r="B270" s="24"/>
      <c r="C270" s="349" t="str">
        <f>DEO!C270</f>
        <v>derivation and source).</v>
      </c>
      <c r="D270" s="24"/>
      <c r="E270" s="24"/>
      <c r="F270" s="24"/>
      <c r="G270" s="24"/>
      <c r="H270" s="24"/>
      <c r="I270" s="24"/>
      <c r="J270" s="2"/>
      <c r="K270" s="24"/>
      <c r="L270" s="24"/>
      <c r="M270" s="156"/>
    </row>
    <row r="271" spans="1:13" ht="20.25">
      <c r="A271" s="416" t="s">
        <v>101</v>
      </c>
      <c r="B271" s="24"/>
      <c r="C271" s="349" t="str">
        <f>DEO!C271</f>
        <v>The balances in Accounts 190, 281, 282 and 283, as adjusted by any amounts in contra accounts identified as regulatory assets or liabilities related to ASC 715 (f/k/a FASB 106) or ASC 740 (f/k/a FASB 109).</v>
      </c>
      <c r="D271" s="24"/>
      <c r="E271" s="24"/>
      <c r="F271" s="24"/>
      <c r="G271" s="24"/>
      <c r="H271" s="24"/>
      <c r="I271" s="24"/>
      <c r="J271" s="2"/>
      <c r="K271" s="24"/>
      <c r="L271" s="24"/>
      <c r="M271" s="156"/>
    </row>
    <row r="272" spans="1:13" ht="20.25">
      <c r="A272" s="416"/>
      <c r="B272" s="24"/>
      <c r="C272" s="349" t="str">
        <f>DEO!C272</f>
        <v>Account 254/182.3 includes Other Regulated Liabilities/Assets related to Excess/Deficient Accumulated Deferred Income Taxes that have been allocated to electric operations. This line item is</v>
      </c>
      <c r="D272" s="24"/>
      <c r="E272" s="24"/>
      <c r="F272" s="24"/>
      <c r="G272" s="24"/>
      <c r="H272" s="24"/>
      <c r="I272" s="24"/>
      <c r="J272" s="2"/>
      <c r="K272" s="24"/>
      <c r="L272" s="24"/>
      <c r="M272" s="156"/>
    </row>
    <row r="273" spans="1:13" ht="20.25">
      <c r="A273" s="416"/>
      <c r="B273" s="24"/>
      <c r="C273" s="349" t="str">
        <f>DEO!C273</f>
        <v>necessary to maintain rate base neutrality in the event of a change in the Federal or State income tax rates.  Balance of Account 255 is reduced by prior flow throughs</v>
      </c>
      <c r="D273" s="24"/>
      <c r="E273" s="24"/>
      <c r="F273" s="24"/>
      <c r="G273" s="24"/>
      <c r="H273" s="24"/>
      <c r="I273" s="24"/>
      <c r="J273" s="24"/>
      <c r="K273" s="24"/>
      <c r="L273" s="24"/>
      <c r="M273" s="156"/>
    </row>
    <row r="274" spans="1:13" ht="20.25">
      <c r="A274" s="416"/>
      <c r="B274" s="24"/>
      <c r="C274" s="349" t="str">
        <f>DEO!C274</f>
        <v>and excluded if the utility chose to utilize amortization of tax credits against taxable income as discussed in Note K.  Account 281 is not allocated.</v>
      </c>
      <c r="D274" s="24"/>
      <c r="E274" s="24"/>
      <c r="F274" s="24"/>
      <c r="G274" s="24"/>
      <c r="H274" s="24"/>
      <c r="I274" s="24"/>
      <c r="J274" s="24"/>
      <c r="K274" s="24"/>
      <c r="L274" s="24"/>
      <c r="M274" s="156"/>
    </row>
    <row r="275" spans="1:13" ht="20.25">
      <c r="A275" s="416" t="s">
        <v>102</v>
      </c>
      <c r="B275" s="24"/>
      <c r="C275" s="349" t="str">
        <f>DEO!C275</f>
        <v>Identified in Form 1 as being only transmission related.  The transmission portion of page 227, line 5 is specified in a footnote to the Form 1.</v>
      </c>
      <c r="D275" s="24"/>
      <c r="E275" s="24"/>
      <c r="F275" s="24"/>
      <c r="G275" s="24"/>
      <c r="H275" s="24"/>
      <c r="I275" s="24"/>
      <c r="J275" s="24"/>
      <c r="K275" s="24"/>
      <c r="L275" s="24"/>
      <c r="M275" s="156"/>
    </row>
    <row r="276" spans="1:13" ht="20.25">
      <c r="A276" s="416" t="s">
        <v>103</v>
      </c>
      <c r="B276" s="24"/>
      <c r="C276" s="349" t="str">
        <f>DEO!C276</f>
        <v>Cash Working Capital assigned to transmission is one-eighth of O&amp;M allocated to transmission at page 3, line 8, column 5.</v>
      </c>
      <c r="D276" s="24"/>
      <c r="E276" s="24"/>
      <c r="F276" s="24"/>
      <c r="G276" s="24"/>
      <c r="H276" s="24"/>
      <c r="I276" s="24"/>
      <c r="J276" s="24"/>
      <c r="K276" s="24"/>
      <c r="L276" s="24"/>
      <c r="M276" s="156"/>
    </row>
    <row r="277" spans="1:13" ht="20.25">
      <c r="A277" s="416"/>
      <c r="B277" s="24"/>
      <c r="C277" s="349" t="str">
        <f>DEO!C277</f>
        <v>Prepayments are the electric related prepayments booked to Account No. 165 and reported on Page 111 line 57 in the Form 1.</v>
      </c>
      <c r="D277" s="24"/>
      <c r="E277" s="24"/>
      <c r="F277" s="24"/>
      <c r="G277" s="24"/>
      <c r="H277" s="24"/>
      <c r="I277" s="24"/>
      <c r="J277" s="24"/>
      <c r="K277" s="24"/>
      <c r="L277" s="24"/>
      <c r="M277" s="156"/>
    </row>
    <row r="278" spans="1:13" ht="20.25">
      <c r="A278" s="416" t="s">
        <v>105</v>
      </c>
      <c r="B278" s="24"/>
      <c r="C278" s="349" t="str">
        <f>DEO!C278</f>
        <v xml:space="preserve">Line 5 - EPRI Annual Membership Dues listed in Form 1 at 353.f, all Regulatory Commission Expenses itemized at 351.h, and non-safety related advertising included </v>
      </c>
      <c r="D278" s="24"/>
      <c r="E278" s="24"/>
      <c r="F278" s="24"/>
      <c r="G278" s="24"/>
      <c r="H278" s="24"/>
      <c r="I278" s="24"/>
      <c r="J278" s="24"/>
      <c r="K278" s="24"/>
      <c r="L278" s="24"/>
      <c r="M278" s="156"/>
    </row>
    <row r="279" spans="1:13" ht="20.25">
      <c r="A279" s="416"/>
      <c r="B279" s="24"/>
      <c r="C279" s="349" t="str">
        <f>DEO!C279</f>
        <v xml:space="preserve">in Account 930.1.  Line 5a - Regulatory Commission Expenses directly related to transmission service, ISO filings, or transmission siting itemized at 351.h. </v>
      </c>
      <c r="D279" s="24"/>
      <c r="E279" s="24"/>
      <c r="F279" s="24"/>
      <c r="G279" s="24"/>
      <c r="H279" s="24"/>
      <c r="I279" s="24"/>
      <c r="J279" s="24"/>
      <c r="K279" s="24"/>
      <c r="L279" s="24"/>
      <c r="M279" s="156"/>
    </row>
    <row r="280" spans="1:13" ht="20.25">
      <c r="A280" s="416" t="s">
        <v>106</v>
      </c>
      <c r="B280" s="24"/>
      <c r="C280" s="349" t="str">
        <f>DEO!C280</f>
        <v>Includes only FICA, unemployment, highway, property, gross receipts, and other assessments charged in the current year.  Taxes related to income are excluded.</v>
      </c>
      <c r="D280" s="24"/>
      <c r="E280" s="24"/>
      <c r="F280" s="24"/>
      <c r="G280" s="24"/>
      <c r="H280" s="24"/>
      <c r="I280" s="24"/>
      <c r="J280" s="24"/>
      <c r="K280" s="24"/>
      <c r="L280" s="24"/>
      <c r="M280" s="156"/>
    </row>
    <row r="281" spans="1:13" ht="20.25">
      <c r="A281" s="416"/>
      <c r="B281" s="24"/>
      <c r="C281" s="349" t="str">
        <f>DEO!C281</f>
        <v>Gross receipts taxes are not included in transmission revenue requirement in the Rate Formula Template, since they are recovered elsewhere.</v>
      </c>
      <c r="D281" s="24"/>
      <c r="E281" s="24"/>
      <c r="F281" s="24"/>
      <c r="G281" s="24"/>
      <c r="H281" s="24"/>
      <c r="I281" s="24"/>
      <c r="J281" s="24"/>
      <c r="K281" s="24"/>
      <c r="L281" s="24"/>
      <c r="M281" s="156"/>
    </row>
    <row r="282" spans="1:13" ht="20.25">
      <c r="A282" s="416" t="s">
        <v>107</v>
      </c>
      <c r="B282" s="24"/>
      <c r="C282" s="349" t="str">
        <f>DEO!C282</f>
        <v>The currently effective income tax rate, where FIT is the Federal income tax rate; SIT is the State income tax rate, and p =</v>
      </c>
      <c r="D282" s="24"/>
      <c r="E282" s="24"/>
      <c r="F282" s="24"/>
      <c r="G282" s="24"/>
      <c r="H282" s="24"/>
      <c r="I282" s="24"/>
      <c r="J282" s="24"/>
      <c r="K282" s="24"/>
      <c r="L282" s="24"/>
      <c r="M282" s="156"/>
    </row>
    <row r="283" spans="1:13" ht="20.25">
      <c r="A283" s="416"/>
      <c r="B283" s="24"/>
      <c r="C283" s="349" t="str">
        <f>DEO!C283</f>
        <v xml:space="preserve">"the percentage of federal income tax deductible for state income taxes".  If the utility is taxed in more than one state it must attach a work paper showing the name </v>
      </c>
      <c r="D283" s="24"/>
      <c r="E283" s="24"/>
      <c r="F283" s="24"/>
      <c r="G283" s="24"/>
      <c r="H283" s="24"/>
      <c r="I283" s="24"/>
      <c r="J283" s="24"/>
      <c r="K283" s="24"/>
      <c r="L283" s="24"/>
      <c r="M283" s="156"/>
    </row>
    <row r="284" spans="1:13" ht="20.25">
      <c r="A284" s="416"/>
      <c r="B284" s="24"/>
      <c r="C284" s="349" t="str">
        <f>DEO!C284</f>
        <v>of each state and how the blended or composite SIT was developed.  Furthermore, a utility that elected to utilize amortization of tax credits</v>
      </c>
      <c r="D284" s="24"/>
      <c r="E284" s="24"/>
      <c r="F284" s="24"/>
      <c r="G284" s="24"/>
      <c r="H284" s="24"/>
      <c r="I284" s="24"/>
      <c r="J284" s="24"/>
      <c r="K284" s="24"/>
      <c r="L284" s="24"/>
      <c r="M284" s="156"/>
    </row>
    <row r="285" spans="1:13" ht="20.25">
      <c r="A285" s="416"/>
      <c r="B285" s="24"/>
      <c r="C285" s="349" t="str">
        <f>DEO!C285</f>
        <v xml:space="preserve">against taxable income, rather than book tax credits to Account No. 255 and reduce rate base, must reduce its income tax expense by </v>
      </c>
      <c r="D285" s="24"/>
      <c r="E285" s="24"/>
      <c r="F285" s="24"/>
      <c r="G285" s="24"/>
      <c r="H285" s="24"/>
      <c r="I285" s="24"/>
      <c r="J285" s="24"/>
      <c r="K285" s="24"/>
      <c r="L285" s="24"/>
      <c r="M285" s="156"/>
    </row>
    <row r="286" spans="1:13" ht="20.25">
      <c r="A286" s="416"/>
      <c r="B286" s="24"/>
      <c r="C286" s="349" t="str">
        <f>DEO!C286</f>
        <v>the amount of the Amortized Investment Tax Credit (Form 1, 266.8.f) multiplied by (1/1-T) (page 3, line 27).</v>
      </c>
      <c r="D286" s="24"/>
      <c r="E286" s="24"/>
      <c r="F286" s="24"/>
      <c r="G286" s="24"/>
      <c r="H286" s="24"/>
      <c r="I286" s="24"/>
      <c r="J286" s="24"/>
      <c r="K286" s="24"/>
      <c r="L286" s="24"/>
      <c r="M286" s="156"/>
    </row>
    <row r="287" spans="1:13" ht="20.25">
      <c r="A287" s="416"/>
      <c r="B287" s="24"/>
      <c r="C287" s="24"/>
      <c r="D287" s="24"/>
      <c r="E287" s="24"/>
      <c r="F287" s="24"/>
      <c r="G287" s="24"/>
      <c r="H287" s="24"/>
      <c r="I287" s="24"/>
      <c r="J287" s="24"/>
      <c r="K287" s="24"/>
      <c r="L287" s="24"/>
      <c r="M287" s="156"/>
    </row>
    <row r="288" spans="1:13" ht="20.25">
      <c r="A288" s="416" t="s">
        <v>7</v>
      </c>
      <c r="B288" s="24"/>
      <c r="C288" s="24" t="s">
        <v>139</v>
      </c>
      <c r="D288" s="24" t="s">
        <v>130</v>
      </c>
      <c r="E288" s="300">
        <f>FIT</f>
        <v>0.21</v>
      </c>
      <c r="F288" s="24"/>
      <c r="H288" s="24"/>
      <c r="I288" s="24"/>
      <c r="J288" s="24"/>
      <c r="K288" s="24"/>
      <c r="L288" s="24"/>
      <c r="M288" s="156"/>
    </row>
    <row r="289" spans="1:13" ht="20.25">
      <c r="A289" s="416"/>
      <c r="B289" s="24"/>
      <c r="C289" s="24"/>
      <c r="D289" s="24" t="s">
        <v>131</v>
      </c>
      <c r="E289" s="245">
        <f>INPUT!D88</f>
        <v>0.05</v>
      </c>
      <c r="F289" s="24" t="s">
        <v>132</v>
      </c>
      <c r="H289" s="24"/>
      <c r="I289" s="24"/>
      <c r="J289" s="24"/>
      <c r="K289" s="24"/>
      <c r="L289" s="24"/>
      <c r="M289" s="156"/>
    </row>
    <row r="290" spans="1:13" ht="20.25">
      <c r="A290" s="416"/>
      <c r="B290" s="24"/>
      <c r="C290" s="24"/>
      <c r="D290" s="24" t="s">
        <v>133</v>
      </c>
      <c r="E290" s="244">
        <v>0</v>
      </c>
      <c r="F290" s="24" t="s">
        <v>134</v>
      </c>
      <c r="H290" s="24"/>
      <c r="I290" s="24"/>
      <c r="J290" s="24"/>
      <c r="K290" s="24"/>
      <c r="L290" s="24"/>
      <c r="M290" s="156"/>
    </row>
    <row r="291" spans="1:13" ht="20.25">
      <c r="A291" s="416" t="s">
        <v>108</v>
      </c>
      <c r="B291" s="24"/>
      <c r="C291" s="349" t="str">
        <f>DEO!C291</f>
        <v>Removes dollar amount of transmission expenses included in the OATT ancillary services rates, including Account Nos. 561.1, 561.2 and 561.3.</v>
      </c>
      <c r="D291" s="24"/>
      <c r="E291" s="24"/>
      <c r="F291" s="24"/>
      <c r="G291" s="24"/>
      <c r="H291" s="24"/>
      <c r="I291" s="24"/>
      <c r="J291" s="24"/>
      <c r="K291" s="24"/>
      <c r="L291" s="24"/>
      <c r="M291" s="156"/>
    </row>
    <row r="292" spans="1:13" ht="20.25">
      <c r="A292" s="416" t="s">
        <v>109</v>
      </c>
      <c r="B292" s="24"/>
      <c r="C292" s="349" t="str">
        <f>DEO!C292</f>
        <v>Removes transmission plant determined by Commission order to be state-jurisdictional according to the seven-factor test (until Form 1</v>
      </c>
      <c r="D292" s="24"/>
      <c r="E292" s="24"/>
      <c r="F292" s="24"/>
      <c r="G292" s="24"/>
      <c r="H292" s="24"/>
      <c r="I292" s="24"/>
      <c r="J292" s="24"/>
      <c r="K292" s="24"/>
      <c r="L292" s="24"/>
      <c r="M292" s="156"/>
    </row>
    <row r="293" spans="1:13" ht="20.25">
      <c r="A293" s="416"/>
      <c r="B293" s="24"/>
      <c r="C293" s="349" t="str">
        <f>DEO!C293</f>
        <v xml:space="preserve">balances are adjusted to reflect application of seven-factor test).  </v>
      </c>
      <c r="D293" s="24"/>
      <c r="E293" s="24"/>
      <c r="F293" s="24"/>
      <c r="G293" s="24"/>
      <c r="H293" s="24"/>
      <c r="I293" s="24"/>
      <c r="J293" s="24"/>
      <c r="K293" s="24"/>
      <c r="L293" s="24"/>
      <c r="M293" s="156"/>
    </row>
    <row r="294" spans="1:13" ht="20.25">
      <c r="A294" s="416" t="s">
        <v>111</v>
      </c>
      <c r="B294" s="24"/>
      <c r="C294" s="349" t="str">
        <f>DEO!C294</f>
        <v>Removes dollar amount of transmission plant included in the development of OATT ancillary services rates and generation</v>
      </c>
      <c r="D294" s="24"/>
      <c r="E294" s="24"/>
      <c r="F294" s="24"/>
      <c r="G294" s="24"/>
      <c r="H294" s="24"/>
      <c r="I294" s="24"/>
      <c r="J294" s="24"/>
      <c r="K294" s="24"/>
      <c r="L294" s="24"/>
      <c r="M294" s="156"/>
    </row>
    <row r="295" spans="1:13" ht="20.25">
      <c r="A295" s="416"/>
      <c r="B295" s="24"/>
      <c r="C295" s="349" t="str">
        <f>DEO!C295</f>
        <v>step-up facilities, which are deemed to be included in OATT ancillary services.  For these purposes, generation step-up</v>
      </c>
      <c r="D295" s="24"/>
      <c r="E295" s="24"/>
      <c r="F295" s="24"/>
      <c r="G295" s="24"/>
      <c r="H295" s="24"/>
      <c r="I295" s="24"/>
      <c r="J295" s="24"/>
      <c r="K295" s="24"/>
      <c r="L295" s="24"/>
      <c r="M295" s="156"/>
    </row>
    <row r="296" spans="1:13" ht="20.25">
      <c r="A296" s="416"/>
      <c r="B296" s="24"/>
      <c r="C296" s="349" t="str">
        <f>DEO!C296</f>
        <v>facilities are those facilities at a generator substation on which there is no through-flow when the generator is shut down.</v>
      </c>
      <c r="D296" s="24"/>
      <c r="E296" s="24"/>
      <c r="F296" s="24"/>
      <c r="G296" s="24"/>
      <c r="H296" s="24"/>
      <c r="I296" s="24"/>
      <c r="J296" s="24"/>
      <c r="K296" s="24"/>
      <c r="L296" s="24"/>
      <c r="M296" s="156"/>
    </row>
    <row r="297" spans="1:13" ht="20.25">
      <c r="A297" s="416" t="s">
        <v>112</v>
      </c>
      <c r="B297" s="24"/>
      <c r="C297" s="349" t="str">
        <f>DEO!C297</f>
        <v xml:space="preserve">Includes the amortization of any excess/deficient deferred income taxes resulting from changes to income tax laws, income tax rates (including changes in </v>
      </c>
      <c r="D297" s="24"/>
      <c r="E297" s="24"/>
      <c r="F297" s="24"/>
      <c r="G297" s="24"/>
      <c r="H297" s="24"/>
      <c r="I297" s="24"/>
      <c r="J297" s="24"/>
      <c r="K297" s="24"/>
      <c r="L297" s="24"/>
      <c r="M297" s="156"/>
    </row>
    <row r="298" spans="1:13" ht="20.25">
      <c r="A298" s="416"/>
      <c r="B298" s="24"/>
      <c r="C298" s="349" t="str">
        <f>DEO!C298</f>
        <v xml:space="preserve">apportionment) and other actions taken by a taxing authority.  Excess and deficient deferred income taxes will reduce or increase tax expense by the amount of </v>
      </c>
      <c r="D298" s="24"/>
      <c r="E298" s="24"/>
      <c r="F298" s="24"/>
      <c r="G298" s="24"/>
      <c r="H298" s="24"/>
      <c r="I298" s="24"/>
      <c r="J298" s="24"/>
      <c r="K298" s="24"/>
      <c r="L298" s="24"/>
      <c r="M298" s="156"/>
    </row>
    <row r="299" spans="1:13" ht="20.25">
      <c r="A299" s="416"/>
      <c r="B299" s="24"/>
      <c r="C299" s="349" t="str">
        <f>DEO!C299</f>
        <v>the excess or deficiency multiplied by (1/(1-T)) (page 3, line 28).</v>
      </c>
      <c r="D299" s="817"/>
      <c r="E299" s="817"/>
      <c r="F299" s="24"/>
      <c r="G299" s="24"/>
      <c r="H299" s="24"/>
      <c r="I299" s="24"/>
      <c r="J299" s="24"/>
      <c r="K299" s="24"/>
      <c r="L299" s="24"/>
      <c r="M299" s="156"/>
    </row>
    <row r="300" spans="1:13" ht="20.25">
      <c r="A300" s="416" t="s">
        <v>113</v>
      </c>
      <c r="B300" s="24"/>
      <c r="C300" s="349" t="str">
        <f>DEO!C300</f>
        <v>Debt cost rate = long-term interest (line 21) / long term debt (line 27).  Preferred cost rate = preferred dividends (line 22) / preferred outstanding (line 28).</v>
      </c>
      <c r="D300" s="24"/>
      <c r="E300" s="24"/>
      <c r="F300" s="24"/>
      <c r="G300" s="24"/>
      <c r="H300" s="24"/>
      <c r="I300" s="24"/>
      <c r="J300" s="24"/>
      <c r="K300" s="24"/>
      <c r="L300" s="24"/>
      <c r="M300" s="156"/>
    </row>
    <row r="301" spans="1:13" ht="20.25">
      <c r="A301" s="416"/>
      <c r="B301" s="24"/>
      <c r="C301" s="349" t="str">
        <f>DEO!C301</f>
        <v>ROE will be supported in the original filing and no change in ROE may be made absent a filing with FERC.  Capitalization adjusted to exclude impacts of purchase accounting.</v>
      </c>
      <c r="D301" s="24"/>
      <c r="E301" s="24"/>
      <c r="F301" s="24"/>
      <c r="G301" s="24"/>
      <c r="H301" s="24"/>
      <c r="I301" s="24"/>
      <c r="J301" s="24"/>
      <c r="K301" s="24"/>
      <c r="L301" s="24"/>
      <c r="M301" s="156"/>
    </row>
    <row r="302" spans="1:13" ht="20.25">
      <c r="A302" s="416" t="s">
        <v>114</v>
      </c>
      <c r="B302" s="24"/>
      <c r="C302" s="349" t="str">
        <f>DEO!C302</f>
        <v>Line 33 must equal zero since all short-term power sales must be unbundled and the transmission component reflected in Account</v>
      </c>
      <c r="D302" s="24"/>
      <c r="E302" s="24"/>
      <c r="F302" s="24"/>
      <c r="G302" s="24"/>
      <c r="H302" s="24"/>
      <c r="I302" s="24"/>
      <c r="J302" s="24"/>
      <c r="K302" s="24"/>
      <c r="L302" s="24"/>
      <c r="M302" s="156"/>
    </row>
    <row r="303" spans="1:13" ht="20.25">
      <c r="A303" s="416"/>
      <c r="B303" s="24"/>
      <c r="C303" s="349" t="str">
        <f>DEO!C303</f>
        <v>No. 456.1 and all other uses are to be included in the divisor.</v>
      </c>
      <c r="D303" s="24"/>
      <c r="E303" s="24"/>
      <c r="F303" s="24"/>
      <c r="G303" s="24"/>
      <c r="H303" s="24"/>
      <c r="I303" s="24"/>
      <c r="J303" s="24"/>
      <c r="K303" s="24"/>
      <c r="L303" s="24"/>
      <c r="M303" s="156"/>
    </row>
    <row r="304" spans="1:13" ht="20.25" customHeight="1">
      <c r="A304" s="416" t="s">
        <v>115</v>
      </c>
      <c r="B304" s="24"/>
      <c r="C304" s="349" t="str">
        <f>DEO!C304</f>
        <v>Includes income related only to transmission facilities, such as pole attachments, rentals and special use.</v>
      </c>
      <c r="D304" s="24"/>
      <c r="E304" s="24"/>
      <c r="F304" s="24"/>
      <c r="G304" s="24"/>
      <c r="H304" s="24"/>
      <c r="I304" s="24"/>
      <c r="J304" s="24"/>
      <c r="K304" s="24"/>
      <c r="L304" s="24"/>
      <c r="M304" s="24"/>
    </row>
    <row r="305" spans="1:13" ht="20.25" customHeight="1">
      <c r="A305" s="416" t="s">
        <v>149</v>
      </c>
      <c r="C305" s="349" t="str">
        <f>DEO!C305</f>
        <v>Reserved</v>
      </c>
      <c r="D305" s="1"/>
      <c r="E305" s="1"/>
      <c r="F305" s="1"/>
      <c r="G305" s="1"/>
      <c r="H305" s="1"/>
      <c r="I305" s="1"/>
      <c r="J305" s="1"/>
      <c r="K305" s="1"/>
      <c r="L305" s="1"/>
      <c r="M305" s="1"/>
    </row>
    <row r="306" spans="1:13" ht="20.25" customHeight="1">
      <c r="A306" s="428" t="s">
        <v>150</v>
      </c>
      <c r="C306" s="349" t="str">
        <f>DEO!C306</f>
        <v>The revenues credited on page 1 lines 2-5 shall include only the amounts received directly (in the case of grandfathered agreements)</v>
      </c>
      <c r="D306" s="93"/>
      <c r="E306" s="1"/>
      <c r="F306" s="1"/>
      <c r="G306" s="1"/>
      <c r="H306" s="1"/>
      <c r="I306" s="1"/>
      <c r="J306" s="1"/>
      <c r="K306" s="1"/>
      <c r="L306" s="1"/>
      <c r="M306" s="1"/>
    </row>
    <row r="307" spans="1:13" ht="20.25" customHeight="1">
      <c r="C307" s="349" t="str">
        <f>DEO!C307</f>
        <v>from the ISO (for service under this tariff) reflecting the Transmission Owner's integrated transmission facilities.  They do not include</v>
      </c>
      <c r="D307" s="1"/>
      <c r="E307" s="1"/>
      <c r="F307" s="1"/>
      <c r="G307" s="1"/>
      <c r="H307" s="1"/>
      <c r="I307" s="1"/>
      <c r="J307" s="1"/>
      <c r="K307" s="1"/>
      <c r="L307" s="1"/>
      <c r="M307" s="158"/>
    </row>
    <row r="308" spans="1:13" ht="20.25" customHeight="1">
      <c r="C308" s="349" t="str">
        <f>DEO!C308</f>
        <v>revenues associated with FERC annual charges, gross receipts taxes, ancillary services, or facilities not included in this template (e.g., direct</v>
      </c>
      <c r="D308" s="1"/>
      <c r="E308" s="93"/>
      <c r="F308" s="1"/>
      <c r="G308" s="1"/>
      <c r="H308" s="1"/>
      <c r="I308" s="1"/>
      <c r="J308" s="1"/>
      <c r="K308" s="1"/>
      <c r="L308" s="1"/>
      <c r="M308" s="158"/>
    </row>
    <row r="309" spans="1:13" ht="20.25" customHeight="1">
      <c r="C309" s="349" t="str">
        <f>DEO!C309</f>
        <v xml:space="preserve">assignment facilities and GSUs) which are not recovered under this Rate Formula Template. </v>
      </c>
      <c r="D309" s="1"/>
      <c r="E309" s="93"/>
      <c r="F309" s="1"/>
      <c r="G309" s="1"/>
      <c r="H309" s="1"/>
      <c r="I309" s="1"/>
      <c r="J309" s="1"/>
      <c r="K309" s="1"/>
      <c r="L309" s="1"/>
      <c r="M309" s="158"/>
    </row>
    <row r="310" spans="1:13" ht="18">
      <c r="A310" s="418"/>
      <c r="C310" s="24"/>
      <c r="D310" s="24"/>
      <c r="E310" s="25"/>
      <c r="F310" s="24"/>
      <c r="G310" s="24"/>
      <c r="H310" s="24"/>
      <c r="I310" s="24"/>
      <c r="J310" s="50" t="s">
        <v>296</v>
      </c>
      <c r="K310" s="60"/>
      <c r="M310" s="60"/>
    </row>
    <row r="311" spans="1:13">
      <c r="C311" s="24"/>
      <c r="D311" s="24"/>
      <c r="E311" s="25"/>
      <c r="F311" s="24"/>
      <c r="G311" s="24"/>
      <c r="H311" s="24"/>
      <c r="I311" s="24"/>
      <c r="J311" s="50" t="s">
        <v>403</v>
      </c>
      <c r="M311" s="50"/>
    </row>
    <row r="312" spans="1:13">
      <c r="C312" s="24"/>
      <c r="D312" s="24"/>
      <c r="E312" s="25"/>
      <c r="F312" s="24"/>
      <c r="G312" s="24"/>
      <c r="H312" s="24"/>
      <c r="I312" s="24"/>
      <c r="J312" s="50"/>
      <c r="M312" s="50"/>
    </row>
    <row r="313" spans="1:13">
      <c r="C313" s="24"/>
      <c r="D313" s="24"/>
      <c r="E313" s="25"/>
      <c r="F313" s="24"/>
      <c r="G313" s="24"/>
      <c r="H313" s="24"/>
      <c r="I313" s="24"/>
      <c r="M313" s="50"/>
    </row>
    <row r="314" spans="1:13">
      <c r="C314" s="24"/>
      <c r="D314" s="24"/>
      <c r="E314" s="25"/>
      <c r="F314" s="24"/>
      <c r="G314" s="24"/>
      <c r="H314" s="24"/>
      <c r="I314" s="24"/>
      <c r="K314" s="1"/>
      <c r="M314" s="50"/>
    </row>
    <row r="315" spans="1:13">
      <c r="C315" s="24" t="s">
        <v>6</v>
      </c>
      <c r="D315" s="24"/>
      <c r="E315" s="25"/>
      <c r="F315" s="24"/>
      <c r="G315" s="24"/>
      <c r="H315" s="24"/>
      <c r="I315" s="24"/>
      <c r="J315" s="50"/>
      <c r="K315" s="1"/>
      <c r="M315" s="50"/>
    </row>
    <row r="316" spans="1:13">
      <c r="C316" s="24"/>
      <c r="D316" s="24"/>
      <c r="E316" s="25"/>
      <c r="F316" s="24"/>
      <c r="G316" s="24"/>
      <c r="H316" s="24"/>
      <c r="I316" s="24"/>
      <c r="J316" s="61" t="str">
        <f>$J$7</f>
        <v>For the 12 months ended: 12/31/2021</v>
      </c>
      <c r="K316" s="1"/>
      <c r="M316" s="50"/>
    </row>
    <row r="317" spans="1:13">
      <c r="A317" s="420" t="str">
        <f>$A$8</f>
        <v>Rate Formula Template</v>
      </c>
      <c r="B317" s="70"/>
      <c r="C317" s="70"/>
      <c r="D317" s="144"/>
      <c r="E317" s="70"/>
      <c r="F317" s="144"/>
      <c r="G317" s="144"/>
      <c r="H317" s="144"/>
      <c r="I317" s="144"/>
      <c r="J317" s="70"/>
      <c r="K317" s="24"/>
      <c r="L317" s="70"/>
      <c r="M317" s="1"/>
    </row>
    <row r="318" spans="1:13">
      <c r="A318" s="425" t="s">
        <v>267</v>
      </c>
      <c r="B318" s="70"/>
      <c r="C318" s="144"/>
      <c r="D318" s="145"/>
      <c r="E318" s="70"/>
      <c r="F318" s="145"/>
      <c r="G318" s="145"/>
      <c r="H318" s="145"/>
      <c r="I318" s="144"/>
      <c r="J318" s="144"/>
      <c r="K318" s="24"/>
      <c r="L318" s="146"/>
      <c r="M318" s="1"/>
    </row>
    <row r="319" spans="1:13">
      <c r="A319" s="420"/>
      <c r="B319" s="70"/>
      <c r="C319" s="146"/>
      <c r="D319" s="146"/>
      <c r="E319" s="70"/>
      <c r="F319" s="146"/>
      <c r="G319" s="146"/>
      <c r="H319" s="146"/>
      <c r="I319" s="146"/>
      <c r="J319" s="146"/>
      <c r="K319" s="24"/>
      <c r="L319" s="146"/>
      <c r="M319" s="24"/>
    </row>
    <row r="320" spans="1:13" ht="15.75">
      <c r="A320" s="421" t="str">
        <f>$A$11</f>
        <v>DUKE ENERGY KENTUCKY (DEK)</v>
      </c>
      <c r="B320" s="70"/>
      <c r="C320" s="146"/>
      <c r="D320" s="146"/>
      <c r="E320" s="70"/>
      <c r="F320" s="146"/>
      <c r="G320" s="146"/>
      <c r="H320" s="146"/>
      <c r="I320" s="146"/>
      <c r="J320" s="146"/>
      <c r="K320" s="24"/>
      <c r="L320" s="146"/>
      <c r="M320" s="24"/>
    </row>
    <row r="321" spans="1:13" ht="15.75">
      <c r="A321" s="427"/>
      <c r="B321" s="24"/>
      <c r="C321" s="31"/>
      <c r="D321" s="26"/>
      <c r="E321" s="2"/>
      <c r="F321" s="2"/>
      <c r="G321" s="2"/>
      <c r="H321" s="2"/>
      <c r="I321" s="24"/>
      <c r="J321" s="155"/>
      <c r="K321" s="24"/>
      <c r="L321" s="154"/>
      <c r="M321" s="24"/>
    </row>
    <row r="322" spans="1:13" ht="20.25">
      <c r="A322" s="416"/>
      <c r="B322" s="24"/>
      <c r="C322" s="24" t="s">
        <v>93</v>
      </c>
      <c r="D322" s="26"/>
      <c r="E322" s="2"/>
      <c r="F322" s="2"/>
      <c r="G322" s="2"/>
      <c r="H322" s="2"/>
      <c r="I322" s="24"/>
      <c r="J322" s="2"/>
      <c r="K322" s="24"/>
      <c r="L322" s="2"/>
      <c r="M322" s="156"/>
    </row>
    <row r="323" spans="1:13" ht="20.25">
      <c r="A323" s="416"/>
      <c r="B323" s="24"/>
      <c r="C323" s="24" t="s">
        <v>576</v>
      </c>
      <c r="D323" s="24"/>
      <c r="E323" s="2"/>
      <c r="F323" s="2"/>
      <c r="G323" s="2"/>
      <c r="H323" s="2"/>
      <c r="I323" s="24"/>
      <c r="J323" s="2"/>
      <c r="K323" s="24"/>
      <c r="L323" s="2"/>
      <c r="M323" s="156"/>
    </row>
    <row r="324" spans="1:13" ht="20.25">
      <c r="A324" s="422" t="s">
        <v>575</v>
      </c>
      <c r="B324" s="24"/>
      <c r="C324" s="24"/>
      <c r="D324" s="24"/>
      <c r="E324" s="2"/>
      <c r="F324" s="2"/>
      <c r="G324" s="2"/>
      <c r="H324" s="2"/>
      <c r="I324" s="24"/>
      <c r="J324" s="2"/>
      <c r="K324" s="24"/>
      <c r="L324" s="2"/>
      <c r="M324" s="156"/>
    </row>
    <row r="325" spans="1:13" ht="20.25" customHeight="1">
      <c r="A325" s="428" t="s">
        <v>169</v>
      </c>
      <c r="C325" s="349" t="str">
        <f>DEO!C326</f>
        <v xml:space="preserve">On Line 35, enter revenues from RTO settlements that are associated with NITS and firm Point-to-Point Service for which the load is not included in the divisor to derive Duke Energy Ohio's </v>
      </c>
      <c r="D325" s="1"/>
      <c r="E325" s="1"/>
      <c r="F325" s="1"/>
      <c r="G325" s="1"/>
      <c r="H325" s="1"/>
      <c r="I325" s="1"/>
      <c r="J325" s="1"/>
      <c r="K325" s="1"/>
      <c r="L325" s="1"/>
      <c r="M325" s="158"/>
    </row>
    <row r="326" spans="1:13" ht="20.25" customHeight="1">
      <c r="A326" s="428"/>
      <c r="C326" s="349" t="str">
        <f>DEO!C327</f>
        <v xml:space="preserve">and Duke Energy Kentucky's zonal rates.  Exclude NITS, non-firm Point-to-Point revenues, revenues related to MTEP and RTEP projects, revenues from grandfathered interzonal </v>
      </c>
      <c r="D326" s="1"/>
      <c r="E326" s="1"/>
      <c r="F326" s="1"/>
      <c r="G326" s="1"/>
      <c r="H326" s="1"/>
      <c r="I326" s="1"/>
      <c r="J326" s="1"/>
      <c r="K326" s="1"/>
      <c r="L326" s="1"/>
      <c r="M326" s="158"/>
    </row>
    <row r="327" spans="1:13" ht="20.25" customHeight="1">
      <c r="A327" s="428"/>
      <c r="C327" s="349" t="str">
        <f>DEO!C328</f>
        <v>transactions and revenues from service provided by ISO at a discount.</v>
      </c>
      <c r="D327" s="1"/>
      <c r="E327" s="1"/>
      <c r="F327" s="1"/>
      <c r="G327" s="1"/>
      <c r="H327" s="1"/>
      <c r="I327" s="1"/>
      <c r="J327" s="1"/>
      <c r="K327" s="1"/>
      <c r="L327" s="1"/>
      <c r="M327" s="158"/>
    </row>
    <row r="328" spans="1:13" ht="20.25" customHeight="1">
      <c r="A328" s="428" t="s">
        <v>3</v>
      </c>
      <c r="C328" s="349" t="str">
        <f>DEO!C329</f>
        <v>Account Nos. 561.4 and 561.8 consist of RTO expenses billed to load-serving entities and are not included in Transmission Owner revenue requirements.</v>
      </c>
      <c r="D328" s="158"/>
      <c r="E328" s="158"/>
      <c r="F328" s="158"/>
      <c r="G328" s="158"/>
      <c r="H328" s="158"/>
      <c r="I328" s="158"/>
      <c r="J328" s="158"/>
      <c r="K328" s="158"/>
      <c r="L328" s="158"/>
      <c r="M328" s="158"/>
    </row>
    <row r="329" spans="1:13" ht="20.25" customHeight="1">
      <c r="A329" s="428" t="s">
        <v>364</v>
      </c>
      <c r="C329" s="349" t="str">
        <f>DEO!C330</f>
        <v xml:space="preserve">On Line 36, enter revenues from RTO settlements that are associated with MTEP projects.  Exclude NITS, firm Point-to-Point, non-firm Point-to-Point revenues, revenues related to </v>
      </c>
    </row>
    <row r="330" spans="1:13" ht="20.25" customHeight="1">
      <c r="A330" s="428"/>
      <c r="C330" s="349" t="str">
        <f>DEO!C331</f>
        <v>RTEP projects, revenues from grandfathered interzonal transactions and revenues from service provided by ISO at a discount.</v>
      </c>
    </row>
    <row r="331" spans="1:13" ht="20.25" customHeight="1">
      <c r="A331" s="428" t="s">
        <v>464</v>
      </c>
      <c r="C331" s="349" t="str">
        <f>DEO!C332</f>
        <v>Midcontinent ISO Exit Fees include (1) the charge that DEOK paid to the Midcontinent ISO pursuant to the Settlement Agreement filed on July 29, 2011 in Docket No. ER11-2059</v>
      </c>
    </row>
    <row r="332" spans="1:13" ht="20.25" customHeight="1">
      <c r="C332" s="349" t="str">
        <f>DEO!C333</f>
        <v>and (2) the exit fees that DEOK paid to the Midcontinent ISO pursuant to the Exit Fee Agreement filed on October 5, 2011 in Docket No. ER12-33.</v>
      </c>
    </row>
    <row r="333" spans="1:13" ht="20.25" customHeight="1">
      <c r="A333" s="428" t="s">
        <v>465</v>
      </c>
      <c r="C333" s="349" t="str">
        <f>DEO!C334</f>
        <v>PJM Integration Costs are the fees that PJM assessed DEOK for the costs that PJM incurred in connection with DEOK's move into PJM.  Internal Integration Costs are the internal</v>
      </c>
    </row>
    <row r="334" spans="1:13" ht="20.25" customHeight="1">
      <c r="A334" s="428"/>
      <c r="C334" s="349" t="str">
        <f>DEO!C335</f>
        <v>administrative costs incurred by Duke Energy Ohio and Duke Energy Kentucky to accomplish their move from the Midcontinent ISO into PJM.</v>
      </c>
    </row>
    <row r="335" spans="1:13" ht="20.25" customHeight="1">
      <c r="A335" s="428" t="s">
        <v>971</v>
      </c>
      <c r="C335" s="349" t="str">
        <f>DEO!C336</f>
        <v xml:space="preserve">Includes the annual income tax cost or benefit due to permanent differences or differences between the amount of expenses or revenues recognized in one period for ratemaking purposes </v>
      </c>
    </row>
    <row r="336" spans="1:13" ht="20.25" customHeight="1">
      <c r="C336" s="349" t="str">
        <f>DEO!C337</f>
        <v>and the amounts recognized for income tax purposes which do not reverse in one or more other periods, including the cost of income taxes on the Allowance for Other Funds Used During</v>
      </c>
    </row>
    <row r="337" spans="3:3" ht="20.25" customHeight="1">
      <c r="C337" s="349" t="str">
        <f>DEO!C338</f>
        <v>Construction.  T multiplied by the amount of permanent differences and depreciation expense associated with Allowance for Other Funds Used During Construction is included on page 3,</v>
      </c>
    </row>
    <row r="338" spans="3:3" ht="20.25" customHeight="1">
      <c r="C338" s="349" t="str">
        <f>DEO!C339</f>
        <v>line 25b and will increase or decrease tax expense by the expense or benefit included on line 25b multiplied by (1/(1-T)) (page 3, line 28b).</v>
      </c>
    </row>
    <row r="339" spans="3:3" ht="20.25" customHeight="1">
      <c r="C339" s="349"/>
    </row>
    <row r="340" spans="3:3" ht="20.25" customHeight="1"/>
  </sheetData>
  <phoneticPr fontId="0" type="noConversion"/>
  <printOptions horizontalCentered="1"/>
  <pageMargins left="0.45" right="0.4" top="0.75" bottom="0.5" header="0.25" footer="0.25"/>
  <pageSetup scale="45" orientation="portrait" blackAndWhite="1" r:id="rId1"/>
  <headerFooter alignWithMargins="0"/>
  <rowBreaks count="5" manualBreakCount="5">
    <brk id="34" max="11" man="1"/>
    <brk id="95" max="11" man="1"/>
    <brk id="169" max="11" man="1"/>
    <brk id="246" max="11" man="1"/>
    <brk id="309" max="11"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7030A0"/>
    <pageSetUpPr fitToPage="1"/>
  </sheetPr>
  <dimension ref="A1:AE298"/>
  <sheetViews>
    <sheetView view="pageBreakPreview" zoomScale="80" zoomScaleNormal="75" zoomScaleSheetLayoutView="80" workbookViewId="0"/>
  </sheetViews>
  <sheetFormatPr defaultRowHeight="15"/>
  <cols>
    <col min="1" max="1" width="6" customWidth="1"/>
    <col min="2" max="2" width="1.44140625" customWidth="1"/>
    <col min="3" max="3" width="49.77734375" customWidth="1"/>
    <col min="4" max="4" width="1" customWidth="1"/>
    <col min="5" max="5" width="37.109375" customWidth="1"/>
    <col min="6" max="6" width="1.21875" customWidth="1"/>
    <col min="7" max="7" width="14.109375" customWidth="1"/>
    <col min="8" max="8" width="1.5546875" customWidth="1"/>
    <col min="9" max="10" width="12.77734375" customWidth="1"/>
    <col min="11" max="11" width="5.21875" customWidth="1"/>
    <col min="12" max="12" width="1.77734375" customWidth="1"/>
    <col min="13" max="13" width="26.5546875" customWidth="1"/>
    <col min="14" max="14" width="8.77734375" customWidth="1"/>
    <col min="15" max="15" width="11.77734375" customWidth="1"/>
    <col min="16" max="16" width="13" customWidth="1"/>
    <col min="17" max="17" width="12.77734375" customWidth="1"/>
    <col min="18" max="18" width="8.77734375"/>
    <col min="19" max="19" width="15" customWidth="1"/>
    <col min="20" max="20" width="13.77734375" customWidth="1"/>
    <col min="21" max="21" width="12.5546875" customWidth="1"/>
    <col min="22" max="22" width="16.77734375" customWidth="1"/>
    <col min="23" max="23" width="11.77734375" customWidth="1"/>
    <col min="24" max="24" width="16.77734375" customWidth="1"/>
    <col min="25" max="240" width="8.77734375"/>
    <col min="241" max="241" width="6" customWidth="1"/>
    <col min="242" max="242" width="1.44140625" customWidth="1"/>
    <col min="243" max="243" width="39.109375" customWidth="1"/>
    <col min="244" max="244" width="12" customWidth="1"/>
    <col min="245" max="245" width="14.44140625" customWidth="1"/>
    <col min="246" max="246" width="11.77734375" customWidth="1"/>
    <col min="247" max="247" width="14.109375" customWidth="1"/>
    <col min="248" max="248" width="13.77734375" customWidth="1"/>
    <col min="249" max="250" width="12.77734375" customWidth="1"/>
    <col min="251" max="251" width="13.5546875" customWidth="1"/>
    <col min="252" max="252" width="15.21875" customWidth="1"/>
    <col min="253" max="253" width="12.77734375" customWidth="1"/>
    <col min="254" max="254" width="13.77734375" customWidth="1"/>
    <col min="255" max="255" width="1.77734375" customWidth="1"/>
    <col min="256" max="256" width="13" customWidth="1"/>
    <col min="257" max="496" width="8.77734375"/>
    <col min="497" max="497" width="6" customWidth="1"/>
    <col min="498" max="498" width="1.44140625" customWidth="1"/>
    <col min="499" max="499" width="39.109375" customWidth="1"/>
    <col min="500" max="500" width="12" customWidth="1"/>
    <col min="501" max="501" width="14.44140625" customWidth="1"/>
    <col min="502" max="502" width="11.77734375" customWidth="1"/>
    <col min="503" max="503" width="14.109375" customWidth="1"/>
    <col min="504" max="504" width="13.77734375" customWidth="1"/>
    <col min="505" max="506" width="12.77734375" customWidth="1"/>
    <col min="507" max="507" width="13.5546875" customWidth="1"/>
    <col min="508" max="508" width="15.21875" customWidth="1"/>
    <col min="509" max="509" width="12.77734375" customWidth="1"/>
    <col min="510" max="510" width="13.77734375" customWidth="1"/>
    <col min="511" max="511" width="1.77734375" customWidth="1"/>
    <col min="512" max="512" width="13" customWidth="1"/>
    <col min="513" max="752" width="8.77734375"/>
    <col min="753" max="753" width="6" customWidth="1"/>
    <col min="754" max="754" width="1.44140625" customWidth="1"/>
    <col min="755" max="755" width="39.109375" customWidth="1"/>
    <col min="756" max="756" width="12" customWidth="1"/>
    <col min="757" max="757" width="14.44140625" customWidth="1"/>
    <col min="758" max="758" width="11.77734375" customWidth="1"/>
    <col min="759" max="759" width="14.109375" customWidth="1"/>
    <col min="760" max="760" width="13.77734375" customWidth="1"/>
    <col min="761" max="762" width="12.77734375" customWidth="1"/>
    <col min="763" max="763" width="13.5546875" customWidth="1"/>
    <col min="764" max="764" width="15.21875" customWidth="1"/>
    <col min="765" max="765" width="12.77734375" customWidth="1"/>
    <col min="766" max="766" width="13.77734375" customWidth="1"/>
    <col min="767" max="767" width="1.77734375" customWidth="1"/>
    <col min="768" max="768" width="13" customWidth="1"/>
    <col min="769" max="1008" width="8.77734375"/>
    <col min="1009" max="1009" width="6" customWidth="1"/>
    <col min="1010" max="1010" width="1.44140625" customWidth="1"/>
    <col min="1011" max="1011" width="39.109375" customWidth="1"/>
    <col min="1012" max="1012" width="12" customWidth="1"/>
    <col min="1013" max="1013" width="14.44140625" customWidth="1"/>
    <col min="1014" max="1014" width="11.77734375" customWidth="1"/>
    <col min="1015" max="1015" width="14.109375" customWidth="1"/>
    <col min="1016" max="1016" width="13.77734375" customWidth="1"/>
    <col min="1017" max="1018" width="12.77734375" customWidth="1"/>
    <col min="1019" max="1019" width="13.5546875" customWidth="1"/>
    <col min="1020" max="1020" width="15.21875" customWidth="1"/>
    <col min="1021" max="1021" width="12.77734375" customWidth="1"/>
    <col min="1022" max="1022" width="13.77734375" customWidth="1"/>
    <col min="1023" max="1023" width="1.77734375" customWidth="1"/>
    <col min="1024" max="1024" width="13" customWidth="1"/>
    <col min="1025" max="1264" width="8.77734375"/>
    <col min="1265" max="1265" width="6" customWidth="1"/>
    <col min="1266" max="1266" width="1.44140625" customWidth="1"/>
    <col min="1267" max="1267" width="39.109375" customWidth="1"/>
    <col min="1268" max="1268" width="12" customWidth="1"/>
    <col min="1269" max="1269" width="14.44140625" customWidth="1"/>
    <col min="1270" max="1270" width="11.77734375" customWidth="1"/>
    <col min="1271" max="1271" width="14.109375" customWidth="1"/>
    <col min="1272" max="1272" width="13.77734375" customWidth="1"/>
    <col min="1273" max="1274" width="12.77734375" customWidth="1"/>
    <col min="1275" max="1275" width="13.5546875" customWidth="1"/>
    <col min="1276" max="1276" width="15.21875" customWidth="1"/>
    <col min="1277" max="1277" width="12.77734375" customWidth="1"/>
    <col min="1278" max="1278" width="13.77734375" customWidth="1"/>
    <col min="1279" max="1279" width="1.77734375" customWidth="1"/>
    <col min="1280" max="1280" width="13" customWidth="1"/>
    <col min="1281" max="1520" width="8.77734375"/>
    <col min="1521" max="1521" width="6" customWidth="1"/>
    <col min="1522" max="1522" width="1.44140625" customWidth="1"/>
    <col min="1523" max="1523" width="39.109375" customWidth="1"/>
    <col min="1524" max="1524" width="12" customWidth="1"/>
    <col min="1525" max="1525" width="14.44140625" customWidth="1"/>
    <col min="1526" max="1526" width="11.77734375" customWidth="1"/>
    <col min="1527" max="1527" width="14.109375" customWidth="1"/>
    <col min="1528" max="1528" width="13.77734375" customWidth="1"/>
    <col min="1529" max="1530" width="12.77734375" customWidth="1"/>
    <col min="1531" max="1531" width="13.5546875" customWidth="1"/>
    <col min="1532" max="1532" width="15.21875" customWidth="1"/>
    <col min="1533" max="1533" width="12.77734375" customWidth="1"/>
    <col min="1534" max="1534" width="13.77734375" customWidth="1"/>
    <col min="1535" max="1535" width="1.77734375" customWidth="1"/>
    <col min="1536" max="1536" width="13" customWidth="1"/>
    <col min="1537" max="1776" width="8.77734375"/>
    <col min="1777" max="1777" width="6" customWidth="1"/>
    <col min="1778" max="1778" width="1.44140625" customWidth="1"/>
    <col min="1779" max="1779" width="39.109375" customWidth="1"/>
    <col min="1780" max="1780" width="12" customWidth="1"/>
    <col min="1781" max="1781" width="14.44140625" customWidth="1"/>
    <col min="1782" max="1782" width="11.77734375" customWidth="1"/>
    <col min="1783" max="1783" width="14.109375" customWidth="1"/>
    <col min="1784" max="1784" width="13.77734375" customWidth="1"/>
    <col min="1785" max="1786" width="12.77734375" customWidth="1"/>
    <col min="1787" max="1787" width="13.5546875" customWidth="1"/>
    <col min="1788" max="1788" width="15.21875" customWidth="1"/>
    <col min="1789" max="1789" width="12.77734375" customWidth="1"/>
    <col min="1790" max="1790" width="13.77734375" customWidth="1"/>
    <col min="1791" max="1791" width="1.77734375" customWidth="1"/>
    <col min="1792" max="1792" width="13" customWidth="1"/>
    <col min="1793" max="2032" width="8.77734375"/>
    <col min="2033" max="2033" width="6" customWidth="1"/>
    <col min="2034" max="2034" width="1.44140625" customWidth="1"/>
    <col min="2035" max="2035" width="39.109375" customWidth="1"/>
    <col min="2036" max="2036" width="12" customWidth="1"/>
    <col min="2037" max="2037" width="14.44140625" customWidth="1"/>
    <col min="2038" max="2038" width="11.77734375" customWidth="1"/>
    <col min="2039" max="2039" width="14.109375" customWidth="1"/>
    <col min="2040" max="2040" width="13.77734375" customWidth="1"/>
    <col min="2041" max="2042" width="12.77734375" customWidth="1"/>
    <col min="2043" max="2043" width="13.5546875" customWidth="1"/>
    <col min="2044" max="2044" width="15.21875" customWidth="1"/>
    <col min="2045" max="2045" width="12.77734375" customWidth="1"/>
    <col min="2046" max="2046" width="13.77734375" customWidth="1"/>
    <col min="2047" max="2047" width="1.77734375" customWidth="1"/>
    <col min="2048" max="2048" width="13" customWidth="1"/>
    <col min="2049" max="2288" width="8.77734375"/>
    <col min="2289" max="2289" width="6" customWidth="1"/>
    <col min="2290" max="2290" width="1.44140625" customWidth="1"/>
    <col min="2291" max="2291" width="39.109375" customWidth="1"/>
    <col min="2292" max="2292" width="12" customWidth="1"/>
    <col min="2293" max="2293" width="14.44140625" customWidth="1"/>
    <col min="2294" max="2294" width="11.77734375" customWidth="1"/>
    <col min="2295" max="2295" width="14.109375" customWidth="1"/>
    <col min="2296" max="2296" width="13.77734375" customWidth="1"/>
    <col min="2297" max="2298" width="12.77734375" customWidth="1"/>
    <col min="2299" max="2299" width="13.5546875" customWidth="1"/>
    <col min="2300" max="2300" width="15.21875" customWidth="1"/>
    <col min="2301" max="2301" width="12.77734375" customWidth="1"/>
    <col min="2302" max="2302" width="13.77734375" customWidth="1"/>
    <col min="2303" max="2303" width="1.77734375" customWidth="1"/>
    <col min="2304" max="2304" width="13" customWidth="1"/>
    <col min="2305" max="2544" width="8.77734375"/>
    <col min="2545" max="2545" width="6" customWidth="1"/>
    <col min="2546" max="2546" width="1.44140625" customWidth="1"/>
    <col min="2547" max="2547" width="39.109375" customWidth="1"/>
    <col min="2548" max="2548" width="12" customWidth="1"/>
    <col min="2549" max="2549" width="14.44140625" customWidth="1"/>
    <col min="2550" max="2550" width="11.77734375" customWidth="1"/>
    <col min="2551" max="2551" width="14.109375" customWidth="1"/>
    <col min="2552" max="2552" width="13.77734375" customWidth="1"/>
    <col min="2553" max="2554" width="12.77734375" customWidth="1"/>
    <col min="2555" max="2555" width="13.5546875" customWidth="1"/>
    <col min="2556" max="2556" width="15.21875" customWidth="1"/>
    <col min="2557" max="2557" width="12.77734375" customWidth="1"/>
    <col min="2558" max="2558" width="13.77734375" customWidth="1"/>
    <col min="2559" max="2559" width="1.77734375" customWidth="1"/>
    <col min="2560" max="2560" width="13" customWidth="1"/>
    <col min="2561" max="2800" width="8.77734375"/>
    <col min="2801" max="2801" width="6" customWidth="1"/>
    <col min="2802" max="2802" width="1.44140625" customWidth="1"/>
    <col min="2803" max="2803" width="39.109375" customWidth="1"/>
    <col min="2804" max="2804" width="12" customWidth="1"/>
    <col min="2805" max="2805" width="14.44140625" customWidth="1"/>
    <col min="2806" max="2806" width="11.77734375" customWidth="1"/>
    <col min="2807" max="2807" width="14.109375" customWidth="1"/>
    <col min="2808" max="2808" width="13.77734375" customWidth="1"/>
    <col min="2809" max="2810" width="12.77734375" customWidth="1"/>
    <col min="2811" max="2811" width="13.5546875" customWidth="1"/>
    <col min="2812" max="2812" width="15.21875" customWidth="1"/>
    <col min="2813" max="2813" width="12.77734375" customWidth="1"/>
    <col min="2814" max="2814" width="13.77734375" customWidth="1"/>
    <col min="2815" max="2815" width="1.77734375" customWidth="1"/>
    <col min="2816" max="2816" width="13" customWidth="1"/>
    <col min="2817" max="3056" width="8.77734375"/>
    <col min="3057" max="3057" width="6" customWidth="1"/>
    <col min="3058" max="3058" width="1.44140625" customWidth="1"/>
    <col min="3059" max="3059" width="39.109375" customWidth="1"/>
    <col min="3060" max="3060" width="12" customWidth="1"/>
    <col min="3061" max="3061" width="14.44140625" customWidth="1"/>
    <col min="3062" max="3062" width="11.77734375" customWidth="1"/>
    <col min="3063" max="3063" width="14.109375" customWidth="1"/>
    <col min="3064" max="3064" width="13.77734375" customWidth="1"/>
    <col min="3065" max="3066" width="12.77734375" customWidth="1"/>
    <col min="3067" max="3067" width="13.5546875" customWidth="1"/>
    <col min="3068" max="3068" width="15.21875" customWidth="1"/>
    <col min="3069" max="3069" width="12.77734375" customWidth="1"/>
    <col min="3070" max="3070" width="13.77734375" customWidth="1"/>
    <col min="3071" max="3071" width="1.77734375" customWidth="1"/>
    <col min="3072" max="3072" width="13" customWidth="1"/>
    <col min="3073" max="3312" width="8.77734375"/>
    <col min="3313" max="3313" width="6" customWidth="1"/>
    <col min="3314" max="3314" width="1.44140625" customWidth="1"/>
    <col min="3315" max="3315" width="39.109375" customWidth="1"/>
    <col min="3316" max="3316" width="12" customWidth="1"/>
    <col min="3317" max="3317" width="14.44140625" customWidth="1"/>
    <col min="3318" max="3318" width="11.77734375" customWidth="1"/>
    <col min="3319" max="3319" width="14.109375" customWidth="1"/>
    <col min="3320" max="3320" width="13.77734375" customWidth="1"/>
    <col min="3321" max="3322" width="12.77734375" customWidth="1"/>
    <col min="3323" max="3323" width="13.5546875" customWidth="1"/>
    <col min="3324" max="3324" width="15.21875" customWidth="1"/>
    <col min="3325" max="3325" width="12.77734375" customWidth="1"/>
    <col min="3326" max="3326" width="13.77734375" customWidth="1"/>
    <col min="3327" max="3327" width="1.77734375" customWidth="1"/>
    <col min="3328" max="3328" width="13" customWidth="1"/>
    <col min="3329" max="3568" width="8.77734375"/>
    <col min="3569" max="3569" width="6" customWidth="1"/>
    <col min="3570" max="3570" width="1.44140625" customWidth="1"/>
    <col min="3571" max="3571" width="39.109375" customWidth="1"/>
    <col min="3572" max="3572" width="12" customWidth="1"/>
    <col min="3573" max="3573" width="14.44140625" customWidth="1"/>
    <col min="3574" max="3574" width="11.77734375" customWidth="1"/>
    <col min="3575" max="3575" width="14.109375" customWidth="1"/>
    <col min="3576" max="3576" width="13.77734375" customWidth="1"/>
    <col min="3577" max="3578" width="12.77734375" customWidth="1"/>
    <col min="3579" max="3579" width="13.5546875" customWidth="1"/>
    <col min="3580" max="3580" width="15.21875" customWidth="1"/>
    <col min="3581" max="3581" width="12.77734375" customWidth="1"/>
    <col min="3582" max="3582" width="13.77734375" customWidth="1"/>
    <col min="3583" max="3583" width="1.77734375" customWidth="1"/>
    <col min="3584" max="3584" width="13" customWidth="1"/>
    <col min="3585" max="3824" width="8.77734375"/>
    <col min="3825" max="3825" width="6" customWidth="1"/>
    <col min="3826" max="3826" width="1.44140625" customWidth="1"/>
    <col min="3827" max="3827" width="39.109375" customWidth="1"/>
    <col min="3828" max="3828" width="12" customWidth="1"/>
    <col min="3829" max="3829" width="14.44140625" customWidth="1"/>
    <col min="3830" max="3830" width="11.77734375" customWidth="1"/>
    <col min="3831" max="3831" width="14.109375" customWidth="1"/>
    <col min="3832" max="3832" width="13.77734375" customWidth="1"/>
    <col min="3833" max="3834" width="12.77734375" customWidth="1"/>
    <col min="3835" max="3835" width="13.5546875" customWidth="1"/>
    <col min="3836" max="3836" width="15.21875" customWidth="1"/>
    <col min="3837" max="3837" width="12.77734375" customWidth="1"/>
    <col min="3838" max="3838" width="13.77734375" customWidth="1"/>
    <col min="3839" max="3839" width="1.77734375" customWidth="1"/>
    <col min="3840" max="3840" width="13" customWidth="1"/>
    <col min="3841" max="4080" width="8.77734375"/>
    <col min="4081" max="4081" width="6" customWidth="1"/>
    <col min="4082" max="4082" width="1.44140625" customWidth="1"/>
    <col min="4083" max="4083" width="39.109375" customWidth="1"/>
    <col min="4084" max="4084" width="12" customWidth="1"/>
    <col min="4085" max="4085" width="14.44140625" customWidth="1"/>
    <col min="4086" max="4086" width="11.77734375" customWidth="1"/>
    <col min="4087" max="4087" width="14.109375" customWidth="1"/>
    <col min="4088" max="4088" width="13.77734375" customWidth="1"/>
    <col min="4089" max="4090" width="12.77734375" customWidth="1"/>
    <col min="4091" max="4091" width="13.5546875" customWidth="1"/>
    <col min="4092" max="4092" width="15.21875" customWidth="1"/>
    <col min="4093" max="4093" width="12.77734375" customWidth="1"/>
    <col min="4094" max="4094" width="13.77734375" customWidth="1"/>
    <col min="4095" max="4095" width="1.77734375" customWidth="1"/>
    <col min="4096" max="4096" width="13" customWidth="1"/>
    <col min="4097" max="4336" width="8.77734375"/>
    <col min="4337" max="4337" width="6" customWidth="1"/>
    <col min="4338" max="4338" width="1.44140625" customWidth="1"/>
    <col min="4339" max="4339" width="39.109375" customWidth="1"/>
    <col min="4340" max="4340" width="12" customWidth="1"/>
    <col min="4341" max="4341" width="14.44140625" customWidth="1"/>
    <col min="4342" max="4342" width="11.77734375" customWidth="1"/>
    <col min="4343" max="4343" width="14.109375" customWidth="1"/>
    <col min="4344" max="4344" width="13.77734375" customWidth="1"/>
    <col min="4345" max="4346" width="12.77734375" customWidth="1"/>
    <col min="4347" max="4347" width="13.5546875" customWidth="1"/>
    <col min="4348" max="4348" width="15.21875" customWidth="1"/>
    <col min="4349" max="4349" width="12.77734375" customWidth="1"/>
    <col min="4350" max="4350" width="13.77734375" customWidth="1"/>
    <col min="4351" max="4351" width="1.77734375" customWidth="1"/>
    <col min="4352" max="4352" width="13" customWidth="1"/>
    <col min="4353" max="4592" width="8.77734375"/>
    <col min="4593" max="4593" width="6" customWidth="1"/>
    <col min="4594" max="4594" width="1.44140625" customWidth="1"/>
    <col min="4595" max="4595" width="39.109375" customWidth="1"/>
    <col min="4596" max="4596" width="12" customWidth="1"/>
    <col min="4597" max="4597" width="14.44140625" customWidth="1"/>
    <col min="4598" max="4598" width="11.77734375" customWidth="1"/>
    <col min="4599" max="4599" width="14.109375" customWidth="1"/>
    <col min="4600" max="4600" width="13.77734375" customWidth="1"/>
    <col min="4601" max="4602" width="12.77734375" customWidth="1"/>
    <col min="4603" max="4603" width="13.5546875" customWidth="1"/>
    <col min="4604" max="4604" width="15.21875" customWidth="1"/>
    <col min="4605" max="4605" width="12.77734375" customWidth="1"/>
    <col min="4606" max="4606" width="13.77734375" customWidth="1"/>
    <col min="4607" max="4607" width="1.77734375" customWidth="1"/>
    <col min="4608" max="4608" width="13" customWidth="1"/>
    <col min="4609" max="4848" width="8.77734375"/>
    <col min="4849" max="4849" width="6" customWidth="1"/>
    <col min="4850" max="4850" width="1.44140625" customWidth="1"/>
    <col min="4851" max="4851" width="39.109375" customWidth="1"/>
    <col min="4852" max="4852" width="12" customWidth="1"/>
    <col min="4853" max="4853" width="14.44140625" customWidth="1"/>
    <col min="4854" max="4854" width="11.77734375" customWidth="1"/>
    <col min="4855" max="4855" width="14.109375" customWidth="1"/>
    <col min="4856" max="4856" width="13.77734375" customWidth="1"/>
    <col min="4857" max="4858" width="12.77734375" customWidth="1"/>
    <col min="4859" max="4859" width="13.5546875" customWidth="1"/>
    <col min="4860" max="4860" width="15.21875" customWidth="1"/>
    <col min="4861" max="4861" width="12.77734375" customWidth="1"/>
    <col min="4862" max="4862" width="13.77734375" customWidth="1"/>
    <col min="4863" max="4863" width="1.77734375" customWidth="1"/>
    <col min="4864" max="4864" width="13" customWidth="1"/>
    <col min="4865" max="5104" width="8.77734375"/>
    <col min="5105" max="5105" width="6" customWidth="1"/>
    <col min="5106" max="5106" width="1.44140625" customWidth="1"/>
    <col min="5107" max="5107" width="39.109375" customWidth="1"/>
    <col min="5108" max="5108" width="12" customWidth="1"/>
    <col min="5109" max="5109" width="14.44140625" customWidth="1"/>
    <col min="5110" max="5110" width="11.77734375" customWidth="1"/>
    <col min="5111" max="5111" width="14.109375" customWidth="1"/>
    <col min="5112" max="5112" width="13.77734375" customWidth="1"/>
    <col min="5113" max="5114" width="12.77734375" customWidth="1"/>
    <col min="5115" max="5115" width="13.5546875" customWidth="1"/>
    <col min="5116" max="5116" width="15.21875" customWidth="1"/>
    <col min="5117" max="5117" width="12.77734375" customWidth="1"/>
    <col min="5118" max="5118" width="13.77734375" customWidth="1"/>
    <col min="5119" max="5119" width="1.77734375" customWidth="1"/>
    <col min="5120" max="5120" width="13" customWidth="1"/>
    <col min="5121" max="5360" width="8.77734375"/>
    <col min="5361" max="5361" width="6" customWidth="1"/>
    <col min="5362" max="5362" width="1.44140625" customWidth="1"/>
    <col min="5363" max="5363" width="39.109375" customWidth="1"/>
    <col min="5364" max="5364" width="12" customWidth="1"/>
    <col min="5365" max="5365" width="14.44140625" customWidth="1"/>
    <col min="5366" max="5366" width="11.77734375" customWidth="1"/>
    <col min="5367" max="5367" width="14.109375" customWidth="1"/>
    <col min="5368" max="5368" width="13.77734375" customWidth="1"/>
    <col min="5369" max="5370" width="12.77734375" customWidth="1"/>
    <col min="5371" max="5371" width="13.5546875" customWidth="1"/>
    <col min="5372" max="5372" width="15.21875" customWidth="1"/>
    <col min="5373" max="5373" width="12.77734375" customWidth="1"/>
    <col min="5374" max="5374" width="13.77734375" customWidth="1"/>
    <col min="5375" max="5375" width="1.77734375" customWidth="1"/>
    <col min="5376" max="5376" width="13" customWidth="1"/>
    <col min="5377" max="5616" width="8.77734375"/>
    <col min="5617" max="5617" width="6" customWidth="1"/>
    <col min="5618" max="5618" width="1.44140625" customWidth="1"/>
    <col min="5619" max="5619" width="39.109375" customWidth="1"/>
    <col min="5620" max="5620" width="12" customWidth="1"/>
    <col min="5621" max="5621" width="14.44140625" customWidth="1"/>
    <col min="5622" max="5622" width="11.77734375" customWidth="1"/>
    <col min="5623" max="5623" width="14.109375" customWidth="1"/>
    <col min="5624" max="5624" width="13.77734375" customWidth="1"/>
    <col min="5625" max="5626" width="12.77734375" customWidth="1"/>
    <col min="5627" max="5627" width="13.5546875" customWidth="1"/>
    <col min="5628" max="5628" width="15.21875" customWidth="1"/>
    <col min="5629" max="5629" width="12.77734375" customWidth="1"/>
    <col min="5630" max="5630" width="13.77734375" customWidth="1"/>
    <col min="5631" max="5631" width="1.77734375" customWidth="1"/>
    <col min="5632" max="5632" width="13" customWidth="1"/>
    <col min="5633" max="5872" width="8.77734375"/>
    <col min="5873" max="5873" width="6" customWidth="1"/>
    <col min="5874" max="5874" width="1.44140625" customWidth="1"/>
    <col min="5875" max="5875" width="39.109375" customWidth="1"/>
    <col min="5876" max="5876" width="12" customWidth="1"/>
    <col min="5877" max="5877" width="14.44140625" customWidth="1"/>
    <col min="5878" max="5878" width="11.77734375" customWidth="1"/>
    <col min="5879" max="5879" width="14.109375" customWidth="1"/>
    <col min="5880" max="5880" width="13.77734375" customWidth="1"/>
    <col min="5881" max="5882" width="12.77734375" customWidth="1"/>
    <col min="5883" max="5883" width="13.5546875" customWidth="1"/>
    <col min="5884" max="5884" width="15.21875" customWidth="1"/>
    <col min="5885" max="5885" width="12.77734375" customWidth="1"/>
    <col min="5886" max="5886" width="13.77734375" customWidth="1"/>
    <col min="5887" max="5887" width="1.77734375" customWidth="1"/>
    <col min="5888" max="5888" width="13" customWidth="1"/>
    <col min="5889" max="6128" width="8.77734375"/>
    <col min="6129" max="6129" width="6" customWidth="1"/>
    <col min="6130" max="6130" width="1.44140625" customWidth="1"/>
    <col min="6131" max="6131" width="39.109375" customWidth="1"/>
    <col min="6132" max="6132" width="12" customWidth="1"/>
    <col min="6133" max="6133" width="14.44140625" customWidth="1"/>
    <col min="6134" max="6134" width="11.77734375" customWidth="1"/>
    <col min="6135" max="6135" width="14.109375" customWidth="1"/>
    <col min="6136" max="6136" width="13.77734375" customWidth="1"/>
    <col min="6137" max="6138" width="12.77734375" customWidth="1"/>
    <col min="6139" max="6139" width="13.5546875" customWidth="1"/>
    <col min="6140" max="6140" width="15.21875" customWidth="1"/>
    <col min="6141" max="6141" width="12.77734375" customWidth="1"/>
    <col min="6142" max="6142" width="13.77734375" customWidth="1"/>
    <col min="6143" max="6143" width="1.77734375" customWidth="1"/>
    <col min="6144" max="6144" width="13" customWidth="1"/>
    <col min="6145" max="6384" width="8.77734375"/>
    <col min="6385" max="6385" width="6" customWidth="1"/>
    <col min="6386" max="6386" width="1.44140625" customWidth="1"/>
    <col min="6387" max="6387" width="39.109375" customWidth="1"/>
    <col min="6388" max="6388" width="12" customWidth="1"/>
    <col min="6389" max="6389" width="14.44140625" customWidth="1"/>
    <col min="6390" max="6390" width="11.77734375" customWidth="1"/>
    <col min="6391" max="6391" width="14.109375" customWidth="1"/>
    <col min="6392" max="6392" width="13.77734375" customWidth="1"/>
    <col min="6393" max="6394" width="12.77734375" customWidth="1"/>
    <col min="6395" max="6395" width="13.5546875" customWidth="1"/>
    <col min="6396" max="6396" width="15.21875" customWidth="1"/>
    <col min="6397" max="6397" width="12.77734375" customWidth="1"/>
    <col min="6398" max="6398" width="13.77734375" customWidth="1"/>
    <col min="6399" max="6399" width="1.77734375" customWidth="1"/>
    <col min="6400" max="6400" width="13" customWidth="1"/>
    <col min="6401" max="6640" width="8.77734375"/>
    <col min="6641" max="6641" width="6" customWidth="1"/>
    <col min="6642" max="6642" width="1.44140625" customWidth="1"/>
    <col min="6643" max="6643" width="39.109375" customWidth="1"/>
    <col min="6644" max="6644" width="12" customWidth="1"/>
    <col min="6645" max="6645" width="14.44140625" customWidth="1"/>
    <col min="6646" max="6646" width="11.77734375" customWidth="1"/>
    <col min="6647" max="6647" width="14.109375" customWidth="1"/>
    <col min="6648" max="6648" width="13.77734375" customWidth="1"/>
    <col min="6649" max="6650" width="12.77734375" customWidth="1"/>
    <col min="6651" max="6651" width="13.5546875" customWidth="1"/>
    <col min="6652" max="6652" width="15.21875" customWidth="1"/>
    <col min="6653" max="6653" width="12.77734375" customWidth="1"/>
    <col min="6654" max="6654" width="13.77734375" customWidth="1"/>
    <col min="6655" max="6655" width="1.77734375" customWidth="1"/>
    <col min="6656" max="6656" width="13" customWidth="1"/>
    <col min="6657" max="6896" width="8.77734375"/>
    <col min="6897" max="6897" width="6" customWidth="1"/>
    <col min="6898" max="6898" width="1.44140625" customWidth="1"/>
    <col min="6899" max="6899" width="39.109375" customWidth="1"/>
    <col min="6900" max="6900" width="12" customWidth="1"/>
    <col min="6901" max="6901" width="14.44140625" customWidth="1"/>
    <col min="6902" max="6902" width="11.77734375" customWidth="1"/>
    <col min="6903" max="6903" width="14.109375" customWidth="1"/>
    <col min="6904" max="6904" width="13.77734375" customWidth="1"/>
    <col min="6905" max="6906" width="12.77734375" customWidth="1"/>
    <col min="6907" max="6907" width="13.5546875" customWidth="1"/>
    <col min="6908" max="6908" width="15.21875" customWidth="1"/>
    <col min="6909" max="6909" width="12.77734375" customWidth="1"/>
    <col min="6910" max="6910" width="13.77734375" customWidth="1"/>
    <col min="6911" max="6911" width="1.77734375" customWidth="1"/>
    <col min="6912" max="6912" width="13" customWidth="1"/>
    <col min="6913" max="7152" width="8.77734375"/>
    <col min="7153" max="7153" width="6" customWidth="1"/>
    <col min="7154" max="7154" width="1.44140625" customWidth="1"/>
    <col min="7155" max="7155" width="39.109375" customWidth="1"/>
    <col min="7156" max="7156" width="12" customWidth="1"/>
    <col min="7157" max="7157" width="14.44140625" customWidth="1"/>
    <col min="7158" max="7158" width="11.77734375" customWidth="1"/>
    <col min="7159" max="7159" width="14.109375" customWidth="1"/>
    <col min="7160" max="7160" width="13.77734375" customWidth="1"/>
    <col min="7161" max="7162" width="12.77734375" customWidth="1"/>
    <col min="7163" max="7163" width="13.5546875" customWidth="1"/>
    <col min="7164" max="7164" width="15.21875" customWidth="1"/>
    <col min="7165" max="7165" width="12.77734375" customWidth="1"/>
    <col min="7166" max="7166" width="13.77734375" customWidth="1"/>
    <col min="7167" max="7167" width="1.77734375" customWidth="1"/>
    <col min="7168" max="7168" width="13" customWidth="1"/>
    <col min="7169" max="7408" width="8.77734375"/>
    <col min="7409" max="7409" width="6" customWidth="1"/>
    <col min="7410" max="7410" width="1.44140625" customWidth="1"/>
    <col min="7411" max="7411" width="39.109375" customWidth="1"/>
    <col min="7412" max="7412" width="12" customWidth="1"/>
    <col min="7413" max="7413" width="14.44140625" customWidth="1"/>
    <col min="7414" max="7414" width="11.77734375" customWidth="1"/>
    <col min="7415" max="7415" width="14.109375" customWidth="1"/>
    <col min="7416" max="7416" width="13.77734375" customWidth="1"/>
    <col min="7417" max="7418" width="12.77734375" customWidth="1"/>
    <col min="7419" max="7419" width="13.5546875" customWidth="1"/>
    <col min="7420" max="7420" width="15.21875" customWidth="1"/>
    <col min="7421" max="7421" width="12.77734375" customWidth="1"/>
    <col min="7422" max="7422" width="13.77734375" customWidth="1"/>
    <col min="7423" max="7423" width="1.77734375" customWidth="1"/>
    <col min="7424" max="7424" width="13" customWidth="1"/>
    <col min="7425" max="7664" width="8.77734375"/>
    <col min="7665" max="7665" width="6" customWidth="1"/>
    <col min="7666" max="7666" width="1.44140625" customWidth="1"/>
    <col min="7667" max="7667" width="39.109375" customWidth="1"/>
    <col min="7668" max="7668" width="12" customWidth="1"/>
    <col min="7669" max="7669" width="14.44140625" customWidth="1"/>
    <col min="7670" max="7670" width="11.77734375" customWidth="1"/>
    <col min="7671" max="7671" width="14.109375" customWidth="1"/>
    <col min="7672" max="7672" width="13.77734375" customWidth="1"/>
    <col min="7673" max="7674" width="12.77734375" customWidth="1"/>
    <col min="7675" max="7675" width="13.5546875" customWidth="1"/>
    <col min="7676" max="7676" width="15.21875" customWidth="1"/>
    <col min="7677" max="7677" width="12.77734375" customWidth="1"/>
    <col min="7678" max="7678" width="13.77734375" customWidth="1"/>
    <col min="7679" max="7679" width="1.77734375" customWidth="1"/>
    <col min="7680" max="7680" width="13" customWidth="1"/>
    <col min="7681" max="7920" width="8.77734375"/>
    <col min="7921" max="7921" width="6" customWidth="1"/>
    <col min="7922" max="7922" width="1.44140625" customWidth="1"/>
    <col min="7923" max="7923" width="39.109375" customWidth="1"/>
    <col min="7924" max="7924" width="12" customWidth="1"/>
    <col min="7925" max="7925" width="14.44140625" customWidth="1"/>
    <col min="7926" max="7926" width="11.77734375" customWidth="1"/>
    <col min="7927" max="7927" width="14.109375" customWidth="1"/>
    <col min="7928" max="7928" width="13.77734375" customWidth="1"/>
    <col min="7929" max="7930" width="12.77734375" customWidth="1"/>
    <col min="7931" max="7931" width="13.5546875" customWidth="1"/>
    <col min="7932" max="7932" width="15.21875" customWidth="1"/>
    <col min="7933" max="7933" width="12.77734375" customWidth="1"/>
    <col min="7934" max="7934" width="13.77734375" customWidth="1"/>
    <col min="7935" max="7935" width="1.77734375" customWidth="1"/>
    <col min="7936" max="7936" width="13" customWidth="1"/>
    <col min="7937" max="8176" width="8.77734375"/>
    <col min="8177" max="8177" width="6" customWidth="1"/>
    <col min="8178" max="8178" width="1.44140625" customWidth="1"/>
    <col min="8179" max="8179" width="39.109375" customWidth="1"/>
    <col min="8180" max="8180" width="12" customWidth="1"/>
    <col min="8181" max="8181" width="14.44140625" customWidth="1"/>
    <col min="8182" max="8182" width="11.77734375" customWidth="1"/>
    <col min="8183" max="8183" width="14.109375" customWidth="1"/>
    <col min="8184" max="8184" width="13.77734375" customWidth="1"/>
    <col min="8185" max="8186" width="12.77734375" customWidth="1"/>
    <col min="8187" max="8187" width="13.5546875" customWidth="1"/>
    <col min="8188" max="8188" width="15.21875" customWidth="1"/>
    <col min="8189" max="8189" width="12.77734375" customWidth="1"/>
    <col min="8190" max="8190" width="13.77734375" customWidth="1"/>
    <col min="8191" max="8191" width="1.77734375" customWidth="1"/>
    <col min="8192" max="8192" width="13" customWidth="1"/>
    <col min="8193" max="8432" width="8.77734375"/>
    <col min="8433" max="8433" width="6" customWidth="1"/>
    <col min="8434" max="8434" width="1.44140625" customWidth="1"/>
    <col min="8435" max="8435" width="39.109375" customWidth="1"/>
    <col min="8436" max="8436" width="12" customWidth="1"/>
    <col min="8437" max="8437" width="14.44140625" customWidth="1"/>
    <col min="8438" max="8438" width="11.77734375" customWidth="1"/>
    <col min="8439" max="8439" width="14.109375" customWidth="1"/>
    <col min="8440" max="8440" width="13.77734375" customWidth="1"/>
    <col min="8441" max="8442" width="12.77734375" customWidth="1"/>
    <col min="8443" max="8443" width="13.5546875" customWidth="1"/>
    <col min="8444" max="8444" width="15.21875" customWidth="1"/>
    <col min="8445" max="8445" width="12.77734375" customWidth="1"/>
    <col min="8446" max="8446" width="13.77734375" customWidth="1"/>
    <col min="8447" max="8447" width="1.77734375" customWidth="1"/>
    <col min="8448" max="8448" width="13" customWidth="1"/>
    <col min="8449" max="8688" width="8.77734375"/>
    <col min="8689" max="8689" width="6" customWidth="1"/>
    <col min="8690" max="8690" width="1.44140625" customWidth="1"/>
    <col min="8691" max="8691" width="39.109375" customWidth="1"/>
    <col min="8692" max="8692" width="12" customWidth="1"/>
    <col min="8693" max="8693" width="14.44140625" customWidth="1"/>
    <col min="8694" max="8694" width="11.77734375" customWidth="1"/>
    <col min="8695" max="8695" width="14.109375" customWidth="1"/>
    <col min="8696" max="8696" width="13.77734375" customWidth="1"/>
    <col min="8697" max="8698" width="12.77734375" customWidth="1"/>
    <col min="8699" max="8699" width="13.5546875" customWidth="1"/>
    <col min="8700" max="8700" width="15.21875" customWidth="1"/>
    <col min="8701" max="8701" width="12.77734375" customWidth="1"/>
    <col min="8702" max="8702" width="13.77734375" customWidth="1"/>
    <col min="8703" max="8703" width="1.77734375" customWidth="1"/>
    <col min="8704" max="8704" width="13" customWidth="1"/>
    <col min="8705" max="8944" width="8.77734375"/>
    <col min="8945" max="8945" width="6" customWidth="1"/>
    <col min="8946" max="8946" width="1.44140625" customWidth="1"/>
    <col min="8947" max="8947" width="39.109375" customWidth="1"/>
    <col min="8948" max="8948" width="12" customWidth="1"/>
    <col min="8949" max="8949" width="14.44140625" customWidth="1"/>
    <col min="8950" max="8950" width="11.77734375" customWidth="1"/>
    <col min="8951" max="8951" width="14.109375" customWidth="1"/>
    <col min="8952" max="8952" width="13.77734375" customWidth="1"/>
    <col min="8953" max="8954" width="12.77734375" customWidth="1"/>
    <col min="8955" max="8955" width="13.5546875" customWidth="1"/>
    <col min="8956" max="8956" width="15.21875" customWidth="1"/>
    <col min="8957" max="8957" width="12.77734375" customWidth="1"/>
    <col min="8958" max="8958" width="13.77734375" customWidth="1"/>
    <col min="8959" max="8959" width="1.77734375" customWidth="1"/>
    <col min="8960" max="8960" width="13" customWidth="1"/>
    <col min="8961" max="9200" width="8.77734375"/>
    <col min="9201" max="9201" width="6" customWidth="1"/>
    <col min="9202" max="9202" width="1.44140625" customWidth="1"/>
    <col min="9203" max="9203" width="39.109375" customWidth="1"/>
    <col min="9204" max="9204" width="12" customWidth="1"/>
    <col min="9205" max="9205" width="14.44140625" customWidth="1"/>
    <col min="9206" max="9206" width="11.77734375" customWidth="1"/>
    <col min="9207" max="9207" width="14.109375" customWidth="1"/>
    <col min="9208" max="9208" width="13.77734375" customWidth="1"/>
    <col min="9209" max="9210" width="12.77734375" customWidth="1"/>
    <col min="9211" max="9211" width="13.5546875" customWidth="1"/>
    <col min="9212" max="9212" width="15.21875" customWidth="1"/>
    <col min="9213" max="9213" width="12.77734375" customWidth="1"/>
    <col min="9214" max="9214" width="13.77734375" customWidth="1"/>
    <col min="9215" max="9215" width="1.77734375" customWidth="1"/>
    <col min="9216" max="9216" width="13" customWidth="1"/>
    <col min="9217" max="9456" width="8.77734375"/>
    <col min="9457" max="9457" width="6" customWidth="1"/>
    <col min="9458" max="9458" width="1.44140625" customWidth="1"/>
    <col min="9459" max="9459" width="39.109375" customWidth="1"/>
    <col min="9460" max="9460" width="12" customWidth="1"/>
    <col min="9461" max="9461" width="14.44140625" customWidth="1"/>
    <col min="9462" max="9462" width="11.77734375" customWidth="1"/>
    <col min="9463" max="9463" width="14.109375" customWidth="1"/>
    <col min="9464" max="9464" width="13.77734375" customWidth="1"/>
    <col min="9465" max="9466" width="12.77734375" customWidth="1"/>
    <col min="9467" max="9467" width="13.5546875" customWidth="1"/>
    <col min="9468" max="9468" width="15.21875" customWidth="1"/>
    <col min="9469" max="9469" width="12.77734375" customWidth="1"/>
    <col min="9470" max="9470" width="13.77734375" customWidth="1"/>
    <col min="9471" max="9471" width="1.77734375" customWidth="1"/>
    <col min="9472" max="9472" width="13" customWidth="1"/>
    <col min="9473" max="9712" width="8.77734375"/>
    <col min="9713" max="9713" width="6" customWidth="1"/>
    <col min="9714" max="9714" width="1.44140625" customWidth="1"/>
    <col min="9715" max="9715" width="39.109375" customWidth="1"/>
    <col min="9716" max="9716" width="12" customWidth="1"/>
    <col min="9717" max="9717" width="14.44140625" customWidth="1"/>
    <col min="9718" max="9718" width="11.77734375" customWidth="1"/>
    <col min="9719" max="9719" width="14.109375" customWidth="1"/>
    <col min="9720" max="9720" width="13.77734375" customWidth="1"/>
    <col min="9721" max="9722" width="12.77734375" customWidth="1"/>
    <col min="9723" max="9723" width="13.5546875" customWidth="1"/>
    <col min="9724" max="9724" width="15.21875" customWidth="1"/>
    <col min="9725" max="9725" width="12.77734375" customWidth="1"/>
    <col min="9726" max="9726" width="13.77734375" customWidth="1"/>
    <col min="9727" max="9727" width="1.77734375" customWidth="1"/>
    <col min="9728" max="9728" width="13" customWidth="1"/>
    <col min="9729" max="9968" width="8.77734375"/>
    <col min="9969" max="9969" width="6" customWidth="1"/>
    <col min="9970" max="9970" width="1.44140625" customWidth="1"/>
    <col min="9971" max="9971" width="39.109375" customWidth="1"/>
    <col min="9972" max="9972" width="12" customWidth="1"/>
    <col min="9973" max="9973" width="14.44140625" customWidth="1"/>
    <col min="9974" max="9974" width="11.77734375" customWidth="1"/>
    <col min="9975" max="9975" width="14.109375" customWidth="1"/>
    <col min="9976" max="9976" width="13.77734375" customWidth="1"/>
    <col min="9977" max="9978" width="12.77734375" customWidth="1"/>
    <col min="9979" max="9979" width="13.5546875" customWidth="1"/>
    <col min="9980" max="9980" width="15.21875" customWidth="1"/>
    <col min="9981" max="9981" width="12.77734375" customWidth="1"/>
    <col min="9982" max="9982" width="13.77734375" customWidth="1"/>
    <col min="9983" max="9983" width="1.77734375" customWidth="1"/>
    <col min="9984" max="9984" width="13" customWidth="1"/>
    <col min="9985" max="10224" width="8.77734375"/>
    <col min="10225" max="10225" width="6" customWidth="1"/>
    <col min="10226" max="10226" width="1.44140625" customWidth="1"/>
    <col min="10227" max="10227" width="39.109375" customWidth="1"/>
    <col min="10228" max="10228" width="12" customWidth="1"/>
    <col min="10229" max="10229" width="14.44140625" customWidth="1"/>
    <col min="10230" max="10230" width="11.77734375" customWidth="1"/>
    <col min="10231" max="10231" width="14.109375" customWidth="1"/>
    <col min="10232" max="10232" width="13.77734375" customWidth="1"/>
    <col min="10233" max="10234" width="12.77734375" customWidth="1"/>
    <col min="10235" max="10235" width="13.5546875" customWidth="1"/>
    <col min="10236" max="10236" width="15.21875" customWidth="1"/>
    <col min="10237" max="10237" width="12.77734375" customWidth="1"/>
    <col min="10238" max="10238" width="13.77734375" customWidth="1"/>
    <col min="10239" max="10239" width="1.77734375" customWidth="1"/>
    <col min="10240" max="10240" width="13" customWidth="1"/>
    <col min="10241" max="10480" width="8.77734375"/>
    <col min="10481" max="10481" width="6" customWidth="1"/>
    <col min="10482" max="10482" width="1.44140625" customWidth="1"/>
    <col min="10483" max="10483" width="39.109375" customWidth="1"/>
    <col min="10484" max="10484" width="12" customWidth="1"/>
    <col min="10485" max="10485" width="14.44140625" customWidth="1"/>
    <col min="10486" max="10486" width="11.77734375" customWidth="1"/>
    <col min="10487" max="10487" width="14.109375" customWidth="1"/>
    <col min="10488" max="10488" width="13.77734375" customWidth="1"/>
    <col min="10489" max="10490" width="12.77734375" customWidth="1"/>
    <col min="10491" max="10491" width="13.5546875" customWidth="1"/>
    <col min="10492" max="10492" width="15.21875" customWidth="1"/>
    <col min="10493" max="10493" width="12.77734375" customWidth="1"/>
    <col min="10494" max="10494" width="13.77734375" customWidth="1"/>
    <col min="10495" max="10495" width="1.77734375" customWidth="1"/>
    <col min="10496" max="10496" width="13" customWidth="1"/>
    <col min="10497" max="10736" width="8.77734375"/>
    <col min="10737" max="10737" width="6" customWidth="1"/>
    <col min="10738" max="10738" width="1.44140625" customWidth="1"/>
    <col min="10739" max="10739" width="39.109375" customWidth="1"/>
    <col min="10740" max="10740" width="12" customWidth="1"/>
    <col min="10741" max="10741" width="14.44140625" customWidth="1"/>
    <col min="10742" max="10742" width="11.77734375" customWidth="1"/>
    <col min="10743" max="10743" width="14.109375" customWidth="1"/>
    <col min="10744" max="10744" width="13.77734375" customWidth="1"/>
    <col min="10745" max="10746" width="12.77734375" customWidth="1"/>
    <col min="10747" max="10747" width="13.5546875" customWidth="1"/>
    <col min="10748" max="10748" width="15.21875" customWidth="1"/>
    <col min="10749" max="10749" width="12.77734375" customWidth="1"/>
    <col min="10750" max="10750" width="13.77734375" customWidth="1"/>
    <col min="10751" max="10751" width="1.77734375" customWidth="1"/>
    <col min="10752" max="10752" width="13" customWidth="1"/>
    <col min="10753" max="10992" width="8.77734375"/>
    <col min="10993" max="10993" width="6" customWidth="1"/>
    <col min="10994" max="10994" width="1.44140625" customWidth="1"/>
    <col min="10995" max="10995" width="39.109375" customWidth="1"/>
    <col min="10996" max="10996" width="12" customWidth="1"/>
    <col min="10997" max="10997" width="14.44140625" customWidth="1"/>
    <col min="10998" max="10998" width="11.77734375" customWidth="1"/>
    <col min="10999" max="10999" width="14.109375" customWidth="1"/>
    <col min="11000" max="11000" width="13.77734375" customWidth="1"/>
    <col min="11001" max="11002" width="12.77734375" customWidth="1"/>
    <col min="11003" max="11003" width="13.5546875" customWidth="1"/>
    <col min="11004" max="11004" width="15.21875" customWidth="1"/>
    <col min="11005" max="11005" width="12.77734375" customWidth="1"/>
    <col min="11006" max="11006" width="13.77734375" customWidth="1"/>
    <col min="11007" max="11007" width="1.77734375" customWidth="1"/>
    <col min="11008" max="11008" width="13" customWidth="1"/>
    <col min="11009" max="11248" width="8.77734375"/>
    <col min="11249" max="11249" width="6" customWidth="1"/>
    <col min="11250" max="11250" width="1.44140625" customWidth="1"/>
    <col min="11251" max="11251" width="39.109375" customWidth="1"/>
    <col min="11252" max="11252" width="12" customWidth="1"/>
    <col min="11253" max="11253" width="14.44140625" customWidth="1"/>
    <col min="11254" max="11254" width="11.77734375" customWidth="1"/>
    <col min="11255" max="11255" width="14.109375" customWidth="1"/>
    <col min="11256" max="11256" width="13.77734375" customWidth="1"/>
    <col min="11257" max="11258" width="12.77734375" customWidth="1"/>
    <col min="11259" max="11259" width="13.5546875" customWidth="1"/>
    <col min="11260" max="11260" width="15.21875" customWidth="1"/>
    <col min="11261" max="11261" width="12.77734375" customWidth="1"/>
    <col min="11262" max="11262" width="13.77734375" customWidth="1"/>
    <col min="11263" max="11263" width="1.77734375" customWidth="1"/>
    <col min="11264" max="11264" width="13" customWidth="1"/>
    <col min="11265" max="11504" width="8.77734375"/>
    <col min="11505" max="11505" width="6" customWidth="1"/>
    <col min="11506" max="11506" width="1.44140625" customWidth="1"/>
    <col min="11507" max="11507" width="39.109375" customWidth="1"/>
    <col min="11508" max="11508" width="12" customWidth="1"/>
    <col min="11509" max="11509" width="14.44140625" customWidth="1"/>
    <col min="11510" max="11510" width="11.77734375" customWidth="1"/>
    <col min="11511" max="11511" width="14.109375" customWidth="1"/>
    <col min="11512" max="11512" width="13.77734375" customWidth="1"/>
    <col min="11513" max="11514" width="12.77734375" customWidth="1"/>
    <col min="11515" max="11515" width="13.5546875" customWidth="1"/>
    <col min="11516" max="11516" width="15.21875" customWidth="1"/>
    <col min="11517" max="11517" width="12.77734375" customWidth="1"/>
    <col min="11518" max="11518" width="13.77734375" customWidth="1"/>
    <col min="11519" max="11519" width="1.77734375" customWidth="1"/>
    <col min="11520" max="11520" width="13" customWidth="1"/>
    <col min="11521" max="11760" width="8.77734375"/>
    <col min="11761" max="11761" width="6" customWidth="1"/>
    <col min="11762" max="11762" width="1.44140625" customWidth="1"/>
    <col min="11763" max="11763" width="39.109375" customWidth="1"/>
    <col min="11764" max="11764" width="12" customWidth="1"/>
    <col min="11765" max="11765" width="14.44140625" customWidth="1"/>
    <col min="11766" max="11766" width="11.77734375" customWidth="1"/>
    <col min="11767" max="11767" width="14.109375" customWidth="1"/>
    <col min="11768" max="11768" width="13.77734375" customWidth="1"/>
    <col min="11769" max="11770" width="12.77734375" customWidth="1"/>
    <col min="11771" max="11771" width="13.5546875" customWidth="1"/>
    <col min="11772" max="11772" width="15.21875" customWidth="1"/>
    <col min="11773" max="11773" width="12.77734375" customWidth="1"/>
    <col min="11774" max="11774" width="13.77734375" customWidth="1"/>
    <col min="11775" max="11775" width="1.77734375" customWidth="1"/>
    <col min="11776" max="11776" width="13" customWidth="1"/>
    <col min="11777" max="12016" width="8.77734375"/>
    <col min="12017" max="12017" width="6" customWidth="1"/>
    <col min="12018" max="12018" width="1.44140625" customWidth="1"/>
    <col min="12019" max="12019" width="39.109375" customWidth="1"/>
    <col min="12020" max="12020" width="12" customWidth="1"/>
    <col min="12021" max="12021" width="14.44140625" customWidth="1"/>
    <col min="12022" max="12022" width="11.77734375" customWidth="1"/>
    <col min="12023" max="12023" width="14.109375" customWidth="1"/>
    <col min="12024" max="12024" width="13.77734375" customWidth="1"/>
    <col min="12025" max="12026" width="12.77734375" customWidth="1"/>
    <col min="12027" max="12027" width="13.5546875" customWidth="1"/>
    <col min="12028" max="12028" width="15.21875" customWidth="1"/>
    <col min="12029" max="12029" width="12.77734375" customWidth="1"/>
    <col min="12030" max="12030" width="13.77734375" customWidth="1"/>
    <col min="12031" max="12031" width="1.77734375" customWidth="1"/>
    <col min="12032" max="12032" width="13" customWidth="1"/>
    <col min="12033" max="12272" width="8.77734375"/>
    <col min="12273" max="12273" width="6" customWidth="1"/>
    <col min="12274" max="12274" width="1.44140625" customWidth="1"/>
    <col min="12275" max="12275" width="39.109375" customWidth="1"/>
    <col min="12276" max="12276" width="12" customWidth="1"/>
    <col min="12277" max="12277" width="14.44140625" customWidth="1"/>
    <col min="12278" max="12278" width="11.77734375" customWidth="1"/>
    <col min="12279" max="12279" width="14.109375" customWidth="1"/>
    <col min="12280" max="12280" width="13.77734375" customWidth="1"/>
    <col min="12281" max="12282" width="12.77734375" customWidth="1"/>
    <col min="12283" max="12283" width="13.5546875" customWidth="1"/>
    <col min="12284" max="12284" width="15.21875" customWidth="1"/>
    <col min="12285" max="12285" width="12.77734375" customWidth="1"/>
    <col min="12286" max="12286" width="13.77734375" customWidth="1"/>
    <col min="12287" max="12287" width="1.77734375" customWidth="1"/>
    <col min="12288" max="12288" width="13" customWidth="1"/>
    <col min="12289" max="12528" width="8.77734375"/>
    <col min="12529" max="12529" width="6" customWidth="1"/>
    <col min="12530" max="12530" width="1.44140625" customWidth="1"/>
    <col min="12531" max="12531" width="39.109375" customWidth="1"/>
    <col min="12532" max="12532" width="12" customWidth="1"/>
    <col min="12533" max="12533" width="14.44140625" customWidth="1"/>
    <col min="12534" max="12534" width="11.77734375" customWidth="1"/>
    <col min="12535" max="12535" width="14.109375" customWidth="1"/>
    <col min="12536" max="12536" width="13.77734375" customWidth="1"/>
    <col min="12537" max="12538" width="12.77734375" customWidth="1"/>
    <col min="12539" max="12539" width="13.5546875" customWidth="1"/>
    <col min="12540" max="12540" width="15.21875" customWidth="1"/>
    <col min="12541" max="12541" width="12.77734375" customWidth="1"/>
    <col min="12542" max="12542" width="13.77734375" customWidth="1"/>
    <col min="12543" max="12543" width="1.77734375" customWidth="1"/>
    <col min="12544" max="12544" width="13" customWidth="1"/>
    <col min="12545" max="12784" width="8.77734375"/>
    <col min="12785" max="12785" width="6" customWidth="1"/>
    <col min="12786" max="12786" width="1.44140625" customWidth="1"/>
    <col min="12787" max="12787" width="39.109375" customWidth="1"/>
    <col min="12788" max="12788" width="12" customWidth="1"/>
    <col min="12789" max="12789" width="14.44140625" customWidth="1"/>
    <col min="12790" max="12790" width="11.77734375" customWidth="1"/>
    <col min="12791" max="12791" width="14.109375" customWidth="1"/>
    <col min="12792" max="12792" width="13.77734375" customWidth="1"/>
    <col min="12793" max="12794" width="12.77734375" customWidth="1"/>
    <col min="12795" max="12795" width="13.5546875" customWidth="1"/>
    <col min="12796" max="12796" width="15.21875" customWidth="1"/>
    <col min="12797" max="12797" width="12.77734375" customWidth="1"/>
    <col min="12798" max="12798" width="13.77734375" customWidth="1"/>
    <col min="12799" max="12799" width="1.77734375" customWidth="1"/>
    <col min="12800" max="12800" width="13" customWidth="1"/>
    <col min="12801" max="13040" width="8.77734375"/>
    <col min="13041" max="13041" width="6" customWidth="1"/>
    <col min="13042" max="13042" width="1.44140625" customWidth="1"/>
    <col min="13043" max="13043" width="39.109375" customWidth="1"/>
    <col min="13044" max="13044" width="12" customWidth="1"/>
    <col min="13045" max="13045" width="14.44140625" customWidth="1"/>
    <col min="13046" max="13046" width="11.77734375" customWidth="1"/>
    <col min="13047" max="13047" width="14.109375" customWidth="1"/>
    <col min="13048" max="13048" width="13.77734375" customWidth="1"/>
    <col min="13049" max="13050" width="12.77734375" customWidth="1"/>
    <col min="13051" max="13051" width="13.5546875" customWidth="1"/>
    <col min="13052" max="13052" width="15.21875" customWidth="1"/>
    <col min="13053" max="13053" width="12.77734375" customWidth="1"/>
    <col min="13054" max="13054" width="13.77734375" customWidth="1"/>
    <col min="13055" max="13055" width="1.77734375" customWidth="1"/>
    <col min="13056" max="13056" width="13" customWidth="1"/>
    <col min="13057" max="13296" width="8.77734375"/>
    <col min="13297" max="13297" width="6" customWidth="1"/>
    <col min="13298" max="13298" width="1.44140625" customWidth="1"/>
    <col min="13299" max="13299" width="39.109375" customWidth="1"/>
    <col min="13300" max="13300" width="12" customWidth="1"/>
    <col min="13301" max="13301" width="14.44140625" customWidth="1"/>
    <col min="13302" max="13302" width="11.77734375" customWidth="1"/>
    <col min="13303" max="13303" width="14.109375" customWidth="1"/>
    <col min="13304" max="13304" width="13.77734375" customWidth="1"/>
    <col min="13305" max="13306" width="12.77734375" customWidth="1"/>
    <col min="13307" max="13307" width="13.5546875" customWidth="1"/>
    <col min="13308" max="13308" width="15.21875" customWidth="1"/>
    <col min="13309" max="13309" width="12.77734375" customWidth="1"/>
    <col min="13310" max="13310" width="13.77734375" customWidth="1"/>
    <col min="13311" max="13311" width="1.77734375" customWidth="1"/>
    <col min="13312" max="13312" width="13" customWidth="1"/>
    <col min="13313" max="13552" width="8.77734375"/>
    <col min="13553" max="13553" width="6" customWidth="1"/>
    <col min="13554" max="13554" width="1.44140625" customWidth="1"/>
    <col min="13555" max="13555" width="39.109375" customWidth="1"/>
    <col min="13556" max="13556" width="12" customWidth="1"/>
    <col min="13557" max="13557" width="14.44140625" customWidth="1"/>
    <col min="13558" max="13558" width="11.77734375" customWidth="1"/>
    <col min="13559" max="13559" width="14.109375" customWidth="1"/>
    <col min="13560" max="13560" width="13.77734375" customWidth="1"/>
    <col min="13561" max="13562" width="12.77734375" customWidth="1"/>
    <col min="13563" max="13563" width="13.5546875" customWidth="1"/>
    <col min="13564" max="13564" width="15.21875" customWidth="1"/>
    <col min="13565" max="13565" width="12.77734375" customWidth="1"/>
    <col min="13566" max="13566" width="13.77734375" customWidth="1"/>
    <col min="13567" max="13567" width="1.77734375" customWidth="1"/>
    <col min="13568" max="13568" width="13" customWidth="1"/>
    <col min="13569" max="13808" width="8.77734375"/>
    <col min="13809" max="13809" width="6" customWidth="1"/>
    <col min="13810" max="13810" width="1.44140625" customWidth="1"/>
    <col min="13811" max="13811" width="39.109375" customWidth="1"/>
    <col min="13812" max="13812" width="12" customWidth="1"/>
    <col min="13813" max="13813" width="14.44140625" customWidth="1"/>
    <col min="13814" max="13814" width="11.77734375" customWidth="1"/>
    <col min="13815" max="13815" width="14.109375" customWidth="1"/>
    <col min="13816" max="13816" width="13.77734375" customWidth="1"/>
    <col min="13817" max="13818" width="12.77734375" customWidth="1"/>
    <col min="13819" max="13819" width="13.5546875" customWidth="1"/>
    <col min="13820" max="13820" width="15.21875" customWidth="1"/>
    <col min="13821" max="13821" width="12.77734375" customWidth="1"/>
    <col min="13822" max="13822" width="13.77734375" customWidth="1"/>
    <col min="13823" max="13823" width="1.77734375" customWidth="1"/>
    <col min="13824" max="13824" width="13" customWidth="1"/>
    <col min="13825" max="14064" width="8.77734375"/>
    <col min="14065" max="14065" width="6" customWidth="1"/>
    <col min="14066" max="14066" width="1.44140625" customWidth="1"/>
    <col min="14067" max="14067" width="39.109375" customWidth="1"/>
    <col min="14068" max="14068" width="12" customWidth="1"/>
    <col min="14069" max="14069" width="14.44140625" customWidth="1"/>
    <col min="14070" max="14070" width="11.77734375" customWidth="1"/>
    <col min="14071" max="14071" width="14.109375" customWidth="1"/>
    <col min="14072" max="14072" width="13.77734375" customWidth="1"/>
    <col min="14073" max="14074" width="12.77734375" customWidth="1"/>
    <col min="14075" max="14075" width="13.5546875" customWidth="1"/>
    <col min="14076" max="14076" width="15.21875" customWidth="1"/>
    <col min="14077" max="14077" width="12.77734375" customWidth="1"/>
    <col min="14078" max="14078" width="13.77734375" customWidth="1"/>
    <col min="14079" max="14079" width="1.77734375" customWidth="1"/>
    <col min="14080" max="14080" width="13" customWidth="1"/>
    <col min="14081" max="14320" width="8.77734375"/>
    <col min="14321" max="14321" width="6" customWidth="1"/>
    <col min="14322" max="14322" width="1.44140625" customWidth="1"/>
    <col min="14323" max="14323" width="39.109375" customWidth="1"/>
    <col min="14324" max="14324" width="12" customWidth="1"/>
    <col min="14325" max="14325" width="14.44140625" customWidth="1"/>
    <col min="14326" max="14326" width="11.77734375" customWidth="1"/>
    <col min="14327" max="14327" width="14.109375" customWidth="1"/>
    <col min="14328" max="14328" width="13.77734375" customWidth="1"/>
    <col min="14329" max="14330" width="12.77734375" customWidth="1"/>
    <col min="14331" max="14331" width="13.5546875" customWidth="1"/>
    <col min="14332" max="14332" width="15.21875" customWidth="1"/>
    <col min="14333" max="14333" width="12.77734375" customWidth="1"/>
    <col min="14334" max="14334" width="13.77734375" customWidth="1"/>
    <col min="14335" max="14335" width="1.77734375" customWidth="1"/>
    <col min="14336" max="14336" width="13" customWidth="1"/>
    <col min="14337" max="14576" width="8.77734375"/>
    <col min="14577" max="14577" width="6" customWidth="1"/>
    <col min="14578" max="14578" width="1.44140625" customWidth="1"/>
    <col min="14579" max="14579" width="39.109375" customWidth="1"/>
    <col min="14580" max="14580" width="12" customWidth="1"/>
    <col min="14581" max="14581" width="14.44140625" customWidth="1"/>
    <col min="14582" max="14582" width="11.77734375" customWidth="1"/>
    <col min="14583" max="14583" width="14.109375" customWidth="1"/>
    <col min="14584" max="14584" width="13.77734375" customWidth="1"/>
    <col min="14585" max="14586" width="12.77734375" customWidth="1"/>
    <col min="14587" max="14587" width="13.5546875" customWidth="1"/>
    <col min="14588" max="14588" width="15.21875" customWidth="1"/>
    <col min="14589" max="14589" width="12.77734375" customWidth="1"/>
    <col min="14590" max="14590" width="13.77734375" customWidth="1"/>
    <col min="14591" max="14591" width="1.77734375" customWidth="1"/>
    <col min="14592" max="14592" width="13" customWidth="1"/>
    <col min="14593" max="14832" width="8.77734375"/>
    <col min="14833" max="14833" width="6" customWidth="1"/>
    <col min="14834" max="14834" width="1.44140625" customWidth="1"/>
    <col min="14835" max="14835" width="39.109375" customWidth="1"/>
    <col min="14836" max="14836" width="12" customWidth="1"/>
    <col min="14837" max="14837" width="14.44140625" customWidth="1"/>
    <col min="14838" max="14838" width="11.77734375" customWidth="1"/>
    <col min="14839" max="14839" width="14.109375" customWidth="1"/>
    <col min="14840" max="14840" width="13.77734375" customWidth="1"/>
    <col min="14841" max="14842" width="12.77734375" customWidth="1"/>
    <col min="14843" max="14843" width="13.5546875" customWidth="1"/>
    <col min="14844" max="14844" width="15.21875" customWidth="1"/>
    <col min="14845" max="14845" width="12.77734375" customWidth="1"/>
    <col min="14846" max="14846" width="13.77734375" customWidth="1"/>
    <col min="14847" max="14847" width="1.77734375" customWidth="1"/>
    <col min="14848" max="14848" width="13" customWidth="1"/>
    <col min="14849" max="15088" width="8.77734375"/>
    <col min="15089" max="15089" width="6" customWidth="1"/>
    <col min="15090" max="15090" width="1.44140625" customWidth="1"/>
    <col min="15091" max="15091" width="39.109375" customWidth="1"/>
    <col min="15092" max="15092" width="12" customWidth="1"/>
    <col min="15093" max="15093" width="14.44140625" customWidth="1"/>
    <col min="15094" max="15094" width="11.77734375" customWidth="1"/>
    <col min="15095" max="15095" width="14.109375" customWidth="1"/>
    <col min="15096" max="15096" width="13.77734375" customWidth="1"/>
    <col min="15097" max="15098" width="12.77734375" customWidth="1"/>
    <col min="15099" max="15099" width="13.5546875" customWidth="1"/>
    <col min="15100" max="15100" width="15.21875" customWidth="1"/>
    <col min="15101" max="15101" width="12.77734375" customWidth="1"/>
    <col min="15102" max="15102" width="13.77734375" customWidth="1"/>
    <col min="15103" max="15103" width="1.77734375" customWidth="1"/>
    <col min="15104" max="15104" width="13" customWidth="1"/>
    <col min="15105" max="15344" width="8.77734375"/>
    <col min="15345" max="15345" width="6" customWidth="1"/>
    <col min="15346" max="15346" width="1.44140625" customWidth="1"/>
    <col min="15347" max="15347" width="39.109375" customWidth="1"/>
    <col min="15348" max="15348" width="12" customWidth="1"/>
    <col min="15349" max="15349" width="14.44140625" customWidth="1"/>
    <col min="15350" max="15350" width="11.77734375" customWidth="1"/>
    <col min="15351" max="15351" width="14.109375" customWidth="1"/>
    <col min="15352" max="15352" width="13.77734375" customWidth="1"/>
    <col min="15353" max="15354" width="12.77734375" customWidth="1"/>
    <col min="15355" max="15355" width="13.5546875" customWidth="1"/>
    <col min="15356" max="15356" width="15.21875" customWidth="1"/>
    <col min="15357" max="15357" width="12.77734375" customWidth="1"/>
    <col min="15358" max="15358" width="13.77734375" customWidth="1"/>
    <col min="15359" max="15359" width="1.77734375" customWidth="1"/>
    <col min="15360" max="15360" width="13" customWidth="1"/>
    <col min="15361" max="15600" width="8.77734375"/>
    <col min="15601" max="15601" width="6" customWidth="1"/>
    <col min="15602" max="15602" width="1.44140625" customWidth="1"/>
    <col min="15603" max="15603" width="39.109375" customWidth="1"/>
    <col min="15604" max="15604" width="12" customWidth="1"/>
    <col min="15605" max="15605" width="14.44140625" customWidth="1"/>
    <col min="15606" max="15606" width="11.77734375" customWidth="1"/>
    <col min="15607" max="15607" width="14.109375" customWidth="1"/>
    <col min="15608" max="15608" width="13.77734375" customWidth="1"/>
    <col min="15609" max="15610" width="12.77734375" customWidth="1"/>
    <col min="15611" max="15611" width="13.5546875" customWidth="1"/>
    <col min="15612" max="15612" width="15.21875" customWidth="1"/>
    <col min="15613" max="15613" width="12.77734375" customWidth="1"/>
    <col min="15614" max="15614" width="13.77734375" customWidth="1"/>
    <col min="15615" max="15615" width="1.77734375" customWidth="1"/>
    <col min="15616" max="15616" width="13" customWidth="1"/>
    <col min="15617" max="15856" width="8.77734375"/>
    <col min="15857" max="15857" width="6" customWidth="1"/>
    <col min="15858" max="15858" width="1.44140625" customWidth="1"/>
    <col min="15859" max="15859" width="39.109375" customWidth="1"/>
    <col min="15860" max="15860" width="12" customWidth="1"/>
    <col min="15861" max="15861" width="14.44140625" customWidth="1"/>
    <col min="15862" max="15862" width="11.77734375" customWidth="1"/>
    <col min="15863" max="15863" width="14.109375" customWidth="1"/>
    <col min="15864" max="15864" width="13.77734375" customWidth="1"/>
    <col min="15865" max="15866" width="12.77734375" customWidth="1"/>
    <col min="15867" max="15867" width="13.5546875" customWidth="1"/>
    <col min="15868" max="15868" width="15.21875" customWidth="1"/>
    <col min="15869" max="15869" width="12.77734375" customWidth="1"/>
    <col min="15870" max="15870" width="13.77734375" customWidth="1"/>
    <col min="15871" max="15871" width="1.77734375" customWidth="1"/>
    <col min="15872" max="15872" width="13" customWidth="1"/>
    <col min="15873" max="16112" width="8.77734375"/>
    <col min="16113" max="16113" width="6" customWidth="1"/>
    <col min="16114" max="16114" width="1.44140625" customWidth="1"/>
    <col min="16115" max="16115" width="39.109375" customWidth="1"/>
    <col min="16116" max="16116" width="12" customWidth="1"/>
    <col min="16117" max="16117" width="14.44140625" customWidth="1"/>
    <col min="16118" max="16118" width="11.77734375" customWidth="1"/>
    <col min="16119" max="16119" width="14.109375" customWidth="1"/>
    <col min="16120" max="16120" width="13.77734375" customWidth="1"/>
    <col min="16121" max="16122" width="12.77734375" customWidth="1"/>
    <col min="16123" max="16123" width="13.5546875" customWidth="1"/>
    <col min="16124" max="16124" width="15.21875" customWidth="1"/>
    <col min="16125" max="16125" width="12.77734375" customWidth="1"/>
    <col min="16126" max="16126" width="13.77734375" customWidth="1"/>
    <col min="16127" max="16127" width="1.77734375" customWidth="1"/>
    <col min="16128" max="16128" width="13" customWidth="1"/>
    <col min="16129" max="16368" width="8.77734375"/>
    <col min="16369" max="16384" width="8.77734375" customWidth="1"/>
  </cols>
  <sheetData>
    <row r="1" spans="1:14">
      <c r="I1" s="50" t="s">
        <v>296</v>
      </c>
    </row>
    <row r="2" spans="1:14">
      <c r="I2" s="50" t="s">
        <v>338</v>
      </c>
      <c r="M2" s="785"/>
      <c r="N2" s="785"/>
    </row>
    <row r="3" spans="1:14">
      <c r="I3" s="50" t="s">
        <v>192</v>
      </c>
    </row>
    <row r="4" spans="1:14">
      <c r="I4" s="61" t="str">
        <f>"For the 12 months ended: "&amp;TEXT(INPUT!B1,"mm/dd/yyyy")</f>
        <v>For the 12 months ended: 12/31/2021</v>
      </c>
    </row>
    <row r="5" spans="1:14">
      <c r="C5" s="24"/>
    </row>
    <row r="6" spans="1:14">
      <c r="A6" s="144" t="s">
        <v>255</v>
      </c>
      <c r="B6" s="174"/>
      <c r="C6" s="174"/>
      <c r="D6" s="144"/>
      <c r="E6" s="144"/>
      <c r="F6" s="144"/>
      <c r="G6" s="174"/>
      <c r="H6" s="144"/>
      <c r="I6" s="144"/>
    </row>
    <row r="7" spans="1:14">
      <c r="A7" s="145" t="s">
        <v>297</v>
      </c>
      <c r="B7" s="174"/>
      <c r="C7" s="174"/>
      <c r="D7" s="144"/>
      <c r="E7" s="144"/>
      <c r="F7" s="144"/>
      <c r="G7" s="174"/>
      <c r="H7" s="144"/>
      <c r="I7" s="144"/>
    </row>
    <row r="8" spans="1:14">
      <c r="A8" s="146"/>
      <c r="B8" s="174"/>
      <c r="C8" s="174"/>
      <c r="D8" s="146"/>
      <c r="E8" s="146"/>
      <c r="F8" s="146"/>
      <c r="G8" s="174"/>
      <c r="H8" s="146"/>
      <c r="I8" s="146"/>
    </row>
    <row r="9" spans="1:14">
      <c r="A9" s="258" t="str">
        <f>DEK!A11</f>
        <v>DUKE ENERGY KENTUCKY (DEK)</v>
      </c>
      <c r="B9" s="174"/>
      <c r="C9" s="174"/>
      <c r="D9" s="146"/>
      <c r="E9" s="146"/>
      <c r="F9" s="146"/>
      <c r="G9" s="174"/>
      <c r="H9" s="177"/>
      <c r="I9" s="146"/>
    </row>
    <row r="10" spans="1:14">
      <c r="A10" s="226" t="s">
        <v>295</v>
      </c>
      <c r="B10" s="174"/>
      <c r="C10" s="174"/>
      <c r="D10" s="146"/>
      <c r="E10" s="146"/>
      <c r="F10" s="146"/>
      <c r="G10" s="174"/>
      <c r="H10" s="177"/>
      <c r="I10" s="146"/>
    </row>
    <row r="11" spans="1:14">
      <c r="A11" s="250"/>
      <c r="B11" s="174"/>
      <c r="C11" s="146"/>
      <c r="D11" s="146"/>
      <c r="E11" s="146"/>
      <c r="F11" s="146"/>
      <c r="G11" s="177"/>
      <c r="H11" s="146"/>
      <c r="I11" s="146"/>
    </row>
    <row r="12" spans="1:14">
      <c r="A12" s="146" t="s">
        <v>497</v>
      </c>
      <c r="B12" s="174"/>
      <c r="C12" s="174"/>
      <c r="D12" s="146"/>
      <c r="E12" s="146"/>
      <c r="F12" s="146"/>
      <c r="G12" s="177"/>
      <c r="H12" s="146"/>
      <c r="I12" s="146"/>
    </row>
    <row r="13" spans="1:14">
      <c r="A13" s="86"/>
      <c r="C13" s="1"/>
      <c r="D13" s="1"/>
      <c r="E13" s="1"/>
      <c r="F13" s="1"/>
      <c r="G13" s="17"/>
    </row>
    <row r="14" spans="1:14">
      <c r="A14" s="86"/>
      <c r="C14" s="1"/>
      <c r="D14" s="1"/>
      <c r="E14" s="1"/>
      <c r="F14" s="1"/>
      <c r="G14" s="1"/>
    </row>
    <row r="15" spans="1:14">
      <c r="C15" s="3" t="s">
        <v>18</v>
      </c>
      <c r="D15" s="3"/>
      <c r="E15" s="3" t="s">
        <v>19</v>
      </c>
      <c r="F15" s="3"/>
      <c r="G15" s="3" t="s">
        <v>20</v>
      </c>
      <c r="I15" s="5" t="s">
        <v>21</v>
      </c>
    </row>
    <row r="16" spans="1:14">
      <c r="C16" s="1"/>
      <c r="D16" s="1"/>
    </row>
    <row r="17" spans="1:12">
      <c r="A17" s="26" t="s">
        <v>8</v>
      </c>
      <c r="C17" s="1"/>
      <c r="D17" s="1"/>
      <c r="E17" s="4" t="s">
        <v>296</v>
      </c>
      <c r="F17" s="4"/>
      <c r="G17" s="2"/>
    </row>
    <row r="18" spans="1:12">
      <c r="A18" s="180" t="s">
        <v>10</v>
      </c>
      <c r="B18" s="249"/>
      <c r="C18" s="184"/>
      <c r="D18" s="184"/>
      <c r="E18" s="238" t="s">
        <v>25</v>
      </c>
      <c r="F18" s="238"/>
      <c r="G18" s="180" t="s">
        <v>24</v>
      </c>
      <c r="H18" s="249"/>
      <c r="I18" s="180" t="s">
        <v>13</v>
      </c>
    </row>
    <row r="19" spans="1:12" ht="15.75">
      <c r="A19" s="90"/>
      <c r="C19" s="1" t="s">
        <v>335</v>
      </c>
      <c r="D19" s="1"/>
      <c r="E19" s="2"/>
      <c r="F19" s="2"/>
      <c r="G19" s="2"/>
      <c r="I19" s="2"/>
    </row>
    <row r="20" spans="1:12">
      <c r="A20" s="91">
        <v>1</v>
      </c>
      <c r="C20" s="1" t="s">
        <v>212</v>
      </c>
      <c r="D20" s="1"/>
      <c r="E20" s="4" t="str">
        <f>'Appx B - DEO(RTEP) Pg1'!E20</f>
        <v>Att. H-22A, p 2, line 2, col 5 (Note A)</v>
      </c>
      <c r="F20" s="4"/>
      <c r="G20" s="92">
        <f>DEK!J54</f>
        <v>78920247</v>
      </c>
    </row>
    <row r="21" spans="1:12">
      <c r="A21" s="91">
        <v>2</v>
      </c>
      <c r="C21" s="1" t="s">
        <v>213</v>
      </c>
      <c r="D21" s="1"/>
      <c r="E21" s="4" t="str">
        <f>'Appx B - DEO(RTEP) Pg1'!E21</f>
        <v>Att. H-22A, p 2, line 14, col 5 (Note B)</v>
      </c>
      <c r="F21" s="4"/>
      <c r="G21" s="92">
        <f>DEK!J70</f>
        <v>70381724</v>
      </c>
    </row>
    <row r="22" spans="1:12">
      <c r="A22" s="91"/>
      <c r="E22" s="4"/>
      <c r="F22" s="4"/>
    </row>
    <row r="23" spans="1:12">
      <c r="A23" s="91"/>
      <c r="C23" s="1" t="s">
        <v>193</v>
      </c>
      <c r="D23" s="1"/>
      <c r="E23" s="4"/>
      <c r="F23" s="4"/>
      <c r="G23" s="2"/>
      <c r="I23" s="2"/>
    </row>
    <row r="24" spans="1:12">
      <c r="A24" s="91">
        <v>3</v>
      </c>
      <c r="C24" s="1" t="s">
        <v>214</v>
      </c>
      <c r="D24" s="1"/>
      <c r="E24" s="4" t="str">
        <f>'Appx B - DEO(RTEP) Pg1'!E24</f>
        <v>Att. H-22A, p 3, line 8, col 5</v>
      </c>
      <c r="F24" s="4"/>
      <c r="G24" s="92">
        <f>DEK!J127</f>
        <v>1849327</v>
      </c>
    </row>
    <row r="25" spans="1:12">
      <c r="A25" s="91">
        <v>4</v>
      </c>
      <c r="C25" s="1" t="s">
        <v>215</v>
      </c>
      <c r="D25" s="1"/>
      <c r="E25" s="4" t="str">
        <f>'Appx B - DEO(RTEP) Pg1'!E25</f>
        <v>(line 3 divided by line 1, col 3)</v>
      </c>
      <c r="F25" s="4"/>
      <c r="G25" s="93">
        <f>IF(G24=0,0,G24/G20)</f>
        <v>2.3432858744093895E-2</v>
      </c>
      <c r="I25" s="94">
        <f>G25</f>
        <v>2.3432858744093895E-2</v>
      </c>
    </row>
    <row r="26" spans="1:12">
      <c r="A26" s="91"/>
      <c r="E26" s="4"/>
      <c r="F26" s="4"/>
    </row>
    <row r="27" spans="1:12" ht="30">
      <c r="A27" s="91"/>
      <c r="C27" s="381" t="s">
        <v>569</v>
      </c>
      <c r="D27" s="1"/>
      <c r="E27" s="67"/>
      <c r="F27" s="4"/>
    </row>
    <row r="28" spans="1:12">
      <c r="A28" s="97" t="s">
        <v>216</v>
      </c>
      <c r="C28" s="1" t="s">
        <v>570</v>
      </c>
      <c r="D28" s="1"/>
      <c r="E28" s="4" t="str">
        <f>'Appx B - DEO(RTEP) Pg1'!E28</f>
        <v>Att. H-22A, p 3, lines 10 &amp; 11, col 5 (Note H)</v>
      </c>
      <c r="F28" s="4"/>
      <c r="G28" s="92">
        <f>DEK!J131+DEK!J132</f>
        <v>136471</v>
      </c>
    </row>
    <row r="29" spans="1:12" ht="30">
      <c r="A29" s="382" t="s">
        <v>217</v>
      </c>
      <c r="C29" s="381" t="s">
        <v>571</v>
      </c>
      <c r="D29" s="1"/>
      <c r="E29" s="383" t="str">
        <f>'Appx B - DEO(RTEP) Pg1'!E29</f>
        <v>(line 5 divided by line 1, col 3)</v>
      </c>
      <c r="F29" s="383"/>
      <c r="G29" s="384">
        <f>IF(G28=0,0,G28/G20)</f>
        <v>1.7292267217562053E-3</v>
      </c>
      <c r="H29" s="385"/>
      <c r="I29" s="386">
        <f>G29</f>
        <v>1.7292267217562053E-3</v>
      </c>
      <c r="K29" s="87"/>
      <c r="L29" s="84"/>
    </row>
    <row r="30" spans="1:12">
      <c r="A30" s="91"/>
      <c r="E30" s="4"/>
      <c r="F30" s="4"/>
    </row>
    <row r="31" spans="1:12">
      <c r="A31" s="97"/>
      <c r="C31" s="1" t="s">
        <v>196</v>
      </c>
      <c r="D31" s="1"/>
      <c r="E31" s="67"/>
      <c r="F31" s="67"/>
      <c r="G31" s="2"/>
      <c r="I31" s="2"/>
    </row>
    <row r="32" spans="1:12">
      <c r="A32" s="97" t="s">
        <v>219</v>
      </c>
      <c r="C32" s="1" t="s">
        <v>198</v>
      </c>
      <c r="D32" s="1"/>
      <c r="E32" s="4" t="str">
        <f>'Appx B - DEO(RTEP) Pg1'!E32</f>
        <v>Att. H-22A, p 3, line 20, col 5</v>
      </c>
      <c r="F32" s="4"/>
      <c r="G32" s="92">
        <f>DEK!J144</f>
        <v>600808</v>
      </c>
    </row>
    <row r="33" spans="1:10">
      <c r="A33" s="97" t="s">
        <v>221</v>
      </c>
      <c r="C33" s="1" t="s">
        <v>218</v>
      </c>
      <c r="D33" s="1"/>
      <c r="E33" s="4" t="str">
        <f>'Appx B - DEO(RTEP) Pg1'!E33</f>
        <v>(line 7 divided by line 1, col 3)</v>
      </c>
      <c r="F33" s="4"/>
      <c r="G33" s="93">
        <f>IF(G32=0,0,G32/G20)</f>
        <v>7.612849969919633E-3</v>
      </c>
      <c r="I33" s="94">
        <f>G33</f>
        <v>7.612849969919633E-3</v>
      </c>
    </row>
    <row r="34" spans="1:10">
      <c r="A34" s="97"/>
      <c r="C34" s="1"/>
      <c r="D34" s="1"/>
      <c r="E34" s="4"/>
      <c r="F34" s="4"/>
      <c r="G34" s="2"/>
      <c r="I34" s="2"/>
    </row>
    <row r="35" spans="1:10" ht="15.75">
      <c r="A35" s="98" t="s">
        <v>194</v>
      </c>
      <c r="B35" s="99"/>
      <c r="C35" s="10" t="s">
        <v>220</v>
      </c>
      <c r="D35" s="10"/>
      <c r="E35" s="88" t="s">
        <v>402</v>
      </c>
      <c r="F35" s="88"/>
      <c r="G35" s="100"/>
      <c r="I35" s="101">
        <f>I25+I29+I33</f>
        <v>3.2774935435769731E-2</v>
      </c>
    </row>
    <row r="36" spans="1:10">
      <c r="A36" s="229"/>
      <c r="C36" s="1"/>
      <c r="D36" s="1"/>
      <c r="E36" s="4"/>
      <c r="F36" s="4"/>
      <c r="G36" s="2"/>
      <c r="I36" s="2"/>
    </row>
    <row r="37" spans="1:10">
      <c r="A37" s="97"/>
      <c r="B37" s="102"/>
      <c r="C37" s="2" t="s">
        <v>200</v>
      </c>
      <c r="D37" s="2"/>
      <c r="E37" s="4"/>
      <c r="F37" s="4"/>
      <c r="G37" s="2"/>
      <c r="I37" s="2"/>
    </row>
    <row r="38" spans="1:10">
      <c r="A38" s="97" t="s">
        <v>195</v>
      </c>
      <c r="B38" s="102"/>
      <c r="C38" s="2" t="s">
        <v>125</v>
      </c>
      <c r="D38" s="2"/>
      <c r="E38" s="4" t="str">
        <f>'Appx B - DEO(RTEP) Pg1'!E38</f>
        <v>Att. H-22A, p 3, line 29, col 5</v>
      </c>
      <c r="F38" s="4"/>
      <c r="G38" s="92">
        <f>DEK!J161</f>
        <v>846102</v>
      </c>
      <c r="I38" s="2"/>
    </row>
    <row r="39" spans="1:10">
      <c r="A39" s="97" t="s">
        <v>197</v>
      </c>
      <c r="B39" s="102"/>
      <c r="C39" s="2" t="s">
        <v>222</v>
      </c>
      <c r="D39" s="2"/>
      <c r="E39" s="4" t="str">
        <f>'Appx B - DEO(RTEP) Pg1'!E39</f>
        <v>(line 10 divided by line 2, col 3)</v>
      </c>
      <c r="F39" s="4"/>
      <c r="G39" s="93">
        <f>IF(G38=0,0,G38/G21)</f>
        <v>1.2021615156798376E-2</v>
      </c>
      <c r="I39" s="94">
        <f>G39</f>
        <v>1.2021615156798376E-2</v>
      </c>
    </row>
    <row r="40" spans="1:10">
      <c r="A40" s="97"/>
      <c r="C40" s="2"/>
      <c r="D40" s="2"/>
      <c r="E40" s="4"/>
      <c r="F40" s="4"/>
      <c r="G40" s="2"/>
      <c r="I40" s="2"/>
    </row>
    <row r="41" spans="1:10">
      <c r="A41" s="97"/>
      <c r="C41" s="1" t="s">
        <v>59</v>
      </c>
      <c r="D41" s="1"/>
      <c r="E41" s="15"/>
      <c r="F41" s="15"/>
    </row>
    <row r="42" spans="1:10">
      <c r="A42" s="97" t="s">
        <v>199</v>
      </c>
      <c r="C42" s="1" t="s">
        <v>201</v>
      </c>
      <c r="D42" s="1"/>
      <c r="E42" s="4" t="str">
        <f>'Appx B - DEO(RTEP) Pg1'!E42</f>
        <v>Att. H-22A, p 3, line 30, col 5</v>
      </c>
      <c r="F42" s="4"/>
      <c r="G42" s="92">
        <f>DEK!J163</f>
        <v>4435772</v>
      </c>
      <c r="I42" s="2"/>
    </row>
    <row r="43" spans="1:10">
      <c r="A43" s="97" t="s">
        <v>260</v>
      </c>
      <c r="B43" s="102"/>
      <c r="C43" s="2" t="s">
        <v>223</v>
      </c>
      <c r="D43" s="2"/>
      <c r="E43" s="4" t="str">
        <f>'Appx B - DEO(RTEP) Pg1'!E43</f>
        <v>(line 12 divided by line 2, col 3)</v>
      </c>
      <c r="F43" s="4"/>
      <c r="G43" s="103">
        <f>IF(G42=0,0,G42/G21)</f>
        <v>6.3024486299880916E-2</v>
      </c>
      <c r="I43" s="94">
        <f>G43</f>
        <v>6.3024486299880916E-2</v>
      </c>
    </row>
    <row r="44" spans="1:10">
      <c r="A44" s="97"/>
      <c r="C44" s="1"/>
      <c r="D44" s="1"/>
      <c r="E44" s="4"/>
      <c r="F44" s="4"/>
      <c r="G44" s="2"/>
      <c r="I44" s="2"/>
    </row>
    <row r="45" spans="1:10" ht="15.75">
      <c r="A45" s="98" t="s">
        <v>261</v>
      </c>
      <c r="B45" s="99"/>
      <c r="C45" s="10" t="s">
        <v>224</v>
      </c>
      <c r="D45" s="10"/>
      <c r="E45" s="88" t="s">
        <v>337</v>
      </c>
      <c r="F45" s="88"/>
      <c r="G45" s="100"/>
      <c r="I45" s="101">
        <f>I39+I43</f>
        <v>7.5046101456679296E-2</v>
      </c>
    </row>
    <row r="47" spans="1:10">
      <c r="A47" s="106"/>
      <c r="C47" s="97"/>
      <c r="D47" s="97"/>
      <c r="E47" s="67"/>
      <c r="F47" s="67"/>
      <c r="G47" s="2"/>
      <c r="H47" s="9"/>
      <c r="I47" s="9"/>
      <c r="J47" s="93"/>
    </row>
    <row r="48" spans="1:10">
      <c r="A48" s="86"/>
      <c r="C48" s="9"/>
      <c r="D48" s="9"/>
      <c r="E48" s="9"/>
      <c r="F48" s="9"/>
      <c r="G48" s="2"/>
      <c r="H48" s="9"/>
      <c r="I48" s="9"/>
      <c r="J48" s="9"/>
    </row>
    <row r="49" spans="11:28">
      <c r="X49" s="50" t="s">
        <v>296</v>
      </c>
    </row>
    <row r="50" spans="11:28">
      <c r="X50" s="50" t="s">
        <v>338</v>
      </c>
    </row>
    <row r="51" spans="11:28">
      <c r="X51" s="107" t="s">
        <v>202</v>
      </c>
    </row>
    <row r="52" spans="11:28">
      <c r="K52" s="86"/>
      <c r="M52" s="9"/>
      <c r="N52" s="9"/>
      <c r="O52" s="9"/>
      <c r="P52" s="9"/>
      <c r="Q52" s="2"/>
      <c r="R52" s="9"/>
      <c r="S52" s="9"/>
      <c r="T52" s="9"/>
      <c r="U52" s="9"/>
      <c r="W52" s="2"/>
      <c r="X52" s="107" t="str">
        <f>I4</f>
        <v>For the 12 months ended: 12/31/2021</v>
      </c>
      <c r="Y52" s="87"/>
      <c r="Z52" s="84"/>
      <c r="AA52" s="87"/>
      <c r="AB52" s="84"/>
    </row>
    <row r="53" spans="11:28">
      <c r="K53" s="86"/>
      <c r="M53" s="1"/>
      <c r="N53" s="9"/>
      <c r="O53" s="9"/>
      <c r="P53" s="9"/>
      <c r="Q53" s="2"/>
      <c r="R53" s="9"/>
      <c r="S53" s="9"/>
      <c r="T53" s="9"/>
      <c r="U53" s="9"/>
      <c r="W53" s="2"/>
      <c r="Y53" s="87"/>
      <c r="Z53" s="84"/>
      <c r="AA53" s="87"/>
      <c r="AB53" s="84"/>
    </row>
    <row r="54" spans="11:28">
      <c r="K54" s="70" t="str">
        <f>A6</f>
        <v>Rate Formula Template</v>
      </c>
      <c r="L54" s="174"/>
      <c r="M54" s="174"/>
      <c r="N54" s="146"/>
      <c r="O54" s="70"/>
      <c r="P54" s="70"/>
      <c r="Q54" s="174"/>
      <c r="R54" s="70"/>
      <c r="S54" s="70"/>
      <c r="T54" s="70"/>
      <c r="U54" s="70"/>
      <c r="V54" s="174"/>
      <c r="W54" s="145"/>
      <c r="X54" s="174"/>
      <c r="Y54" s="87"/>
      <c r="Z54" s="84"/>
      <c r="AA54" s="87"/>
      <c r="AB54" s="84"/>
    </row>
    <row r="55" spans="11:28">
      <c r="K55" s="70" t="str">
        <f>A7</f>
        <v>Utilizing Attachment H-22A Data</v>
      </c>
      <c r="L55" s="174"/>
      <c r="M55" s="146"/>
      <c r="N55" s="146"/>
      <c r="O55" s="70"/>
      <c r="P55" s="70"/>
      <c r="Q55" s="174"/>
      <c r="R55" s="70"/>
      <c r="S55" s="70"/>
      <c r="T55" s="70"/>
      <c r="U55" s="70"/>
      <c r="V55" s="145"/>
      <c r="W55" s="145"/>
      <c r="X55" s="174"/>
      <c r="Y55" s="87"/>
      <c r="Z55" s="84"/>
      <c r="AA55" s="87"/>
      <c r="AB55" s="84"/>
    </row>
    <row r="56" spans="11:28" ht="14.25" customHeight="1">
      <c r="K56" s="173"/>
      <c r="M56" s="9"/>
      <c r="N56" s="9"/>
      <c r="O56" s="9"/>
      <c r="P56" s="9"/>
      <c r="R56" s="70"/>
      <c r="S56" s="9"/>
      <c r="T56" s="9"/>
      <c r="U56" s="9"/>
      <c r="W56" s="2"/>
      <c r="X56" s="9"/>
      <c r="Y56" s="87"/>
      <c r="Z56" s="84"/>
      <c r="AA56" s="87"/>
      <c r="AB56" s="84"/>
    </row>
    <row r="57" spans="11:28">
      <c r="K57" s="70" t="str">
        <f>A9</f>
        <v>DUKE ENERGY KENTUCKY (DEK)</v>
      </c>
      <c r="L57" s="174"/>
      <c r="M57" s="174"/>
      <c r="N57" s="174"/>
      <c r="O57" s="70"/>
      <c r="P57" s="70"/>
      <c r="Q57" s="174"/>
      <c r="R57" s="70"/>
      <c r="S57" s="70"/>
      <c r="T57" s="70"/>
      <c r="U57" s="70"/>
      <c r="V57" s="70"/>
      <c r="W57" s="145"/>
      <c r="X57" s="145"/>
      <c r="Y57" s="87"/>
      <c r="Z57" s="84"/>
      <c r="AA57" s="87"/>
      <c r="AB57" s="84"/>
    </row>
    <row r="58" spans="11:28">
      <c r="K58" s="70" t="str">
        <f>A10</f>
        <v>RTEP - Transmission Enhancement Charges</v>
      </c>
      <c r="L58" s="174"/>
      <c r="M58" s="174"/>
      <c r="N58" s="174"/>
      <c r="O58" s="146"/>
      <c r="P58" s="146"/>
      <c r="Q58" s="146"/>
      <c r="R58" s="146"/>
      <c r="S58" s="146"/>
      <c r="T58" s="146"/>
      <c r="U58" s="146"/>
      <c r="V58" s="146"/>
      <c r="W58" s="146"/>
      <c r="X58" s="146"/>
      <c r="Y58" s="87"/>
      <c r="Z58" s="84"/>
      <c r="AA58" s="87"/>
      <c r="AB58" s="84"/>
    </row>
    <row r="59" spans="11:28">
      <c r="K59" s="86"/>
      <c r="O59" s="1"/>
      <c r="P59" s="1"/>
      <c r="Q59" s="1"/>
      <c r="R59" s="1"/>
      <c r="S59" s="1"/>
      <c r="T59" s="1"/>
      <c r="U59" s="1"/>
      <c r="V59" s="1"/>
      <c r="W59" s="1"/>
      <c r="X59" s="1"/>
      <c r="Y59" s="87"/>
      <c r="Z59" s="84"/>
      <c r="AA59" s="87"/>
      <c r="AB59" s="84"/>
    </row>
    <row r="60" spans="11:28" ht="15.75">
      <c r="K60" s="175" t="s">
        <v>269</v>
      </c>
      <c r="L60" s="174"/>
      <c r="M60" s="70"/>
      <c r="N60" s="70"/>
      <c r="O60" s="174"/>
      <c r="P60" s="175"/>
      <c r="Q60" s="174"/>
      <c r="R60" s="146"/>
      <c r="S60" s="146"/>
      <c r="T60" s="146"/>
      <c r="U60" s="146"/>
      <c r="V60" s="146"/>
      <c r="W60" s="145"/>
      <c r="X60" s="145"/>
      <c r="Y60" s="87"/>
      <c r="Z60" s="84"/>
      <c r="AA60" s="87"/>
      <c r="AB60" s="84"/>
    </row>
    <row r="61" spans="11:28" ht="15.75">
      <c r="K61" s="86"/>
      <c r="M61" s="9"/>
      <c r="N61" s="9"/>
      <c r="O61" s="10"/>
      <c r="P61" s="10"/>
      <c r="R61" s="1"/>
      <c r="S61" s="1"/>
      <c r="T61" s="1"/>
      <c r="U61" s="1"/>
      <c r="V61" s="1"/>
      <c r="W61" s="2"/>
      <c r="X61" s="2"/>
      <c r="Y61" s="87"/>
      <c r="Z61" s="84"/>
      <c r="AA61" s="87"/>
      <c r="AB61" s="84"/>
    </row>
    <row r="62" spans="11:28" ht="15.75">
      <c r="K62" s="86"/>
      <c r="M62" s="108">
        <v>-1</v>
      </c>
      <c r="N62" s="108">
        <v>-2</v>
      </c>
      <c r="O62" s="108">
        <v>-3</v>
      </c>
      <c r="P62" s="108">
        <v>-4</v>
      </c>
      <c r="Q62" s="108">
        <v>-5</v>
      </c>
      <c r="R62" s="108">
        <v>-6</v>
      </c>
      <c r="S62" s="108">
        <v>-7</v>
      </c>
      <c r="T62" s="108">
        <v>-8</v>
      </c>
      <c r="U62" s="108">
        <v>-9</v>
      </c>
      <c r="V62" s="108">
        <v>-10</v>
      </c>
      <c r="W62" s="108">
        <v>-11</v>
      </c>
      <c r="X62" s="108">
        <v>-12</v>
      </c>
      <c r="Y62" s="87"/>
      <c r="Z62" s="84"/>
      <c r="AA62" s="87"/>
      <c r="AB62" s="84"/>
    </row>
    <row r="63" spans="11:28" ht="63">
      <c r="K63" s="109" t="s">
        <v>225</v>
      </c>
      <c r="L63" s="110"/>
      <c r="M63" s="110" t="s">
        <v>206</v>
      </c>
      <c r="N63" s="111" t="s">
        <v>336</v>
      </c>
      <c r="O63" s="112" t="s">
        <v>227</v>
      </c>
      <c r="P63" s="112" t="s">
        <v>220</v>
      </c>
      <c r="Q63" s="113" t="s">
        <v>228</v>
      </c>
      <c r="R63" s="112" t="s">
        <v>229</v>
      </c>
      <c r="S63" s="112" t="s">
        <v>224</v>
      </c>
      <c r="T63" s="113" t="s">
        <v>230</v>
      </c>
      <c r="U63" s="112" t="s">
        <v>231</v>
      </c>
      <c r="V63" s="114" t="s">
        <v>232</v>
      </c>
      <c r="W63" s="115" t="s">
        <v>233</v>
      </c>
      <c r="X63" s="114" t="s">
        <v>234</v>
      </c>
      <c r="Y63" s="96"/>
      <c r="Z63" s="84"/>
      <c r="AA63" s="87"/>
      <c r="AB63" s="84"/>
    </row>
    <row r="64" spans="11:28" ht="46.5" customHeight="1">
      <c r="K64" s="116"/>
      <c r="L64" s="117"/>
      <c r="M64" s="117"/>
      <c r="N64" s="117"/>
      <c r="O64" s="118" t="s">
        <v>16</v>
      </c>
      <c r="P64" s="118" t="s">
        <v>694</v>
      </c>
      <c r="Q64" s="119" t="s">
        <v>235</v>
      </c>
      <c r="R64" s="118" t="s">
        <v>17</v>
      </c>
      <c r="S64" s="118" t="s">
        <v>695</v>
      </c>
      <c r="T64" s="119" t="s">
        <v>236</v>
      </c>
      <c r="U64" s="118" t="s">
        <v>237</v>
      </c>
      <c r="V64" s="119" t="s">
        <v>238</v>
      </c>
      <c r="W64" s="120" t="s">
        <v>203</v>
      </c>
      <c r="X64" s="121" t="s">
        <v>239</v>
      </c>
      <c r="Y64" s="87"/>
      <c r="Z64" s="84"/>
      <c r="AA64" s="87"/>
      <c r="AB64" s="84"/>
    </row>
    <row r="65" spans="11:31">
      <c r="K65" s="122"/>
      <c r="L65" s="1"/>
      <c r="M65" s="1"/>
      <c r="N65" s="1"/>
      <c r="O65" s="1"/>
      <c r="P65" s="1"/>
      <c r="Q65" s="123"/>
      <c r="R65" s="1"/>
      <c r="S65" s="1"/>
      <c r="T65" s="123"/>
      <c r="U65" s="1"/>
      <c r="V65" s="123"/>
      <c r="W65" s="2"/>
      <c r="X65" s="124"/>
      <c r="Y65" s="87"/>
      <c r="Z65" s="84"/>
      <c r="AA65" s="87"/>
      <c r="AB65" s="84"/>
    </row>
    <row r="66" spans="11:31">
      <c r="K66" s="611" t="s">
        <v>1</v>
      </c>
      <c r="L66" s="255"/>
      <c r="M66" s="255"/>
      <c r="N66" s="255"/>
      <c r="O66" s="160">
        <v>0</v>
      </c>
      <c r="P66" s="94">
        <f>$I$35</f>
        <v>3.2774935435769731E-2</v>
      </c>
      <c r="Q66" s="565">
        <f>ROUND(O66*P66,0)</f>
        <v>0</v>
      </c>
      <c r="R66" s="126">
        <v>0</v>
      </c>
      <c r="S66" s="94">
        <f>$I$45</f>
        <v>7.5046101456679296E-2</v>
      </c>
      <c r="T66" s="565">
        <f>ROUND(R66*S66,0)</f>
        <v>0</v>
      </c>
      <c r="U66" s="566">
        <v>0</v>
      </c>
      <c r="V66" s="565">
        <f>Q66+T66+U66</f>
        <v>0</v>
      </c>
      <c r="W66" s="128">
        <v>0</v>
      </c>
      <c r="X66" s="565">
        <f>V66+W66</f>
        <v>0</v>
      </c>
      <c r="Y66" s="129"/>
      <c r="Z66" s="129"/>
      <c r="AA66" s="129"/>
      <c r="AB66" s="129"/>
      <c r="AC66" s="129"/>
      <c r="AD66" s="129"/>
      <c r="AE66" s="129"/>
    </row>
    <row r="67" spans="11:31">
      <c r="K67" s="611" t="s">
        <v>242</v>
      </c>
      <c r="L67" s="255"/>
      <c r="M67" s="255"/>
      <c r="N67" s="255"/>
      <c r="O67" s="160">
        <v>0</v>
      </c>
      <c r="P67" s="94">
        <f>$I$35</f>
        <v>3.2774935435769731E-2</v>
      </c>
      <c r="Q67" s="565">
        <f t="shared" ref="Q67:Q68" si="0">ROUND(O67*P67,0)</f>
        <v>0</v>
      </c>
      <c r="R67" s="126">
        <v>0</v>
      </c>
      <c r="S67" s="94">
        <f>$I$45</f>
        <v>7.5046101456679296E-2</v>
      </c>
      <c r="T67" s="565">
        <f t="shared" ref="T67:T68" si="1">ROUND(R67*S67,0)</f>
        <v>0</v>
      </c>
      <c r="U67" s="566">
        <v>0</v>
      </c>
      <c r="V67" s="565">
        <f>Q67+T67+U67</f>
        <v>0</v>
      </c>
      <c r="W67" s="128">
        <v>0</v>
      </c>
      <c r="X67" s="565">
        <f>V67+W67</f>
        <v>0</v>
      </c>
      <c r="Y67" s="129"/>
      <c r="Z67" s="129"/>
      <c r="AA67" s="129"/>
      <c r="AB67" s="129"/>
      <c r="AC67" s="129"/>
      <c r="AD67" s="129"/>
      <c r="AE67" s="129"/>
    </row>
    <row r="68" spans="11:31">
      <c r="K68" s="611" t="s">
        <v>245</v>
      </c>
      <c r="L68" s="255"/>
      <c r="M68" s="255"/>
      <c r="N68" s="255"/>
      <c r="O68" s="160">
        <v>0</v>
      </c>
      <c r="P68" s="94">
        <f>$I$35</f>
        <v>3.2774935435769731E-2</v>
      </c>
      <c r="Q68" s="565">
        <f t="shared" si="0"/>
        <v>0</v>
      </c>
      <c r="R68" s="126">
        <v>0</v>
      </c>
      <c r="S68" s="94">
        <f>$I$45</f>
        <v>7.5046101456679296E-2</v>
      </c>
      <c r="T68" s="565">
        <f t="shared" si="1"/>
        <v>0</v>
      </c>
      <c r="U68" s="566">
        <v>0</v>
      </c>
      <c r="V68" s="565">
        <f>Q68+T68+U68</f>
        <v>0</v>
      </c>
      <c r="W68" s="126">
        <v>0</v>
      </c>
      <c r="X68" s="565">
        <f>V68+W68</f>
        <v>0</v>
      </c>
      <c r="Y68" s="129"/>
      <c r="Z68" s="129"/>
      <c r="AA68" s="129"/>
      <c r="AB68" s="129"/>
      <c r="AC68" s="129"/>
      <c r="AD68" s="129"/>
      <c r="AE68" s="129"/>
    </row>
    <row r="69" spans="11:31">
      <c r="K69" s="125"/>
      <c r="Q69" s="127"/>
      <c r="T69" s="127"/>
      <c r="V69" s="127"/>
      <c r="X69" s="127"/>
      <c r="Y69" s="129"/>
      <c r="Z69" s="129"/>
      <c r="AA69" s="129"/>
      <c r="AB69" s="129"/>
      <c r="AC69" s="129"/>
      <c r="AD69" s="129"/>
      <c r="AE69" s="129"/>
    </row>
    <row r="70" spans="11:31">
      <c r="K70" s="125"/>
      <c r="Q70" s="127"/>
      <c r="T70" s="127"/>
      <c r="V70" s="127"/>
      <c r="X70" s="127"/>
      <c r="Y70" s="129"/>
      <c r="Z70" s="129"/>
      <c r="AA70" s="129"/>
      <c r="AB70" s="129"/>
      <c r="AC70" s="129"/>
      <c r="AD70" s="129"/>
      <c r="AE70" s="129"/>
    </row>
    <row r="71" spans="11:31">
      <c r="K71" s="125"/>
      <c r="Q71" s="127"/>
      <c r="T71" s="127"/>
      <c r="V71" s="127"/>
      <c r="X71" s="127"/>
      <c r="Y71" s="129"/>
      <c r="Z71" s="129"/>
      <c r="AA71" s="129"/>
      <c r="AB71" s="129"/>
      <c r="AC71" s="129"/>
      <c r="AD71" s="129"/>
      <c r="AE71" s="129"/>
    </row>
    <row r="72" spans="11:31">
      <c r="K72" s="125"/>
      <c r="Q72" s="127"/>
      <c r="T72" s="127"/>
      <c r="V72" s="127"/>
      <c r="X72" s="127"/>
      <c r="Y72" s="129"/>
      <c r="Z72" s="129"/>
      <c r="AA72" s="129"/>
      <c r="AB72" s="129"/>
      <c r="AC72" s="129"/>
      <c r="AD72" s="129"/>
      <c r="AE72" s="129"/>
    </row>
    <row r="73" spans="11:31">
      <c r="K73" s="125"/>
      <c r="Q73" s="127"/>
      <c r="T73" s="127"/>
      <c r="V73" s="127"/>
      <c r="X73" s="127"/>
      <c r="Y73" s="129"/>
      <c r="Z73" s="129"/>
      <c r="AA73" s="129"/>
      <c r="AB73" s="129"/>
      <c r="AC73" s="129"/>
      <c r="AD73" s="129"/>
      <c r="AE73" s="129"/>
    </row>
    <row r="74" spans="11:31">
      <c r="K74" s="125"/>
      <c r="M74" s="129"/>
      <c r="N74" s="129"/>
      <c r="O74" s="129"/>
      <c r="P74" s="129"/>
      <c r="Q74" s="130"/>
      <c r="R74" s="129"/>
      <c r="S74" s="129"/>
      <c r="T74" s="130"/>
      <c r="U74" s="129"/>
      <c r="V74" s="130"/>
      <c r="W74" s="129"/>
      <c r="X74" s="130"/>
      <c r="Y74" s="129"/>
      <c r="Z74" s="129"/>
      <c r="AA74" s="129"/>
      <c r="AB74" s="129"/>
      <c r="AC74" s="129"/>
      <c r="AD74" s="129"/>
      <c r="AE74" s="129"/>
    </row>
    <row r="75" spans="11:31">
      <c r="K75" s="125"/>
      <c r="M75" s="129"/>
      <c r="N75" s="129"/>
      <c r="O75" s="129"/>
      <c r="P75" s="129"/>
      <c r="Q75" s="130"/>
      <c r="R75" s="129"/>
      <c r="S75" s="129"/>
      <c r="T75" s="130"/>
      <c r="U75" s="129"/>
      <c r="V75" s="130"/>
      <c r="W75" s="129"/>
      <c r="X75" s="130"/>
      <c r="Y75" s="129"/>
      <c r="Z75" s="129"/>
      <c r="AA75" s="129"/>
      <c r="AB75" s="129"/>
      <c r="AC75" s="129"/>
      <c r="AD75" s="129"/>
      <c r="AE75" s="129"/>
    </row>
    <row r="76" spans="11:31">
      <c r="K76" s="125"/>
      <c r="M76" s="129"/>
      <c r="N76" s="129"/>
      <c r="O76" s="129"/>
      <c r="P76" s="129"/>
      <c r="Q76" s="130"/>
      <c r="R76" s="129"/>
      <c r="S76" s="129"/>
      <c r="T76" s="130"/>
      <c r="U76" s="129"/>
      <c r="V76" s="130"/>
      <c r="W76" s="129"/>
      <c r="X76" s="130"/>
      <c r="Y76" s="129"/>
      <c r="Z76" s="129"/>
      <c r="AA76" s="129"/>
      <c r="AB76" s="129"/>
      <c r="AC76" s="129"/>
      <c r="AD76" s="129"/>
      <c r="AE76" s="129"/>
    </row>
    <row r="77" spans="11:31">
      <c r="K77" s="125"/>
      <c r="M77" s="129"/>
      <c r="N77" s="129"/>
      <c r="O77" s="129"/>
      <c r="P77" s="129"/>
      <c r="Q77" s="130"/>
      <c r="R77" s="129"/>
      <c r="S77" s="129"/>
      <c r="T77" s="130"/>
      <c r="U77" s="129"/>
      <c r="V77" s="130"/>
      <c r="W77" s="129"/>
      <c r="X77" s="130"/>
      <c r="Y77" s="129"/>
      <c r="Z77" s="129"/>
      <c r="AA77" s="129"/>
      <c r="AB77" s="129"/>
      <c r="AC77" s="129"/>
      <c r="AD77" s="129"/>
      <c r="AE77" s="129"/>
    </row>
    <row r="78" spans="11:31">
      <c r="K78" s="125"/>
      <c r="M78" s="129"/>
      <c r="N78" s="129"/>
      <c r="O78" s="129"/>
      <c r="P78" s="129"/>
      <c r="Q78" s="130"/>
      <c r="R78" s="129"/>
      <c r="S78" s="129"/>
      <c r="T78" s="130"/>
      <c r="U78" s="129"/>
      <c r="V78" s="130"/>
      <c r="W78" s="129"/>
      <c r="X78" s="130"/>
      <c r="Y78" s="129"/>
      <c r="Z78" s="129"/>
      <c r="AA78" s="129"/>
      <c r="AB78" s="129"/>
      <c r="AC78" s="129"/>
      <c r="AD78" s="129"/>
      <c r="AE78" s="129"/>
    </row>
    <row r="79" spans="11:31">
      <c r="K79" s="125"/>
      <c r="M79" s="129"/>
      <c r="N79" s="129"/>
      <c r="O79" s="129"/>
      <c r="P79" s="129"/>
      <c r="Q79" s="130"/>
      <c r="R79" s="129"/>
      <c r="S79" s="129"/>
      <c r="T79" s="130"/>
      <c r="U79" s="129"/>
      <c r="V79" s="130"/>
      <c r="W79" s="129"/>
      <c r="X79" s="130"/>
      <c r="Y79" s="129"/>
      <c r="Z79" s="129"/>
      <c r="AA79" s="129"/>
      <c r="AB79" s="129"/>
      <c r="AC79" s="129"/>
      <c r="AD79" s="129"/>
      <c r="AE79" s="129"/>
    </row>
    <row r="80" spans="11:31">
      <c r="K80" s="125"/>
      <c r="M80" s="129"/>
      <c r="N80" s="129"/>
      <c r="O80" s="129"/>
      <c r="P80" s="129"/>
      <c r="Q80" s="130"/>
      <c r="R80" s="129"/>
      <c r="S80" s="129"/>
      <c r="T80" s="130"/>
      <c r="U80" s="129"/>
      <c r="V80" s="130"/>
      <c r="W80" s="129"/>
      <c r="X80" s="130"/>
      <c r="Y80" s="129"/>
      <c r="Z80" s="129"/>
      <c r="AA80" s="129"/>
      <c r="AB80" s="129"/>
      <c r="AC80" s="129"/>
      <c r="AD80" s="129"/>
      <c r="AE80" s="129"/>
    </row>
    <row r="81" spans="11:31">
      <c r="K81" s="125"/>
      <c r="M81" s="129"/>
      <c r="N81" s="129"/>
      <c r="O81" s="129"/>
      <c r="P81" s="129"/>
      <c r="Q81" s="130"/>
      <c r="R81" s="129"/>
      <c r="S81" s="129"/>
      <c r="T81" s="130"/>
      <c r="U81" s="129"/>
      <c r="V81" s="130"/>
      <c r="W81" s="129"/>
      <c r="X81" s="130"/>
      <c r="Y81" s="129"/>
      <c r="Z81" s="129"/>
      <c r="AA81" s="129"/>
      <c r="AB81" s="129"/>
      <c r="AC81" s="129"/>
      <c r="AD81" s="129"/>
      <c r="AE81" s="129"/>
    </row>
    <row r="82" spans="11:31">
      <c r="K82" s="125"/>
      <c r="M82" s="129"/>
      <c r="N82" s="129"/>
      <c r="O82" s="129"/>
      <c r="P82" s="129"/>
      <c r="Q82" s="130"/>
      <c r="R82" s="129"/>
      <c r="S82" s="129"/>
      <c r="T82" s="130"/>
      <c r="U82" s="129"/>
      <c r="V82" s="130"/>
      <c r="W82" s="129"/>
      <c r="X82" s="130"/>
      <c r="Y82" s="129"/>
      <c r="Z82" s="129"/>
      <c r="AA82" s="129"/>
      <c r="AB82" s="129"/>
      <c r="AC82" s="129"/>
      <c r="AD82" s="129"/>
      <c r="AE82" s="129"/>
    </row>
    <row r="83" spans="11:31">
      <c r="K83" s="125"/>
      <c r="M83" s="129"/>
      <c r="N83" s="129"/>
      <c r="O83" s="129"/>
      <c r="P83" s="129"/>
      <c r="Q83" s="130"/>
      <c r="R83" s="129"/>
      <c r="S83" s="129"/>
      <c r="T83" s="130"/>
      <c r="U83" s="129"/>
      <c r="V83" s="130"/>
      <c r="W83" s="129"/>
      <c r="X83" s="130"/>
      <c r="Y83" s="129"/>
      <c r="Z83" s="129"/>
      <c r="AA83" s="129"/>
      <c r="AB83" s="129"/>
      <c r="AC83" s="129"/>
      <c r="AD83" s="129"/>
      <c r="AE83" s="129"/>
    </row>
    <row r="84" spans="11:31">
      <c r="K84" s="125"/>
      <c r="M84" s="129"/>
      <c r="N84" s="129"/>
      <c r="O84" s="129"/>
      <c r="P84" s="129"/>
      <c r="Q84" s="130"/>
      <c r="R84" s="129"/>
      <c r="S84" s="129"/>
      <c r="T84" s="130"/>
      <c r="U84" s="129"/>
      <c r="V84" s="130"/>
      <c r="W84" s="129"/>
      <c r="X84" s="130"/>
      <c r="Y84" s="129"/>
      <c r="Z84" s="129"/>
      <c r="AA84" s="129"/>
      <c r="AB84" s="129"/>
      <c r="AC84" s="129"/>
      <c r="AD84" s="129"/>
      <c r="AE84" s="129"/>
    </row>
    <row r="85" spans="11:31">
      <c r="K85" s="131"/>
      <c r="L85" s="132"/>
      <c r="M85" s="133"/>
      <c r="N85" s="133"/>
      <c r="O85" s="133"/>
      <c r="P85" s="133"/>
      <c r="Q85" s="134"/>
      <c r="R85" s="133"/>
      <c r="S85" s="133"/>
      <c r="T85" s="134"/>
      <c r="U85" s="133"/>
      <c r="V85" s="134"/>
      <c r="W85" s="133"/>
      <c r="X85" s="134"/>
      <c r="Y85" s="129"/>
      <c r="Z85" s="129"/>
      <c r="AA85" s="129"/>
      <c r="AB85" s="129"/>
      <c r="AC85" s="129"/>
      <c r="AD85" s="129"/>
      <c r="AE85" s="129"/>
    </row>
    <row r="86" spans="11:31">
      <c r="K86" s="5" t="s">
        <v>248</v>
      </c>
      <c r="L86" s="102"/>
      <c r="M86" s="1" t="s">
        <v>249</v>
      </c>
      <c r="N86" s="1"/>
      <c r="O86" s="67"/>
      <c r="P86" s="67"/>
      <c r="Q86" s="2"/>
      <c r="R86" s="2"/>
      <c r="S86" s="2"/>
      <c r="T86" s="2"/>
      <c r="U86" s="2"/>
      <c r="V86" s="9">
        <f>SUM(V66:V85)</f>
        <v>0</v>
      </c>
      <c r="W86" s="9">
        <f>SUM(W66:W85)</f>
        <v>0</v>
      </c>
      <c r="X86" s="9">
        <f>SUM(X66:X85)</f>
        <v>0</v>
      </c>
      <c r="Y86" s="129"/>
      <c r="Z86" s="129"/>
      <c r="AA86" s="129"/>
      <c r="AB86" s="129"/>
      <c r="AC86" s="129"/>
      <c r="AD86" s="129"/>
      <c r="AE86" s="129"/>
    </row>
    <row r="87" spans="11:31">
      <c r="K87" s="52"/>
      <c r="L87" s="129"/>
      <c r="M87" s="129"/>
      <c r="N87" s="129"/>
      <c r="O87" s="129"/>
      <c r="P87" s="129"/>
      <c r="Q87" s="129"/>
      <c r="R87" s="129"/>
      <c r="S87" s="129"/>
      <c r="T87" s="129"/>
      <c r="U87" s="129"/>
      <c r="V87" s="129"/>
      <c r="W87" s="129"/>
      <c r="X87" s="129"/>
      <c r="Y87" s="129"/>
      <c r="Z87" s="129"/>
      <c r="AA87" s="129"/>
      <c r="AB87" s="129"/>
      <c r="AC87" s="129"/>
      <c r="AD87" s="129"/>
      <c r="AE87" s="129"/>
    </row>
    <row r="88" spans="11:31">
      <c r="K88" s="135">
        <v>3</v>
      </c>
      <c r="L88" s="129"/>
      <c r="M88" s="9" t="s">
        <v>534</v>
      </c>
      <c r="N88" s="129"/>
      <c r="O88" s="129"/>
      <c r="P88" s="129"/>
      <c r="Q88" s="129"/>
      <c r="R88" s="129"/>
      <c r="S88" s="129"/>
      <c r="T88" s="129"/>
      <c r="U88" s="129"/>
      <c r="V88" s="9"/>
      <c r="W88" s="129"/>
      <c r="X88" s="9">
        <f>X86</f>
        <v>0</v>
      </c>
      <c r="Y88" s="129"/>
      <c r="Z88" s="129"/>
      <c r="AA88" s="129"/>
      <c r="AB88" s="129"/>
      <c r="AC88" s="129"/>
      <c r="AD88" s="129"/>
      <c r="AE88" s="129"/>
    </row>
    <row r="89" spans="11:31">
      <c r="K89" s="129"/>
      <c r="L89" s="129"/>
      <c r="M89" s="129"/>
      <c r="N89" s="129"/>
      <c r="O89" s="129"/>
      <c r="P89" s="129"/>
      <c r="Q89" s="129"/>
      <c r="R89" s="129"/>
      <c r="S89" s="129"/>
      <c r="T89" s="129"/>
      <c r="U89" s="129"/>
      <c r="V89" s="129"/>
      <c r="W89" s="129"/>
      <c r="X89" s="129"/>
      <c r="Y89" s="129"/>
      <c r="Z89" s="129"/>
      <c r="AA89" s="129"/>
      <c r="AB89" s="129"/>
      <c r="AC89" s="129"/>
      <c r="AD89" s="129"/>
      <c r="AE89" s="129"/>
    </row>
    <row r="90" spans="11:31">
      <c r="K90" s="129"/>
      <c r="L90" s="129"/>
      <c r="M90" s="129"/>
      <c r="N90" s="129"/>
      <c r="O90" s="129"/>
      <c r="P90" s="129"/>
      <c r="Q90" s="129"/>
      <c r="R90" s="129"/>
      <c r="S90" s="129"/>
      <c r="T90" s="129"/>
      <c r="U90" s="129"/>
      <c r="V90" s="129"/>
      <c r="W90" s="129"/>
      <c r="X90" s="129"/>
      <c r="Y90" s="129"/>
      <c r="Z90" s="129"/>
      <c r="AA90" s="129"/>
      <c r="AB90" s="129"/>
      <c r="AC90" s="129"/>
      <c r="AD90" s="129"/>
      <c r="AE90" s="129"/>
    </row>
    <row r="91" spans="11:31">
      <c r="K91" s="67" t="s">
        <v>94</v>
      </c>
      <c r="L91" s="129"/>
      <c r="M91" s="129"/>
      <c r="N91" s="129"/>
      <c r="O91" s="129"/>
      <c r="P91" s="129"/>
      <c r="Q91" s="129"/>
      <c r="R91" s="129"/>
      <c r="S91" s="129"/>
      <c r="T91" s="129"/>
      <c r="U91" s="129"/>
      <c r="V91" s="129"/>
      <c r="W91" s="129"/>
      <c r="X91" s="129"/>
      <c r="Y91" s="129"/>
      <c r="Z91" s="129"/>
      <c r="AA91" s="129"/>
      <c r="AB91" s="129"/>
      <c r="AC91" s="129"/>
      <c r="AD91" s="129"/>
      <c r="AE91" s="129"/>
    </row>
    <row r="92" spans="11:31" ht="15.75" thickBot="1">
      <c r="K92" s="492" t="s">
        <v>95</v>
      </c>
      <c r="L92" s="129"/>
      <c r="M92" s="129"/>
      <c r="N92" s="129"/>
      <c r="O92" s="129"/>
      <c r="P92" s="129"/>
      <c r="Q92" s="129"/>
      <c r="R92" s="129"/>
      <c r="S92" s="129"/>
      <c r="T92" s="129"/>
      <c r="U92" s="129"/>
      <c r="V92" s="129"/>
      <c r="W92" s="129"/>
      <c r="X92" s="129"/>
      <c r="Y92" s="129"/>
      <c r="Z92" s="129"/>
      <c r="AA92" s="129"/>
      <c r="AB92" s="129"/>
      <c r="AC92" s="129"/>
      <c r="AD92" s="129"/>
      <c r="AE92" s="129"/>
    </row>
    <row r="93" spans="11:31">
      <c r="K93" s="136" t="s">
        <v>96</v>
      </c>
      <c r="L93" s="66"/>
      <c r="M93" s="1033" t="s">
        <v>573</v>
      </c>
      <c r="N93" s="1034"/>
      <c r="O93" s="1034"/>
      <c r="P93" s="1034"/>
      <c r="Q93" s="1034"/>
      <c r="R93" s="1034"/>
      <c r="S93" s="1034"/>
      <c r="T93" s="1034"/>
      <c r="U93" s="1034"/>
      <c r="V93" s="1034"/>
      <c r="W93" s="1034"/>
      <c r="X93" s="1034"/>
      <c r="Y93" s="129"/>
      <c r="Z93" s="129"/>
      <c r="AA93" s="129"/>
      <c r="AB93" s="129"/>
      <c r="AC93" s="129"/>
      <c r="AD93" s="129"/>
      <c r="AE93" s="129"/>
    </row>
    <row r="94" spans="11:31">
      <c r="K94" s="136" t="s">
        <v>97</v>
      </c>
      <c r="L94" s="66"/>
      <c r="M94" s="1033" t="s">
        <v>574</v>
      </c>
      <c r="N94" s="1034"/>
      <c r="O94" s="1034"/>
      <c r="P94" s="1034"/>
      <c r="Q94" s="1034"/>
      <c r="R94" s="1034"/>
      <c r="S94" s="1034"/>
      <c r="T94" s="1034"/>
      <c r="U94" s="1034"/>
      <c r="V94" s="1034"/>
      <c r="W94" s="1034"/>
      <c r="X94" s="1034"/>
      <c r="Y94" s="129"/>
      <c r="Z94" s="129"/>
      <c r="AA94" s="129"/>
      <c r="AB94" s="129"/>
      <c r="AC94" s="129"/>
      <c r="AD94" s="129"/>
      <c r="AE94" s="129"/>
    </row>
    <row r="95" spans="11:31" ht="27.75" customHeight="1">
      <c r="K95" s="137" t="s">
        <v>98</v>
      </c>
      <c r="L95" s="66"/>
      <c r="M95" s="1035" t="s">
        <v>250</v>
      </c>
      <c r="N95" s="1035"/>
      <c r="O95" s="1035"/>
      <c r="P95" s="1035"/>
      <c r="Q95" s="1035"/>
      <c r="R95" s="1035"/>
      <c r="S95" s="1035"/>
      <c r="T95" s="1035"/>
      <c r="U95" s="1035"/>
      <c r="V95" s="1035"/>
      <c r="W95" s="1035"/>
      <c r="X95" s="1035"/>
      <c r="Y95" s="129"/>
      <c r="Z95" s="129"/>
      <c r="AA95" s="129"/>
      <c r="AB95" s="129"/>
      <c r="AC95" s="129"/>
      <c r="AD95" s="129"/>
      <c r="AE95" s="129"/>
    </row>
    <row r="96" spans="11:31" ht="15" customHeight="1">
      <c r="K96" s="137" t="s">
        <v>99</v>
      </c>
      <c r="L96" s="66"/>
      <c r="M96" s="1035" t="s">
        <v>251</v>
      </c>
      <c r="N96" s="1035"/>
      <c r="O96" s="1035"/>
      <c r="P96" s="1035"/>
      <c r="Q96" s="1035"/>
      <c r="R96" s="1035"/>
      <c r="S96" s="1035"/>
      <c r="T96" s="1035"/>
      <c r="U96" s="1035"/>
      <c r="V96" s="1035"/>
      <c r="W96" s="1035"/>
      <c r="X96" s="1035"/>
      <c r="Y96" s="129"/>
      <c r="Z96" s="129"/>
      <c r="AA96" s="129"/>
      <c r="AB96" s="129"/>
      <c r="AC96" s="129"/>
      <c r="AD96" s="129"/>
      <c r="AE96" s="129"/>
    </row>
    <row r="97" spans="3:31">
      <c r="K97" s="136" t="s">
        <v>100</v>
      </c>
      <c r="L97" s="66"/>
      <c r="M97" s="1034" t="s">
        <v>312</v>
      </c>
      <c r="N97" s="1034"/>
      <c r="O97" s="1034"/>
      <c r="P97" s="1034"/>
      <c r="Q97" s="1034"/>
      <c r="R97" s="1034"/>
      <c r="S97" s="1034"/>
      <c r="T97" s="1034"/>
      <c r="U97" s="1034"/>
      <c r="V97" s="1034"/>
      <c r="W97" s="1034"/>
      <c r="X97" s="1034"/>
      <c r="Y97" s="129"/>
      <c r="Z97" s="129"/>
      <c r="AA97" s="129"/>
      <c r="AB97" s="129"/>
      <c r="AC97" s="129"/>
      <c r="AD97" s="129"/>
      <c r="AE97" s="129"/>
    </row>
    <row r="98" spans="3:31">
      <c r="K98" s="136" t="s">
        <v>101</v>
      </c>
      <c r="L98" s="66"/>
      <c r="M98" s="1034" t="s">
        <v>252</v>
      </c>
      <c r="N98" s="1034"/>
      <c r="O98" s="1034"/>
      <c r="P98" s="1034"/>
      <c r="Q98" s="1034"/>
      <c r="R98" s="1034"/>
      <c r="S98" s="1034"/>
      <c r="T98" s="1034"/>
      <c r="U98" s="1034"/>
      <c r="V98" s="1034"/>
      <c r="W98" s="1034"/>
      <c r="X98" s="1034"/>
      <c r="Y98" s="129"/>
      <c r="Z98" s="129"/>
      <c r="AA98" s="129"/>
      <c r="AB98" s="129"/>
      <c r="AC98" s="129"/>
      <c r="AD98" s="129"/>
      <c r="AE98" s="129"/>
    </row>
    <row r="99" spans="3:31">
      <c r="K99" s="136" t="s">
        <v>102</v>
      </c>
      <c r="L99" s="66"/>
      <c r="M99" s="1033" t="s">
        <v>533</v>
      </c>
      <c r="N99" s="1034"/>
      <c r="O99" s="1034"/>
      <c r="P99" s="1034"/>
      <c r="Q99" s="1034"/>
      <c r="R99" s="1034"/>
      <c r="S99" s="1034"/>
      <c r="T99" s="1034"/>
      <c r="U99" s="1034"/>
      <c r="V99" s="1034"/>
      <c r="W99" s="1034"/>
      <c r="X99" s="1034"/>
      <c r="Y99" s="129"/>
      <c r="Z99" s="129"/>
      <c r="AA99" s="129"/>
      <c r="AB99" s="129"/>
      <c r="AC99" s="129"/>
      <c r="AD99" s="129"/>
      <c r="AE99" s="129"/>
    </row>
    <row r="100" spans="3:31">
      <c r="K100" s="248" t="s">
        <v>103</v>
      </c>
      <c r="M100" s="1033" t="s">
        <v>334</v>
      </c>
      <c r="N100" s="1033"/>
      <c r="O100" s="1033"/>
      <c r="P100" s="1033"/>
      <c r="Q100" s="1033"/>
      <c r="R100" s="1033"/>
      <c r="S100" s="1033"/>
      <c r="T100" s="1033"/>
      <c r="U100" s="1033"/>
      <c r="V100" s="1033"/>
      <c r="W100" s="1033"/>
      <c r="X100" s="1033"/>
      <c r="Y100" s="129"/>
      <c r="Z100" s="129"/>
      <c r="AA100" s="129"/>
      <c r="AB100" s="129"/>
      <c r="AC100" s="129"/>
      <c r="AD100" s="129"/>
      <c r="AE100" s="129"/>
    </row>
    <row r="101" spans="3:31" ht="15.75">
      <c r="K101" s="104"/>
      <c r="L101" s="138"/>
      <c r="M101" s="139"/>
      <c r="N101" s="97"/>
      <c r="O101" s="67"/>
      <c r="P101" s="67"/>
      <c r="Q101" s="2"/>
      <c r="R101" s="9"/>
      <c r="S101" s="9"/>
      <c r="T101" s="93"/>
      <c r="U101" s="9"/>
      <c r="W101" s="2"/>
      <c r="X101" s="105"/>
      <c r="Y101" s="129"/>
      <c r="Z101" s="129"/>
      <c r="AA101" s="129"/>
      <c r="AB101" s="129"/>
      <c r="AC101" s="129"/>
      <c r="AD101" s="129"/>
      <c r="AE101" s="129"/>
    </row>
    <row r="102" spans="3:31" ht="15.75">
      <c r="K102" s="104"/>
      <c r="L102" s="138"/>
      <c r="M102" s="139"/>
      <c r="N102" s="97"/>
      <c r="O102" s="67"/>
      <c r="P102" s="67"/>
      <c r="Q102" s="2"/>
      <c r="R102" s="9"/>
      <c r="S102" s="9"/>
      <c r="T102" s="93"/>
      <c r="U102" s="9"/>
      <c r="W102" s="2"/>
      <c r="X102" s="95"/>
      <c r="Y102" s="129"/>
      <c r="Z102" s="129"/>
      <c r="AA102" s="129"/>
      <c r="AB102" s="129"/>
      <c r="AC102" s="129"/>
      <c r="AD102" s="129"/>
      <c r="AE102" s="129"/>
    </row>
    <row r="103" spans="3:31">
      <c r="M103" s="129"/>
      <c r="N103" s="129"/>
      <c r="O103" s="129"/>
      <c r="P103" s="129"/>
      <c r="Q103" s="129"/>
      <c r="R103" s="129"/>
      <c r="S103" s="129"/>
      <c r="T103" s="129"/>
      <c r="U103" s="129"/>
      <c r="V103" s="129"/>
      <c r="W103" s="129"/>
      <c r="X103" s="129"/>
      <c r="Y103" s="129"/>
      <c r="Z103" s="129"/>
      <c r="AA103" s="129"/>
      <c r="AB103" s="129"/>
      <c r="AC103" s="129"/>
      <c r="AD103" s="129"/>
      <c r="AE103" s="129"/>
    </row>
    <row r="104" spans="3:31">
      <c r="M104" s="129"/>
      <c r="N104" s="129"/>
      <c r="O104" s="129"/>
      <c r="P104" s="129"/>
      <c r="Q104" s="129"/>
      <c r="R104" s="129"/>
      <c r="S104" s="129"/>
      <c r="T104" s="129"/>
      <c r="U104" s="129"/>
      <c r="V104" s="129"/>
      <c r="W104" s="129"/>
      <c r="X104" s="129"/>
      <c r="Y104" s="129"/>
      <c r="Z104" s="129"/>
      <c r="AA104" s="129"/>
      <c r="AB104" s="129"/>
      <c r="AC104" s="129"/>
      <c r="AD104" s="129"/>
      <c r="AE104" s="129"/>
    </row>
    <row r="105" spans="3:31">
      <c r="M105" s="129"/>
      <c r="N105" s="129"/>
      <c r="O105" s="129"/>
      <c r="P105" s="129"/>
      <c r="Q105" s="129"/>
      <c r="R105" s="129"/>
      <c r="S105" s="129"/>
      <c r="T105" s="129"/>
      <c r="U105" s="129"/>
      <c r="V105" s="129"/>
      <c r="W105" s="129"/>
      <c r="X105" s="129"/>
      <c r="Y105" s="129"/>
      <c r="Z105" s="129"/>
      <c r="AA105" s="129"/>
      <c r="AB105" s="129"/>
      <c r="AC105" s="129"/>
      <c r="AD105" s="129"/>
      <c r="AE105" s="129"/>
    </row>
    <row r="106" spans="3:31">
      <c r="M106" s="129"/>
      <c r="N106" s="129"/>
      <c r="O106" s="129"/>
      <c r="P106" s="129"/>
      <c r="Q106" s="129"/>
      <c r="R106" s="129"/>
      <c r="S106" s="129"/>
      <c r="T106" s="129"/>
      <c r="U106" s="129"/>
      <c r="V106" s="129"/>
      <c r="W106" s="129"/>
      <c r="X106" s="129"/>
      <c r="Y106" s="129"/>
      <c r="Z106" s="129"/>
      <c r="AA106" s="129"/>
      <c r="AB106" s="129"/>
      <c r="AC106" s="129"/>
      <c r="AD106" s="129"/>
      <c r="AE106" s="129"/>
    </row>
    <row r="107" spans="3:31">
      <c r="M107" s="129"/>
      <c r="N107" s="129"/>
      <c r="O107" s="129"/>
      <c r="P107" s="129"/>
      <c r="Q107" s="129"/>
      <c r="R107" s="129"/>
      <c r="S107" s="129"/>
      <c r="T107" s="129"/>
      <c r="U107" s="129"/>
      <c r="V107" s="129"/>
      <c r="W107" s="129"/>
      <c r="X107" s="129"/>
      <c r="Y107" s="129"/>
      <c r="Z107" s="129"/>
      <c r="AA107" s="129"/>
      <c r="AB107" s="129"/>
      <c r="AC107" s="129"/>
      <c r="AD107" s="129"/>
      <c r="AE107" s="129"/>
    </row>
    <row r="108" spans="3:31">
      <c r="C108" s="129"/>
      <c r="D108" s="129"/>
      <c r="E108" s="129"/>
      <c r="F108" s="129"/>
      <c r="G108" s="129"/>
      <c r="H108" s="129"/>
      <c r="I108" s="129"/>
      <c r="J108" s="129"/>
    </row>
    <row r="109" spans="3:31">
      <c r="C109" s="129"/>
      <c r="D109" s="129"/>
      <c r="E109" s="129"/>
      <c r="F109" s="129"/>
      <c r="G109" s="129"/>
      <c r="H109" s="129"/>
      <c r="I109" s="129"/>
      <c r="J109" s="129"/>
    </row>
    <row r="110" spans="3:31">
      <c r="C110" s="129"/>
      <c r="D110" s="129"/>
      <c r="E110" s="129"/>
      <c r="F110" s="129"/>
      <c r="G110" s="129"/>
      <c r="H110" s="129"/>
      <c r="I110" s="129"/>
      <c r="J110" s="129"/>
    </row>
    <row r="111" spans="3:31">
      <c r="C111" s="129"/>
      <c r="D111" s="129"/>
      <c r="E111" s="129"/>
      <c r="F111" s="129"/>
      <c r="G111" s="129"/>
      <c r="H111" s="129"/>
      <c r="I111" s="129"/>
      <c r="J111" s="129"/>
    </row>
    <row r="112" spans="3:31">
      <c r="C112" s="129"/>
      <c r="D112" s="129"/>
      <c r="E112" s="129"/>
      <c r="F112" s="129"/>
      <c r="G112" s="129"/>
      <c r="H112" s="129"/>
      <c r="I112" s="129"/>
      <c r="J112" s="129"/>
    </row>
    <row r="113" spans="3:10">
      <c r="C113" s="129"/>
      <c r="D113" s="129"/>
      <c r="E113" s="129"/>
      <c r="F113" s="129"/>
      <c r="G113" s="129"/>
      <c r="H113" s="129"/>
      <c r="I113" s="129"/>
      <c r="J113" s="129"/>
    </row>
    <row r="114" spans="3:10">
      <c r="C114" s="129"/>
      <c r="D114" s="129"/>
      <c r="E114" s="129"/>
      <c r="F114" s="129"/>
      <c r="G114" s="129"/>
      <c r="H114" s="129"/>
      <c r="I114" s="129"/>
      <c r="J114" s="129"/>
    </row>
    <row r="115" spans="3:10">
      <c r="C115" s="129"/>
      <c r="D115" s="129"/>
      <c r="E115" s="129"/>
      <c r="F115" s="129"/>
      <c r="G115" s="129"/>
      <c r="H115" s="129"/>
      <c r="I115" s="129"/>
      <c r="J115" s="129"/>
    </row>
    <row r="116" spans="3:10">
      <c r="C116" s="129"/>
      <c r="D116" s="129"/>
      <c r="E116" s="129"/>
      <c r="F116" s="129"/>
      <c r="G116" s="129"/>
      <c r="H116" s="129"/>
      <c r="I116" s="129"/>
      <c r="J116" s="129"/>
    </row>
    <row r="117" spans="3:10">
      <c r="C117" s="129"/>
      <c r="D117" s="129"/>
      <c r="E117" s="129"/>
      <c r="F117" s="129"/>
      <c r="G117" s="129"/>
      <c r="H117" s="129"/>
      <c r="I117" s="129"/>
      <c r="J117" s="129"/>
    </row>
    <row r="118" spans="3:10">
      <c r="C118" s="129"/>
      <c r="D118" s="129"/>
      <c r="E118" s="129"/>
      <c r="F118" s="129"/>
      <c r="G118" s="129"/>
      <c r="H118" s="129"/>
      <c r="I118" s="129"/>
      <c r="J118" s="129"/>
    </row>
    <row r="119" spans="3:10">
      <c r="C119" s="129"/>
      <c r="D119" s="129"/>
      <c r="E119" s="129"/>
      <c r="F119" s="129"/>
      <c r="G119" s="129"/>
      <c r="H119" s="129"/>
      <c r="I119" s="129"/>
      <c r="J119" s="129"/>
    </row>
    <row r="120" spans="3:10">
      <c r="C120" s="129"/>
      <c r="D120" s="129"/>
      <c r="E120" s="129"/>
      <c r="F120" s="129"/>
      <c r="G120" s="129"/>
      <c r="H120" s="129"/>
      <c r="I120" s="129"/>
      <c r="J120" s="129"/>
    </row>
    <row r="121" spans="3:10">
      <c r="C121" s="129"/>
      <c r="D121" s="129"/>
      <c r="E121" s="129"/>
      <c r="F121" s="129"/>
      <c r="G121" s="129"/>
      <c r="H121" s="129"/>
      <c r="I121" s="129"/>
      <c r="J121" s="129"/>
    </row>
    <row r="122" spans="3:10">
      <c r="C122" s="129"/>
      <c r="D122" s="129"/>
      <c r="E122" s="129"/>
      <c r="F122" s="129"/>
      <c r="G122" s="129"/>
      <c r="H122" s="129"/>
      <c r="I122" s="129"/>
      <c r="J122" s="129"/>
    </row>
    <row r="123" spans="3:10">
      <c r="C123" s="129"/>
      <c r="D123" s="129"/>
      <c r="E123" s="129"/>
      <c r="F123" s="129"/>
      <c r="G123" s="129"/>
      <c r="H123" s="129"/>
      <c r="I123" s="129"/>
      <c r="J123" s="129"/>
    </row>
    <row r="124" spans="3:10">
      <c r="C124" s="129"/>
      <c r="D124" s="129"/>
      <c r="E124" s="129"/>
      <c r="F124" s="129"/>
      <c r="G124" s="129"/>
      <c r="H124" s="129"/>
      <c r="I124" s="129"/>
      <c r="J124" s="129"/>
    </row>
    <row r="125" spans="3:10">
      <c r="C125" s="129"/>
      <c r="D125" s="129"/>
      <c r="E125" s="129"/>
      <c r="F125" s="129"/>
      <c r="G125" s="129"/>
      <c r="H125" s="129"/>
      <c r="I125" s="129"/>
      <c r="J125" s="129"/>
    </row>
    <row r="126" spans="3:10">
      <c r="C126" s="129"/>
      <c r="D126" s="129"/>
      <c r="E126" s="129"/>
      <c r="F126" s="129"/>
      <c r="G126" s="129"/>
      <c r="H126" s="129"/>
      <c r="I126" s="129"/>
      <c r="J126" s="129"/>
    </row>
    <row r="127" spans="3:10">
      <c r="C127" s="129"/>
      <c r="D127" s="129"/>
      <c r="E127" s="129"/>
      <c r="F127" s="129"/>
      <c r="G127" s="129"/>
      <c r="H127" s="129"/>
      <c r="I127" s="129"/>
      <c r="J127" s="129"/>
    </row>
    <row r="128" spans="3:10">
      <c r="C128" s="129"/>
      <c r="D128" s="129"/>
      <c r="E128" s="129"/>
      <c r="F128" s="129"/>
      <c r="G128" s="129"/>
      <c r="H128" s="129"/>
      <c r="I128" s="129"/>
      <c r="J128" s="129"/>
    </row>
    <row r="129" spans="3:10">
      <c r="C129" s="129"/>
      <c r="D129" s="129"/>
      <c r="E129" s="129"/>
      <c r="F129" s="129"/>
      <c r="G129" s="129"/>
      <c r="H129" s="129"/>
      <c r="I129" s="129"/>
      <c r="J129" s="129"/>
    </row>
    <row r="130" spans="3:10">
      <c r="C130" s="129"/>
      <c r="D130" s="129"/>
      <c r="E130" s="129"/>
      <c r="F130" s="129"/>
      <c r="G130" s="129"/>
      <c r="H130" s="129"/>
      <c r="I130" s="129"/>
      <c r="J130" s="129"/>
    </row>
    <row r="131" spans="3:10">
      <c r="C131" s="129"/>
      <c r="D131" s="129"/>
      <c r="E131" s="129"/>
      <c r="F131" s="129"/>
      <c r="G131" s="129"/>
      <c r="H131" s="129"/>
      <c r="I131" s="129"/>
      <c r="J131" s="129"/>
    </row>
    <row r="132" spans="3:10">
      <c r="C132" s="129"/>
      <c r="D132" s="129"/>
      <c r="E132" s="129"/>
      <c r="F132" s="129"/>
      <c r="G132" s="129"/>
      <c r="H132" s="129"/>
      <c r="I132" s="129"/>
      <c r="J132" s="129"/>
    </row>
    <row r="133" spans="3:10">
      <c r="C133" s="129"/>
      <c r="D133" s="129"/>
      <c r="E133" s="129"/>
      <c r="F133" s="129"/>
      <c r="G133" s="129"/>
      <c r="H133" s="129"/>
      <c r="I133" s="129"/>
      <c r="J133" s="129"/>
    </row>
    <row r="134" spans="3:10">
      <c r="C134" s="129"/>
      <c r="D134" s="129"/>
      <c r="E134" s="129"/>
      <c r="F134" s="129"/>
      <c r="G134" s="129"/>
      <c r="H134" s="129"/>
      <c r="I134" s="129"/>
      <c r="J134" s="129"/>
    </row>
    <row r="135" spans="3:10">
      <c r="C135" s="129"/>
      <c r="D135" s="129"/>
      <c r="E135" s="129"/>
      <c r="F135" s="129"/>
      <c r="G135" s="129"/>
      <c r="H135" s="129"/>
      <c r="I135" s="129"/>
      <c r="J135" s="129"/>
    </row>
    <row r="136" spans="3:10">
      <c r="C136" s="129"/>
      <c r="D136" s="129"/>
      <c r="E136" s="129"/>
      <c r="F136" s="129"/>
      <c r="G136" s="129"/>
      <c r="H136" s="129"/>
      <c r="I136" s="129"/>
      <c r="J136" s="129"/>
    </row>
    <row r="137" spans="3:10">
      <c r="C137" s="129"/>
      <c r="D137" s="129"/>
      <c r="E137" s="129"/>
      <c r="F137" s="129"/>
      <c r="G137" s="129"/>
      <c r="H137" s="129"/>
      <c r="I137" s="129"/>
      <c r="J137" s="129"/>
    </row>
    <row r="138" spans="3:10">
      <c r="C138" s="129"/>
      <c r="D138" s="129"/>
      <c r="E138" s="129"/>
      <c r="F138" s="129"/>
      <c r="G138" s="129"/>
      <c r="H138" s="129"/>
      <c r="I138" s="129"/>
      <c r="J138" s="129"/>
    </row>
    <row r="139" spans="3:10">
      <c r="C139" s="129"/>
      <c r="D139" s="129"/>
      <c r="E139" s="129"/>
      <c r="F139" s="129"/>
      <c r="G139" s="129"/>
      <c r="H139" s="129"/>
      <c r="I139" s="129"/>
      <c r="J139" s="129"/>
    </row>
    <row r="140" spans="3:10">
      <c r="C140" s="129"/>
      <c r="D140" s="129"/>
      <c r="E140" s="129"/>
      <c r="F140" s="129"/>
      <c r="G140" s="129"/>
      <c r="H140" s="129"/>
      <c r="I140" s="129"/>
      <c r="J140" s="129"/>
    </row>
    <row r="141" spans="3:10">
      <c r="C141" s="129"/>
      <c r="D141" s="129"/>
      <c r="E141" s="129"/>
      <c r="F141" s="129"/>
      <c r="G141" s="129"/>
      <c r="H141" s="129"/>
      <c r="I141" s="129"/>
      <c r="J141" s="129"/>
    </row>
    <row r="142" spans="3:10">
      <c r="C142" s="129"/>
      <c r="D142" s="129"/>
      <c r="E142" s="129"/>
      <c r="F142" s="129"/>
      <c r="G142" s="129"/>
      <c r="H142" s="129"/>
      <c r="I142" s="129"/>
      <c r="J142" s="129"/>
    </row>
    <row r="143" spans="3:10">
      <c r="C143" s="129"/>
      <c r="D143" s="129"/>
      <c r="E143" s="129"/>
      <c r="F143" s="129"/>
      <c r="G143" s="129"/>
      <c r="H143" s="129"/>
      <c r="I143" s="129"/>
      <c r="J143" s="129"/>
    </row>
    <row r="144" spans="3:10">
      <c r="C144" s="129"/>
      <c r="D144" s="129"/>
      <c r="E144" s="129"/>
      <c r="F144" s="129"/>
      <c r="G144" s="129"/>
      <c r="H144" s="129"/>
      <c r="I144" s="129"/>
      <c r="J144" s="129"/>
    </row>
    <row r="145" spans="3:10">
      <c r="C145" s="129"/>
      <c r="D145" s="129"/>
      <c r="E145" s="129"/>
      <c r="F145" s="129"/>
      <c r="G145" s="129"/>
      <c r="H145" s="129"/>
      <c r="I145" s="129"/>
      <c r="J145" s="129"/>
    </row>
    <row r="146" spans="3:10">
      <c r="C146" s="129"/>
      <c r="D146" s="129"/>
      <c r="E146" s="129"/>
      <c r="F146" s="129"/>
      <c r="G146" s="129"/>
      <c r="H146" s="129"/>
      <c r="I146" s="129"/>
      <c r="J146" s="129"/>
    </row>
    <row r="147" spans="3:10">
      <c r="C147" s="129"/>
      <c r="D147" s="129"/>
      <c r="E147" s="129"/>
      <c r="F147" s="129"/>
      <c r="G147" s="129"/>
      <c r="H147" s="129"/>
      <c r="I147" s="129"/>
      <c r="J147" s="129"/>
    </row>
    <row r="148" spans="3:10">
      <c r="C148" s="129"/>
      <c r="D148" s="129"/>
      <c r="E148" s="129"/>
      <c r="F148" s="129"/>
      <c r="G148" s="129"/>
      <c r="H148" s="129"/>
      <c r="I148" s="129"/>
      <c r="J148" s="129"/>
    </row>
    <row r="149" spans="3:10">
      <c r="C149" s="129"/>
      <c r="D149" s="129"/>
      <c r="E149" s="129"/>
      <c r="F149" s="129"/>
      <c r="G149" s="129"/>
      <c r="H149" s="129"/>
      <c r="I149" s="129"/>
      <c r="J149" s="129"/>
    </row>
    <row r="150" spans="3:10">
      <c r="C150" s="129"/>
      <c r="D150" s="129"/>
      <c r="E150" s="129"/>
      <c r="F150" s="129"/>
      <c r="G150" s="129"/>
      <c r="H150" s="129"/>
      <c r="I150" s="129"/>
      <c r="J150" s="129"/>
    </row>
    <row r="151" spans="3:10">
      <c r="C151" s="129"/>
      <c r="D151" s="129"/>
      <c r="E151" s="129"/>
      <c r="F151" s="129"/>
      <c r="G151" s="129"/>
      <c r="H151" s="129"/>
      <c r="I151" s="129"/>
      <c r="J151" s="129"/>
    </row>
    <row r="152" spans="3:10">
      <c r="C152" s="129"/>
      <c r="D152" s="129"/>
      <c r="E152" s="129"/>
      <c r="F152" s="129"/>
      <c r="G152" s="129"/>
      <c r="H152" s="129"/>
      <c r="I152" s="129"/>
      <c r="J152" s="129"/>
    </row>
    <row r="153" spans="3:10">
      <c r="C153" s="129"/>
      <c r="D153" s="129"/>
      <c r="E153" s="129"/>
      <c r="F153" s="129"/>
      <c r="G153" s="129"/>
      <c r="H153" s="129"/>
      <c r="I153" s="129"/>
      <c r="J153" s="129"/>
    </row>
    <row r="154" spans="3:10">
      <c r="C154" s="129"/>
      <c r="D154" s="129"/>
      <c r="E154" s="129"/>
      <c r="F154" s="129"/>
      <c r="G154" s="129"/>
      <c r="H154" s="129"/>
      <c r="I154" s="129"/>
      <c r="J154" s="129"/>
    </row>
    <row r="155" spans="3:10">
      <c r="C155" s="129"/>
      <c r="D155" s="129"/>
      <c r="E155" s="129"/>
      <c r="F155" s="129"/>
      <c r="G155" s="129"/>
      <c r="H155" s="129"/>
      <c r="I155" s="129"/>
      <c r="J155" s="129"/>
    </row>
    <row r="156" spans="3:10">
      <c r="C156" s="129"/>
      <c r="D156" s="129"/>
      <c r="E156" s="129"/>
      <c r="F156" s="129"/>
      <c r="G156" s="129"/>
      <c r="H156" s="129"/>
      <c r="I156" s="129"/>
      <c r="J156" s="129"/>
    </row>
    <row r="157" spans="3:10">
      <c r="C157" s="129"/>
      <c r="D157" s="129"/>
      <c r="E157" s="129"/>
      <c r="F157" s="129"/>
      <c r="G157" s="129"/>
      <c r="H157" s="129"/>
      <c r="I157" s="129"/>
      <c r="J157" s="129"/>
    </row>
    <row r="158" spans="3:10">
      <c r="C158" s="129"/>
      <c r="D158" s="129"/>
      <c r="E158" s="129"/>
      <c r="F158" s="129"/>
      <c r="G158" s="129"/>
      <c r="H158" s="129"/>
      <c r="I158" s="129"/>
      <c r="J158" s="129"/>
    </row>
    <row r="159" spans="3:10">
      <c r="C159" s="129"/>
      <c r="D159" s="129"/>
      <c r="E159" s="129"/>
      <c r="F159" s="129"/>
      <c r="G159" s="129"/>
      <c r="H159" s="129"/>
      <c r="I159" s="129"/>
      <c r="J159" s="129"/>
    </row>
    <row r="160" spans="3:10">
      <c r="C160" s="129"/>
      <c r="D160" s="129"/>
      <c r="E160" s="129"/>
      <c r="F160" s="129"/>
      <c r="G160" s="129"/>
      <c r="H160" s="129"/>
      <c r="I160" s="129"/>
      <c r="J160" s="129"/>
    </row>
    <row r="161" spans="3:10">
      <c r="C161" s="129"/>
      <c r="D161" s="129"/>
      <c r="E161" s="129"/>
      <c r="F161" s="129"/>
      <c r="G161" s="129"/>
      <c r="H161" s="129"/>
      <c r="I161" s="129"/>
      <c r="J161" s="129"/>
    </row>
    <row r="162" spans="3:10">
      <c r="C162" s="129"/>
      <c r="D162" s="129"/>
      <c r="E162" s="129"/>
      <c r="F162" s="129"/>
      <c r="G162" s="129"/>
      <c r="H162" s="129"/>
      <c r="I162" s="129"/>
      <c r="J162" s="129"/>
    </row>
    <row r="163" spans="3:10">
      <c r="C163" s="129"/>
      <c r="D163" s="129"/>
      <c r="E163" s="129"/>
      <c r="F163" s="129"/>
      <c r="G163" s="129"/>
      <c r="H163" s="129"/>
      <c r="I163" s="129"/>
      <c r="J163" s="129"/>
    </row>
    <row r="164" spans="3:10">
      <c r="C164" s="129"/>
      <c r="D164" s="129"/>
      <c r="E164" s="129"/>
      <c r="F164" s="129"/>
      <c r="G164" s="129"/>
      <c r="H164" s="129"/>
      <c r="I164" s="129"/>
      <c r="J164" s="129"/>
    </row>
    <row r="165" spans="3:10">
      <c r="C165" s="129"/>
      <c r="D165" s="129"/>
      <c r="E165" s="129"/>
      <c r="F165" s="129"/>
      <c r="G165" s="129"/>
      <c r="H165" s="129"/>
      <c r="I165" s="129"/>
      <c r="J165" s="129"/>
    </row>
    <row r="166" spans="3:10">
      <c r="C166" s="129"/>
      <c r="D166" s="129"/>
      <c r="E166" s="129"/>
      <c r="F166" s="129"/>
      <c r="G166" s="129"/>
      <c r="H166" s="129"/>
      <c r="I166" s="129"/>
      <c r="J166" s="129"/>
    </row>
    <row r="167" spans="3:10">
      <c r="C167" s="129"/>
      <c r="D167" s="129"/>
      <c r="E167" s="129"/>
      <c r="F167" s="129"/>
      <c r="G167" s="129"/>
      <c r="H167" s="129"/>
      <c r="I167" s="129"/>
      <c r="J167" s="129"/>
    </row>
    <row r="168" spans="3:10">
      <c r="C168" s="129"/>
      <c r="D168" s="129"/>
      <c r="E168" s="129"/>
      <c r="F168" s="129"/>
      <c r="G168" s="129"/>
      <c r="H168" s="129"/>
      <c r="I168" s="129"/>
      <c r="J168" s="129"/>
    </row>
    <row r="169" spans="3:10">
      <c r="C169" s="129"/>
      <c r="D169" s="129"/>
      <c r="E169" s="129"/>
      <c r="F169" s="129"/>
      <c r="G169" s="129"/>
      <c r="H169" s="129"/>
      <c r="I169" s="129"/>
      <c r="J169" s="129"/>
    </row>
    <row r="170" spans="3:10">
      <c r="C170" s="129"/>
      <c r="D170" s="129"/>
      <c r="E170" s="129"/>
      <c r="F170" s="129"/>
      <c r="G170" s="129"/>
      <c r="H170" s="129"/>
      <c r="I170" s="129"/>
      <c r="J170" s="129"/>
    </row>
    <row r="171" spans="3:10">
      <c r="C171" s="129"/>
      <c r="D171" s="129"/>
      <c r="E171" s="129"/>
      <c r="F171" s="129"/>
      <c r="G171" s="129"/>
      <c r="H171" s="129"/>
      <c r="I171" s="129"/>
      <c r="J171" s="129"/>
    </row>
    <row r="172" spans="3:10">
      <c r="C172" s="129"/>
      <c r="D172" s="129"/>
      <c r="E172" s="129"/>
      <c r="F172" s="129"/>
      <c r="G172" s="129"/>
      <c r="H172" s="129"/>
      <c r="I172" s="129"/>
      <c r="J172" s="129"/>
    </row>
    <row r="173" spans="3:10">
      <c r="C173" s="129"/>
      <c r="D173" s="129"/>
      <c r="E173" s="129"/>
      <c r="F173" s="129"/>
      <c r="G173" s="129"/>
      <c r="H173" s="129"/>
      <c r="I173" s="129"/>
      <c r="J173" s="129"/>
    </row>
    <row r="174" spans="3:10">
      <c r="C174" s="129"/>
      <c r="D174" s="129"/>
      <c r="E174" s="129"/>
      <c r="F174" s="129"/>
      <c r="G174" s="129"/>
      <c r="H174" s="129"/>
      <c r="I174" s="129"/>
      <c r="J174" s="129"/>
    </row>
    <row r="175" spans="3:10">
      <c r="C175" s="129"/>
      <c r="D175" s="129"/>
      <c r="E175" s="129"/>
      <c r="F175" s="129"/>
      <c r="G175" s="129"/>
      <c r="H175" s="129"/>
      <c r="I175" s="129"/>
      <c r="J175" s="129"/>
    </row>
    <row r="176" spans="3:10">
      <c r="C176" s="129"/>
      <c r="D176" s="129"/>
      <c r="E176" s="129"/>
      <c r="F176" s="129"/>
      <c r="G176" s="129"/>
      <c r="H176" s="129"/>
      <c r="I176" s="129"/>
      <c r="J176" s="129"/>
    </row>
    <row r="177" spans="3:10">
      <c r="C177" s="129"/>
      <c r="D177" s="129"/>
      <c r="E177" s="129"/>
      <c r="F177" s="129"/>
      <c r="G177" s="129"/>
      <c r="H177" s="129"/>
      <c r="I177" s="129"/>
      <c r="J177" s="129"/>
    </row>
    <row r="178" spans="3:10">
      <c r="C178" s="129"/>
      <c r="D178" s="129"/>
      <c r="E178" s="129"/>
      <c r="F178" s="129"/>
      <c r="G178" s="129"/>
      <c r="H178" s="129"/>
      <c r="I178" s="129"/>
      <c r="J178" s="129"/>
    </row>
    <row r="179" spans="3:10">
      <c r="C179" s="129"/>
      <c r="D179" s="129"/>
      <c r="E179" s="129"/>
      <c r="F179" s="129"/>
      <c r="G179" s="129"/>
      <c r="H179" s="129"/>
      <c r="I179" s="129"/>
      <c r="J179" s="129"/>
    </row>
    <row r="180" spans="3:10">
      <c r="C180" s="129"/>
      <c r="D180" s="129"/>
      <c r="E180" s="129"/>
      <c r="F180" s="129"/>
      <c r="G180" s="129"/>
      <c r="H180" s="129"/>
      <c r="I180" s="129"/>
      <c r="J180" s="129"/>
    </row>
    <row r="181" spans="3:10">
      <c r="C181" s="129"/>
      <c r="D181" s="129"/>
      <c r="E181" s="129"/>
      <c r="F181" s="129"/>
      <c r="G181" s="129"/>
      <c r="H181" s="129"/>
      <c r="I181" s="129"/>
      <c r="J181" s="129"/>
    </row>
    <row r="182" spans="3:10">
      <c r="C182" s="129"/>
      <c r="D182" s="129"/>
      <c r="E182" s="129"/>
      <c r="F182" s="129"/>
      <c r="G182" s="129"/>
      <c r="H182" s="129"/>
      <c r="I182" s="129"/>
      <c r="J182" s="129"/>
    </row>
    <row r="183" spans="3:10">
      <c r="C183" s="129"/>
      <c r="D183" s="129"/>
      <c r="E183" s="129"/>
      <c r="F183" s="129"/>
      <c r="G183" s="129"/>
      <c r="H183" s="129"/>
      <c r="I183" s="129"/>
      <c r="J183" s="129"/>
    </row>
    <row r="184" spans="3:10">
      <c r="C184" s="129"/>
      <c r="D184" s="129"/>
      <c r="E184" s="129"/>
      <c r="F184" s="129"/>
      <c r="G184" s="129"/>
      <c r="H184" s="129"/>
      <c r="I184" s="129"/>
      <c r="J184" s="129"/>
    </row>
    <row r="185" spans="3:10">
      <c r="C185" s="129"/>
      <c r="D185" s="129"/>
      <c r="E185" s="129"/>
      <c r="F185" s="129"/>
      <c r="G185" s="129"/>
      <c r="H185" s="129"/>
      <c r="I185" s="129"/>
      <c r="J185" s="129"/>
    </row>
    <row r="186" spans="3:10">
      <c r="C186" s="129"/>
      <c r="D186" s="129"/>
      <c r="E186" s="129"/>
      <c r="F186" s="129"/>
      <c r="G186" s="129"/>
      <c r="H186" s="129"/>
      <c r="I186" s="129"/>
      <c r="J186" s="129"/>
    </row>
    <row r="187" spans="3:10">
      <c r="C187" s="129"/>
      <c r="D187" s="129"/>
      <c r="E187" s="129"/>
      <c r="F187" s="129"/>
      <c r="G187" s="129"/>
      <c r="H187" s="129"/>
      <c r="I187" s="129"/>
      <c r="J187" s="129"/>
    </row>
    <row r="188" spans="3:10">
      <c r="C188" s="129"/>
      <c r="D188" s="129"/>
      <c r="E188" s="129"/>
      <c r="F188" s="129"/>
      <c r="G188" s="129"/>
      <c r="H188" s="129"/>
      <c r="I188" s="129"/>
      <c r="J188" s="129"/>
    </row>
    <row r="189" spans="3:10">
      <c r="C189" s="129"/>
      <c r="D189" s="129"/>
      <c r="E189" s="129"/>
      <c r="F189" s="129"/>
      <c r="G189" s="129"/>
      <c r="H189" s="129"/>
      <c r="I189" s="129"/>
      <c r="J189" s="129"/>
    </row>
    <row r="190" spans="3:10">
      <c r="C190" s="129"/>
      <c r="D190" s="129"/>
      <c r="E190" s="129"/>
      <c r="F190" s="129"/>
      <c r="G190" s="129"/>
      <c r="H190" s="129"/>
      <c r="I190" s="129"/>
      <c r="J190" s="129"/>
    </row>
    <row r="191" spans="3:10">
      <c r="C191" s="129"/>
      <c r="D191" s="129"/>
      <c r="E191" s="129"/>
      <c r="F191" s="129"/>
      <c r="G191" s="129"/>
      <c r="H191" s="129"/>
      <c r="I191" s="129"/>
      <c r="J191" s="129"/>
    </row>
    <row r="192" spans="3:10">
      <c r="C192" s="129"/>
      <c r="D192" s="129"/>
      <c r="E192" s="129"/>
      <c r="F192" s="129"/>
      <c r="G192" s="129"/>
      <c r="H192" s="129"/>
      <c r="I192" s="129"/>
      <c r="J192" s="129"/>
    </row>
    <row r="193" spans="3:10">
      <c r="C193" s="129"/>
      <c r="D193" s="129"/>
      <c r="E193" s="129"/>
      <c r="F193" s="129"/>
      <c r="G193" s="129"/>
      <c r="H193" s="129"/>
      <c r="I193" s="129"/>
      <c r="J193" s="129"/>
    </row>
    <row r="194" spans="3:10">
      <c r="C194" s="129"/>
      <c r="D194" s="129"/>
      <c r="E194" s="129"/>
      <c r="F194" s="129"/>
      <c r="G194" s="129"/>
      <c r="H194" s="129"/>
      <c r="I194" s="129"/>
      <c r="J194" s="129"/>
    </row>
    <row r="195" spans="3:10">
      <c r="C195" s="129"/>
      <c r="D195" s="129"/>
      <c r="E195" s="129"/>
      <c r="F195" s="129"/>
      <c r="G195" s="129"/>
      <c r="H195" s="129"/>
      <c r="I195" s="129"/>
      <c r="J195" s="129"/>
    </row>
    <row r="196" spans="3:10">
      <c r="C196" s="129"/>
      <c r="D196" s="129"/>
      <c r="E196" s="129"/>
      <c r="F196" s="129"/>
      <c r="G196" s="129"/>
      <c r="H196" s="129"/>
      <c r="I196" s="129"/>
      <c r="J196" s="129"/>
    </row>
    <row r="197" spans="3:10">
      <c r="C197" s="129"/>
      <c r="D197" s="129"/>
      <c r="E197" s="129"/>
      <c r="F197" s="129"/>
      <c r="G197" s="129"/>
      <c r="H197" s="129"/>
      <c r="I197" s="129"/>
      <c r="J197" s="129"/>
    </row>
    <row r="198" spans="3:10">
      <c r="C198" s="129"/>
      <c r="D198" s="129"/>
      <c r="E198" s="129"/>
      <c r="F198" s="129"/>
      <c r="G198" s="129"/>
      <c r="H198" s="129"/>
      <c r="I198" s="129"/>
      <c r="J198" s="129"/>
    </row>
    <row r="199" spans="3:10">
      <c r="C199" s="129"/>
      <c r="D199" s="129"/>
      <c r="E199" s="129"/>
      <c r="F199" s="129"/>
      <c r="G199" s="129"/>
      <c r="H199" s="129"/>
      <c r="I199" s="129"/>
      <c r="J199" s="129"/>
    </row>
    <row r="200" spans="3:10">
      <c r="C200" s="129"/>
      <c r="D200" s="129"/>
      <c r="E200" s="129"/>
      <c r="F200" s="129"/>
      <c r="G200" s="129"/>
      <c r="H200" s="129"/>
      <c r="I200" s="129"/>
      <c r="J200" s="129"/>
    </row>
    <row r="201" spans="3:10">
      <c r="C201" s="129"/>
      <c r="D201" s="129"/>
      <c r="E201" s="129"/>
      <c r="F201" s="129"/>
      <c r="G201" s="129"/>
      <c r="H201" s="129"/>
      <c r="I201" s="129"/>
      <c r="J201" s="129"/>
    </row>
    <row r="202" spans="3:10">
      <c r="C202" s="129"/>
      <c r="D202" s="129"/>
      <c r="E202" s="129"/>
      <c r="F202" s="129"/>
      <c r="G202" s="129"/>
      <c r="H202" s="129"/>
      <c r="I202" s="129"/>
      <c r="J202" s="129"/>
    </row>
    <row r="203" spans="3:10">
      <c r="C203" s="129"/>
      <c r="D203" s="129"/>
      <c r="E203" s="129"/>
      <c r="F203" s="129"/>
      <c r="G203" s="129"/>
      <c r="H203" s="129"/>
      <c r="I203" s="129"/>
      <c r="J203" s="129"/>
    </row>
    <row r="204" spans="3:10">
      <c r="C204" s="129"/>
      <c r="D204" s="129"/>
      <c r="E204" s="129"/>
      <c r="F204" s="129"/>
      <c r="G204" s="129"/>
      <c r="H204" s="129"/>
      <c r="I204" s="129"/>
      <c r="J204" s="129"/>
    </row>
    <row r="205" spans="3:10">
      <c r="C205" s="129"/>
      <c r="D205" s="129"/>
      <c r="E205" s="129"/>
      <c r="F205" s="129"/>
      <c r="G205" s="129"/>
      <c r="H205" s="129"/>
      <c r="I205" s="129"/>
      <c r="J205" s="129"/>
    </row>
    <row r="206" spans="3:10">
      <c r="C206" s="129"/>
      <c r="D206" s="129"/>
      <c r="E206" s="129"/>
      <c r="F206" s="129"/>
      <c r="G206" s="129"/>
      <c r="H206" s="129"/>
      <c r="I206" s="129"/>
      <c r="J206" s="129"/>
    </row>
    <row r="207" spans="3:10">
      <c r="C207" s="129"/>
      <c r="D207" s="129"/>
      <c r="E207" s="129"/>
      <c r="F207" s="129"/>
      <c r="G207" s="129"/>
      <c r="H207" s="129"/>
      <c r="I207" s="129"/>
      <c r="J207" s="129"/>
    </row>
    <row r="208" spans="3:10">
      <c r="C208" s="129"/>
      <c r="D208" s="129"/>
      <c r="E208" s="129"/>
      <c r="F208" s="129"/>
      <c r="G208" s="129"/>
      <c r="H208" s="129"/>
      <c r="I208" s="129"/>
      <c r="J208" s="129"/>
    </row>
    <row r="209" spans="3:10">
      <c r="C209" s="129"/>
      <c r="D209" s="129"/>
      <c r="E209" s="129"/>
      <c r="F209" s="129"/>
      <c r="G209" s="129"/>
      <c r="H209" s="129"/>
      <c r="I209" s="129"/>
      <c r="J209" s="129"/>
    </row>
    <row r="210" spans="3:10">
      <c r="C210" s="129"/>
      <c r="D210" s="129"/>
      <c r="E210" s="129"/>
      <c r="F210" s="129"/>
      <c r="G210" s="129"/>
      <c r="H210" s="129"/>
      <c r="I210" s="129"/>
      <c r="J210" s="129"/>
    </row>
    <row r="211" spans="3:10">
      <c r="C211" s="129"/>
      <c r="D211" s="129"/>
      <c r="E211" s="129"/>
      <c r="F211" s="129"/>
      <c r="G211" s="129"/>
      <c r="H211" s="129"/>
      <c r="I211" s="129"/>
      <c r="J211" s="129"/>
    </row>
    <row r="212" spans="3:10">
      <c r="C212" s="129"/>
      <c r="D212" s="129"/>
      <c r="E212" s="129"/>
      <c r="F212" s="129"/>
      <c r="G212" s="129"/>
      <c r="H212" s="129"/>
      <c r="I212" s="129"/>
      <c r="J212" s="129"/>
    </row>
    <row r="213" spans="3:10">
      <c r="C213" s="129"/>
      <c r="D213" s="129"/>
      <c r="E213" s="129"/>
      <c r="F213" s="129"/>
      <c r="G213" s="129"/>
      <c r="H213" s="129"/>
      <c r="I213" s="129"/>
      <c r="J213" s="129"/>
    </row>
    <row r="214" spans="3:10">
      <c r="C214" s="129"/>
      <c r="D214" s="129"/>
      <c r="E214" s="129"/>
      <c r="F214" s="129"/>
      <c r="G214" s="129"/>
      <c r="H214" s="129"/>
      <c r="I214" s="129"/>
      <c r="J214" s="129"/>
    </row>
    <row r="215" spans="3:10">
      <c r="C215" s="129"/>
      <c r="D215" s="129"/>
      <c r="E215" s="129"/>
      <c r="F215" s="129"/>
      <c r="G215" s="129"/>
      <c r="H215" s="129"/>
      <c r="I215" s="129"/>
      <c r="J215" s="129"/>
    </row>
    <row r="216" spans="3:10">
      <c r="C216" s="129"/>
      <c r="D216" s="129"/>
      <c r="E216" s="129"/>
      <c r="F216" s="129"/>
      <c r="G216" s="129"/>
      <c r="H216" s="129"/>
      <c r="I216" s="129"/>
      <c r="J216" s="129"/>
    </row>
    <row r="217" spans="3:10">
      <c r="C217" s="129"/>
      <c r="D217" s="129"/>
      <c r="E217" s="129"/>
      <c r="F217" s="129"/>
      <c r="G217" s="129"/>
      <c r="H217" s="129"/>
      <c r="I217" s="129"/>
      <c r="J217" s="129"/>
    </row>
    <row r="218" spans="3:10">
      <c r="C218" s="129"/>
      <c r="D218" s="129"/>
      <c r="E218" s="129"/>
      <c r="F218" s="129"/>
      <c r="G218" s="129"/>
      <c r="H218" s="129"/>
      <c r="I218" s="129"/>
      <c r="J218" s="129"/>
    </row>
    <row r="219" spans="3:10">
      <c r="C219" s="129"/>
      <c r="D219" s="129"/>
      <c r="E219" s="129"/>
      <c r="F219" s="129"/>
      <c r="G219" s="129"/>
      <c r="H219" s="129"/>
      <c r="I219" s="129"/>
      <c r="J219" s="129"/>
    </row>
    <row r="220" spans="3:10">
      <c r="C220" s="129"/>
      <c r="D220" s="129"/>
      <c r="E220" s="129"/>
      <c r="F220" s="129"/>
      <c r="G220" s="129"/>
      <c r="H220" s="129"/>
      <c r="I220" s="129"/>
      <c r="J220" s="129"/>
    </row>
    <row r="221" spans="3:10">
      <c r="C221" s="129"/>
      <c r="D221" s="129"/>
      <c r="E221" s="129"/>
      <c r="F221" s="129"/>
      <c r="G221" s="129"/>
      <c r="H221" s="129"/>
      <c r="I221" s="129"/>
      <c r="J221" s="129"/>
    </row>
    <row r="222" spans="3:10">
      <c r="C222" s="129"/>
      <c r="D222" s="129"/>
      <c r="E222" s="129"/>
      <c r="F222" s="129"/>
      <c r="G222" s="129"/>
      <c r="H222" s="129"/>
      <c r="I222" s="129"/>
      <c r="J222" s="129"/>
    </row>
    <row r="223" spans="3:10">
      <c r="C223" s="129"/>
      <c r="D223" s="129"/>
      <c r="E223" s="129"/>
      <c r="F223" s="129"/>
      <c r="G223" s="129"/>
      <c r="H223" s="129"/>
      <c r="I223" s="129"/>
      <c r="J223" s="129"/>
    </row>
    <row r="224" spans="3:10">
      <c r="C224" s="129"/>
      <c r="D224" s="129"/>
      <c r="E224" s="129"/>
      <c r="F224" s="129"/>
      <c r="G224" s="129"/>
      <c r="H224" s="129"/>
      <c r="I224" s="129"/>
      <c r="J224" s="129"/>
    </row>
    <row r="225" spans="3:10">
      <c r="C225" s="129"/>
      <c r="D225" s="129"/>
      <c r="E225" s="129"/>
      <c r="F225" s="129"/>
      <c r="G225" s="129"/>
      <c r="H225" s="129"/>
      <c r="I225" s="129"/>
      <c r="J225" s="129"/>
    </row>
    <row r="226" spans="3:10">
      <c r="C226" s="129"/>
      <c r="D226" s="129"/>
      <c r="E226" s="129"/>
      <c r="F226" s="129"/>
      <c r="G226" s="129"/>
      <c r="H226" s="129"/>
      <c r="I226" s="129"/>
      <c r="J226" s="129"/>
    </row>
    <row r="227" spans="3:10">
      <c r="C227" s="129"/>
      <c r="D227" s="129"/>
      <c r="E227" s="129"/>
      <c r="F227" s="129"/>
      <c r="G227" s="129"/>
      <c r="H227" s="129"/>
      <c r="I227" s="129"/>
      <c r="J227" s="129"/>
    </row>
    <row r="228" spans="3:10">
      <c r="C228" s="129"/>
      <c r="D228" s="129"/>
      <c r="E228" s="129"/>
      <c r="F228" s="129"/>
      <c r="G228" s="129"/>
      <c r="H228" s="129"/>
      <c r="I228" s="129"/>
      <c r="J228" s="129"/>
    </row>
    <row r="229" spans="3:10">
      <c r="C229" s="129"/>
      <c r="D229" s="129"/>
      <c r="E229" s="129"/>
      <c r="F229" s="129"/>
      <c r="G229" s="129"/>
      <c r="H229" s="129"/>
      <c r="I229" s="129"/>
      <c r="J229" s="129"/>
    </row>
    <row r="230" spans="3:10">
      <c r="C230" s="129"/>
      <c r="D230" s="129"/>
      <c r="E230" s="129"/>
      <c r="F230" s="129"/>
      <c r="G230" s="129"/>
      <c r="H230" s="129"/>
      <c r="I230" s="129"/>
      <c r="J230" s="129"/>
    </row>
    <row r="231" spans="3:10">
      <c r="C231" s="129"/>
      <c r="D231" s="129"/>
      <c r="E231" s="129"/>
      <c r="F231" s="129"/>
      <c r="G231" s="129"/>
      <c r="H231" s="129"/>
      <c r="I231" s="129"/>
      <c r="J231" s="129"/>
    </row>
    <row r="232" spans="3:10">
      <c r="C232" s="129"/>
      <c r="D232" s="129"/>
      <c r="E232" s="129"/>
      <c r="F232" s="129"/>
      <c r="G232" s="129"/>
      <c r="H232" s="129"/>
      <c r="I232" s="129"/>
      <c r="J232" s="129"/>
    </row>
    <row r="233" spans="3:10">
      <c r="C233" s="129"/>
      <c r="D233" s="129"/>
      <c r="E233" s="129"/>
      <c r="F233" s="129"/>
      <c r="G233" s="129"/>
      <c r="H233" s="129"/>
      <c r="I233" s="129"/>
      <c r="J233" s="129"/>
    </row>
    <row r="234" spans="3:10">
      <c r="C234" s="129"/>
      <c r="D234" s="129"/>
      <c r="E234" s="129"/>
      <c r="F234" s="129"/>
      <c r="G234" s="129"/>
      <c r="H234" s="129"/>
      <c r="I234" s="129"/>
      <c r="J234" s="129"/>
    </row>
    <row r="235" spans="3:10">
      <c r="C235" s="129"/>
      <c r="D235" s="129"/>
      <c r="E235" s="129"/>
      <c r="F235" s="129"/>
      <c r="G235" s="129"/>
      <c r="H235" s="129"/>
      <c r="I235" s="129"/>
      <c r="J235" s="129"/>
    </row>
    <row r="236" spans="3:10">
      <c r="C236" s="129"/>
      <c r="D236" s="129"/>
      <c r="E236" s="129"/>
      <c r="F236" s="129"/>
      <c r="G236" s="129"/>
      <c r="H236" s="129"/>
      <c r="I236" s="129"/>
      <c r="J236" s="129"/>
    </row>
    <row r="237" spans="3:10">
      <c r="C237" s="129"/>
      <c r="D237" s="129"/>
      <c r="E237" s="129"/>
      <c r="F237" s="129"/>
      <c r="G237" s="129"/>
      <c r="H237" s="129"/>
      <c r="I237" s="129"/>
      <c r="J237" s="129"/>
    </row>
    <row r="238" spans="3:10">
      <c r="C238" s="129"/>
      <c r="D238" s="129"/>
      <c r="E238" s="129"/>
      <c r="F238" s="129"/>
      <c r="G238" s="129"/>
      <c r="H238" s="129"/>
      <c r="I238" s="129"/>
      <c r="J238" s="129"/>
    </row>
    <row r="239" spans="3:10">
      <c r="C239" s="129"/>
      <c r="D239" s="129"/>
      <c r="E239" s="129"/>
      <c r="F239" s="129"/>
      <c r="G239" s="129"/>
      <c r="H239" s="129"/>
      <c r="I239" s="129"/>
      <c r="J239" s="129"/>
    </row>
    <row r="240" spans="3:10">
      <c r="C240" s="129"/>
      <c r="D240" s="129"/>
      <c r="E240" s="129"/>
      <c r="F240" s="129"/>
      <c r="G240" s="129"/>
      <c r="H240" s="129"/>
      <c r="I240" s="129"/>
      <c r="J240" s="129"/>
    </row>
    <row r="241" spans="3:10">
      <c r="C241" s="129"/>
      <c r="D241" s="129"/>
      <c r="E241" s="129"/>
      <c r="F241" s="129"/>
      <c r="G241" s="129"/>
      <c r="H241" s="129"/>
      <c r="I241" s="129"/>
      <c r="J241" s="129"/>
    </row>
    <row r="242" spans="3:10">
      <c r="C242" s="129"/>
      <c r="D242" s="129"/>
      <c r="E242" s="129"/>
      <c r="F242" s="129"/>
      <c r="G242" s="129"/>
      <c r="H242" s="129"/>
      <c r="I242" s="129"/>
      <c r="J242" s="129"/>
    </row>
    <row r="243" spans="3:10">
      <c r="C243" s="129"/>
      <c r="D243" s="129"/>
      <c r="E243" s="129"/>
      <c r="F243" s="129"/>
      <c r="G243" s="129"/>
      <c r="H243" s="129"/>
      <c r="I243" s="129"/>
      <c r="J243" s="129"/>
    </row>
    <row r="244" spans="3:10">
      <c r="C244" s="129"/>
      <c r="D244" s="129"/>
      <c r="E244" s="129"/>
      <c r="F244" s="129"/>
      <c r="G244" s="129"/>
      <c r="H244" s="129"/>
      <c r="I244" s="129"/>
      <c r="J244" s="129"/>
    </row>
    <row r="245" spans="3:10">
      <c r="C245" s="129"/>
      <c r="D245" s="129"/>
      <c r="E245" s="129"/>
      <c r="F245" s="129"/>
      <c r="G245" s="129"/>
      <c r="H245" s="129"/>
      <c r="I245" s="129"/>
      <c r="J245" s="129"/>
    </row>
    <row r="246" spans="3:10">
      <c r="C246" s="129"/>
      <c r="D246" s="129"/>
      <c r="E246" s="129"/>
      <c r="F246" s="129"/>
      <c r="G246" s="129"/>
      <c r="H246" s="129"/>
      <c r="I246" s="129"/>
      <c r="J246" s="129"/>
    </row>
    <row r="247" spans="3:10">
      <c r="C247" s="129"/>
      <c r="D247" s="129"/>
      <c r="E247" s="129"/>
      <c r="F247" s="129"/>
      <c r="G247" s="129"/>
      <c r="H247" s="129"/>
      <c r="I247" s="129"/>
      <c r="J247" s="129"/>
    </row>
    <row r="248" spans="3:10">
      <c r="C248" s="129"/>
      <c r="D248" s="129"/>
      <c r="E248" s="129"/>
      <c r="F248" s="129"/>
      <c r="G248" s="129"/>
      <c r="H248" s="129"/>
      <c r="I248" s="129"/>
      <c r="J248" s="129"/>
    </row>
    <row r="249" spans="3:10">
      <c r="C249" s="129"/>
      <c r="D249" s="129"/>
      <c r="E249" s="129"/>
      <c r="F249" s="129"/>
      <c r="G249" s="129"/>
      <c r="H249" s="129"/>
      <c r="I249" s="129"/>
      <c r="J249" s="129"/>
    </row>
    <row r="250" spans="3:10">
      <c r="C250" s="129"/>
      <c r="D250" s="129"/>
      <c r="E250" s="129"/>
      <c r="F250" s="129"/>
      <c r="G250" s="129"/>
      <c r="H250" s="129"/>
      <c r="I250" s="129"/>
      <c r="J250" s="129"/>
    </row>
    <row r="251" spans="3:10">
      <c r="C251" s="129"/>
      <c r="D251" s="129"/>
      <c r="E251" s="129"/>
      <c r="F251" s="129"/>
      <c r="G251" s="129"/>
      <c r="H251" s="129"/>
      <c r="I251" s="129"/>
      <c r="J251" s="129"/>
    </row>
    <row r="252" spans="3:10">
      <c r="C252" s="129"/>
      <c r="D252" s="129"/>
      <c r="E252" s="129"/>
      <c r="F252" s="129"/>
      <c r="G252" s="129"/>
      <c r="H252" s="129"/>
      <c r="I252" s="129"/>
      <c r="J252" s="129"/>
    </row>
    <row r="253" spans="3:10">
      <c r="C253" s="129"/>
      <c r="D253" s="129"/>
      <c r="E253" s="129"/>
      <c r="F253" s="129"/>
      <c r="G253" s="129"/>
      <c r="H253" s="129"/>
      <c r="I253" s="129"/>
      <c r="J253" s="129"/>
    </row>
    <row r="254" spans="3:10">
      <c r="C254" s="129"/>
      <c r="D254" s="129"/>
      <c r="E254" s="129"/>
      <c r="F254" s="129"/>
      <c r="G254" s="129"/>
      <c r="H254" s="129"/>
      <c r="I254" s="129"/>
      <c r="J254" s="129"/>
    </row>
    <row r="255" spans="3:10">
      <c r="C255" s="129"/>
      <c r="D255" s="129"/>
      <c r="E255" s="129"/>
      <c r="F255" s="129"/>
      <c r="G255" s="129"/>
      <c r="H255" s="129"/>
      <c r="I255" s="129"/>
      <c r="J255" s="129"/>
    </row>
    <row r="256" spans="3:10">
      <c r="C256" s="129"/>
      <c r="D256" s="129"/>
      <c r="E256" s="129"/>
      <c r="F256" s="129"/>
      <c r="G256" s="129"/>
      <c r="H256" s="129"/>
      <c r="I256" s="129"/>
      <c r="J256" s="129"/>
    </row>
    <row r="257" spans="3:10">
      <c r="C257" s="129"/>
      <c r="D257" s="129"/>
      <c r="E257" s="129"/>
      <c r="F257" s="129"/>
      <c r="G257" s="129"/>
      <c r="H257" s="129"/>
      <c r="I257" s="129"/>
      <c r="J257" s="129"/>
    </row>
    <row r="258" spans="3:10">
      <c r="C258" s="129"/>
      <c r="D258" s="129"/>
      <c r="E258" s="129"/>
      <c r="F258" s="129"/>
      <c r="G258" s="129"/>
      <c r="H258" s="129"/>
      <c r="I258" s="129"/>
      <c r="J258" s="129"/>
    </row>
    <row r="259" spans="3:10">
      <c r="C259" s="129"/>
      <c r="D259" s="129"/>
      <c r="E259" s="129"/>
      <c r="F259" s="129"/>
      <c r="G259" s="129"/>
      <c r="H259" s="129"/>
      <c r="I259" s="129"/>
      <c r="J259" s="129"/>
    </row>
    <row r="260" spans="3:10">
      <c r="C260" s="129"/>
      <c r="D260" s="129"/>
      <c r="E260" s="129"/>
      <c r="F260" s="129"/>
      <c r="G260" s="129"/>
      <c r="H260" s="129"/>
      <c r="I260" s="129"/>
      <c r="J260" s="129"/>
    </row>
    <row r="261" spans="3:10">
      <c r="C261" s="129"/>
      <c r="D261" s="129"/>
      <c r="E261" s="129"/>
      <c r="F261" s="129"/>
      <c r="G261" s="129"/>
      <c r="H261" s="129"/>
      <c r="I261" s="129"/>
      <c r="J261" s="129"/>
    </row>
    <row r="262" spans="3:10">
      <c r="C262" s="129"/>
      <c r="D262" s="129"/>
      <c r="E262" s="129"/>
      <c r="F262" s="129"/>
      <c r="G262" s="129"/>
      <c r="H262" s="129"/>
      <c r="I262" s="129"/>
      <c r="J262" s="129"/>
    </row>
    <row r="263" spans="3:10">
      <c r="C263" s="129"/>
      <c r="D263" s="129"/>
      <c r="E263" s="129"/>
      <c r="F263" s="129"/>
      <c r="G263" s="129"/>
      <c r="H263" s="129"/>
      <c r="I263" s="129"/>
      <c r="J263" s="129"/>
    </row>
    <row r="264" spans="3:10">
      <c r="C264" s="129"/>
      <c r="D264" s="129"/>
      <c r="E264" s="129"/>
      <c r="F264" s="129"/>
      <c r="G264" s="129"/>
      <c r="H264" s="129"/>
      <c r="I264" s="129"/>
      <c r="J264" s="129"/>
    </row>
    <row r="265" spans="3:10">
      <c r="C265" s="129"/>
      <c r="D265" s="129"/>
      <c r="E265" s="129"/>
      <c r="F265" s="129"/>
      <c r="G265" s="129"/>
      <c r="H265" s="129"/>
      <c r="I265" s="129"/>
      <c r="J265" s="129"/>
    </row>
    <row r="266" spans="3:10">
      <c r="C266" s="129"/>
      <c r="D266" s="129"/>
      <c r="E266" s="129"/>
      <c r="F266" s="129"/>
      <c r="G266" s="129"/>
      <c r="H266" s="129"/>
      <c r="I266" s="129"/>
      <c r="J266" s="129"/>
    </row>
    <row r="267" spans="3:10">
      <c r="C267" s="129"/>
      <c r="D267" s="129"/>
      <c r="E267" s="129"/>
      <c r="F267" s="129"/>
      <c r="G267" s="129"/>
      <c r="H267" s="129"/>
      <c r="I267" s="129"/>
      <c r="J267" s="129"/>
    </row>
    <row r="268" spans="3:10">
      <c r="C268" s="129"/>
      <c r="D268" s="129"/>
      <c r="E268" s="129"/>
      <c r="F268" s="129"/>
      <c r="G268" s="129"/>
      <c r="H268" s="129"/>
      <c r="I268" s="129"/>
      <c r="J268" s="129"/>
    </row>
    <row r="269" spans="3:10">
      <c r="C269" s="129"/>
      <c r="D269" s="129"/>
      <c r="E269" s="129"/>
      <c r="F269" s="129"/>
      <c r="G269" s="129"/>
      <c r="H269" s="129"/>
      <c r="I269" s="129"/>
      <c r="J269" s="129"/>
    </row>
    <row r="270" spans="3:10">
      <c r="C270" s="129"/>
      <c r="D270" s="129"/>
      <c r="E270" s="129"/>
      <c r="F270" s="129"/>
      <c r="G270" s="129"/>
      <c r="H270" s="129"/>
      <c r="I270" s="129"/>
      <c r="J270" s="129"/>
    </row>
    <row r="271" spans="3:10">
      <c r="C271" s="129"/>
      <c r="D271" s="129"/>
      <c r="E271" s="129"/>
      <c r="F271" s="129"/>
      <c r="G271" s="129"/>
      <c r="H271" s="129"/>
      <c r="I271" s="129"/>
      <c r="J271" s="129"/>
    </row>
    <row r="272" spans="3:10">
      <c r="C272" s="129"/>
      <c r="D272" s="129"/>
      <c r="E272" s="129"/>
      <c r="F272" s="129"/>
      <c r="G272" s="129"/>
      <c r="H272" s="129"/>
      <c r="I272" s="129"/>
      <c r="J272" s="129"/>
    </row>
    <row r="273" spans="3:10">
      <c r="C273" s="129"/>
      <c r="D273" s="129"/>
      <c r="E273" s="129"/>
      <c r="F273" s="129"/>
      <c r="G273" s="129"/>
      <c r="H273" s="129"/>
      <c r="I273" s="129"/>
      <c r="J273" s="129"/>
    </row>
    <row r="274" spans="3:10">
      <c r="C274" s="129"/>
      <c r="D274" s="129"/>
      <c r="E274" s="129"/>
      <c r="F274" s="129"/>
      <c r="G274" s="129"/>
      <c r="H274" s="129"/>
      <c r="I274" s="129"/>
      <c r="J274" s="129"/>
    </row>
    <row r="275" spans="3:10">
      <c r="C275" s="129"/>
      <c r="D275" s="129"/>
      <c r="E275" s="129"/>
      <c r="F275" s="129"/>
      <c r="G275" s="129"/>
      <c r="H275" s="129"/>
      <c r="I275" s="129"/>
      <c r="J275" s="129"/>
    </row>
    <row r="276" spans="3:10">
      <c r="C276" s="129"/>
      <c r="D276" s="129"/>
      <c r="E276" s="129"/>
      <c r="F276" s="129"/>
      <c r="G276" s="129"/>
      <c r="H276" s="129"/>
      <c r="I276" s="129"/>
      <c r="J276" s="129"/>
    </row>
    <row r="277" spans="3:10">
      <c r="C277" s="129"/>
      <c r="D277" s="129"/>
      <c r="E277" s="129"/>
      <c r="F277" s="129"/>
      <c r="G277" s="129"/>
      <c r="H277" s="129"/>
      <c r="I277" s="129"/>
      <c r="J277" s="129"/>
    </row>
    <row r="278" spans="3:10">
      <c r="C278" s="129"/>
      <c r="D278" s="129"/>
      <c r="E278" s="129"/>
      <c r="F278" s="129"/>
      <c r="G278" s="129"/>
      <c r="H278" s="129"/>
      <c r="I278" s="129"/>
      <c r="J278" s="129"/>
    </row>
    <row r="279" spans="3:10">
      <c r="C279" s="129"/>
      <c r="D279" s="129"/>
      <c r="E279" s="129"/>
      <c r="F279" s="129"/>
      <c r="G279" s="129"/>
      <c r="H279" s="129"/>
      <c r="I279" s="129"/>
      <c r="J279" s="129"/>
    </row>
    <row r="280" spans="3:10">
      <c r="C280" s="129"/>
      <c r="D280" s="129"/>
      <c r="E280" s="129"/>
      <c r="F280" s="129"/>
      <c r="G280" s="129"/>
      <c r="H280" s="129"/>
      <c r="I280" s="129"/>
      <c r="J280" s="129"/>
    </row>
    <row r="281" spans="3:10">
      <c r="C281" s="129"/>
      <c r="D281" s="129"/>
      <c r="E281" s="129"/>
      <c r="F281" s="129"/>
      <c r="G281" s="129"/>
      <c r="H281" s="129"/>
      <c r="I281" s="129"/>
      <c r="J281" s="129"/>
    </row>
    <row r="282" spans="3:10">
      <c r="C282" s="129"/>
      <c r="D282" s="129"/>
      <c r="E282" s="129"/>
      <c r="F282" s="129"/>
      <c r="G282" s="129"/>
      <c r="H282" s="129"/>
      <c r="I282" s="129"/>
      <c r="J282" s="129"/>
    </row>
    <row r="283" spans="3:10">
      <c r="C283" s="129"/>
      <c r="D283" s="129"/>
      <c r="E283" s="129"/>
      <c r="F283" s="129"/>
      <c r="G283" s="129"/>
      <c r="H283" s="129"/>
      <c r="I283" s="129"/>
      <c r="J283" s="129"/>
    </row>
    <row r="284" spans="3:10">
      <c r="C284" s="129"/>
      <c r="D284" s="129"/>
      <c r="E284" s="129"/>
      <c r="F284" s="129"/>
      <c r="G284" s="129"/>
      <c r="H284" s="129"/>
      <c r="I284" s="129"/>
      <c r="J284" s="129"/>
    </row>
    <row r="285" spans="3:10">
      <c r="C285" s="129"/>
      <c r="D285" s="129"/>
      <c r="E285" s="129"/>
      <c r="F285" s="129"/>
      <c r="G285" s="129"/>
      <c r="H285" s="129"/>
      <c r="I285" s="129"/>
      <c r="J285" s="129"/>
    </row>
    <row r="286" spans="3:10">
      <c r="C286" s="129"/>
      <c r="D286" s="129"/>
      <c r="E286" s="129"/>
      <c r="F286" s="129"/>
      <c r="G286" s="129"/>
      <c r="H286" s="129"/>
      <c r="I286" s="129"/>
      <c r="J286" s="129"/>
    </row>
    <row r="287" spans="3:10">
      <c r="C287" s="129"/>
      <c r="D287" s="129"/>
      <c r="E287" s="129"/>
      <c r="F287" s="129"/>
      <c r="G287" s="129"/>
      <c r="H287" s="129"/>
      <c r="I287" s="129"/>
      <c r="J287" s="129"/>
    </row>
    <row r="288" spans="3:10">
      <c r="C288" s="129"/>
      <c r="D288" s="129"/>
      <c r="E288" s="129"/>
      <c r="F288" s="129"/>
      <c r="G288" s="129"/>
      <c r="H288" s="129"/>
      <c r="I288" s="129"/>
      <c r="J288" s="129"/>
    </row>
    <row r="289" spans="3:10">
      <c r="C289" s="129"/>
      <c r="D289" s="129"/>
      <c r="E289" s="129"/>
      <c r="F289" s="129"/>
      <c r="G289" s="129"/>
      <c r="H289" s="129"/>
      <c r="I289" s="129"/>
      <c r="J289" s="129"/>
    </row>
    <row r="290" spans="3:10">
      <c r="C290" s="129"/>
      <c r="D290" s="129"/>
      <c r="E290" s="129"/>
      <c r="F290" s="129"/>
      <c r="G290" s="129"/>
      <c r="H290" s="129"/>
      <c r="I290" s="129"/>
      <c r="J290" s="129"/>
    </row>
    <row r="291" spans="3:10">
      <c r="C291" s="129"/>
      <c r="D291" s="129"/>
      <c r="E291" s="129"/>
      <c r="F291" s="129"/>
      <c r="G291" s="129"/>
      <c r="H291" s="129"/>
      <c r="I291" s="129"/>
      <c r="J291" s="129"/>
    </row>
    <row r="292" spans="3:10">
      <c r="C292" s="129"/>
      <c r="D292" s="129"/>
      <c r="E292" s="129"/>
      <c r="F292" s="129"/>
      <c r="G292" s="129"/>
      <c r="H292" s="129"/>
      <c r="I292" s="129"/>
      <c r="J292" s="129"/>
    </row>
    <row r="293" spans="3:10">
      <c r="C293" s="129"/>
      <c r="D293" s="129"/>
      <c r="E293" s="129"/>
      <c r="F293" s="129"/>
      <c r="G293" s="129"/>
      <c r="H293" s="129"/>
      <c r="I293" s="129"/>
      <c r="J293" s="129"/>
    </row>
    <row r="294" spans="3:10">
      <c r="C294" s="129"/>
      <c r="D294" s="129"/>
      <c r="E294" s="129"/>
      <c r="F294" s="129"/>
      <c r="G294" s="129"/>
      <c r="H294" s="129"/>
      <c r="I294" s="129"/>
      <c r="J294" s="129"/>
    </row>
    <row r="295" spans="3:10">
      <c r="C295" s="129"/>
      <c r="D295" s="129"/>
      <c r="E295" s="129"/>
      <c r="F295" s="129"/>
      <c r="G295" s="129"/>
      <c r="H295" s="129"/>
      <c r="I295" s="129"/>
      <c r="J295" s="129"/>
    </row>
    <row r="296" spans="3:10">
      <c r="C296" s="129"/>
      <c r="D296" s="129"/>
      <c r="E296" s="129"/>
      <c r="F296" s="129"/>
      <c r="G296" s="129"/>
      <c r="H296" s="129"/>
      <c r="I296" s="129"/>
      <c r="J296" s="129"/>
    </row>
    <row r="297" spans="3:10">
      <c r="C297" s="129"/>
      <c r="D297" s="129"/>
      <c r="E297" s="129"/>
      <c r="F297" s="129"/>
      <c r="G297" s="129"/>
      <c r="H297" s="129"/>
      <c r="I297" s="129"/>
      <c r="J297" s="129"/>
    </row>
    <row r="298" spans="3:10">
      <c r="C298" s="129"/>
      <c r="D298" s="129"/>
      <c r="E298" s="129"/>
      <c r="F298" s="129"/>
      <c r="G298" s="129"/>
      <c r="H298" s="129"/>
      <c r="I298" s="129"/>
      <c r="J298" s="129"/>
    </row>
  </sheetData>
  <mergeCells count="8">
    <mergeCell ref="M100:X100"/>
    <mergeCell ref="M99:X99"/>
    <mergeCell ref="M93:X93"/>
    <mergeCell ref="M94:X94"/>
    <mergeCell ref="M95:X95"/>
    <mergeCell ref="M96:X96"/>
    <mergeCell ref="M97:X97"/>
    <mergeCell ref="M98:X98"/>
  </mergeCells>
  <printOptions horizontalCentered="1"/>
  <pageMargins left="0.75" right="0.75" top="0.75" bottom="0.5" header="0.5" footer="0.5"/>
  <pageSetup scale="59" orientation="portrait" horizontalDpi="300" verticalDpi="300" r:id="rId1"/>
  <headerFooter alignWithMargins="0"/>
  <rowBreaks count="1" manualBreakCount="1">
    <brk id="48" min="10"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3">
    <tabColor rgb="FFFF0000"/>
    <pageSetUpPr fitToPage="1"/>
  </sheetPr>
  <dimension ref="A1:H186"/>
  <sheetViews>
    <sheetView view="pageBreakPreview" topLeftCell="A3" zoomScale="80" zoomScaleNormal="75" zoomScaleSheetLayoutView="80" zoomScalePageLayoutView="90" workbookViewId="0"/>
  </sheetViews>
  <sheetFormatPr defaultColWidth="8.77734375" defaultRowHeight="15"/>
  <cols>
    <col min="1" max="1" width="5.77734375" style="9" customWidth="1"/>
    <col min="2" max="2" width="1.44140625" style="9" customWidth="1"/>
    <col min="3" max="3" width="46.77734375" style="9" customWidth="1"/>
    <col min="4" max="4" width="22.21875" style="9" customWidth="1"/>
    <col min="5" max="5" width="13.21875" style="9" customWidth="1"/>
    <col min="6" max="6" width="18.77734375" style="9" customWidth="1"/>
    <col min="7" max="7" width="16.21875" style="9" customWidth="1"/>
    <col min="8" max="8" width="15.21875" style="9" customWidth="1"/>
    <col min="9" max="16384" width="8.77734375" style="9"/>
  </cols>
  <sheetData>
    <row r="1" spans="1:8" ht="18">
      <c r="A1" s="157"/>
      <c r="C1" s="24"/>
      <c r="D1" s="24"/>
      <c r="F1" s="60"/>
      <c r="G1" s="50" t="s">
        <v>296</v>
      </c>
      <c r="H1" s="60"/>
    </row>
    <row r="2" spans="1:8">
      <c r="C2" s="24"/>
      <c r="D2" s="24"/>
      <c r="G2" s="50" t="s">
        <v>698</v>
      </c>
      <c r="H2" s="50"/>
    </row>
    <row r="3" spans="1:8">
      <c r="C3" s="24"/>
      <c r="D3" s="24"/>
      <c r="F3" s="1"/>
      <c r="H3" s="50"/>
    </row>
    <row r="4" spans="1:8">
      <c r="C4" s="24"/>
      <c r="D4" s="24"/>
      <c r="F4" s="1"/>
      <c r="H4" s="50"/>
    </row>
    <row r="5" spans="1:8">
      <c r="C5" s="24"/>
      <c r="D5" s="24"/>
      <c r="F5" s="1"/>
      <c r="H5" s="50"/>
    </row>
    <row r="6" spans="1:8">
      <c r="C6" s="24"/>
      <c r="D6" s="24"/>
      <c r="F6" s="1"/>
      <c r="G6" s="1"/>
      <c r="H6" s="1"/>
    </row>
    <row r="7" spans="1:8">
      <c r="C7" s="24" t="s">
        <v>6</v>
      </c>
      <c r="D7" s="24"/>
      <c r="F7" s="1"/>
      <c r="G7" s="61" t="str">
        <f>"For the 12 months ended: "&amp;TEXT(INPUT!B1,"mm/dd/yyyy")</f>
        <v>For the 12 months ended: 12/31/2021</v>
      </c>
      <c r="H7" s="1"/>
    </row>
    <row r="8" spans="1:8">
      <c r="A8" s="185" t="s">
        <v>255</v>
      </c>
      <c r="B8" s="70"/>
      <c r="C8" s="70"/>
      <c r="D8" s="144"/>
      <c r="E8" s="172"/>
      <c r="F8" s="146"/>
      <c r="G8" s="146"/>
      <c r="H8" s="1"/>
    </row>
    <row r="9" spans="1:8">
      <c r="A9" s="145" t="s">
        <v>267</v>
      </c>
      <c r="B9" s="70"/>
      <c r="C9" s="144"/>
      <c r="D9" s="145"/>
      <c r="E9" s="144"/>
      <c r="F9" s="146"/>
      <c r="G9" s="146"/>
      <c r="H9" s="1"/>
    </row>
    <row r="10" spans="1:8">
      <c r="A10" s="146"/>
      <c r="B10" s="70"/>
      <c r="C10" s="146"/>
      <c r="D10" s="146"/>
      <c r="E10" s="146"/>
      <c r="F10" s="146"/>
      <c r="G10" s="146"/>
      <c r="H10" s="1"/>
    </row>
    <row r="11" spans="1:8" ht="15.75">
      <c r="A11" s="262" t="s">
        <v>653</v>
      </c>
      <c r="B11" s="263"/>
      <c r="C11" s="264"/>
      <c r="D11" s="264"/>
      <c r="E11" s="264"/>
      <c r="F11" s="264"/>
      <c r="G11" s="264"/>
      <c r="H11" s="1"/>
    </row>
    <row r="12" spans="1:8" ht="15.75">
      <c r="A12" s="509"/>
      <c r="B12" s="70"/>
      <c r="C12" s="146"/>
      <c r="D12" s="146"/>
      <c r="E12" s="146"/>
      <c r="F12" s="146"/>
      <c r="G12" s="146"/>
      <c r="H12" s="1"/>
    </row>
    <row r="13" spans="1:8">
      <c r="A13" s="26"/>
      <c r="C13" s="3" t="s">
        <v>18</v>
      </c>
      <c r="D13" s="3" t="s">
        <v>19</v>
      </c>
      <c r="E13" s="3" t="s">
        <v>20</v>
      </c>
      <c r="F13" s="510" t="s">
        <v>21</v>
      </c>
      <c r="G13" s="510" t="s">
        <v>22</v>
      </c>
      <c r="H13" s="1"/>
    </row>
    <row r="14" spans="1:8">
      <c r="A14" s="26" t="s">
        <v>8</v>
      </c>
      <c r="C14" s="1"/>
      <c r="D14" s="1"/>
      <c r="F14" s="1"/>
      <c r="G14" s="26" t="s">
        <v>9</v>
      </c>
      <c r="H14" s="1"/>
    </row>
    <row r="15" spans="1:8">
      <c r="A15" s="180" t="s">
        <v>10</v>
      </c>
      <c r="B15" s="181"/>
      <c r="C15" s="184"/>
      <c r="D15" s="184"/>
      <c r="F15" s="1"/>
      <c r="G15" s="180" t="s">
        <v>11</v>
      </c>
      <c r="H15" s="1"/>
    </row>
    <row r="16" spans="1:8">
      <c r="A16" s="416">
        <v>1</v>
      </c>
      <c r="C16" s="1" t="s">
        <v>687</v>
      </c>
      <c r="D16" s="504" t="s">
        <v>688</v>
      </c>
      <c r="F16" s="1"/>
      <c r="G16" s="30">
        <f>DEO!J166+DEK!J166</f>
        <v>200175550</v>
      </c>
      <c r="H16" s="470"/>
    </row>
    <row r="17" spans="1:8">
      <c r="A17" s="416"/>
      <c r="C17" s="1"/>
      <c r="D17" s="505"/>
      <c r="F17" s="1"/>
      <c r="G17" s="2"/>
      <c r="H17" s="470"/>
    </row>
    <row r="18" spans="1:8">
      <c r="A18" s="416"/>
      <c r="C18" s="1"/>
      <c r="D18" s="505"/>
      <c r="F18" s="1"/>
      <c r="G18" s="2"/>
      <c r="H18" s="470"/>
    </row>
    <row r="19" spans="1:8">
      <c r="A19" s="416" t="s">
        <v>7</v>
      </c>
      <c r="C19" s="345" t="s">
        <v>89</v>
      </c>
      <c r="D19" s="506"/>
      <c r="F19" s="1"/>
      <c r="G19" s="2"/>
      <c r="H19" s="470"/>
    </row>
    <row r="20" spans="1:8">
      <c r="A20" s="416">
        <v>2</v>
      </c>
      <c r="C20" s="1" t="s">
        <v>343</v>
      </c>
      <c r="D20" s="504" t="s">
        <v>688</v>
      </c>
      <c r="F20" s="1"/>
      <c r="G20" s="30">
        <f>DEO!J19+DEK!J19</f>
        <v>408780</v>
      </c>
      <c r="H20" s="470"/>
    </row>
    <row r="21" spans="1:8" ht="17.649999999999999" customHeight="1">
      <c r="A21" s="416">
        <v>3</v>
      </c>
      <c r="C21" s="1" t="s">
        <v>366</v>
      </c>
      <c r="D21" s="504" t="s">
        <v>688</v>
      </c>
      <c r="F21" s="1"/>
      <c r="G21" s="231">
        <f>DEO!J20+DEK!J20</f>
        <v>1830408</v>
      </c>
      <c r="H21" s="470"/>
    </row>
    <row r="22" spans="1:8">
      <c r="A22" s="416" t="s">
        <v>289</v>
      </c>
      <c r="C22" s="2" t="s">
        <v>344</v>
      </c>
      <c r="D22" s="383"/>
      <c r="F22" s="1"/>
      <c r="G22" s="471">
        <f>DEO!J21+DEK!J21</f>
        <v>0</v>
      </c>
      <c r="H22" s="470"/>
    </row>
    <row r="23" spans="1:8">
      <c r="A23" s="416" t="s">
        <v>290</v>
      </c>
      <c r="C23" s="2" t="s">
        <v>398</v>
      </c>
      <c r="D23" s="383"/>
      <c r="F23" s="1"/>
      <c r="G23" s="471">
        <f>DEO!J22+DEK!J22</f>
        <v>0</v>
      </c>
      <c r="H23" s="470"/>
    </row>
    <row r="24" spans="1:8" ht="15.6" customHeight="1">
      <c r="A24" s="416">
        <v>5</v>
      </c>
      <c r="C24" s="2" t="s">
        <v>633</v>
      </c>
      <c r="D24" s="504" t="s">
        <v>688</v>
      </c>
      <c r="F24" s="1"/>
      <c r="G24" s="231">
        <f>DEO!J23+DEK!J23</f>
        <v>1180461</v>
      </c>
      <c r="H24" s="470"/>
    </row>
    <row r="25" spans="1:8">
      <c r="A25" s="416"/>
      <c r="C25" s="438" t="s">
        <v>901</v>
      </c>
      <c r="D25" s="504"/>
      <c r="F25" s="1"/>
      <c r="G25" s="439">
        <f>PriorYrCorr</f>
        <v>41165</v>
      </c>
      <c r="H25" s="470"/>
    </row>
    <row r="26" spans="1:8">
      <c r="A26" s="416">
        <v>6</v>
      </c>
      <c r="C26" s="1" t="s">
        <v>582</v>
      </c>
      <c r="D26" s="505"/>
      <c r="F26" s="1"/>
      <c r="G26" s="30">
        <f>SUM(G20:G25)</f>
        <v>3460814</v>
      </c>
      <c r="H26" s="470"/>
    </row>
    <row r="27" spans="1:8">
      <c r="A27" s="416"/>
      <c r="D27" s="505"/>
      <c r="F27" s="1"/>
      <c r="H27" s="1"/>
    </row>
    <row r="28" spans="1:8">
      <c r="A28" s="416"/>
      <c r="C28" s="1"/>
      <c r="D28" s="505"/>
      <c r="F28" s="1"/>
      <c r="G28" s="2"/>
      <c r="H28" s="1"/>
    </row>
    <row r="29" spans="1:8" ht="15.75" thickBot="1">
      <c r="A29" s="416">
        <v>7</v>
      </c>
      <c r="C29" s="1" t="s">
        <v>15</v>
      </c>
      <c r="D29" s="507" t="s">
        <v>129</v>
      </c>
      <c r="F29" s="1"/>
      <c r="G29" s="39">
        <f>G16-G26</f>
        <v>196714736</v>
      </c>
      <c r="H29" s="1"/>
    </row>
    <row r="30" spans="1:8" ht="15.75" thickTop="1">
      <c r="A30" s="416"/>
      <c r="D30" s="488"/>
      <c r="F30" s="1"/>
      <c r="H30" s="1"/>
    </row>
    <row r="31" spans="1:8">
      <c r="A31" s="416"/>
      <c r="D31" s="350"/>
      <c r="F31" s="1"/>
      <c r="G31" s="2"/>
      <c r="H31" s="1"/>
    </row>
    <row r="32" spans="1:8">
      <c r="A32" s="416"/>
      <c r="C32" s="1" t="s">
        <v>303</v>
      </c>
      <c r="D32" s="488"/>
      <c r="F32" s="1"/>
      <c r="G32" s="2"/>
      <c r="H32" s="1"/>
    </row>
    <row r="33" spans="1:8">
      <c r="A33" s="416">
        <v>8</v>
      </c>
      <c r="C33" s="251" t="s">
        <v>699</v>
      </c>
      <c r="D33" s="504" t="s">
        <v>688</v>
      </c>
      <c r="F33" s="1"/>
      <c r="G33" s="147">
        <f>MAX(PeakKW_DEOK)</f>
        <v>5303000</v>
      </c>
      <c r="H33" s="1"/>
    </row>
    <row r="34" spans="1:8">
      <c r="A34" s="416">
        <v>9</v>
      </c>
      <c r="C34" s="251" t="s">
        <v>700</v>
      </c>
      <c r="D34" s="504" t="s">
        <v>688</v>
      </c>
      <c r="F34" s="1"/>
      <c r="G34" s="147">
        <f>'P10 KW Demand'!D27</f>
        <v>4223250</v>
      </c>
      <c r="H34" s="1"/>
    </row>
    <row r="35" spans="1:8">
      <c r="A35" s="416"/>
      <c r="C35" s="1"/>
      <c r="D35" s="488"/>
      <c r="E35" s="147"/>
      <c r="F35" s="1"/>
      <c r="G35" s="1"/>
      <c r="H35" s="1"/>
    </row>
    <row r="36" spans="1:8">
      <c r="A36" s="416">
        <v>10</v>
      </c>
      <c r="C36" s="1" t="s">
        <v>292</v>
      </c>
      <c r="D36" s="488"/>
      <c r="E36" s="30"/>
      <c r="F36" s="1"/>
      <c r="G36" s="1"/>
      <c r="H36" s="1"/>
    </row>
    <row r="37" spans="1:8">
      <c r="A37" s="416">
        <v>11</v>
      </c>
      <c r="C37" s="1" t="s">
        <v>292</v>
      </c>
      <c r="D37" s="488"/>
      <c r="E37" s="30"/>
      <c r="F37" s="1"/>
      <c r="G37" s="1"/>
      <c r="H37" s="1"/>
    </row>
    <row r="38" spans="1:8">
      <c r="A38" s="416">
        <v>12</v>
      </c>
      <c r="C38" s="1" t="s">
        <v>292</v>
      </c>
      <c r="D38" s="488"/>
      <c r="E38" s="30"/>
      <c r="F38" s="1"/>
      <c r="G38" s="1"/>
      <c r="H38" s="1"/>
    </row>
    <row r="39" spans="1:8">
      <c r="A39" s="416">
        <v>13</v>
      </c>
      <c r="C39" s="1" t="s">
        <v>292</v>
      </c>
      <c r="D39" s="488"/>
      <c r="E39" s="30"/>
      <c r="F39" s="1"/>
      <c r="G39" s="1"/>
      <c r="H39" s="1"/>
    </row>
    <row r="40" spans="1:8">
      <c r="A40" s="416">
        <v>14</v>
      </c>
      <c r="C40" s="1" t="s">
        <v>292</v>
      </c>
      <c r="D40" s="488"/>
      <c r="E40" s="30"/>
      <c r="F40" s="1"/>
      <c r="G40" s="1"/>
      <c r="H40" s="1"/>
    </row>
    <row r="41" spans="1:8">
      <c r="A41" s="416"/>
      <c r="C41" s="1"/>
      <c r="D41" s="488"/>
      <c r="E41" s="30"/>
      <c r="F41" s="1"/>
      <c r="G41" s="1"/>
      <c r="H41" s="1"/>
    </row>
    <row r="42" spans="1:8">
      <c r="A42" s="416">
        <v>15</v>
      </c>
      <c r="C42" s="1" t="s">
        <v>270</v>
      </c>
      <c r="D42" s="487" t="s">
        <v>304</v>
      </c>
      <c r="E42" s="21">
        <f>IF(G33&gt;0,G29/G33,0)</f>
        <v>37.094990759947201</v>
      </c>
      <c r="F42" s="1"/>
      <c r="G42" s="1"/>
      <c r="H42" s="1"/>
    </row>
    <row r="43" spans="1:8">
      <c r="A43" s="416"/>
      <c r="C43" s="1"/>
      <c r="D43" s="488"/>
      <c r="E43" s="21"/>
      <c r="F43" s="1"/>
      <c r="G43" s="1"/>
      <c r="H43" s="1"/>
    </row>
    <row r="44" spans="1:8">
      <c r="A44" s="416">
        <v>16</v>
      </c>
      <c r="C44" s="1" t="s">
        <v>371</v>
      </c>
      <c r="D44" s="487" t="s">
        <v>372</v>
      </c>
      <c r="E44" s="21">
        <f>IF(G34&gt;0,G29/G34,0)</f>
        <v>46.578993902799979</v>
      </c>
      <c r="F44" s="1"/>
      <c r="G44" s="1"/>
      <c r="H44" s="1"/>
    </row>
    <row r="45" spans="1:8">
      <c r="A45" s="416"/>
      <c r="C45" s="1"/>
      <c r="D45" s="488"/>
      <c r="E45" s="21"/>
      <c r="F45" s="1"/>
      <c r="G45" s="1"/>
      <c r="H45" s="1"/>
    </row>
    <row r="46" spans="1:8">
      <c r="A46" s="416">
        <v>17</v>
      </c>
      <c r="C46" s="1" t="s">
        <v>373</v>
      </c>
      <c r="D46" s="487" t="s">
        <v>374</v>
      </c>
      <c r="E46" s="21">
        <f>ROUND(E42/12,9)</f>
        <v>3.0912492299999998</v>
      </c>
      <c r="F46" s="1"/>
      <c r="G46" s="1"/>
      <c r="H46" s="1"/>
    </row>
    <row r="47" spans="1:8">
      <c r="A47" s="416"/>
      <c r="C47" s="1"/>
      <c r="D47" s="488"/>
      <c r="E47" s="21"/>
      <c r="F47" s="1"/>
      <c r="G47" s="1"/>
      <c r="H47" s="1"/>
    </row>
    <row r="48" spans="1:8">
      <c r="A48" s="416" t="s">
        <v>370</v>
      </c>
      <c r="C48" s="1" t="s">
        <v>375</v>
      </c>
      <c r="D48" s="487" t="s">
        <v>376</v>
      </c>
      <c r="E48" s="21">
        <f>ROUND($E$44/12,9)</f>
        <v>3.8815828250000002</v>
      </c>
      <c r="F48" s="1"/>
      <c r="G48" s="1"/>
      <c r="H48" s="1"/>
    </row>
    <row r="49" spans="1:8">
      <c r="A49" s="416"/>
      <c r="C49" s="1"/>
      <c r="D49" s="488"/>
      <c r="E49" s="30"/>
      <c r="F49" s="1"/>
      <c r="G49" s="1"/>
      <c r="H49" s="1"/>
    </row>
    <row r="50" spans="1:8">
      <c r="A50" s="416"/>
      <c r="C50" s="1"/>
      <c r="D50" s="488"/>
      <c r="E50" s="259" t="s">
        <v>382</v>
      </c>
      <c r="F50" s="1"/>
      <c r="G50" s="259" t="s">
        <v>383</v>
      </c>
      <c r="H50" s="1"/>
    </row>
    <row r="51" spans="1:8">
      <c r="A51" s="416"/>
      <c r="C51" s="1"/>
      <c r="D51" s="488"/>
      <c r="E51" s="259"/>
      <c r="F51" s="1"/>
      <c r="G51" s="1"/>
      <c r="H51" s="1"/>
    </row>
    <row r="52" spans="1:8">
      <c r="A52" s="416">
        <v>18</v>
      </c>
      <c r="C52" s="1" t="s">
        <v>377</v>
      </c>
      <c r="D52" s="487" t="s">
        <v>380</v>
      </c>
      <c r="E52" s="21">
        <f>ROUND($E$44/52,9)</f>
        <v>0.89574988300000002</v>
      </c>
      <c r="F52" s="1"/>
      <c r="G52" s="1"/>
      <c r="H52" s="1"/>
    </row>
    <row r="53" spans="1:8">
      <c r="A53" s="416"/>
      <c r="C53" s="1"/>
      <c r="D53" s="488"/>
      <c r="E53" s="30"/>
      <c r="F53" s="1"/>
      <c r="G53" s="1"/>
      <c r="H53" s="1"/>
    </row>
    <row r="54" spans="1:8">
      <c r="A54" s="416">
        <v>19</v>
      </c>
      <c r="C54" s="1" t="s">
        <v>378</v>
      </c>
      <c r="D54" s="487" t="s">
        <v>381</v>
      </c>
      <c r="E54" s="21">
        <f>ROUND($E$44/260,9)</f>
        <v>0.17914997699999999</v>
      </c>
      <c r="F54" s="1" t="s">
        <v>384</v>
      </c>
      <c r="G54" s="21">
        <f>ROUND($E$44/365,9)</f>
        <v>0.12761368200000001</v>
      </c>
      <c r="H54" s="1"/>
    </row>
    <row r="55" spans="1:8">
      <c r="A55" s="416"/>
      <c r="C55" s="1"/>
      <c r="D55" s="488"/>
      <c r="E55" s="21"/>
      <c r="F55" s="1"/>
      <c r="G55" s="1"/>
      <c r="H55" s="1"/>
    </row>
    <row r="56" spans="1:8" ht="30">
      <c r="A56" s="482">
        <v>20</v>
      </c>
      <c r="B56" s="483"/>
      <c r="C56" s="484" t="s">
        <v>379</v>
      </c>
      <c r="D56" s="490" t="s">
        <v>770</v>
      </c>
      <c r="E56" s="485">
        <f>IF(ISERR(ROUND(($G$29/$G$34)/4160,4)=TRUE),0,ROUND(($G$29/$G$34)/4160,4))</f>
        <v>1.12E-2</v>
      </c>
      <c r="F56" s="486" t="s">
        <v>385</v>
      </c>
      <c r="G56" s="485">
        <f>IF(ISERR(ROUND(($G$29/$G$34)/8760*1000,4)=TRUE),0,ROUND(($G$29/$G$34)/8760*1000,4))</f>
        <v>5.3171999999999997</v>
      </c>
      <c r="H56" s="1"/>
    </row>
    <row r="57" spans="1:8">
      <c r="A57" s="417"/>
      <c r="C57" s="1"/>
      <c r="D57" s="1"/>
      <c r="F57" s="26"/>
      <c r="G57" s="61"/>
      <c r="H57" s="1"/>
    </row>
    <row r="58" spans="1:8">
      <c r="A58" s="417"/>
      <c r="C58" s="1"/>
      <c r="D58" s="1"/>
      <c r="F58" s="26"/>
      <c r="G58" s="61"/>
      <c r="H58" s="1"/>
    </row>
    <row r="59" spans="1:8">
      <c r="A59" s="417"/>
      <c r="C59" s="1"/>
      <c r="D59" s="1"/>
      <c r="F59" s="26"/>
      <c r="G59" s="61"/>
      <c r="H59" s="1"/>
    </row>
    <row r="60" spans="1:8">
      <c r="A60" s="417"/>
      <c r="C60" s="1"/>
      <c r="D60" s="1"/>
      <c r="F60" s="26"/>
      <c r="G60" s="61"/>
      <c r="H60" s="1"/>
    </row>
    <row r="61" spans="1:8">
      <c r="C61" s="52"/>
      <c r="D61" s="52"/>
      <c r="E61" s="52"/>
      <c r="F61" s="52"/>
      <c r="G61" s="52"/>
      <c r="H61" s="52"/>
    </row>
    <row r="62" spans="1:8">
      <c r="C62" s="52"/>
      <c r="D62" s="52"/>
      <c r="E62" s="52"/>
      <c r="F62" s="52"/>
      <c r="G62" s="52"/>
      <c r="H62" s="52"/>
    </row>
    <row r="63" spans="1:8">
      <c r="C63" s="52"/>
      <c r="D63" s="52"/>
      <c r="E63" s="52"/>
      <c r="F63" s="52"/>
      <c r="G63" s="52"/>
      <c r="H63" s="52"/>
    </row>
    <row r="64" spans="1:8">
      <c r="C64" s="52"/>
      <c r="D64" s="52"/>
      <c r="E64" s="52"/>
      <c r="F64" s="52"/>
      <c r="G64" s="52"/>
      <c r="H64" s="52"/>
    </row>
    <row r="65" spans="3:8">
      <c r="C65" s="52"/>
      <c r="D65" s="52"/>
      <c r="E65" s="52"/>
      <c r="F65" s="52"/>
      <c r="G65" s="52"/>
      <c r="H65" s="52"/>
    </row>
    <row r="66" spans="3:8">
      <c r="C66" s="52"/>
      <c r="D66" s="52"/>
      <c r="E66" s="52"/>
      <c r="F66" s="52"/>
      <c r="G66" s="52"/>
      <c r="H66" s="52"/>
    </row>
    <row r="67" spans="3:8">
      <c r="C67" s="52"/>
      <c r="D67" s="52"/>
      <c r="E67" s="52"/>
      <c r="F67" s="52"/>
      <c r="G67" s="52"/>
      <c r="H67" s="52"/>
    </row>
    <row r="68" spans="3:8">
      <c r="C68" s="52"/>
      <c r="D68" s="52"/>
      <c r="E68" s="52"/>
      <c r="F68" s="52"/>
      <c r="G68" s="52"/>
      <c r="H68" s="52"/>
    </row>
    <row r="69" spans="3:8">
      <c r="C69" s="52"/>
      <c r="D69" s="52"/>
      <c r="E69" s="52"/>
      <c r="F69" s="52"/>
      <c r="G69" s="52"/>
      <c r="H69" s="52"/>
    </row>
    <row r="70" spans="3:8">
      <c r="C70" s="52"/>
      <c r="D70" s="52"/>
      <c r="E70" s="52"/>
      <c r="F70" s="52"/>
      <c r="G70" s="52"/>
      <c r="H70" s="52"/>
    </row>
    <row r="71" spans="3:8">
      <c r="C71" s="52"/>
      <c r="D71" s="52"/>
      <c r="E71" s="52"/>
      <c r="F71" s="52"/>
      <c r="G71" s="52"/>
      <c r="H71" s="52"/>
    </row>
    <row r="72" spans="3:8">
      <c r="C72" s="52"/>
      <c r="D72" s="52"/>
      <c r="E72" s="52"/>
      <c r="F72" s="52"/>
      <c r="G72" s="52"/>
      <c r="H72" s="52"/>
    </row>
    <row r="73" spans="3:8">
      <c r="C73" s="52"/>
      <c r="D73" s="52"/>
      <c r="E73" s="52"/>
      <c r="F73" s="52"/>
      <c r="G73" s="52"/>
      <c r="H73" s="52"/>
    </row>
    <row r="74" spans="3:8">
      <c r="C74" s="52"/>
      <c r="D74" s="52"/>
      <c r="E74" s="52"/>
      <c r="F74" s="52"/>
      <c r="G74" s="52"/>
      <c r="H74" s="52"/>
    </row>
    <row r="75" spans="3:8">
      <c r="C75" s="52"/>
      <c r="D75" s="52"/>
      <c r="E75" s="52"/>
      <c r="F75" s="52"/>
      <c r="G75" s="52"/>
      <c r="H75" s="52"/>
    </row>
    <row r="76" spans="3:8">
      <c r="C76" s="52"/>
      <c r="D76" s="52"/>
      <c r="E76" s="52"/>
      <c r="F76" s="52"/>
      <c r="G76" s="52"/>
      <c r="H76" s="52"/>
    </row>
    <row r="77" spans="3:8">
      <c r="C77" s="52"/>
      <c r="D77" s="52"/>
      <c r="E77" s="52"/>
      <c r="F77" s="52"/>
      <c r="G77" s="52"/>
      <c r="H77" s="52"/>
    </row>
    <row r="78" spans="3:8">
      <c r="C78" s="52"/>
      <c r="D78" s="52"/>
      <c r="E78" s="52"/>
      <c r="F78" s="52"/>
      <c r="G78" s="52"/>
      <c r="H78" s="52"/>
    </row>
    <row r="79" spans="3:8">
      <c r="C79" s="52"/>
      <c r="D79" s="52"/>
      <c r="E79" s="52"/>
      <c r="F79" s="52"/>
      <c r="G79" s="52"/>
      <c r="H79" s="52"/>
    </row>
    <row r="80" spans="3:8">
      <c r="C80" s="52"/>
      <c r="D80" s="52"/>
      <c r="E80" s="52"/>
      <c r="F80" s="52"/>
      <c r="G80" s="52"/>
      <c r="H80" s="52"/>
    </row>
    <row r="81" spans="3:8">
      <c r="C81" s="52"/>
      <c r="D81" s="52"/>
      <c r="E81" s="52"/>
      <c r="F81" s="52"/>
      <c r="G81" s="52"/>
      <c r="H81" s="52"/>
    </row>
    <row r="82" spans="3:8">
      <c r="C82" s="52"/>
      <c r="D82" s="52"/>
      <c r="E82" s="52"/>
      <c r="F82" s="52"/>
      <c r="G82" s="52"/>
      <c r="H82" s="52"/>
    </row>
    <row r="83" spans="3:8">
      <c r="C83" s="52"/>
      <c r="D83" s="52"/>
      <c r="E83" s="52"/>
      <c r="F83" s="52"/>
      <c r="G83" s="52"/>
      <c r="H83" s="52"/>
    </row>
    <row r="84" spans="3:8">
      <c r="C84" s="52"/>
      <c r="D84" s="52"/>
      <c r="E84" s="52"/>
      <c r="F84" s="52"/>
      <c r="G84" s="52"/>
      <c r="H84" s="52"/>
    </row>
    <row r="85" spans="3:8">
      <c r="C85" s="52"/>
      <c r="D85" s="52"/>
      <c r="E85" s="52"/>
      <c r="F85" s="52"/>
      <c r="G85" s="52"/>
      <c r="H85" s="52"/>
    </row>
    <row r="86" spans="3:8">
      <c r="C86" s="52"/>
      <c r="D86" s="52"/>
      <c r="E86" s="52"/>
      <c r="F86" s="52"/>
      <c r="G86" s="52"/>
      <c r="H86" s="52"/>
    </row>
    <row r="87" spans="3:8">
      <c r="C87" s="52"/>
      <c r="D87" s="52"/>
      <c r="E87" s="52"/>
      <c r="F87" s="52"/>
      <c r="G87" s="52"/>
      <c r="H87" s="52"/>
    </row>
    <row r="88" spans="3:8">
      <c r="C88" s="52"/>
      <c r="D88" s="52"/>
      <c r="E88" s="52"/>
      <c r="F88" s="52"/>
      <c r="G88" s="52"/>
      <c r="H88" s="52"/>
    </row>
    <row r="89" spans="3:8">
      <c r="C89" s="52"/>
      <c r="D89" s="52"/>
      <c r="E89" s="52"/>
      <c r="F89" s="52"/>
      <c r="G89" s="52"/>
      <c r="H89" s="52"/>
    </row>
    <row r="90" spans="3:8">
      <c r="C90" s="52"/>
      <c r="D90" s="52"/>
      <c r="E90" s="52"/>
      <c r="F90" s="52"/>
      <c r="G90" s="52"/>
      <c r="H90" s="52"/>
    </row>
    <row r="91" spans="3:8">
      <c r="C91" s="52"/>
      <c r="D91" s="52"/>
      <c r="E91" s="52"/>
      <c r="F91" s="52"/>
      <c r="G91" s="52"/>
      <c r="H91" s="52"/>
    </row>
    <row r="92" spans="3:8">
      <c r="C92" s="52"/>
      <c r="D92" s="52"/>
      <c r="E92" s="52"/>
      <c r="F92" s="52"/>
      <c r="G92" s="52"/>
      <c r="H92" s="52"/>
    </row>
    <row r="93" spans="3:8">
      <c r="C93" s="52"/>
      <c r="D93" s="52"/>
      <c r="E93" s="52"/>
      <c r="F93" s="52"/>
      <c r="G93" s="52"/>
      <c r="H93" s="52"/>
    </row>
    <row r="94" spans="3:8">
      <c r="C94" s="52"/>
      <c r="D94" s="52"/>
      <c r="E94" s="52"/>
      <c r="F94" s="52"/>
      <c r="G94" s="52"/>
      <c r="H94" s="52"/>
    </row>
    <row r="95" spans="3:8">
      <c r="C95" s="52"/>
      <c r="D95" s="52"/>
      <c r="E95" s="52"/>
      <c r="F95" s="52"/>
      <c r="G95" s="52"/>
      <c r="H95" s="52"/>
    </row>
    <row r="96" spans="3:8">
      <c r="C96" s="52"/>
      <c r="D96" s="52"/>
      <c r="E96" s="52"/>
      <c r="F96" s="52"/>
      <c r="G96" s="52"/>
      <c r="H96" s="52"/>
    </row>
    <row r="97" spans="3:8">
      <c r="C97" s="52"/>
      <c r="D97" s="52"/>
      <c r="E97" s="52"/>
      <c r="F97" s="52"/>
      <c r="G97" s="52"/>
      <c r="H97" s="52"/>
    </row>
    <row r="98" spans="3:8">
      <c r="C98" s="52"/>
      <c r="D98" s="52"/>
      <c r="E98" s="52"/>
      <c r="F98" s="52"/>
      <c r="G98" s="52"/>
      <c r="H98" s="52"/>
    </row>
    <row r="99" spans="3:8">
      <c r="C99" s="52"/>
      <c r="D99" s="52"/>
      <c r="E99" s="52"/>
      <c r="F99" s="52"/>
      <c r="G99" s="52"/>
      <c r="H99" s="52"/>
    </row>
    <row r="100" spans="3:8">
      <c r="C100" s="52"/>
      <c r="D100" s="52"/>
      <c r="E100" s="52"/>
      <c r="F100" s="52"/>
      <c r="G100" s="52"/>
      <c r="H100" s="52"/>
    </row>
    <row r="101" spans="3:8">
      <c r="C101" s="52"/>
      <c r="D101" s="52"/>
      <c r="E101" s="52"/>
      <c r="F101" s="52"/>
      <c r="G101" s="52"/>
      <c r="H101" s="52"/>
    </row>
    <row r="102" spans="3:8">
      <c r="C102" s="52"/>
      <c r="D102" s="52"/>
      <c r="E102" s="52"/>
      <c r="F102" s="52"/>
      <c r="G102" s="52"/>
      <c r="H102" s="52"/>
    </row>
    <row r="103" spans="3:8">
      <c r="C103" s="52"/>
      <c r="D103" s="52"/>
      <c r="E103" s="52"/>
      <c r="F103" s="52"/>
      <c r="G103" s="52"/>
      <c r="H103" s="52"/>
    </row>
    <row r="104" spans="3:8">
      <c r="C104" s="52"/>
      <c r="D104" s="52"/>
      <c r="E104" s="52"/>
      <c r="F104" s="52"/>
      <c r="G104" s="52"/>
      <c r="H104" s="52"/>
    </row>
    <row r="105" spans="3:8">
      <c r="C105" s="52"/>
      <c r="D105" s="52"/>
      <c r="E105" s="52"/>
      <c r="F105" s="52"/>
      <c r="G105" s="52"/>
      <c r="H105" s="52"/>
    </row>
    <row r="106" spans="3:8">
      <c r="C106" s="52"/>
      <c r="D106" s="52"/>
      <c r="E106" s="52"/>
      <c r="F106" s="52"/>
      <c r="G106" s="52"/>
      <c r="H106" s="52"/>
    </row>
    <row r="107" spans="3:8">
      <c r="C107" s="52"/>
      <c r="D107" s="52"/>
      <c r="E107" s="52"/>
      <c r="F107" s="52"/>
      <c r="G107" s="52"/>
      <c r="H107" s="52"/>
    </row>
    <row r="108" spans="3:8">
      <c r="C108" s="52"/>
      <c r="D108" s="52"/>
      <c r="E108" s="52"/>
      <c r="F108" s="52"/>
      <c r="G108" s="52"/>
      <c r="H108" s="52"/>
    </row>
    <row r="109" spans="3:8">
      <c r="C109" s="52"/>
      <c r="D109" s="52"/>
      <c r="E109" s="52"/>
      <c r="F109" s="52"/>
      <c r="G109" s="52"/>
      <c r="H109" s="52"/>
    </row>
    <row r="110" spans="3:8">
      <c r="C110" s="52"/>
      <c r="D110" s="52"/>
      <c r="E110" s="52"/>
      <c r="F110" s="52"/>
      <c r="G110" s="52"/>
      <c r="H110" s="52"/>
    </row>
    <row r="111" spans="3:8">
      <c r="C111" s="52"/>
      <c r="D111" s="52"/>
      <c r="E111" s="52"/>
      <c r="F111" s="52"/>
      <c r="G111" s="52"/>
      <c r="H111" s="52"/>
    </row>
    <row r="112" spans="3:8">
      <c r="C112" s="52"/>
      <c r="D112" s="52"/>
      <c r="E112" s="52"/>
      <c r="F112" s="52"/>
      <c r="G112" s="52"/>
      <c r="H112" s="52"/>
    </row>
    <row r="113" spans="3:8">
      <c r="C113" s="52"/>
      <c r="D113" s="52"/>
      <c r="E113" s="52"/>
      <c r="F113" s="52"/>
      <c r="G113" s="52"/>
      <c r="H113" s="52"/>
    </row>
    <row r="114" spans="3:8">
      <c r="C114" s="52"/>
      <c r="D114" s="52"/>
      <c r="E114" s="52"/>
      <c r="F114" s="52"/>
      <c r="G114" s="52"/>
      <c r="H114" s="52"/>
    </row>
    <row r="115" spans="3:8">
      <c r="C115" s="52"/>
      <c r="D115" s="52"/>
      <c r="E115" s="52"/>
      <c r="F115" s="52"/>
      <c r="G115" s="52"/>
      <c r="H115" s="52"/>
    </row>
    <row r="116" spans="3:8">
      <c r="C116" s="52"/>
      <c r="D116" s="52"/>
      <c r="E116" s="52"/>
      <c r="F116" s="52"/>
      <c r="G116" s="52"/>
      <c r="H116" s="52"/>
    </row>
    <row r="117" spans="3:8">
      <c r="C117" s="52"/>
      <c r="D117" s="52"/>
      <c r="E117" s="52"/>
      <c r="F117" s="52"/>
      <c r="G117" s="52"/>
      <c r="H117" s="52"/>
    </row>
    <row r="118" spans="3:8">
      <c r="C118" s="52"/>
      <c r="D118" s="52"/>
      <c r="E118" s="52"/>
      <c r="F118" s="52"/>
      <c r="G118" s="52"/>
      <c r="H118" s="52"/>
    </row>
    <row r="119" spans="3:8">
      <c r="C119" s="52"/>
      <c r="D119" s="52"/>
      <c r="E119" s="52"/>
      <c r="F119" s="52"/>
      <c r="G119" s="52"/>
      <c r="H119" s="52"/>
    </row>
    <row r="120" spans="3:8">
      <c r="C120" s="52"/>
      <c r="D120" s="52"/>
      <c r="E120" s="52"/>
      <c r="F120" s="52"/>
      <c r="G120" s="52"/>
      <c r="H120" s="52"/>
    </row>
    <row r="121" spans="3:8">
      <c r="C121" s="52"/>
      <c r="D121" s="52"/>
      <c r="E121" s="52"/>
      <c r="F121" s="52"/>
      <c r="G121" s="52"/>
      <c r="H121" s="52"/>
    </row>
    <row r="122" spans="3:8">
      <c r="C122" s="52"/>
      <c r="D122" s="52"/>
      <c r="E122" s="52"/>
      <c r="F122" s="52"/>
      <c r="G122" s="52"/>
      <c r="H122" s="52"/>
    </row>
    <row r="123" spans="3:8">
      <c r="C123" s="52"/>
      <c r="D123" s="52"/>
      <c r="E123" s="52"/>
      <c r="F123" s="52"/>
      <c r="G123" s="52"/>
      <c r="H123" s="52"/>
    </row>
    <row r="124" spans="3:8">
      <c r="C124" s="52"/>
      <c r="D124" s="52"/>
      <c r="E124" s="52"/>
      <c r="F124" s="52"/>
      <c r="G124" s="52"/>
      <c r="H124" s="52"/>
    </row>
    <row r="125" spans="3:8">
      <c r="C125" s="52"/>
      <c r="D125" s="52"/>
      <c r="E125" s="52"/>
      <c r="F125" s="52"/>
      <c r="G125" s="52"/>
      <c r="H125" s="52"/>
    </row>
    <row r="126" spans="3:8">
      <c r="C126" s="52"/>
      <c r="D126" s="52"/>
      <c r="E126" s="52"/>
      <c r="F126" s="52"/>
      <c r="G126" s="52"/>
      <c r="H126" s="52"/>
    </row>
    <row r="127" spans="3:8">
      <c r="C127" s="52"/>
      <c r="D127" s="52"/>
      <c r="E127" s="52"/>
      <c r="F127" s="52"/>
      <c r="G127" s="52"/>
      <c r="H127" s="52"/>
    </row>
    <row r="128" spans="3:8">
      <c r="C128" s="52"/>
      <c r="D128" s="52"/>
      <c r="E128" s="52"/>
      <c r="F128" s="52"/>
      <c r="G128" s="52"/>
      <c r="H128" s="52"/>
    </row>
    <row r="129" spans="3:8">
      <c r="C129" s="52"/>
      <c r="D129" s="52"/>
      <c r="E129" s="52"/>
      <c r="F129" s="52"/>
      <c r="G129" s="52"/>
      <c r="H129" s="52"/>
    </row>
    <row r="130" spans="3:8">
      <c r="C130" s="52"/>
      <c r="D130" s="52"/>
      <c r="E130" s="52"/>
      <c r="F130" s="52"/>
      <c r="G130" s="52"/>
      <c r="H130" s="52"/>
    </row>
    <row r="131" spans="3:8">
      <c r="C131" s="52"/>
      <c r="D131" s="52"/>
      <c r="E131" s="52"/>
      <c r="F131" s="52"/>
      <c r="G131" s="52"/>
      <c r="H131" s="52"/>
    </row>
    <row r="132" spans="3:8">
      <c r="C132" s="52"/>
      <c r="D132" s="52"/>
      <c r="E132" s="52"/>
      <c r="F132" s="52"/>
      <c r="G132" s="52"/>
      <c r="H132" s="52"/>
    </row>
    <row r="133" spans="3:8">
      <c r="C133" s="52"/>
      <c r="D133" s="52"/>
      <c r="E133" s="52"/>
      <c r="F133" s="52"/>
      <c r="G133" s="52"/>
      <c r="H133" s="52"/>
    </row>
    <row r="134" spans="3:8">
      <c r="C134" s="52"/>
      <c r="D134" s="52"/>
      <c r="E134" s="52"/>
      <c r="F134" s="52"/>
      <c r="G134" s="52"/>
      <c r="H134" s="52"/>
    </row>
    <row r="135" spans="3:8">
      <c r="C135" s="52"/>
      <c r="D135" s="52"/>
      <c r="E135" s="52"/>
      <c r="F135" s="52"/>
      <c r="G135" s="52"/>
      <c r="H135" s="52"/>
    </row>
    <row r="136" spans="3:8">
      <c r="C136" s="52"/>
      <c r="D136" s="52"/>
      <c r="E136" s="52"/>
      <c r="F136" s="52"/>
      <c r="G136" s="52"/>
      <c r="H136" s="52"/>
    </row>
    <row r="137" spans="3:8">
      <c r="C137" s="52"/>
      <c r="D137" s="52"/>
      <c r="E137" s="52"/>
      <c r="F137" s="52"/>
      <c r="G137" s="52"/>
      <c r="H137" s="52"/>
    </row>
    <row r="138" spans="3:8">
      <c r="C138" s="52"/>
      <c r="D138" s="52"/>
      <c r="E138" s="52"/>
      <c r="F138" s="52"/>
      <c r="G138" s="52"/>
      <c r="H138" s="52"/>
    </row>
    <row r="139" spans="3:8">
      <c r="C139" s="52"/>
      <c r="D139" s="52"/>
      <c r="E139" s="52"/>
      <c r="F139" s="52"/>
      <c r="G139" s="52"/>
      <c r="H139" s="52"/>
    </row>
    <row r="140" spans="3:8">
      <c r="C140" s="52"/>
      <c r="D140" s="52"/>
      <c r="E140" s="52"/>
      <c r="F140" s="52"/>
      <c r="G140" s="52"/>
      <c r="H140" s="52"/>
    </row>
    <row r="141" spans="3:8">
      <c r="C141" s="52"/>
      <c r="D141" s="52"/>
      <c r="E141" s="52"/>
      <c r="F141" s="52"/>
      <c r="G141" s="52"/>
      <c r="H141" s="52"/>
    </row>
    <row r="142" spans="3:8">
      <c r="C142" s="52"/>
      <c r="D142" s="52"/>
      <c r="E142" s="52"/>
      <c r="F142" s="52"/>
      <c r="G142" s="52"/>
      <c r="H142" s="52"/>
    </row>
    <row r="143" spans="3:8">
      <c r="C143" s="52"/>
      <c r="D143" s="52"/>
      <c r="E143" s="52"/>
      <c r="F143" s="52"/>
      <c r="G143" s="52"/>
      <c r="H143" s="52"/>
    </row>
    <row r="144" spans="3:8">
      <c r="C144" s="52"/>
      <c r="D144" s="52"/>
      <c r="E144" s="52"/>
      <c r="F144" s="52"/>
      <c r="G144" s="52"/>
      <c r="H144" s="52"/>
    </row>
    <row r="145" spans="3:8">
      <c r="C145" s="52"/>
      <c r="D145" s="52"/>
      <c r="E145" s="52"/>
      <c r="F145" s="52"/>
      <c r="G145" s="52"/>
      <c r="H145" s="52"/>
    </row>
    <row r="146" spans="3:8">
      <c r="C146" s="52"/>
      <c r="D146" s="52"/>
      <c r="E146" s="52"/>
      <c r="F146" s="52"/>
      <c r="G146" s="52"/>
      <c r="H146" s="52"/>
    </row>
    <row r="147" spans="3:8">
      <c r="C147" s="52"/>
      <c r="D147" s="52"/>
      <c r="E147" s="52"/>
      <c r="F147" s="52"/>
      <c r="G147" s="52"/>
      <c r="H147" s="52"/>
    </row>
    <row r="148" spans="3:8">
      <c r="C148" s="52"/>
      <c r="D148" s="52"/>
      <c r="E148" s="52"/>
      <c r="F148" s="52"/>
      <c r="G148" s="52"/>
      <c r="H148" s="52"/>
    </row>
    <row r="149" spans="3:8">
      <c r="C149" s="52"/>
      <c r="D149" s="52"/>
      <c r="E149" s="52"/>
      <c r="F149" s="52"/>
      <c r="G149" s="52"/>
      <c r="H149" s="52"/>
    </row>
    <row r="150" spans="3:8">
      <c r="C150" s="52"/>
      <c r="D150" s="52"/>
      <c r="E150" s="52"/>
      <c r="F150" s="52"/>
      <c r="G150" s="52"/>
      <c r="H150" s="52"/>
    </row>
    <row r="151" spans="3:8">
      <c r="C151" s="52"/>
      <c r="D151" s="52"/>
      <c r="E151" s="52"/>
      <c r="F151" s="52"/>
      <c r="G151" s="52"/>
      <c r="H151" s="52"/>
    </row>
    <row r="152" spans="3:8">
      <c r="C152" s="52"/>
      <c r="D152" s="52"/>
      <c r="E152" s="52"/>
      <c r="F152" s="52"/>
      <c r="G152" s="52"/>
      <c r="H152" s="52"/>
    </row>
    <row r="153" spans="3:8">
      <c r="C153" s="52"/>
      <c r="D153" s="52"/>
      <c r="E153" s="52"/>
      <c r="F153" s="52"/>
      <c r="G153" s="52"/>
      <c r="H153" s="52"/>
    </row>
    <row r="154" spans="3:8">
      <c r="C154" s="52"/>
      <c r="D154" s="52"/>
      <c r="E154" s="52"/>
      <c r="F154" s="52"/>
      <c r="G154" s="52"/>
      <c r="H154" s="52"/>
    </row>
    <row r="155" spans="3:8">
      <c r="C155" s="52"/>
      <c r="D155" s="52"/>
      <c r="E155" s="52"/>
      <c r="F155" s="52"/>
      <c r="G155" s="52"/>
      <c r="H155" s="52"/>
    </row>
    <row r="156" spans="3:8">
      <c r="C156" s="52"/>
      <c r="D156" s="52"/>
      <c r="E156" s="52"/>
      <c r="F156" s="52"/>
      <c r="G156" s="52"/>
      <c r="H156" s="52"/>
    </row>
    <row r="157" spans="3:8">
      <c r="C157" s="52"/>
      <c r="D157" s="52"/>
      <c r="E157" s="52"/>
      <c r="F157" s="52"/>
      <c r="G157" s="52"/>
      <c r="H157" s="52"/>
    </row>
    <row r="158" spans="3:8">
      <c r="C158" s="52"/>
      <c r="D158" s="52"/>
      <c r="E158" s="52"/>
      <c r="F158" s="52"/>
      <c r="G158" s="52"/>
      <c r="H158" s="52"/>
    </row>
    <row r="159" spans="3:8">
      <c r="C159" s="52"/>
      <c r="D159" s="52"/>
      <c r="E159" s="52"/>
      <c r="F159" s="52"/>
      <c r="G159" s="52"/>
      <c r="H159" s="52"/>
    </row>
    <row r="160" spans="3:8">
      <c r="C160" s="52"/>
      <c r="D160" s="52"/>
      <c r="E160" s="52"/>
      <c r="F160" s="52"/>
      <c r="G160" s="52"/>
      <c r="H160" s="52"/>
    </row>
    <row r="161" spans="3:8">
      <c r="C161" s="52"/>
      <c r="D161" s="52"/>
      <c r="E161" s="52"/>
      <c r="F161" s="52"/>
      <c r="G161" s="52"/>
      <c r="H161" s="52"/>
    </row>
    <row r="162" spans="3:8">
      <c r="C162" s="52"/>
      <c r="D162" s="52"/>
      <c r="E162" s="52"/>
      <c r="F162" s="52"/>
      <c r="G162" s="52"/>
      <c r="H162" s="52"/>
    </row>
    <row r="163" spans="3:8">
      <c r="C163" s="52"/>
      <c r="D163" s="52"/>
      <c r="E163" s="52"/>
      <c r="F163" s="52"/>
      <c r="G163" s="52"/>
      <c r="H163" s="52"/>
    </row>
    <row r="164" spans="3:8">
      <c r="C164" s="52"/>
      <c r="D164" s="52"/>
      <c r="E164" s="52"/>
      <c r="F164" s="52"/>
      <c r="G164" s="52"/>
      <c r="H164" s="52"/>
    </row>
    <row r="165" spans="3:8">
      <c r="C165" s="52"/>
      <c r="D165" s="52"/>
      <c r="E165" s="52"/>
      <c r="F165" s="52"/>
      <c r="G165" s="52"/>
      <c r="H165" s="52"/>
    </row>
    <row r="166" spans="3:8">
      <c r="C166" s="52"/>
      <c r="D166" s="52"/>
      <c r="E166" s="52"/>
      <c r="F166" s="52"/>
      <c r="G166" s="52"/>
      <c r="H166" s="52"/>
    </row>
    <row r="167" spans="3:8">
      <c r="C167" s="52"/>
      <c r="D167" s="52"/>
      <c r="E167" s="52"/>
      <c r="F167" s="52"/>
      <c r="G167" s="52"/>
      <c r="H167" s="52"/>
    </row>
    <row r="168" spans="3:8">
      <c r="C168" s="52"/>
      <c r="D168" s="52"/>
      <c r="E168" s="52"/>
      <c r="F168" s="52"/>
      <c r="G168" s="52"/>
      <c r="H168" s="52"/>
    </row>
    <row r="169" spans="3:8">
      <c r="C169" s="52"/>
      <c r="D169" s="52"/>
      <c r="E169" s="52"/>
      <c r="F169" s="52"/>
      <c r="G169" s="52"/>
      <c r="H169" s="52"/>
    </row>
    <row r="170" spans="3:8">
      <c r="C170" s="52"/>
      <c r="D170" s="52"/>
      <c r="E170" s="52"/>
      <c r="F170" s="52"/>
      <c r="G170" s="52"/>
      <c r="H170" s="52"/>
    </row>
    <row r="171" spans="3:8">
      <c r="C171" s="52"/>
      <c r="D171" s="52"/>
      <c r="E171" s="52"/>
      <c r="F171" s="52"/>
      <c r="G171" s="52"/>
      <c r="H171" s="52"/>
    </row>
    <row r="172" spans="3:8">
      <c r="C172" s="52"/>
      <c r="D172" s="52"/>
      <c r="E172" s="52"/>
      <c r="F172" s="52"/>
      <c r="G172" s="52"/>
      <c r="H172" s="52"/>
    </row>
    <row r="173" spans="3:8">
      <c r="C173" s="52"/>
      <c r="D173" s="52"/>
      <c r="E173" s="52"/>
      <c r="F173" s="52"/>
      <c r="G173" s="52"/>
      <c r="H173" s="52"/>
    </row>
    <row r="174" spans="3:8">
      <c r="C174" s="52"/>
      <c r="D174" s="52"/>
      <c r="E174" s="52"/>
      <c r="F174" s="52"/>
      <c r="G174" s="52"/>
      <c r="H174" s="52"/>
    </row>
    <row r="175" spans="3:8">
      <c r="C175" s="52"/>
      <c r="D175" s="52"/>
      <c r="E175" s="52"/>
      <c r="F175" s="52"/>
      <c r="G175" s="52"/>
      <c r="H175" s="52"/>
    </row>
    <row r="176" spans="3:8">
      <c r="C176" s="52"/>
      <c r="D176" s="52"/>
      <c r="E176" s="52"/>
      <c r="F176" s="52"/>
      <c r="G176" s="52"/>
      <c r="H176" s="52"/>
    </row>
    <row r="177" spans="3:8">
      <c r="C177" s="52"/>
      <c r="D177" s="52"/>
      <c r="E177" s="52"/>
      <c r="F177" s="52"/>
      <c r="G177" s="52"/>
      <c r="H177" s="52"/>
    </row>
    <row r="178" spans="3:8">
      <c r="C178" s="52"/>
      <c r="D178" s="52"/>
      <c r="E178" s="52"/>
      <c r="F178" s="52"/>
      <c r="G178" s="52"/>
      <c r="H178" s="52"/>
    </row>
    <row r="179" spans="3:8">
      <c r="C179" s="52"/>
      <c r="D179" s="52"/>
      <c r="E179" s="52"/>
      <c r="F179" s="52"/>
      <c r="G179" s="52"/>
      <c r="H179" s="52"/>
    </row>
    <row r="180" spans="3:8">
      <c r="C180" s="52"/>
      <c r="D180" s="52"/>
      <c r="E180" s="52"/>
      <c r="F180" s="52"/>
      <c r="G180" s="52"/>
      <c r="H180" s="52"/>
    </row>
    <row r="181" spans="3:8">
      <c r="C181" s="52"/>
      <c r="D181" s="52"/>
      <c r="E181" s="52"/>
      <c r="F181" s="52"/>
      <c r="G181" s="52"/>
      <c r="H181" s="52"/>
    </row>
    <row r="182" spans="3:8">
      <c r="C182" s="52"/>
      <c r="D182" s="52"/>
      <c r="E182" s="52"/>
      <c r="F182" s="52"/>
      <c r="G182" s="52"/>
      <c r="H182" s="52"/>
    </row>
    <row r="183" spans="3:8">
      <c r="C183" s="52"/>
      <c r="D183" s="52"/>
      <c r="E183" s="52"/>
      <c r="F183" s="52"/>
      <c r="G183" s="52"/>
      <c r="H183" s="52"/>
    </row>
    <row r="184" spans="3:8">
      <c r="C184" s="52"/>
      <c r="D184" s="52"/>
      <c r="E184" s="52"/>
      <c r="F184" s="52"/>
      <c r="G184" s="52"/>
      <c r="H184" s="52"/>
    </row>
    <row r="185" spans="3:8">
      <c r="C185" s="52"/>
      <c r="D185" s="52"/>
      <c r="E185" s="52"/>
      <c r="F185" s="52"/>
      <c r="G185" s="52"/>
      <c r="H185" s="52"/>
    </row>
    <row r="186" spans="3:8">
      <c r="C186" s="52"/>
      <c r="D186" s="52"/>
      <c r="E186" s="52"/>
      <c r="F186" s="52"/>
      <c r="G186" s="52"/>
      <c r="H186" s="52"/>
    </row>
  </sheetData>
  <printOptions horizontalCentered="1"/>
  <pageMargins left="0.75" right="0.75" top="0.75" bottom="0.5" header="0.25" footer="0.25"/>
  <pageSetup scale="6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BF318-2E4C-4E77-A908-7E821062D7EA}">
  <sheetPr codeName="Sheet41">
    <tabColor rgb="FF7030A0"/>
    <pageSetUpPr fitToPage="1"/>
  </sheetPr>
  <dimension ref="A1:AE298"/>
  <sheetViews>
    <sheetView view="pageBreakPreview" topLeftCell="K49" zoomScale="80" zoomScaleNormal="75" zoomScaleSheetLayoutView="80" workbookViewId="0">
      <selection activeCell="K49" sqref="K49"/>
    </sheetView>
  </sheetViews>
  <sheetFormatPr defaultRowHeight="15"/>
  <cols>
    <col min="1" max="1" width="6" customWidth="1"/>
    <col min="2" max="2" width="1.44140625" customWidth="1"/>
    <col min="3" max="3" width="49.77734375" customWidth="1"/>
    <col min="4" max="4" width="1" customWidth="1"/>
    <col min="5" max="5" width="37.109375" customWidth="1"/>
    <col min="6" max="6" width="1.21875" customWidth="1"/>
    <col min="7" max="7" width="14.109375" customWidth="1"/>
    <col min="8" max="8" width="1.5546875" customWidth="1"/>
    <col min="9" max="10" width="12.77734375" customWidth="1"/>
    <col min="11" max="11" width="5.21875" customWidth="1"/>
    <col min="12" max="12" width="1.77734375" customWidth="1"/>
    <col min="13" max="13" width="26.5546875" customWidth="1"/>
    <col min="14" max="14" width="8.77734375" customWidth="1"/>
    <col min="15" max="15" width="11.77734375" customWidth="1"/>
    <col min="16" max="16" width="13" customWidth="1"/>
    <col min="17" max="17" width="12.77734375" customWidth="1"/>
    <col min="19" max="19" width="15" customWidth="1"/>
    <col min="20" max="20" width="13.77734375" customWidth="1"/>
    <col min="21" max="21" width="12.5546875" customWidth="1"/>
    <col min="22" max="22" width="16.77734375" customWidth="1"/>
    <col min="23" max="23" width="11.77734375" customWidth="1"/>
    <col min="24" max="24" width="16.77734375" customWidth="1"/>
    <col min="241" max="241" width="6" customWidth="1"/>
    <col min="242" max="242" width="1.44140625" customWidth="1"/>
    <col min="243" max="243" width="39.109375" customWidth="1"/>
    <col min="244" max="244" width="12" customWidth="1"/>
    <col min="245" max="245" width="14.44140625" customWidth="1"/>
    <col min="246" max="246" width="11.77734375" customWidth="1"/>
    <col min="247" max="247" width="14.109375" customWidth="1"/>
    <col min="248" max="248" width="13.77734375" customWidth="1"/>
    <col min="249" max="250" width="12.77734375" customWidth="1"/>
    <col min="251" max="251" width="13.5546875" customWidth="1"/>
    <col min="252" max="252" width="15.21875" customWidth="1"/>
    <col min="253" max="253" width="12.77734375" customWidth="1"/>
    <col min="254" max="254" width="13.77734375" customWidth="1"/>
    <col min="255" max="255" width="1.77734375" customWidth="1"/>
    <col min="256" max="256" width="13" customWidth="1"/>
    <col min="497" max="497" width="6" customWidth="1"/>
    <col min="498" max="498" width="1.44140625" customWidth="1"/>
    <col min="499" max="499" width="39.109375" customWidth="1"/>
    <col min="500" max="500" width="12" customWidth="1"/>
    <col min="501" max="501" width="14.44140625" customWidth="1"/>
    <col min="502" max="502" width="11.77734375" customWidth="1"/>
    <col min="503" max="503" width="14.109375" customWidth="1"/>
    <col min="504" max="504" width="13.77734375" customWidth="1"/>
    <col min="505" max="506" width="12.77734375" customWidth="1"/>
    <col min="507" max="507" width="13.5546875" customWidth="1"/>
    <col min="508" max="508" width="15.21875" customWidth="1"/>
    <col min="509" max="509" width="12.77734375" customWidth="1"/>
    <col min="510" max="510" width="13.77734375" customWidth="1"/>
    <col min="511" max="511" width="1.77734375" customWidth="1"/>
    <col min="512" max="512" width="13" customWidth="1"/>
    <col min="753" max="753" width="6" customWidth="1"/>
    <col min="754" max="754" width="1.44140625" customWidth="1"/>
    <col min="755" max="755" width="39.109375" customWidth="1"/>
    <col min="756" max="756" width="12" customWidth="1"/>
    <col min="757" max="757" width="14.44140625" customWidth="1"/>
    <col min="758" max="758" width="11.77734375" customWidth="1"/>
    <col min="759" max="759" width="14.109375" customWidth="1"/>
    <col min="760" max="760" width="13.77734375" customWidth="1"/>
    <col min="761" max="762" width="12.77734375" customWidth="1"/>
    <col min="763" max="763" width="13.5546875" customWidth="1"/>
    <col min="764" max="764" width="15.21875" customWidth="1"/>
    <col min="765" max="765" width="12.77734375" customWidth="1"/>
    <col min="766" max="766" width="13.77734375" customWidth="1"/>
    <col min="767" max="767" width="1.77734375" customWidth="1"/>
    <col min="768" max="768" width="13" customWidth="1"/>
    <col min="1009" max="1009" width="6" customWidth="1"/>
    <col min="1010" max="1010" width="1.44140625" customWidth="1"/>
    <col min="1011" max="1011" width="39.109375" customWidth="1"/>
    <col min="1012" max="1012" width="12" customWidth="1"/>
    <col min="1013" max="1013" width="14.44140625" customWidth="1"/>
    <col min="1014" max="1014" width="11.77734375" customWidth="1"/>
    <col min="1015" max="1015" width="14.109375" customWidth="1"/>
    <col min="1016" max="1016" width="13.77734375" customWidth="1"/>
    <col min="1017" max="1018" width="12.77734375" customWidth="1"/>
    <col min="1019" max="1019" width="13.5546875" customWidth="1"/>
    <col min="1020" max="1020" width="15.21875" customWidth="1"/>
    <col min="1021" max="1021" width="12.77734375" customWidth="1"/>
    <col min="1022" max="1022" width="13.77734375" customWidth="1"/>
    <col min="1023" max="1023" width="1.77734375" customWidth="1"/>
    <col min="1024" max="1024" width="13" customWidth="1"/>
    <col min="1265" max="1265" width="6" customWidth="1"/>
    <col min="1266" max="1266" width="1.44140625" customWidth="1"/>
    <col min="1267" max="1267" width="39.109375" customWidth="1"/>
    <col min="1268" max="1268" width="12" customWidth="1"/>
    <col min="1269" max="1269" width="14.44140625" customWidth="1"/>
    <col min="1270" max="1270" width="11.77734375" customWidth="1"/>
    <col min="1271" max="1271" width="14.109375" customWidth="1"/>
    <col min="1272" max="1272" width="13.77734375" customWidth="1"/>
    <col min="1273" max="1274" width="12.77734375" customWidth="1"/>
    <col min="1275" max="1275" width="13.5546875" customWidth="1"/>
    <col min="1276" max="1276" width="15.21875" customWidth="1"/>
    <col min="1277" max="1277" width="12.77734375" customWidth="1"/>
    <col min="1278" max="1278" width="13.77734375" customWidth="1"/>
    <col min="1279" max="1279" width="1.77734375" customWidth="1"/>
    <col min="1280" max="1280" width="13" customWidth="1"/>
    <col min="1521" max="1521" width="6" customWidth="1"/>
    <col min="1522" max="1522" width="1.44140625" customWidth="1"/>
    <col min="1523" max="1523" width="39.109375" customWidth="1"/>
    <col min="1524" max="1524" width="12" customWidth="1"/>
    <col min="1525" max="1525" width="14.44140625" customWidth="1"/>
    <col min="1526" max="1526" width="11.77734375" customWidth="1"/>
    <col min="1527" max="1527" width="14.109375" customWidth="1"/>
    <col min="1528" max="1528" width="13.77734375" customWidth="1"/>
    <col min="1529" max="1530" width="12.77734375" customWidth="1"/>
    <col min="1531" max="1531" width="13.5546875" customWidth="1"/>
    <col min="1532" max="1532" width="15.21875" customWidth="1"/>
    <col min="1533" max="1533" width="12.77734375" customWidth="1"/>
    <col min="1534" max="1534" width="13.77734375" customWidth="1"/>
    <col min="1535" max="1535" width="1.77734375" customWidth="1"/>
    <col min="1536" max="1536" width="13" customWidth="1"/>
    <col min="1777" max="1777" width="6" customWidth="1"/>
    <col min="1778" max="1778" width="1.44140625" customWidth="1"/>
    <col min="1779" max="1779" width="39.109375" customWidth="1"/>
    <col min="1780" max="1780" width="12" customWidth="1"/>
    <col min="1781" max="1781" width="14.44140625" customWidth="1"/>
    <col min="1782" max="1782" width="11.77734375" customWidth="1"/>
    <col min="1783" max="1783" width="14.109375" customWidth="1"/>
    <col min="1784" max="1784" width="13.77734375" customWidth="1"/>
    <col min="1785" max="1786" width="12.77734375" customWidth="1"/>
    <col min="1787" max="1787" width="13.5546875" customWidth="1"/>
    <col min="1788" max="1788" width="15.21875" customWidth="1"/>
    <col min="1789" max="1789" width="12.77734375" customWidth="1"/>
    <col min="1790" max="1790" width="13.77734375" customWidth="1"/>
    <col min="1791" max="1791" width="1.77734375" customWidth="1"/>
    <col min="1792" max="1792" width="13" customWidth="1"/>
    <col min="2033" max="2033" width="6" customWidth="1"/>
    <col min="2034" max="2034" width="1.44140625" customWidth="1"/>
    <col min="2035" max="2035" width="39.109375" customWidth="1"/>
    <col min="2036" max="2036" width="12" customWidth="1"/>
    <col min="2037" max="2037" width="14.44140625" customWidth="1"/>
    <col min="2038" max="2038" width="11.77734375" customWidth="1"/>
    <col min="2039" max="2039" width="14.109375" customWidth="1"/>
    <col min="2040" max="2040" width="13.77734375" customWidth="1"/>
    <col min="2041" max="2042" width="12.77734375" customWidth="1"/>
    <col min="2043" max="2043" width="13.5546875" customWidth="1"/>
    <col min="2044" max="2044" width="15.21875" customWidth="1"/>
    <col min="2045" max="2045" width="12.77734375" customWidth="1"/>
    <col min="2046" max="2046" width="13.77734375" customWidth="1"/>
    <col min="2047" max="2047" width="1.77734375" customWidth="1"/>
    <col min="2048" max="2048" width="13" customWidth="1"/>
    <col min="2289" max="2289" width="6" customWidth="1"/>
    <col min="2290" max="2290" width="1.44140625" customWidth="1"/>
    <col min="2291" max="2291" width="39.109375" customWidth="1"/>
    <col min="2292" max="2292" width="12" customWidth="1"/>
    <col min="2293" max="2293" width="14.44140625" customWidth="1"/>
    <col min="2294" max="2294" width="11.77734375" customWidth="1"/>
    <col min="2295" max="2295" width="14.109375" customWidth="1"/>
    <col min="2296" max="2296" width="13.77734375" customWidth="1"/>
    <col min="2297" max="2298" width="12.77734375" customWidth="1"/>
    <col min="2299" max="2299" width="13.5546875" customWidth="1"/>
    <col min="2300" max="2300" width="15.21875" customWidth="1"/>
    <col min="2301" max="2301" width="12.77734375" customWidth="1"/>
    <col min="2302" max="2302" width="13.77734375" customWidth="1"/>
    <col min="2303" max="2303" width="1.77734375" customWidth="1"/>
    <col min="2304" max="2304" width="13" customWidth="1"/>
    <col min="2545" max="2545" width="6" customWidth="1"/>
    <col min="2546" max="2546" width="1.44140625" customWidth="1"/>
    <col min="2547" max="2547" width="39.109375" customWidth="1"/>
    <col min="2548" max="2548" width="12" customWidth="1"/>
    <col min="2549" max="2549" width="14.44140625" customWidth="1"/>
    <col min="2550" max="2550" width="11.77734375" customWidth="1"/>
    <col min="2551" max="2551" width="14.109375" customWidth="1"/>
    <col min="2552" max="2552" width="13.77734375" customWidth="1"/>
    <col min="2553" max="2554" width="12.77734375" customWidth="1"/>
    <col min="2555" max="2555" width="13.5546875" customWidth="1"/>
    <col min="2556" max="2556" width="15.21875" customWidth="1"/>
    <col min="2557" max="2557" width="12.77734375" customWidth="1"/>
    <col min="2558" max="2558" width="13.77734375" customWidth="1"/>
    <col min="2559" max="2559" width="1.77734375" customWidth="1"/>
    <col min="2560" max="2560" width="13" customWidth="1"/>
    <col min="2801" max="2801" width="6" customWidth="1"/>
    <col min="2802" max="2802" width="1.44140625" customWidth="1"/>
    <col min="2803" max="2803" width="39.109375" customWidth="1"/>
    <col min="2804" max="2804" width="12" customWidth="1"/>
    <col min="2805" max="2805" width="14.44140625" customWidth="1"/>
    <col min="2806" max="2806" width="11.77734375" customWidth="1"/>
    <col min="2807" max="2807" width="14.109375" customWidth="1"/>
    <col min="2808" max="2808" width="13.77734375" customWidth="1"/>
    <col min="2809" max="2810" width="12.77734375" customWidth="1"/>
    <col min="2811" max="2811" width="13.5546875" customWidth="1"/>
    <col min="2812" max="2812" width="15.21875" customWidth="1"/>
    <col min="2813" max="2813" width="12.77734375" customWidth="1"/>
    <col min="2814" max="2814" width="13.77734375" customWidth="1"/>
    <col min="2815" max="2815" width="1.77734375" customWidth="1"/>
    <col min="2816" max="2816" width="13" customWidth="1"/>
    <col min="3057" max="3057" width="6" customWidth="1"/>
    <col min="3058" max="3058" width="1.44140625" customWidth="1"/>
    <col min="3059" max="3059" width="39.109375" customWidth="1"/>
    <col min="3060" max="3060" width="12" customWidth="1"/>
    <col min="3061" max="3061" width="14.44140625" customWidth="1"/>
    <col min="3062" max="3062" width="11.77734375" customWidth="1"/>
    <col min="3063" max="3063" width="14.109375" customWidth="1"/>
    <col min="3064" max="3064" width="13.77734375" customWidth="1"/>
    <col min="3065" max="3066" width="12.77734375" customWidth="1"/>
    <col min="3067" max="3067" width="13.5546875" customWidth="1"/>
    <col min="3068" max="3068" width="15.21875" customWidth="1"/>
    <col min="3069" max="3069" width="12.77734375" customWidth="1"/>
    <col min="3070" max="3070" width="13.77734375" customWidth="1"/>
    <col min="3071" max="3071" width="1.77734375" customWidth="1"/>
    <col min="3072" max="3072" width="13" customWidth="1"/>
    <col min="3313" max="3313" width="6" customWidth="1"/>
    <col min="3314" max="3314" width="1.44140625" customWidth="1"/>
    <col min="3315" max="3315" width="39.109375" customWidth="1"/>
    <col min="3316" max="3316" width="12" customWidth="1"/>
    <col min="3317" max="3317" width="14.44140625" customWidth="1"/>
    <col min="3318" max="3318" width="11.77734375" customWidth="1"/>
    <col min="3319" max="3319" width="14.109375" customWidth="1"/>
    <col min="3320" max="3320" width="13.77734375" customWidth="1"/>
    <col min="3321" max="3322" width="12.77734375" customWidth="1"/>
    <col min="3323" max="3323" width="13.5546875" customWidth="1"/>
    <col min="3324" max="3324" width="15.21875" customWidth="1"/>
    <col min="3325" max="3325" width="12.77734375" customWidth="1"/>
    <col min="3326" max="3326" width="13.77734375" customWidth="1"/>
    <col min="3327" max="3327" width="1.77734375" customWidth="1"/>
    <col min="3328" max="3328" width="13" customWidth="1"/>
    <col min="3569" max="3569" width="6" customWidth="1"/>
    <col min="3570" max="3570" width="1.44140625" customWidth="1"/>
    <col min="3571" max="3571" width="39.109375" customWidth="1"/>
    <col min="3572" max="3572" width="12" customWidth="1"/>
    <col min="3573" max="3573" width="14.44140625" customWidth="1"/>
    <col min="3574" max="3574" width="11.77734375" customWidth="1"/>
    <col min="3575" max="3575" width="14.109375" customWidth="1"/>
    <col min="3576" max="3576" width="13.77734375" customWidth="1"/>
    <col min="3577" max="3578" width="12.77734375" customWidth="1"/>
    <col min="3579" max="3579" width="13.5546875" customWidth="1"/>
    <col min="3580" max="3580" width="15.21875" customWidth="1"/>
    <col min="3581" max="3581" width="12.77734375" customWidth="1"/>
    <col min="3582" max="3582" width="13.77734375" customWidth="1"/>
    <col min="3583" max="3583" width="1.77734375" customWidth="1"/>
    <col min="3584" max="3584" width="13" customWidth="1"/>
    <col min="3825" max="3825" width="6" customWidth="1"/>
    <col min="3826" max="3826" width="1.44140625" customWidth="1"/>
    <col min="3827" max="3827" width="39.109375" customWidth="1"/>
    <col min="3828" max="3828" width="12" customWidth="1"/>
    <col min="3829" max="3829" width="14.44140625" customWidth="1"/>
    <col min="3830" max="3830" width="11.77734375" customWidth="1"/>
    <col min="3831" max="3831" width="14.109375" customWidth="1"/>
    <col min="3832" max="3832" width="13.77734375" customWidth="1"/>
    <col min="3833" max="3834" width="12.77734375" customWidth="1"/>
    <col min="3835" max="3835" width="13.5546875" customWidth="1"/>
    <col min="3836" max="3836" width="15.21875" customWidth="1"/>
    <col min="3837" max="3837" width="12.77734375" customWidth="1"/>
    <col min="3838" max="3838" width="13.77734375" customWidth="1"/>
    <col min="3839" max="3839" width="1.77734375" customWidth="1"/>
    <col min="3840" max="3840" width="13" customWidth="1"/>
    <col min="4081" max="4081" width="6" customWidth="1"/>
    <col min="4082" max="4082" width="1.44140625" customWidth="1"/>
    <col min="4083" max="4083" width="39.109375" customWidth="1"/>
    <col min="4084" max="4084" width="12" customWidth="1"/>
    <col min="4085" max="4085" width="14.44140625" customWidth="1"/>
    <col min="4086" max="4086" width="11.77734375" customWidth="1"/>
    <col min="4087" max="4087" width="14.109375" customWidth="1"/>
    <col min="4088" max="4088" width="13.77734375" customWidth="1"/>
    <col min="4089" max="4090" width="12.77734375" customWidth="1"/>
    <col min="4091" max="4091" width="13.5546875" customWidth="1"/>
    <col min="4092" max="4092" width="15.21875" customWidth="1"/>
    <col min="4093" max="4093" width="12.77734375" customWidth="1"/>
    <col min="4094" max="4094" width="13.77734375" customWidth="1"/>
    <col min="4095" max="4095" width="1.77734375" customWidth="1"/>
    <col min="4096" max="4096" width="13" customWidth="1"/>
    <col min="4337" max="4337" width="6" customWidth="1"/>
    <col min="4338" max="4338" width="1.44140625" customWidth="1"/>
    <col min="4339" max="4339" width="39.109375" customWidth="1"/>
    <col min="4340" max="4340" width="12" customWidth="1"/>
    <col min="4341" max="4341" width="14.44140625" customWidth="1"/>
    <col min="4342" max="4342" width="11.77734375" customWidth="1"/>
    <col min="4343" max="4343" width="14.109375" customWidth="1"/>
    <col min="4344" max="4344" width="13.77734375" customWidth="1"/>
    <col min="4345" max="4346" width="12.77734375" customWidth="1"/>
    <col min="4347" max="4347" width="13.5546875" customWidth="1"/>
    <col min="4348" max="4348" width="15.21875" customWidth="1"/>
    <col min="4349" max="4349" width="12.77734375" customWidth="1"/>
    <col min="4350" max="4350" width="13.77734375" customWidth="1"/>
    <col min="4351" max="4351" width="1.77734375" customWidth="1"/>
    <col min="4352" max="4352" width="13" customWidth="1"/>
    <col min="4593" max="4593" width="6" customWidth="1"/>
    <col min="4594" max="4594" width="1.44140625" customWidth="1"/>
    <col min="4595" max="4595" width="39.109375" customWidth="1"/>
    <col min="4596" max="4596" width="12" customWidth="1"/>
    <col min="4597" max="4597" width="14.44140625" customWidth="1"/>
    <col min="4598" max="4598" width="11.77734375" customWidth="1"/>
    <col min="4599" max="4599" width="14.109375" customWidth="1"/>
    <col min="4600" max="4600" width="13.77734375" customWidth="1"/>
    <col min="4601" max="4602" width="12.77734375" customWidth="1"/>
    <col min="4603" max="4603" width="13.5546875" customWidth="1"/>
    <col min="4604" max="4604" width="15.21875" customWidth="1"/>
    <col min="4605" max="4605" width="12.77734375" customWidth="1"/>
    <col min="4606" max="4606" width="13.77734375" customWidth="1"/>
    <col min="4607" max="4607" width="1.77734375" customWidth="1"/>
    <col min="4608" max="4608" width="13" customWidth="1"/>
    <col min="4849" max="4849" width="6" customWidth="1"/>
    <col min="4850" max="4850" width="1.44140625" customWidth="1"/>
    <col min="4851" max="4851" width="39.109375" customWidth="1"/>
    <col min="4852" max="4852" width="12" customWidth="1"/>
    <col min="4853" max="4853" width="14.44140625" customWidth="1"/>
    <col min="4854" max="4854" width="11.77734375" customWidth="1"/>
    <col min="4855" max="4855" width="14.109375" customWidth="1"/>
    <col min="4856" max="4856" width="13.77734375" customWidth="1"/>
    <col min="4857" max="4858" width="12.77734375" customWidth="1"/>
    <col min="4859" max="4859" width="13.5546875" customWidth="1"/>
    <col min="4860" max="4860" width="15.21875" customWidth="1"/>
    <col min="4861" max="4861" width="12.77734375" customWidth="1"/>
    <col min="4862" max="4862" width="13.77734375" customWidth="1"/>
    <col min="4863" max="4863" width="1.77734375" customWidth="1"/>
    <col min="4864" max="4864" width="13" customWidth="1"/>
    <col min="5105" max="5105" width="6" customWidth="1"/>
    <col min="5106" max="5106" width="1.44140625" customWidth="1"/>
    <col min="5107" max="5107" width="39.109375" customWidth="1"/>
    <col min="5108" max="5108" width="12" customWidth="1"/>
    <col min="5109" max="5109" width="14.44140625" customWidth="1"/>
    <col min="5110" max="5110" width="11.77734375" customWidth="1"/>
    <col min="5111" max="5111" width="14.109375" customWidth="1"/>
    <col min="5112" max="5112" width="13.77734375" customWidth="1"/>
    <col min="5113" max="5114" width="12.77734375" customWidth="1"/>
    <col min="5115" max="5115" width="13.5546875" customWidth="1"/>
    <col min="5116" max="5116" width="15.21875" customWidth="1"/>
    <col min="5117" max="5117" width="12.77734375" customWidth="1"/>
    <col min="5118" max="5118" width="13.77734375" customWidth="1"/>
    <col min="5119" max="5119" width="1.77734375" customWidth="1"/>
    <col min="5120" max="5120" width="13" customWidth="1"/>
    <col min="5361" max="5361" width="6" customWidth="1"/>
    <col min="5362" max="5362" width="1.44140625" customWidth="1"/>
    <col min="5363" max="5363" width="39.109375" customWidth="1"/>
    <col min="5364" max="5364" width="12" customWidth="1"/>
    <col min="5365" max="5365" width="14.44140625" customWidth="1"/>
    <col min="5366" max="5366" width="11.77734375" customWidth="1"/>
    <col min="5367" max="5367" width="14.109375" customWidth="1"/>
    <col min="5368" max="5368" width="13.77734375" customWidth="1"/>
    <col min="5369" max="5370" width="12.77734375" customWidth="1"/>
    <col min="5371" max="5371" width="13.5546875" customWidth="1"/>
    <col min="5372" max="5372" width="15.21875" customWidth="1"/>
    <col min="5373" max="5373" width="12.77734375" customWidth="1"/>
    <col min="5374" max="5374" width="13.77734375" customWidth="1"/>
    <col min="5375" max="5375" width="1.77734375" customWidth="1"/>
    <col min="5376" max="5376" width="13" customWidth="1"/>
    <col min="5617" max="5617" width="6" customWidth="1"/>
    <col min="5618" max="5618" width="1.44140625" customWidth="1"/>
    <col min="5619" max="5619" width="39.109375" customWidth="1"/>
    <col min="5620" max="5620" width="12" customWidth="1"/>
    <col min="5621" max="5621" width="14.44140625" customWidth="1"/>
    <col min="5622" max="5622" width="11.77734375" customWidth="1"/>
    <col min="5623" max="5623" width="14.109375" customWidth="1"/>
    <col min="5624" max="5624" width="13.77734375" customWidth="1"/>
    <col min="5625" max="5626" width="12.77734375" customWidth="1"/>
    <col min="5627" max="5627" width="13.5546875" customWidth="1"/>
    <col min="5628" max="5628" width="15.21875" customWidth="1"/>
    <col min="5629" max="5629" width="12.77734375" customWidth="1"/>
    <col min="5630" max="5630" width="13.77734375" customWidth="1"/>
    <col min="5631" max="5631" width="1.77734375" customWidth="1"/>
    <col min="5632" max="5632" width="13" customWidth="1"/>
    <col min="5873" max="5873" width="6" customWidth="1"/>
    <col min="5874" max="5874" width="1.44140625" customWidth="1"/>
    <col min="5875" max="5875" width="39.109375" customWidth="1"/>
    <col min="5876" max="5876" width="12" customWidth="1"/>
    <col min="5877" max="5877" width="14.44140625" customWidth="1"/>
    <col min="5878" max="5878" width="11.77734375" customWidth="1"/>
    <col min="5879" max="5879" width="14.109375" customWidth="1"/>
    <col min="5880" max="5880" width="13.77734375" customWidth="1"/>
    <col min="5881" max="5882" width="12.77734375" customWidth="1"/>
    <col min="5883" max="5883" width="13.5546875" customWidth="1"/>
    <col min="5884" max="5884" width="15.21875" customWidth="1"/>
    <col min="5885" max="5885" width="12.77734375" customWidth="1"/>
    <col min="5886" max="5886" width="13.77734375" customWidth="1"/>
    <col min="5887" max="5887" width="1.77734375" customWidth="1"/>
    <col min="5888" max="5888" width="13" customWidth="1"/>
    <col min="6129" max="6129" width="6" customWidth="1"/>
    <col min="6130" max="6130" width="1.44140625" customWidth="1"/>
    <col min="6131" max="6131" width="39.109375" customWidth="1"/>
    <col min="6132" max="6132" width="12" customWidth="1"/>
    <col min="6133" max="6133" width="14.44140625" customWidth="1"/>
    <col min="6134" max="6134" width="11.77734375" customWidth="1"/>
    <col min="6135" max="6135" width="14.109375" customWidth="1"/>
    <col min="6136" max="6136" width="13.77734375" customWidth="1"/>
    <col min="6137" max="6138" width="12.77734375" customWidth="1"/>
    <col min="6139" max="6139" width="13.5546875" customWidth="1"/>
    <col min="6140" max="6140" width="15.21875" customWidth="1"/>
    <col min="6141" max="6141" width="12.77734375" customWidth="1"/>
    <col min="6142" max="6142" width="13.77734375" customWidth="1"/>
    <col min="6143" max="6143" width="1.77734375" customWidth="1"/>
    <col min="6144" max="6144" width="13" customWidth="1"/>
    <col min="6385" max="6385" width="6" customWidth="1"/>
    <col min="6386" max="6386" width="1.44140625" customWidth="1"/>
    <col min="6387" max="6387" width="39.109375" customWidth="1"/>
    <col min="6388" max="6388" width="12" customWidth="1"/>
    <col min="6389" max="6389" width="14.44140625" customWidth="1"/>
    <col min="6390" max="6390" width="11.77734375" customWidth="1"/>
    <col min="6391" max="6391" width="14.109375" customWidth="1"/>
    <col min="6392" max="6392" width="13.77734375" customWidth="1"/>
    <col min="6393" max="6394" width="12.77734375" customWidth="1"/>
    <col min="6395" max="6395" width="13.5546875" customWidth="1"/>
    <col min="6396" max="6396" width="15.21875" customWidth="1"/>
    <col min="6397" max="6397" width="12.77734375" customWidth="1"/>
    <col min="6398" max="6398" width="13.77734375" customWidth="1"/>
    <col min="6399" max="6399" width="1.77734375" customWidth="1"/>
    <col min="6400" max="6400" width="13" customWidth="1"/>
    <col min="6641" max="6641" width="6" customWidth="1"/>
    <col min="6642" max="6642" width="1.44140625" customWidth="1"/>
    <col min="6643" max="6643" width="39.109375" customWidth="1"/>
    <col min="6644" max="6644" width="12" customWidth="1"/>
    <col min="6645" max="6645" width="14.44140625" customWidth="1"/>
    <col min="6646" max="6646" width="11.77734375" customWidth="1"/>
    <col min="6647" max="6647" width="14.109375" customWidth="1"/>
    <col min="6648" max="6648" width="13.77734375" customWidth="1"/>
    <col min="6649" max="6650" width="12.77734375" customWidth="1"/>
    <col min="6651" max="6651" width="13.5546875" customWidth="1"/>
    <col min="6652" max="6652" width="15.21875" customWidth="1"/>
    <col min="6653" max="6653" width="12.77734375" customWidth="1"/>
    <col min="6654" max="6654" width="13.77734375" customWidth="1"/>
    <col min="6655" max="6655" width="1.77734375" customWidth="1"/>
    <col min="6656" max="6656" width="13" customWidth="1"/>
    <col min="6897" max="6897" width="6" customWidth="1"/>
    <col min="6898" max="6898" width="1.44140625" customWidth="1"/>
    <col min="6899" max="6899" width="39.109375" customWidth="1"/>
    <col min="6900" max="6900" width="12" customWidth="1"/>
    <col min="6901" max="6901" width="14.44140625" customWidth="1"/>
    <col min="6902" max="6902" width="11.77734375" customWidth="1"/>
    <col min="6903" max="6903" width="14.109375" customWidth="1"/>
    <col min="6904" max="6904" width="13.77734375" customWidth="1"/>
    <col min="6905" max="6906" width="12.77734375" customWidth="1"/>
    <col min="6907" max="6907" width="13.5546875" customWidth="1"/>
    <col min="6908" max="6908" width="15.21875" customWidth="1"/>
    <col min="6909" max="6909" width="12.77734375" customWidth="1"/>
    <col min="6910" max="6910" width="13.77734375" customWidth="1"/>
    <col min="6911" max="6911" width="1.77734375" customWidth="1"/>
    <col min="6912" max="6912" width="13" customWidth="1"/>
    <col min="7153" max="7153" width="6" customWidth="1"/>
    <col min="7154" max="7154" width="1.44140625" customWidth="1"/>
    <col min="7155" max="7155" width="39.109375" customWidth="1"/>
    <col min="7156" max="7156" width="12" customWidth="1"/>
    <col min="7157" max="7157" width="14.44140625" customWidth="1"/>
    <col min="7158" max="7158" width="11.77734375" customWidth="1"/>
    <col min="7159" max="7159" width="14.109375" customWidth="1"/>
    <col min="7160" max="7160" width="13.77734375" customWidth="1"/>
    <col min="7161" max="7162" width="12.77734375" customWidth="1"/>
    <col min="7163" max="7163" width="13.5546875" customWidth="1"/>
    <col min="7164" max="7164" width="15.21875" customWidth="1"/>
    <col min="7165" max="7165" width="12.77734375" customWidth="1"/>
    <col min="7166" max="7166" width="13.77734375" customWidth="1"/>
    <col min="7167" max="7167" width="1.77734375" customWidth="1"/>
    <col min="7168" max="7168" width="13" customWidth="1"/>
    <col min="7409" max="7409" width="6" customWidth="1"/>
    <col min="7410" max="7410" width="1.44140625" customWidth="1"/>
    <col min="7411" max="7411" width="39.109375" customWidth="1"/>
    <col min="7412" max="7412" width="12" customWidth="1"/>
    <col min="7413" max="7413" width="14.44140625" customWidth="1"/>
    <col min="7414" max="7414" width="11.77734375" customWidth="1"/>
    <col min="7415" max="7415" width="14.109375" customWidth="1"/>
    <col min="7416" max="7416" width="13.77734375" customWidth="1"/>
    <col min="7417" max="7418" width="12.77734375" customWidth="1"/>
    <col min="7419" max="7419" width="13.5546875" customWidth="1"/>
    <col min="7420" max="7420" width="15.21875" customWidth="1"/>
    <col min="7421" max="7421" width="12.77734375" customWidth="1"/>
    <col min="7422" max="7422" width="13.77734375" customWidth="1"/>
    <col min="7423" max="7423" width="1.77734375" customWidth="1"/>
    <col min="7424" max="7424" width="13" customWidth="1"/>
    <col min="7665" max="7665" width="6" customWidth="1"/>
    <col min="7666" max="7666" width="1.44140625" customWidth="1"/>
    <col min="7667" max="7667" width="39.109375" customWidth="1"/>
    <col min="7668" max="7668" width="12" customWidth="1"/>
    <col min="7669" max="7669" width="14.44140625" customWidth="1"/>
    <col min="7670" max="7670" width="11.77734375" customWidth="1"/>
    <col min="7671" max="7671" width="14.109375" customWidth="1"/>
    <col min="7672" max="7672" width="13.77734375" customWidth="1"/>
    <col min="7673" max="7674" width="12.77734375" customWidth="1"/>
    <col min="7675" max="7675" width="13.5546875" customWidth="1"/>
    <col min="7676" max="7676" width="15.21875" customWidth="1"/>
    <col min="7677" max="7677" width="12.77734375" customWidth="1"/>
    <col min="7678" max="7678" width="13.77734375" customWidth="1"/>
    <col min="7679" max="7679" width="1.77734375" customWidth="1"/>
    <col min="7680" max="7680" width="13" customWidth="1"/>
    <col min="7921" max="7921" width="6" customWidth="1"/>
    <col min="7922" max="7922" width="1.44140625" customWidth="1"/>
    <col min="7923" max="7923" width="39.109375" customWidth="1"/>
    <col min="7924" max="7924" width="12" customWidth="1"/>
    <col min="7925" max="7925" width="14.44140625" customWidth="1"/>
    <col min="7926" max="7926" width="11.77734375" customWidth="1"/>
    <col min="7927" max="7927" width="14.109375" customWidth="1"/>
    <col min="7928" max="7928" width="13.77734375" customWidth="1"/>
    <col min="7929" max="7930" width="12.77734375" customWidth="1"/>
    <col min="7931" max="7931" width="13.5546875" customWidth="1"/>
    <col min="7932" max="7932" width="15.21875" customWidth="1"/>
    <col min="7933" max="7933" width="12.77734375" customWidth="1"/>
    <col min="7934" max="7934" width="13.77734375" customWidth="1"/>
    <col min="7935" max="7935" width="1.77734375" customWidth="1"/>
    <col min="7936" max="7936" width="13" customWidth="1"/>
    <col min="8177" max="8177" width="6" customWidth="1"/>
    <col min="8178" max="8178" width="1.44140625" customWidth="1"/>
    <col min="8179" max="8179" width="39.109375" customWidth="1"/>
    <col min="8180" max="8180" width="12" customWidth="1"/>
    <col min="8181" max="8181" width="14.44140625" customWidth="1"/>
    <col min="8182" max="8182" width="11.77734375" customWidth="1"/>
    <col min="8183" max="8183" width="14.109375" customWidth="1"/>
    <col min="8184" max="8184" width="13.77734375" customWidth="1"/>
    <col min="8185" max="8186" width="12.77734375" customWidth="1"/>
    <col min="8187" max="8187" width="13.5546875" customWidth="1"/>
    <col min="8188" max="8188" width="15.21875" customWidth="1"/>
    <col min="8189" max="8189" width="12.77734375" customWidth="1"/>
    <col min="8190" max="8190" width="13.77734375" customWidth="1"/>
    <col min="8191" max="8191" width="1.77734375" customWidth="1"/>
    <col min="8192" max="8192" width="13" customWidth="1"/>
    <col min="8433" max="8433" width="6" customWidth="1"/>
    <col min="8434" max="8434" width="1.44140625" customWidth="1"/>
    <col min="8435" max="8435" width="39.109375" customWidth="1"/>
    <col min="8436" max="8436" width="12" customWidth="1"/>
    <col min="8437" max="8437" width="14.44140625" customWidth="1"/>
    <col min="8438" max="8438" width="11.77734375" customWidth="1"/>
    <col min="8439" max="8439" width="14.109375" customWidth="1"/>
    <col min="8440" max="8440" width="13.77734375" customWidth="1"/>
    <col min="8441" max="8442" width="12.77734375" customWidth="1"/>
    <col min="8443" max="8443" width="13.5546875" customWidth="1"/>
    <col min="8444" max="8444" width="15.21875" customWidth="1"/>
    <col min="8445" max="8445" width="12.77734375" customWidth="1"/>
    <col min="8446" max="8446" width="13.77734375" customWidth="1"/>
    <col min="8447" max="8447" width="1.77734375" customWidth="1"/>
    <col min="8448" max="8448" width="13" customWidth="1"/>
    <col min="8689" max="8689" width="6" customWidth="1"/>
    <col min="8690" max="8690" width="1.44140625" customWidth="1"/>
    <col min="8691" max="8691" width="39.109375" customWidth="1"/>
    <col min="8692" max="8692" width="12" customWidth="1"/>
    <col min="8693" max="8693" width="14.44140625" customWidth="1"/>
    <col min="8694" max="8694" width="11.77734375" customWidth="1"/>
    <col min="8695" max="8695" width="14.109375" customWidth="1"/>
    <col min="8696" max="8696" width="13.77734375" customWidth="1"/>
    <col min="8697" max="8698" width="12.77734375" customWidth="1"/>
    <col min="8699" max="8699" width="13.5546875" customWidth="1"/>
    <col min="8700" max="8700" width="15.21875" customWidth="1"/>
    <col min="8701" max="8701" width="12.77734375" customWidth="1"/>
    <col min="8702" max="8702" width="13.77734375" customWidth="1"/>
    <col min="8703" max="8703" width="1.77734375" customWidth="1"/>
    <col min="8704" max="8704" width="13" customWidth="1"/>
    <col min="8945" max="8945" width="6" customWidth="1"/>
    <col min="8946" max="8946" width="1.44140625" customWidth="1"/>
    <col min="8947" max="8947" width="39.109375" customWidth="1"/>
    <col min="8948" max="8948" width="12" customWidth="1"/>
    <col min="8949" max="8949" width="14.44140625" customWidth="1"/>
    <col min="8950" max="8950" width="11.77734375" customWidth="1"/>
    <col min="8951" max="8951" width="14.109375" customWidth="1"/>
    <col min="8952" max="8952" width="13.77734375" customWidth="1"/>
    <col min="8953" max="8954" width="12.77734375" customWidth="1"/>
    <col min="8955" max="8955" width="13.5546875" customWidth="1"/>
    <col min="8956" max="8956" width="15.21875" customWidth="1"/>
    <col min="8957" max="8957" width="12.77734375" customWidth="1"/>
    <col min="8958" max="8958" width="13.77734375" customWidth="1"/>
    <col min="8959" max="8959" width="1.77734375" customWidth="1"/>
    <col min="8960" max="8960" width="13" customWidth="1"/>
    <col min="9201" max="9201" width="6" customWidth="1"/>
    <col min="9202" max="9202" width="1.44140625" customWidth="1"/>
    <col min="9203" max="9203" width="39.109375" customWidth="1"/>
    <col min="9204" max="9204" width="12" customWidth="1"/>
    <col min="9205" max="9205" width="14.44140625" customWidth="1"/>
    <col min="9206" max="9206" width="11.77734375" customWidth="1"/>
    <col min="9207" max="9207" width="14.109375" customWidth="1"/>
    <col min="9208" max="9208" width="13.77734375" customWidth="1"/>
    <col min="9209" max="9210" width="12.77734375" customWidth="1"/>
    <col min="9211" max="9211" width="13.5546875" customWidth="1"/>
    <col min="9212" max="9212" width="15.21875" customWidth="1"/>
    <col min="9213" max="9213" width="12.77734375" customWidth="1"/>
    <col min="9214" max="9214" width="13.77734375" customWidth="1"/>
    <col min="9215" max="9215" width="1.77734375" customWidth="1"/>
    <col min="9216" max="9216" width="13" customWidth="1"/>
    <col min="9457" max="9457" width="6" customWidth="1"/>
    <col min="9458" max="9458" width="1.44140625" customWidth="1"/>
    <col min="9459" max="9459" width="39.109375" customWidth="1"/>
    <col min="9460" max="9460" width="12" customWidth="1"/>
    <col min="9461" max="9461" width="14.44140625" customWidth="1"/>
    <col min="9462" max="9462" width="11.77734375" customWidth="1"/>
    <col min="9463" max="9463" width="14.109375" customWidth="1"/>
    <col min="9464" max="9464" width="13.77734375" customWidth="1"/>
    <col min="9465" max="9466" width="12.77734375" customWidth="1"/>
    <col min="9467" max="9467" width="13.5546875" customWidth="1"/>
    <col min="9468" max="9468" width="15.21875" customWidth="1"/>
    <col min="9469" max="9469" width="12.77734375" customWidth="1"/>
    <col min="9470" max="9470" width="13.77734375" customWidth="1"/>
    <col min="9471" max="9471" width="1.77734375" customWidth="1"/>
    <col min="9472" max="9472" width="13" customWidth="1"/>
    <col min="9713" max="9713" width="6" customWidth="1"/>
    <col min="9714" max="9714" width="1.44140625" customWidth="1"/>
    <col min="9715" max="9715" width="39.109375" customWidth="1"/>
    <col min="9716" max="9716" width="12" customWidth="1"/>
    <col min="9717" max="9717" width="14.44140625" customWidth="1"/>
    <col min="9718" max="9718" width="11.77734375" customWidth="1"/>
    <col min="9719" max="9719" width="14.109375" customWidth="1"/>
    <col min="9720" max="9720" width="13.77734375" customWidth="1"/>
    <col min="9721" max="9722" width="12.77734375" customWidth="1"/>
    <col min="9723" max="9723" width="13.5546875" customWidth="1"/>
    <col min="9724" max="9724" width="15.21875" customWidth="1"/>
    <col min="9725" max="9725" width="12.77734375" customWidth="1"/>
    <col min="9726" max="9726" width="13.77734375" customWidth="1"/>
    <col min="9727" max="9727" width="1.77734375" customWidth="1"/>
    <col min="9728" max="9728" width="13" customWidth="1"/>
    <col min="9969" max="9969" width="6" customWidth="1"/>
    <col min="9970" max="9970" width="1.44140625" customWidth="1"/>
    <col min="9971" max="9971" width="39.109375" customWidth="1"/>
    <col min="9972" max="9972" width="12" customWidth="1"/>
    <col min="9973" max="9973" width="14.44140625" customWidth="1"/>
    <col min="9974" max="9974" width="11.77734375" customWidth="1"/>
    <col min="9975" max="9975" width="14.109375" customWidth="1"/>
    <col min="9976" max="9976" width="13.77734375" customWidth="1"/>
    <col min="9977" max="9978" width="12.77734375" customWidth="1"/>
    <col min="9979" max="9979" width="13.5546875" customWidth="1"/>
    <col min="9980" max="9980" width="15.21875" customWidth="1"/>
    <col min="9981" max="9981" width="12.77734375" customWidth="1"/>
    <col min="9982" max="9982" width="13.77734375" customWidth="1"/>
    <col min="9983" max="9983" width="1.77734375" customWidth="1"/>
    <col min="9984" max="9984" width="13" customWidth="1"/>
    <col min="10225" max="10225" width="6" customWidth="1"/>
    <col min="10226" max="10226" width="1.44140625" customWidth="1"/>
    <col min="10227" max="10227" width="39.109375" customWidth="1"/>
    <col min="10228" max="10228" width="12" customWidth="1"/>
    <col min="10229" max="10229" width="14.44140625" customWidth="1"/>
    <col min="10230" max="10230" width="11.77734375" customWidth="1"/>
    <col min="10231" max="10231" width="14.109375" customWidth="1"/>
    <col min="10232" max="10232" width="13.77734375" customWidth="1"/>
    <col min="10233" max="10234" width="12.77734375" customWidth="1"/>
    <col min="10235" max="10235" width="13.5546875" customWidth="1"/>
    <col min="10236" max="10236" width="15.21875" customWidth="1"/>
    <col min="10237" max="10237" width="12.77734375" customWidth="1"/>
    <col min="10238" max="10238" width="13.77734375" customWidth="1"/>
    <col min="10239" max="10239" width="1.77734375" customWidth="1"/>
    <col min="10240" max="10240" width="13" customWidth="1"/>
    <col min="10481" max="10481" width="6" customWidth="1"/>
    <col min="10482" max="10482" width="1.44140625" customWidth="1"/>
    <col min="10483" max="10483" width="39.109375" customWidth="1"/>
    <col min="10484" max="10484" width="12" customWidth="1"/>
    <col min="10485" max="10485" width="14.44140625" customWidth="1"/>
    <col min="10486" max="10486" width="11.77734375" customWidth="1"/>
    <col min="10487" max="10487" width="14.109375" customWidth="1"/>
    <col min="10488" max="10488" width="13.77734375" customWidth="1"/>
    <col min="10489" max="10490" width="12.77734375" customWidth="1"/>
    <col min="10491" max="10491" width="13.5546875" customWidth="1"/>
    <col min="10492" max="10492" width="15.21875" customWidth="1"/>
    <col min="10493" max="10493" width="12.77734375" customWidth="1"/>
    <col min="10494" max="10494" width="13.77734375" customWidth="1"/>
    <col min="10495" max="10495" width="1.77734375" customWidth="1"/>
    <col min="10496" max="10496" width="13" customWidth="1"/>
    <col min="10737" max="10737" width="6" customWidth="1"/>
    <col min="10738" max="10738" width="1.44140625" customWidth="1"/>
    <col min="10739" max="10739" width="39.109375" customWidth="1"/>
    <col min="10740" max="10740" width="12" customWidth="1"/>
    <col min="10741" max="10741" width="14.44140625" customWidth="1"/>
    <col min="10742" max="10742" width="11.77734375" customWidth="1"/>
    <col min="10743" max="10743" width="14.109375" customWidth="1"/>
    <col min="10744" max="10744" width="13.77734375" customWidth="1"/>
    <col min="10745" max="10746" width="12.77734375" customWidth="1"/>
    <col min="10747" max="10747" width="13.5546875" customWidth="1"/>
    <col min="10748" max="10748" width="15.21875" customWidth="1"/>
    <col min="10749" max="10749" width="12.77734375" customWidth="1"/>
    <col min="10750" max="10750" width="13.77734375" customWidth="1"/>
    <col min="10751" max="10751" width="1.77734375" customWidth="1"/>
    <col min="10752" max="10752" width="13" customWidth="1"/>
    <col min="10993" max="10993" width="6" customWidth="1"/>
    <col min="10994" max="10994" width="1.44140625" customWidth="1"/>
    <col min="10995" max="10995" width="39.109375" customWidth="1"/>
    <col min="10996" max="10996" width="12" customWidth="1"/>
    <col min="10997" max="10997" width="14.44140625" customWidth="1"/>
    <col min="10998" max="10998" width="11.77734375" customWidth="1"/>
    <col min="10999" max="10999" width="14.109375" customWidth="1"/>
    <col min="11000" max="11000" width="13.77734375" customWidth="1"/>
    <col min="11001" max="11002" width="12.77734375" customWidth="1"/>
    <col min="11003" max="11003" width="13.5546875" customWidth="1"/>
    <col min="11004" max="11004" width="15.21875" customWidth="1"/>
    <col min="11005" max="11005" width="12.77734375" customWidth="1"/>
    <col min="11006" max="11006" width="13.77734375" customWidth="1"/>
    <col min="11007" max="11007" width="1.77734375" customWidth="1"/>
    <col min="11008" max="11008" width="13" customWidth="1"/>
    <col min="11249" max="11249" width="6" customWidth="1"/>
    <col min="11250" max="11250" width="1.44140625" customWidth="1"/>
    <col min="11251" max="11251" width="39.109375" customWidth="1"/>
    <col min="11252" max="11252" width="12" customWidth="1"/>
    <col min="11253" max="11253" width="14.44140625" customWidth="1"/>
    <col min="11254" max="11254" width="11.77734375" customWidth="1"/>
    <col min="11255" max="11255" width="14.109375" customWidth="1"/>
    <col min="11256" max="11256" width="13.77734375" customWidth="1"/>
    <col min="11257" max="11258" width="12.77734375" customWidth="1"/>
    <col min="11259" max="11259" width="13.5546875" customWidth="1"/>
    <col min="11260" max="11260" width="15.21875" customWidth="1"/>
    <col min="11261" max="11261" width="12.77734375" customWidth="1"/>
    <col min="11262" max="11262" width="13.77734375" customWidth="1"/>
    <col min="11263" max="11263" width="1.77734375" customWidth="1"/>
    <col min="11264" max="11264" width="13" customWidth="1"/>
    <col min="11505" max="11505" width="6" customWidth="1"/>
    <col min="11506" max="11506" width="1.44140625" customWidth="1"/>
    <col min="11507" max="11507" width="39.109375" customWidth="1"/>
    <col min="11508" max="11508" width="12" customWidth="1"/>
    <col min="11509" max="11509" width="14.44140625" customWidth="1"/>
    <col min="11510" max="11510" width="11.77734375" customWidth="1"/>
    <col min="11511" max="11511" width="14.109375" customWidth="1"/>
    <col min="11512" max="11512" width="13.77734375" customWidth="1"/>
    <col min="11513" max="11514" width="12.77734375" customWidth="1"/>
    <col min="11515" max="11515" width="13.5546875" customWidth="1"/>
    <col min="11516" max="11516" width="15.21875" customWidth="1"/>
    <col min="11517" max="11517" width="12.77734375" customWidth="1"/>
    <col min="11518" max="11518" width="13.77734375" customWidth="1"/>
    <col min="11519" max="11519" width="1.77734375" customWidth="1"/>
    <col min="11520" max="11520" width="13" customWidth="1"/>
    <col min="11761" max="11761" width="6" customWidth="1"/>
    <col min="11762" max="11762" width="1.44140625" customWidth="1"/>
    <col min="11763" max="11763" width="39.109375" customWidth="1"/>
    <col min="11764" max="11764" width="12" customWidth="1"/>
    <col min="11765" max="11765" width="14.44140625" customWidth="1"/>
    <col min="11766" max="11766" width="11.77734375" customWidth="1"/>
    <col min="11767" max="11767" width="14.109375" customWidth="1"/>
    <col min="11768" max="11768" width="13.77734375" customWidth="1"/>
    <col min="11769" max="11770" width="12.77734375" customWidth="1"/>
    <col min="11771" max="11771" width="13.5546875" customWidth="1"/>
    <col min="11772" max="11772" width="15.21875" customWidth="1"/>
    <col min="11773" max="11773" width="12.77734375" customWidth="1"/>
    <col min="11774" max="11774" width="13.77734375" customWidth="1"/>
    <col min="11775" max="11775" width="1.77734375" customWidth="1"/>
    <col min="11776" max="11776" width="13" customWidth="1"/>
    <col min="12017" max="12017" width="6" customWidth="1"/>
    <col min="12018" max="12018" width="1.44140625" customWidth="1"/>
    <col min="12019" max="12019" width="39.109375" customWidth="1"/>
    <col min="12020" max="12020" width="12" customWidth="1"/>
    <col min="12021" max="12021" width="14.44140625" customWidth="1"/>
    <col min="12022" max="12022" width="11.77734375" customWidth="1"/>
    <col min="12023" max="12023" width="14.109375" customWidth="1"/>
    <col min="12024" max="12024" width="13.77734375" customWidth="1"/>
    <col min="12025" max="12026" width="12.77734375" customWidth="1"/>
    <col min="12027" max="12027" width="13.5546875" customWidth="1"/>
    <col min="12028" max="12028" width="15.21875" customWidth="1"/>
    <col min="12029" max="12029" width="12.77734375" customWidth="1"/>
    <col min="12030" max="12030" width="13.77734375" customWidth="1"/>
    <col min="12031" max="12031" width="1.77734375" customWidth="1"/>
    <col min="12032" max="12032" width="13" customWidth="1"/>
    <col min="12273" max="12273" width="6" customWidth="1"/>
    <col min="12274" max="12274" width="1.44140625" customWidth="1"/>
    <col min="12275" max="12275" width="39.109375" customWidth="1"/>
    <col min="12276" max="12276" width="12" customWidth="1"/>
    <col min="12277" max="12277" width="14.44140625" customWidth="1"/>
    <col min="12278" max="12278" width="11.77734375" customWidth="1"/>
    <col min="12279" max="12279" width="14.109375" customWidth="1"/>
    <col min="12280" max="12280" width="13.77734375" customWidth="1"/>
    <col min="12281" max="12282" width="12.77734375" customWidth="1"/>
    <col min="12283" max="12283" width="13.5546875" customWidth="1"/>
    <col min="12284" max="12284" width="15.21875" customWidth="1"/>
    <col min="12285" max="12285" width="12.77734375" customWidth="1"/>
    <col min="12286" max="12286" width="13.77734375" customWidth="1"/>
    <col min="12287" max="12287" width="1.77734375" customWidth="1"/>
    <col min="12288" max="12288" width="13" customWidth="1"/>
    <col min="12529" max="12529" width="6" customWidth="1"/>
    <col min="12530" max="12530" width="1.44140625" customWidth="1"/>
    <col min="12531" max="12531" width="39.109375" customWidth="1"/>
    <col min="12532" max="12532" width="12" customWidth="1"/>
    <col min="12533" max="12533" width="14.44140625" customWidth="1"/>
    <col min="12534" max="12534" width="11.77734375" customWidth="1"/>
    <col min="12535" max="12535" width="14.109375" customWidth="1"/>
    <col min="12536" max="12536" width="13.77734375" customWidth="1"/>
    <col min="12537" max="12538" width="12.77734375" customWidth="1"/>
    <col min="12539" max="12539" width="13.5546875" customWidth="1"/>
    <col min="12540" max="12540" width="15.21875" customWidth="1"/>
    <col min="12541" max="12541" width="12.77734375" customWidth="1"/>
    <col min="12542" max="12542" width="13.77734375" customWidth="1"/>
    <col min="12543" max="12543" width="1.77734375" customWidth="1"/>
    <col min="12544" max="12544" width="13" customWidth="1"/>
    <col min="12785" max="12785" width="6" customWidth="1"/>
    <col min="12786" max="12786" width="1.44140625" customWidth="1"/>
    <col min="12787" max="12787" width="39.109375" customWidth="1"/>
    <col min="12788" max="12788" width="12" customWidth="1"/>
    <col min="12789" max="12789" width="14.44140625" customWidth="1"/>
    <col min="12790" max="12790" width="11.77734375" customWidth="1"/>
    <col min="12791" max="12791" width="14.109375" customWidth="1"/>
    <col min="12792" max="12792" width="13.77734375" customWidth="1"/>
    <col min="12793" max="12794" width="12.77734375" customWidth="1"/>
    <col min="12795" max="12795" width="13.5546875" customWidth="1"/>
    <col min="12796" max="12796" width="15.21875" customWidth="1"/>
    <col min="12797" max="12797" width="12.77734375" customWidth="1"/>
    <col min="12798" max="12798" width="13.77734375" customWidth="1"/>
    <col min="12799" max="12799" width="1.77734375" customWidth="1"/>
    <col min="12800" max="12800" width="13" customWidth="1"/>
    <col min="13041" max="13041" width="6" customWidth="1"/>
    <col min="13042" max="13042" width="1.44140625" customWidth="1"/>
    <col min="13043" max="13043" width="39.109375" customWidth="1"/>
    <col min="13044" max="13044" width="12" customWidth="1"/>
    <col min="13045" max="13045" width="14.44140625" customWidth="1"/>
    <col min="13046" max="13046" width="11.77734375" customWidth="1"/>
    <col min="13047" max="13047" width="14.109375" customWidth="1"/>
    <col min="13048" max="13048" width="13.77734375" customWidth="1"/>
    <col min="13049" max="13050" width="12.77734375" customWidth="1"/>
    <col min="13051" max="13051" width="13.5546875" customWidth="1"/>
    <col min="13052" max="13052" width="15.21875" customWidth="1"/>
    <col min="13053" max="13053" width="12.77734375" customWidth="1"/>
    <col min="13054" max="13054" width="13.77734375" customWidth="1"/>
    <col min="13055" max="13055" width="1.77734375" customWidth="1"/>
    <col min="13056" max="13056" width="13" customWidth="1"/>
    <col min="13297" max="13297" width="6" customWidth="1"/>
    <col min="13298" max="13298" width="1.44140625" customWidth="1"/>
    <col min="13299" max="13299" width="39.109375" customWidth="1"/>
    <col min="13300" max="13300" width="12" customWidth="1"/>
    <col min="13301" max="13301" width="14.44140625" customWidth="1"/>
    <col min="13302" max="13302" width="11.77734375" customWidth="1"/>
    <col min="13303" max="13303" width="14.109375" customWidth="1"/>
    <col min="13304" max="13304" width="13.77734375" customWidth="1"/>
    <col min="13305" max="13306" width="12.77734375" customWidth="1"/>
    <col min="13307" max="13307" width="13.5546875" customWidth="1"/>
    <col min="13308" max="13308" width="15.21875" customWidth="1"/>
    <col min="13309" max="13309" width="12.77734375" customWidth="1"/>
    <col min="13310" max="13310" width="13.77734375" customWidth="1"/>
    <col min="13311" max="13311" width="1.77734375" customWidth="1"/>
    <col min="13312" max="13312" width="13" customWidth="1"/>
    <col min="13553" max="13553" width="6" customWidth="1"/>
    <col min="13554" max="13554" width="1.44140625" customWidth="1"/>
    <col min="13555" max="13555" width="39.109375" customWidth="1"/>
    <col min="13556" max="13556" width="12" customWidth="1"/>
    <col min="13557" max="13557" width="14.44140625" customWidth="1"/>
    <col min="13558" max="13558" width="11.77734375" customWidth="1"/>
    <col min="13559" max="13559" width="14.109375" customWidth="1"/>
    <col min="13560" max="13560" width="13.77734375" customWidth="1"/>
    <col min="13561" max="13562" width="12.77734375" customWidth="1"/>
    <col min="13563" max="13563" width="13.5546875" customWidth="1"/>
    <col min="13564" max="13564" width="15.21875" customWidth="1"/>
    <col min="13565" max="13565" width="12.77734375" customWidth="1"/>
    <col min="13566" max="13566" width="13.77734375" customWidth="1"/>
    <col min="13567" max="13567" width="1.77734375" customWidth="1"/>
    <col min="13568" max="13568" width="13" customWidth="1"/>
    <col min="13809" max="13809" width="6" customWidth="1"/>
    <col min="13810" max="13810" width="1.44140625" customWidth="1"/>
    <col min="13811" max="13811" width="39.109375" customWidth="1"/>
    <col min="13812" max="13812" width="12" customWidth="1"/>
    <col min="13813" max="13813" width="14.44140625" customWidth="1"/>
    <col min="13814" max="13814" width="11.77734375" customWidth="1"/>
    <col min="13815" max="13815" width="14.109375" customWidth="1"/>
    <col min="13816" max="13816" width="13.77734375" customWidth="1"/>
    <col min="13817" max="13818" width="12.77734375" customWidth="1"/>
    <col min="13819" max="13819" width="13.5546875" customWidth="1"/>
    <col min="13820" max="13820" width="15.21875" customWidth="1"/>
    <col min="13821" max="13821" width="12.77734375" customWidth="1"/>
    <col min="13822" max="13822" width="13.77734375" customWidth="1"/>
    <col min="13823" max="13823" width="1.77734375" customWidth="1"/>
    <col min="13824" max="13824" width="13" customWidth="1"/>
    <col min="14065" max="14065" width="6" customWidth="1"/>
    <col min="14066" max="14066" width="1.44140625" customWidth="1"/>
    <col min="14067" max="14067" width="39.109375" customWidth="1"/>
    <col min="14068" max="14068" width="12" customWidth="1"/>
    <col min="14069" max="14069" width="14.44140625" customWidth="1"/>
    <col min="14070" max="14070" width="11.77734375" customWidth="1"/>
    <col min="14071" max="14071" width="14.109375" customWidth="1"/>
    <col min="14072" max="14072" width="13.77734375" customWidth="1"/>
    <col min="14073" max="14074" width="12.77734375" customWidth="1"/>
    <col min="14075" max="14075" width="13.5546875" customWidth="1"/>
    <col min="14076" max="14076" width="15.21875" customWidth="1"/>
    <col min="14077" max="14077" width="12.77734375" customWidth="1"/>
    <col min="14078" max="14078" width="13.77734375" customWidth="1"/>
    <col min="14079" max="14079" width="1.77734375" customWidth="1"/>
    <col min="14080" max="14080" width="13" customWidth="1"/>
    <col min="14321" max="14321" width="6" customWidth="1"/>
    <col min="14322" max="14322" width="1.44140625" customWidth="1"/>
    <col min="14323" max="14323" width="39.109375" customWidth="1"/>
    <col min="14324" max="14324" width="12" customWidth="1"/>
    <col min="14325" max="14325" width="14.44140625" customWidth="1"/>
    <col min="14326" max="14326" width="11.77734375" customWidth="1"/>
    <col min="14327" max="14327" width="14.109375" customWidth="1"/>
    <col min="14328" max="14328" width="13.77734375" customWidth="1"/>
    <col min="14329" max="14330" width="12.77734375" customWidth="1"/>
    <col min="14331" max="14331" width="13.5546875" customWidth="1"/>
    <col min="14332" max="14332" width="15.21875" customWidth="1"/>
    <col min="14333" max="14333" width="12.77734375" customWidth="1"/>
    <col min="14334" max="14334" width="13.77734375" customWidth="1"/>
    <col min="14335" max="14335" width="1.77734375" customWidth="1"/>
    <col min="14336" max="14336" width="13" customWidth="1"/>
    <col min="14577" max="14577" width="6" customWidth="1"/>
    <col min="14578" max="14578" width="1.44140625" customWidth="1"/>
    <col min="14579" max="14579" width="39.109375" customWidth="1"/>
    <col min="14580" max="14580" width="12" customWidth="1"/>
    <col min="14581" max="14581" width="14.44140625" customWidth="1"/>
    <col min="14582" max="14582" width="11.77734375" customWidth="1"/>
    <col min="14583" max="14583" width="14.109375" customWidth="1"/>
    <col min="14584" max="14584" width="13.77734375" customWidth="1"/>
    <col min="14585" max="14586" width="12.77734375" customWidth="1"/>
    <col min="14587" max="14587" width="13.5546875" customWidth="1"/>
    <col min="14588" max="14588" width="15.21875" customWidth="1"/>
    <col min="14589" max="14589" width="12.77734375" customWidth="1"/>
    <col min="14590" max="14590" width="13.77734375" customWidth="1"/>
    <col min="14591" max="14591" width="1.77734375" customWidth="1"/>
    <col min="14592" max="14592" width="13" customWidth="1"/>
    <col min="14833" max="14833" width="6" customWidth="1"/>
    <col min="14834" max="14834" width="1.44140625" customWidth="1"/>
    <col min="14835" max="14835" width="39.109375" customWidth="1"/>
    <col min="14836" max="14836" width="12" customWidth="1"/>
    <col min="14837" max="14837" width="14.44140625" customWidth="1"/>
    <col min="14838" max="14838" width="11.77734375" customWidth="1"/>
    <col min="14839" max="14839" width="14.109375" customWidth="1"/>
    <col min="14840" max="14840" width="13.77734375" customWidth="1"/>
    <col min="14841" max="14842" width="12.77734375" customWidth="1"/>
    <col min="14843" max="14843" width="13.5546875" customWidth="1"/>
    <col min="14844" max="14844" width="15.21875" customWidth="1"/>
    <col min="14845" max="14845" width="12.77734375" customWidth="1"/>
    <col min="14846" max="14846" width="13.77734375" customWidth="1"/>
    <col min="14847" max="14847" width="1.77734375" customWidth="1"/>
    <col min="14848" max="14848" width="13" customWidth="1"/>
    <col min="15089" max="15089" width="6" customWidth="1"/>
    <col min="15090" max="15090" width="1.44140625" customWidth="1"/>
    <col min="15091" max="15091" width="39.109375" customWidth="1"/>
    <col min="15092" max="15092" width="12" customWidth="1"/>
    <col min="15093" max="15093" width="14.44140625" customWidth="1"/>
    <col min="15094" max="15094" width="11.77734375" customWidth="1"/>
    <col min="15095" max="15095" width="14.109375" customWidth="1"/>
    <col min="15096" max="15096" width="13.77734375" customWidth="1"/>
    <col min="15097" max="15098" width="12.77734375" customWidth="1"/>
    <col min="15099" max="15099" width="13.5546875" customWidth="1"/>
    <col min="15100" max="15100" width="15.21875" customWidth="1"/>
    <col min="15101" max="15101" width="12.77734375" customWidth="1"/>
    <col min="15102" max="15102" width="13.77734375" customWidth="1"/>
    <col min="15103" max="15103" width="1.77734375" customWidth="1"/>
    <col min="15104" max="15104" width="13" customWidth="1"/>
    <col min="15345" max="15345" width="6" customWidth="1"/>
    <col min="15346" max="15346" width="1.44140625" customWidth="1"/>
    <col min="15347" max="15347" width="39.109375" customWidth="1"/>
    <col min="15348" max="15348" width="12" customWidth="1"/>
    <col min="15349" max="15349" width="14.44140625" customWidth="1"/>
    <col min="15350" max="15350" width="11.77734375" customWidth="1"/>
    <col min="15351" max="15351" width="14.109375" customWidth="1"/>
    <col min="15352" max="15352" width="13.77734375" customWidth="1"/>
    <col min="15353" max="15354" width="12.77734375" customWidth="1"/>
    <col min="15355" max="15355" width="13.5546875" customWidth="1"/>
    <col min="15356" max="15356" width="15.21875" customWidth="1"/>
    <col min="15357" max="15357" width="12.77734375" customWidth="1"/>
    <col min="15358" max="15358" width="13.77734375" customWidth="1"/>
    <col min="15359" max="15359" width="1.77734375" customWidth="1"/>
    <col min="15360" max="15360" width="13" customWidth="1"/>
    <col min="15601" max="15601" width="6" customWidth="1"/>
    <col min="15602" max="15602" width="1.44140625" customWidth="1"/>
    <col min="15603" max="15603" width="39.109375" customWidth="1"/>
    <col min="15604" max="15604" width="12" customWidth="1"/>
    <col min="15605" max="15605" width="14.44140625" customWidth="1"/>
    <col min="15606" max="15606" width="11.77734375" customWidth="1"/>
    <col min="15607" max="15607" width="14.109375" customWidth="1"/>
    <col min="15608" max="15608" width="13.77734375" customWidth="1"/>
    <col min="15609" max="15610" width="12.77734375" customWidth="1"/>
    <col min="15611" max="15611" width="13.5546875" customWidth="1"/>
    <col min="15612" max="15612" width="15.21875" customWidth="1"/>
    <col min="15613" max="15613" width="12.77734375" customWidth="1"/>
    <col min="15614" max="15614" width="13.77734375" customWidth="1"/>
    <col min="15615" max="15615" width="1.77734375" customWidth="1"/>
    <col min="15616" max="15616" width="13" customWidth="1"/>
    <col min="15857" max="15857" width="6" customWidth="1"/>
    <col min="15858" max="15858" width="1.44140625" customWidth="1"/>
    <col min="15859" max="15859" width="39.109375" customWidth="1"/>
    <col min="15860" max="15860" width="12" customWidth="1"/>
    <col min="15861" max="15861" width="14.44140625" customWidth="1"/>
    <col min="15862" max="15862" width="11.77734375" customWidth="1"/>
    <col min="15863" max="15863" width="14.109375" customWidth="1"/>
    <col min="15864" max="15864" width="13.77734375" customWidth="1"/>
    <col min="15865" max="15866" width="12.77734375" customWidth="1"/>
    <col min="15867" max="15867" width="13.5546875" customWidth="1"/>
    <col min="15868" max="15868" width="15.21875" customWidth="1"/>
    <col min="15869" max="15869" width="12.77734375" customWidth="1"/>
    <col min="15870" max="15870" width="13.77734375" customWidth="1"/>
    <col min="15871" max="15871" width="1.77734375" customWidth="1"/>
    <col min="15872" max="15872" width="13" customWidth="1"/>
    <col min="16113" max="16113" width="6" customWidth="1"/>
    <col min="16114" max="16114" width="1.44140625" customWidth="1"/>
    <col min="16115" max="16115" width="39.109375" customWidth="1"/>
    <col min="16116" max="16116" width="12" customWidth="1"/>
    <col min="16117" max="16117" width="14.44140625" customWidth="1"/>
    <col min="16118" max="16118" width="11.77734375" customWidth="1"/>
    <col min="16119" max="16119" width="14.109375" customWidth="1"/>
    <col min="16120" max="16120" width="13.77734375" customWidth="1"/>
    <col min="16121" max="16122" width="12.77734375" customWidth="1"/>
    <col min="16123" max="16123" width="13.5546875" customWidth="1"/>
    <col min="16124" max="16124" width="15.21875" customWidth="1"/>
    <col min="16125" max="16125" width="12.77734375" customWidth="1"/>
    <col min="16126" max="16126" width="13.77734375" customWidth="1"/>
    <col min="16127" max="16127" width="1.77734375" customWidth="1"/>
    <col min="16128" max="16128" width="13" customWidth="1"/>
    <col min="16369" max="16384" width="8.77734375" customWidth="1"/>
  </cols>
  <sheetData>
    <row r="1" spans="1:14">
      <c r="I1" s="50" t="s">
        <v>296</v>
      </c>
    </row>
    <row r="2" spans="1:14">
      <c r="I2" s="50" t="s">
        <v>338</v>
      </c>
      <c r="M2" s="785"/>
      <c r="N2" s="785"/>
    </row>
    <row r="3" spans="1:14">
      <c r="I3" s="50" t="s">
        <v>192</v>
      </c>
    </row>
    <row r="4" spans="1:14">
      <c r="I4" s="61" t="str">
        <f>"For the 12 months ended: "&amp;TEXT(INPUT!B1,"mm/dd/yyyy")</f>
        <v>For the 12 months ended: 12/31/2021</v>
      </c>
    </row>
    <row r="5" spans="1:14">
      <c r="C5" s="24"/>
    </row>
    <row r="6" spans="1:14">
      <c r="A6" s="144" t="s">
        <v>255</v>
      </c>
      <c r="B6" s="174"/>
      <c r="C6" s="174"/>
      <c r="D6" s="144"/>
      <c r="E6" s="144"/>
      <c r="F6" s="144"/>
      <c r="G6" s="174"/>
      <c r="H6" s="144"/>
      <c r="I6" s="144"/>
    </row>
    <row r="7" spans="1:14">
      <c r="A7" s="145" t="s">
        <v>297</v>
      </c>
      <c r="B7" s="174"/>
      <c r="C7" s="174"/>
      <c r="D7" s="144"/>
      <c r="E7" s="144"/>
      <c r="F7" s="144"/>
      <c r="G7" s="174"/>
      <c r="H7" s="144"/>
      <c r="I7" s="144"/>
    </row>
    <row r="8" spans="1:14">
      <c r="A8" s="146"/>
      <c r="B8" s="174"/>
      <c r="C8" s="174"/>
      <c r="D8" s="146"/>
      <c r="E8" s="146"/>
      <c r="F8" s="146"/>
      <c r="G8" s="174"/>
      <c r="H8" s="146"/>
      <c r="I8" s="146"/>
    </row>
    <row r="9" spans="1:14">
      <c r="A9" s="258" t="str">
        <f>DEK!A11</f>
        <v>DUKE ENERGY KENTUCKY (DEK)</v>
      </c>
      <c r="B9" s="174"/>
      <c r="C9" s="174"/>
      <c r="D9" s="146"/>
      <c r="E9" s="146"/>
      <c r="F9" s="146"/>
      <c r="G9" s="174"/>
      <c r="H9" s="177"/>
      <c r="I9" s="146"/>
    </row>
    <row r="10" spans="1:14">
      <c r="A10" s="226" t="s">
        <v>295</v>
      </c>
      <c r="B10" s="174"/>
      <c r="C10" s="174"/>
      <c r="D10" s="146"/>
      <c r="E10" s="146"/>
      <c r="F10" s="146"/>
      <c r="G10" s="174"/>
      <c r="H10" s="177"/>
      <c r="I10" s="146"/>
    </row>
    <row r="11" spans="1:14">
      <c r="A11" s="250"/>
      <c r="B11" s="174"/>
      <c r="C11" s="146"/>
      <c r="D11" s="146"/>
      <c r="E11" s="146"/>
      <c r="F11" s="146"/>
      <c r="G11" s="177"/>
      <c r="H11" s="146"/>
      <c r="I11" s="146"/>
    </row>
    <row r="12" spans="1:14">
      <c r="A12" s="146" t="s">
        <v>497</v>
      </c>
      <c r="B12" s="174"/>
      <c r="C12" s="174"/>
      <c r="D12" s="146"/>
      <c r="E12" s="146"/>
      <c r="F12" s="146"/>
      <c r="G12" s="177"/>
      <c r="H12" s="146"/>
      <c r="I12" s="146"/>
    </row>
    <row r="13" spans="1:14">
      <c r="A13" s="86"/>
      <c r="C13" s="1"/>
      <c r="D13" s="1"/>
      <c r="E13" s="1"/>
      <c r="F13" s="1"/>
      <c r="G13" s="17"/>
    </row>
    <row r="14" spans="1:14">
      <c r="A14" s="86"/>
      <c r="C14" s="1"/>
      <c r="D14" s="1"/>
      <c r="E14" s="1"/>
      <c r="F14" s="1"/>
      <c r="G14" s="1"/>
    </row>
    <row r="15" spans="1:14">
      <c r="C15" s="3" t="s">
        <v>18</v>
      </c>
      <c r="D15" s="3"/>
      <c r="E15" s="3" t="s">
        <v>19</v>
      </c>
      <c r="F15" s="3"/>
      <c r="G15" s="3" t="s">
        <v>20</v>
      </c>
      <c r="I15" s="5" t="s">
        <v>21</v>
      </c>
    </row>
    <row r="16" spans="1:14">
      <c r="C16" s="1"/>
      <c r="D16" s="1"/>
    </row>
    <row r="17" spans="1:12">
      <c r="A17" s="26" t="s">
        <v>8</v>
      </c>
      <c r="C17" s="1"/>
      <c r="D17" s="1"/>
      <c r="E17" s="4" t="s">
        <v>296</v>
      </c>
      <c r="F17" s="4"/>
      <c r="G17" s="2"/>
    </row>
    <row r="18" spans="1:12">
      <c r="A18" s="180" t="s">
        <v>10</v>
      </c>
      <c r="B18" s="249"/>
      <c r="C18" s="184"/>
      <c r="D18" s="184"/>
      <c r="E18" s="238" t="s">
        <v>25</v>
      </c>
      <c r="F18" s="238"/>
      <c r="G18" s="180" t="s">
        <v>24</v>
      </c>
      <c r="H18" s="249"/>
      <c r="I18" s="180" t="s">
        <v>13</v>
      </c>
    </row>
    <row r="19" spans="1:12" ht="15.75">
      <c r="A19" s="90"/>
      <c r="C19" s="1" t="s">
        <v>335</v>
      </c>
      <c r="D19" s="1"/>
      <c r="E19" s="2"/>
      <c r="F19" s="2"/>
      <c r="G19" s="2"/>
      <c r="I19" s="2"/>
    </row>
    <row r="20" spans="1:12">
      <c r="A20" s="91">
        <v>1</v>
      </c>
      <c r="C20" s="1" t="s">
        <v>212</v>
      </c>
      <c r="D20" s="1"/>
      <c r="E20" s="4" t="str">
        <f>'Appx B - DEO(RTEP) Pg1'!E20</f>
        <v>Att. H-22A, p 2, line 2, col 5 (Note A)</v>
      </c>
      <c r="F20" s="4"/>
      <c r="G20" s="92">
        <f>DEK!J54</f>
        <v>78920247</v>
      </c>
    </row>
    <row r="21" spans="1:12">
      <c r="A21" s="91">
        <v>2</v>
      </c>
      <c r="C21" s="1" t="s">
        <v>213</v>
      </c>
      <c r="D21" s="1"/>
      <c r="E21" s="4" t="str">
        <f>'Appx B - DEO(RTEP) Pg1'!E21</f>
        <v>Att. H-22A, p 2, line 14, col 5 (Note B)</v>
      </c>
      <c r="F21" s="4"/>
      <c r="G21" s="92">
        <f>DEK!J70</f>
        <v>70381724</v>
      </c>
    </row>
    <row r="22" spans="1:12">
      <c r="A22" s="91"/>
      <c r="E22" s="4"/>
      <c r="F22" s="4"/>
    </row>
    <row r="23" spans="1:12">
      <c r="A23" s="91"/>
      <c r="C23" s="1" t="s">
        <v>193</v>
      </c>
      <c r="D23" s="1"/>
      <c r="E23" s="4"/>
      <c r="F23" s="4"/>
      <c r="G23" s="2"/>
      <c r="I23" s="2"/>
    </row>
    <row r="24" spans="1:12">
      <c r="A24" s="91">
        <v>3</v>
      </c>
      <c r="C24" s="1" t="s">
        <v>214</v>
      </c>
      <c r="D24" s="1"/>
      <c r="E24" s="4" t="str">
        <f>'Appx B - DEO(RTEP) Pg1'!E24</f>
        <v>Att. H-22A, p 3, line 8, col 5</v>
      </c>
      <c r="F24" s="4"/>
      <c r="G24" s="92">
        <f>DEK!J127</f>
        <v>1849327</v>
      </c>
    </row>
    <row r="25" spans="1:12">
      <c r="A25" s="91">
        <v>4</v>
      </c>
      <c r="C25" s="1" t="s">
        <v>215</v>
      </c>
      <c r="D25" s="1"/>
      <c r="E25" s="4" t="str">
        <f>'Appx B - DEO(RTEP) Pg1'!E25</f>
        <v>(line 3 divided by line 1, col 3)</v>
      </c>
      <c r="F25" s="4"/>
      <c r="G25" s="93">
        <f>IF(G24=0,0,G24/G20)</f>
        <v>2.3432858744093895E-2</v>
      </c>
      <c r="I25" s="94">
        <f>G25</f>
        <v>2.3432858744093895E-2</v>
      </c>
    </row>
    <row r="26" spans="1:12">
      <c r="A26" s="91"/>
      <c r="E26" s="4"/>
      <c r="F26" s="4"/>
    </row>
    <row r="27" spans="1:12" ht="30">
      <c r="A27" s="91"/>
      <c r="C27" s="381" t="s">
        <v>569</v>
      </c>
      <c r="D27" s="1"/>
      <c r="E27" s="67"/>
      <c r="F27" s="4"/>
    </row>
    <row r="28" spans="1:12">
      <c r="A28" s="97" t="s">
        <v>216</v>
      </c>
      <c r="C28" s="1" t="s">
        <v>570</v>
      </c>
      <c r="D28" s="1"/>
      <c r="E28" s="4" t="str">
        <f>'Appx B - DEO(RTEP) Pg1'!E28</f>
        <v>Att. H-22A, p 3, lines 10 &amp; 11, col 5 (Note H)</v>
      </c>
      <c r="F28" s="4"/>
      <c r="G28" s="92">
        <f>DEK!J131+DEK!J132</f>
        <v>136471</v>
      </c>
    </row>
    <row r="29" spans="1:12" ht="30">
      <c r="A29" s="382" t="s">
        <v>217</v>
      </c>
      <c r="C29" s="381" t="s">
        <v>571</v>
      </c>
      <c r="D29" s="1"/>
      <c r="E29" s="383" t="str">
        <f>'Appx B - DEO(RTEP) Pg1'!E29</f>
        <v>(line 5 divided by line 1, col 3)</v>
      </c>
      <c r="F29" s="383"/>
      <c r="G29" s="384">
        <f>IF(G28=0,0,G28/G20)</f>
        <v>1.7292267217562053E-3</v>
      </c>
      <c r="H29" s="385"/>
      <c r="I29" s="386">
        <f>G29</f>
        <v>1.7292267217562053E-3</v>
      </c>
      <c r="K29" s="87"/>
      <c r="L29" s="84"/>
    </row>
    <row r="30" spans="1:12">
      <c r="A30" s="91"/>
      <c r="E30" s="4"/>
      <c r="F30" s="4"/>
    </row>
    <row r="31" spans="1:12">
      <c r="A31" s="97"/>
      <c r="C31" s="1" t="s">
        <v>196</v>
      </c>
      <c r="D31" s="1"/>
      <c r="E31" s="67"/>
      <c r="F31" s="67"/>
      <c r="G31" s="2"/>
      <c r="I31" s="2"/>
    </row>
    <row r="32" spans="1:12">
      <c r="A32" s="97" t="s">
        <v>219</v>
      </c>
      <c r="C32" s="1" t="s">
        <v>198</v>
      </c>
      <c r="D32" s="1"/>
      <c r="E32" s="4" t="str">
        <f>'Appx B - DEO(RTEP) Pg1'!E32</f>
        <v>Att. H-22A, p 3, line 20, col 5</v>
      </c>
      <c r="F32" s="4"/>
      <c r="G32" s="92">
        <f>DEK!J144</f>
        <v>600808</v>
      </c>
    </row>
    <row r="33" spans="1:10">
      <c r="A33" s="97" t="s">
        <v>221</v>
      </c>
      <c r="C33" s="1" t="s">
        <v>218</v>
      </c>
      <c r="D33" s="1"/>
      <c r="E33" s="4" t="str">
        <f>'Appx B - DEO(RTEP) Pg1'!E33</f>
        <v>(line 7 divided by line 1, col 3)</v>
      </c>
      <c r="F33" s="4"/>
      <c r="G33" s="93">
        <f>IF(G32=0,0,G32/G20)</f>
        <v>7.612849969919633E-3</v>
      </c>
      <c r="I33" s="94">
        <f>G33</f>
        <v>7.612849969919633E-3</v>
      </c>
    </row>
    <row r="34" spans="1:10">
      <c r="A34" s="97"/>
      <c r="C34" s="1"/>
      <c r="D34" s="1"/>
      <c r="E34" s="4"/>
      <c r="F34" s="4"/>
      <c r="G34" s="2"/>
      <c r="I34" s="2"/>
    </row>
    <row r="35" spans="1:10" ht="15.75">
      <c r="A35" s="98" t="s">
        <v>194</v>
      </c>
      <c r="B35" s="99"/>
      <c r="C35" s="10" t="s">
        <v>220</v>
      </c>
      <c r="D35" s="10"/>
      <c r="E35" s="88" t="s">
        <v>402</v>
      </c>
      <c r="F35" s="88"/>
      <c r="G35" s="100"/>
      <c r="I35" s="101">
        <f>I25+I29+I33</f>
        <v>3.2774935435769731E-2</v>
      </c>
    </row>
    <row r="36" spans="1:10">
      <c r="A36" s="229"/>
      <c r="C36" s="1"/>
      <c r="D36" s="1"/>
      <c r="E36" s="4"/>
      <c r="F36" s="4"/>
      <c r="G36" s="2"/>
      <c r="I36" s="2"/>
    </row>
    <row r="37" spans="1:10">
      <c r="A37" s="97"/>
      <c r="B37" s="102"/>
      <c r="C37" s="2" t="s">
        <v>200</v>
      </c>
      <c r="D37" s="2"/>
      <c r="E37" s="4"/>
      <c r="F37" s="4"/>
      <c r="G37" s="2"/>
      <c r="I37" s="2"/>
    </row>
    <row r="38" spans="1:10">
      <c r="A38" s="97" t="s">
        <v>195</v>
      </c>
      <c r="B38" s="102"/>
      <c r="C38" s="2" t="s">
        <v>125</v>
      </c>
      <c r="D38" s="2"/>
      <c r="E38" s="4" t="str">
        <f>'Appx B - DEO(RTEP) Pg1'!E38</f>
        <v>Att. H-22A, p 3, line 29, col 5</v>
      </c>
      <c r="F38" s="4"/>
      <c r="G38" s="92">
        <f>DEK!J161</f>
        <v>846102</v>
      </c>
      <c r="I38" s="2"/>
    </row>
    <row r="39" spans="1:10">
      <c r="A39" s="97" t="s">
        <v>197</v>
      </c>
      <c r="B39" s="102"/>
      <c r="C39" s="2" t="s">
        <v>222</v>
      </c>
      <c r="D39" s="2"/>
      <c r="E39" s="4" t="str">
        <f>'Appx B - DEO(RTEP) Pg1'!E39</f>
        <v>(line 10 divided by line 2, col 3)</v>
      </c>
      <c r="F39" s="4"/>
      <c r="G39" s="93">
        <f>IF(G38=0,0,G38/G21)</f>
        <v>1.2021615156798376E-2</v>
      </c>
      <c r="I39" s="94">
        <f>G39</f>
        <v>1.2021615156798376E-2</v>
      </c>
    </row>
    <row r="40" spans="1:10">
      <c r="A40" s="97"/>
      <c r="C40" s="2"/>
      <c r="D40" s="2"/>
      <c r="E40" s="4"/>
      <c r="F40" s="4"/>
      <c r="G40" s="2"/>
      <c r="I40" s="2"/>
    </row>
    <row r="41" spans="1:10">
      <c r="A41" s="97"/>
      <c r="C41" s="1" t="s">
        <v>59</v>
      </c>
      <c r="D41" s="1"/>
      <c r="E41" s="15"/>
      <c r="F41" s="15"/>
    </row>
    <row r="42" spans="1:10">
      <c r="A42" s="97" t="s">
        <v>199</v>
      </c>
      <c r="C42" s="1" t="s">
        <v>201</v>
      </c>
      <c r="D42" s="1"/>
      <c r="E42" s="4" t="str">
        <f>'Appx B - DEO(RTEP) Pg1'!E42</f>
        <v>Att. H-22A, p 3, line 30, col 5</v>
      </c>
      <c r="F42" s="4"/>
      <c r="G42" s="92">
        <f>DEK!J163</f>
        <v>4435772</v>
      </c>
      <c r="I42" s="2"/>
    </row>
    <row r="43" spans="1:10">
      <c r="A43" s="97" t="s">
        <v>260</v>
      </c>
      <c r="B43" s="102"/>
      <c r="C43" s="2" t="s">
        <v>223</v>
      </c>
      <c r="D43" s="2"/>
      <c r="E43" s="4" t="str">
        <f>'Appx B - DEO(RTEP) Pg1'!E43</f>
        <v>(line 12 divided by line 2, col 3)</v>
      </c>
      <c r="F43" s="4"/>
      <c r="G43" s="103">
        <f>IF(G42=0,0,G42/G21)</f>
        <v>6.3024486299880916E-2</v>
      </c>
      <c r="I43" s="94">
        <f>G43</f>
        <v>6.3024486299880916E-2</v>
      </c>
    </row>
    <row r="44" spans="1:10">
      <c r="A44" s="97"/>
      <c r="C44" s="1"/>
      <c r="D44" s="1"/>
      <c r="E44" s="4"/>
      <c r="F44" s="4"/>
      <c r="G44" s="2"/>
      <c r="I44" s="2"/>
    </row>
    <row r="45" spans="1:10" ht="15.75">
      <c r="A45" s="98" t="s">
        <v>261</v>
      </c>
      <c r="B45" s="99"/>
      <c r="C45" s="10" t="s">
        <v>224</v>
      </c>
      <c r="D45" s="10"/>
      <c r="E45" s="88" t="s">
        <v>337</v>
      </c>
      <c r="F45" s="88"/>
      <c r="G45" s="100"/>
      <c r="I45" s="101">
        <f>I39+I43</f>
        <v>7.5046101456679296E-2</v>
      </c>
    </row>
    <row r="47" spans="1:10">
      <c r="A47" s="106"/>
      <c r="C47" s="97"/>
      <c r="D47" s="97"/>
      <c r="E47" s="67"/>
      <c r="F47" s="67"/>
      <c r="G47" s="2"/>
      <c r="H47" s="9"/>
      <c r="I47" s="9"/>
      <c r="J47" s="93"/>
    </row>
    <row r="48" spans="1:10">
      <c r="A48" s="86"/>
      <c r="C48" s="9"/>
      <c r="D48" s="9"/>
      <c r="E48" s="9"/>
      <c r="F48" s="9"/>
      <c r="G48" s="2"/>
      <c r="H48" s="9"/>
      <c r="I48" s="9"/>
      <c r="J48" s="9"/>
    </row>
    <row r="49" spans="11:28">
      <c r="X49" s="50" t="s">
        <v>296</v>
      </c>
    </row>
    <row r="50" spans="11:28">
      <c r="X50" s="50" t="s">
        <v>338</v>
      </c>
    </row>
    <row r="51" spans="11:28">
      <c r="X51" s="107" t="s">
        <v>202</v>
      </c>
    </row>
    <row r="52" spans="11:28">
      <c r="K52" s="86"/>
      <c r="M52" s="9"/>
      <c r="N52" s="9"/>
      <c r="O52" s="9"/>
      <c r="P52" s="9"/>
      <c r="Q52" s="2"/>
      <c r="R52" s="9"/>
      <c r="S52" s="9"/>
      <c r="T52" s="9"/>
      <c r="U52" s="9"/>
      <c r="W52" s="2"/>
      <c r="X52" s="107" t="str">
        <f>I4</f>
        <v>For the 12 months ended: 12/31/2021</v>
      </c>
      <c r="Y52" s="87"/>
      <c r="Z52" s="84"/>
      <c r="AA52" s="87"/>
      <c r="AB52" s="84"/>
    </row>
    <row r="53" spans="11:28">
      <c r="K53" s="86"/>
      <c r="M53" s="1"/>
      <c r="N53" s="9"/>
      <c r="O53" s="9"/>
      <c r="P53" s="9"/>
      <c r="Q53" s="2"/>
      <c r="R53" s="9"/>
      <c r="S53" s="9"/>
      <c r="T53" s="9"/>
      <c r="U53" s="9"/>
      <c r="W53" s="2"/>
      <c r="Y53" s="87"/>
      <c r="Z53" s="84"/>
      <c r="AA53" s="87"/>
      <c r="AB53" s="84"/>
    </row>
    <row r="54" spans="11:28">
      <c r="K54" s="70" t="str">
        <f>A6</f>
        <v>Rate Formula Template</v>
      </c>
      <c r="L54" s="174"/>
      <c r="M54" s="174"/>
      <c r="N54" s="146"/>
      <c r="O54" s="70"/>
      <c r="P54" s="70"/>
      <c r="Q54" s="174"/>
      <c r="R54" s="70"/>
      <c r="S54" s="70"/>
      <c r="T54" s="70"/>
      <c r="U54" s="70"/>
      <c r="V54" s="174"/>
      <c r="W54" s="145"/>
      <c r="X54" s="174"/>
      <c r="Y54" s="87"/>
      <c r="Z54" s="84"/>
      <c r="AA54" s="87"/>
      <c r="AB54" s="84"/>
    </row>
    <row r="55" spans="11:28">
      <c r="K55" s="70" t="str">
        <f>A7</f>
        <v>Utilizing Attachment H-22A Data</v>
      </c>
      <c r="L55" s="174"/>
      <c r="M55" s="146"/>
      <c r="N55" s="146"/>
      <c r="O55" s="70"/>
      <c r="P55" s="70"/>
      <c r="Q55" s="174"/>
      <c r="R55" s="70"/>
      <c r="S55" s="70"/>
      <c r="T55" s="70"/>
      <c r="U55" s="70"/>
      <c r="V55" s="145"/>
      <c r="W55" s="145"/>
      <c r="X55" s="174"/>
      <c r="Y55" s="87"/>
      <c r="Z55" s="84"/>
      <c r="AA55" s="87"/>
      <c r="AB55" s="84"/>
    </row>
    <row r="56" spans="11:28" ht="14.25" customHeight="1">
      <c r="K56" s="173"/>
      <c r="M56" s="9"/>
      <c r="N56" s="9"/>
      <c r="O56" s="9"/>
      <c r="P56" s="9"/>
      <c r="R56" s="70"/>
      <c r="S56" s="9"/>
      <c r="T56" s="9"/>
      <c r="U56" s="9"/>
      <c r="W56" s="2"/>
      <c r="X56" s="9"/>
      <c r="Y56" s="87"/>
      <c r="Z56" s="84"/>
      <c r="AA56" s="87"/>
      <c r="AB56" s="84"/>
    </row>
    <row r="57" spans="11:28">
      <c r="K57" s="70" t="str">
        <f>A9</f>
        <v>DUKE ENERGY KENTUCKY (DEK)</v>
      </c>
      <c r="L57" s="174"/>
      <c r="M57" s="174"/>
      <c r="N57" s="174"/>
      <c r="O57" s="70"/>
      <c r="P57" s="70"/>
      <c r="Q57" s="174"/>
      <c r="R57" s="70"/>
      <c r="S57" s="70"/>
      <c r="T57" s="70"/>
      <c r="U57" s="70"/>
      <c r="V57" s="70"/>
      <c r="W57" s="145"/>
      <c r="X57" s="145"/>
      <c r="Y57" s="87"/>
      <c r="Z57" s="84"/>
      <c r="AA57" s="87"/>
      <c r="AB57" s="84"/>
    </row>
    <row r="58" spans="11:28">
      <c r="K58" s="70" t="str">
        <f>A10</f>
        <v>RTEP - Transmission Enhancement Charges</v>
      </c>
      <c r="L58" s="174"/>
      <c r="M58" s="174"/>
      <c r="N58" s="174"/>
      <c r="O58" s="146"/>
      <c r="P58" s="146"/>
      <c r="Q58" s="146"/>
      <c r="R58" s="146"/>
      <c r="S58" s="146"/>
      <c r="T58" s="146"/>
      <c r="U58" s="146"/>
      <c r="V58" s="146"/>
      <c r="W58" s="146"/>
      <c r="X58" s="146"/>
      <c r="Y58" s="87"/>
      <c r="Z58" s="84"/>
      <c r="AA58" s="87"/>
      <c r="AB58" s="84"/>
    </row>
    <row r="59" spans="11:28">
      <c r="K59" s="86"/>
      <c r="O59" s="1"/>
      <c r="P59" s="1"/>
      <c r="Q59" s="1"/>
      <c r="R59" s="1"/>
      <c r="S59" s="1"/>
      <c r="T59" s="1"/>
      <c r="U59" s="1"/>
      <c r="V59" s="1"/>
      <c r="W59" s="1"/>
      <c r="X59" s="1"/>
      <c r="Y59" s="87"/>
      <c r="Z59" s="84"/>
      <c r="AA59" s="87"/>
      <c r="AB59" s="84"/>
    </row>
    <row r="60" spans="11:28" ht="15.75">
      <c r="K60" s="175" t="s">
        <v>269</v>
      </c>
      <c r="L60" s="174"/>
      <c r="M60" s="70"/>
      <c r="N60" s="70"/>
      <c r="O60" s="174"/>
      <c r="P60" s="175"/>
      <c r="Q60" s="174"/>
      <c r="R60" s="146"/>
      <c r="S60" s="146"/>
      <c r="T60" s="146"/>
      <c r="U60" s="146"/>
      <c r="V60" s="146"/>
      <c r="W60" s="145"/>
      <c r="X60" s="145"/>
      <c r="Y60" s="87"/>
      <c r="Z60" s="84"/>
      <c r="AA60" s="87"/>
      <c r="AB60" s="84"/>
    </row>
    <row r="61" spans="11:28" ht="15.75">
      <c r="K61" s="86"/>
      <c r="M61" s="9"/>
      <c r="N61" s="9"/>
      <c r="O61" s="10"/>
      <c r="P61" s="10"/>
      <c r="R61" s="1"/>
      <c r="S61" s="1"/>
      <c r="T61" s="1"/>
      <c r="U61" s="1"/>
      <c r="V61" s="1"/>
      <c r="W61" s="2"/>
      <c r="X61" s="2"/>
      <c r="Y61" s="87"/>
      <c r="Z61" s="84"/>
      <c r="AA61" s="87"/>
      <c r="AB61" s="84"/>
    </row>
    <row r="62" spans="11:28" ht="15.75">
      <c r="K62" s="86"/>
      <c r="M62" s="108">
        <v>-1</v>
      </c>
      <c r="N62" s="108">
        <v>-2</v>
      </c>
      <c r="O62" s="108">
        <v>-3</v>
      </c>
      <c r="P62" s="108">
        <v>-4</v>
      </c>
      <c r="Q62" s="108">
        <v>-5</v>
      </c>
      <c r="R62" s="108">
        <v>-6</v>
      </c>
      <c r="S62" s="108">
        <v>-7</v>
      </c>
      <c r="T62" s="108">
        <v>-8</v>
      </c>
      <c r="U62" s="108">
        <v>-9</v>
      </c>
      <c r="V62" s="108">
        <v>-10</v>
      </c>
      <c r="W62" s="108">
        <v>-11</v>
      </c>
      <c r="X62" s="108">
        <v>-12</v>
      </c>
      <c r="Y62" s="87"/>
      <c r="Z62" s="84"/>
      <c r="AA62" s="87"/>
      <c r="AB62" s="84"/>
    </row>
    <row r="63" spans="11:28" ht="63">
      <c r="K63" s="109" t="s">
        <v>225</v>
      </c>
      <c r="L63" s="110"/>
      <c r="M63" s="110" t="s">
        <v>206</v>
      </c>
      <c r="N63" s="111" t="s">
        <v>336</v>
      </c>
      <c r="O63" s="112" t="s">
        <v>227</v>
      </c>
      <c r="P63" s="112" t="s">
        <v>220</v>
      </c>
      <c r="Q63" s="113" t="s">
        <v>228</v>
      </c>
      <c r="R63" s="112" t="s">
        <v>229</v>
      </c>
      <c r="S63" s="112" t="s">
        <v>224</v>
      </c>
      <c r="T63" s="113" t="s">
        <v>230</v>
      </c>
      <c r="U63" s="112" t="s">
        <v>231</v>
      </c>
      <c r="V63" s="114" t="s">
        <v>232</v>
      </c>
      <c r="W63" s="115" t="s">
        <v>233</v>
      </c>
      <c r="X63" s="114" t="s">
        <v>234</v>
      </c>
      <c r="Y63" s="96"/>
      <c r="Z63" s="84"/>
      <c r="AA63" s="87"/>
      <c r="AB63" s="84"/>
    </row>
    <row r="64" spans="11:28" ht="46.5" customHeight="1">
      <c r="K64" s="116"/>
      <c r="L64" s="117"/>
      <c r="M64" s="117"/>
      <c r="N64" s="117"/>
      <c r="O64" s="118" t="s">
        <v>16</v>
      </c>
      <c r="P64" s="118" t="s">
        <v>694</v>
      </c>
      <c r="Q64" s="119" t="s">
        <v>235</v>
      </c>
      <c r="R64" s="118" t="s">
        <v>17</v>
      </c>
      <c r="S64" s="118" t="s">
        <v>695</v>
      </c>
      <c r="T64" s="119" t="s">
        <v>236</v>
      </c>
      <c r="U64" s="118" t="s">
        <v>237</v>
      </c>
      <c r="V64" s="119" t="s">
        <v>238</v>
      </c>
      <c r="W64" s="120" t="s">
        <v>203</v>
      </c>
      <c r="X64" s="121" t="s">
        <v>239</v>
      </c>
      <c r="Y64" s="87"/>
      <c r="Z64" s="84"/>
      <c r="AA64" s="87"/>
      <c r="AB64" s="84"/>
    </row>
    <row r="65" spans="11:31">
      <c r="K65" s="122"/>
      <c r="L65" s="1"/>
      <c r="M65" s="1"/>
      <c r="N65" s="1"/>
      <c r="O65" s="1"/>
      <c r="P65" s="1"/>
      <c r="Q65" s="123"/>
      <c r="R65" s="1"/>
      <c r="S65" s="1"/>
      <c r="T65" s="123"/>
      <c r="U65" s="1"/>
      <c r="V65" s="123"/>
      <c r="W65" s="2"/>
      <c r="X65" s="124"/>
      <c r="Y65" s="87"/>
      <c r="Z65" s="84"/>
      <c r="AA65" s="87"/>
      <c r="AB65" s="84"/>
    </row>
    <row r="66" spans="11:31">
      <c r="K66" s="611" t="s">
        <v>1</v>
      </c>
      <c r="L66" s="255"/>
      <c r="M66" s="255"/>
      <c r="N66" s="255"/>
      <c r="O66" s="160">
        <v>0</v>
      </c>
      <c r="P66" s="94">
        <f>$I$35</f>
        <v>3.2774935435769731E-2</v>
      </c>
      <c r="Q66" s="565">
        <f>ROUND(O66*P66,0)</f>
        <v>0</v>
      </c>
      <c r="R66" s="126">
        <v>0</v>
      </c>
      <c r="S66" s="94">
        <f>$I$45</f>
        <v>7.5046101456679296E-2</v>
      </c>
      <c r="T66" s="565">
        <f>ROUND(R66*S66,0)</f>
        <v>0</v>
      </c>
      <c r="U66" s="566">
        <v>0</v>
      </c>
      <c r="V66" s="565">
        <f>Q66+T66+U66</f>
        <v>0</v>
      </c>
      <c r="W66" s="128">
        <v>0</v>
      </c>
      <c r="X66" s="565">
        <f>V66+W66</f>
        <v>0</v>
      </c>
      <c r="Y66" s="129"/>
      <c r="Z66" s="129"/>
      <c r="AA66" s="129"/>
      <c r="AB66" s="129"/>
      <c r="AC66" s="129"/>
      <c r="AD66" s="129"/>
      <c r="AE66" s="129"/>
    </row>
    <row r="67" spans="11:31">
      <c r="K67" s="611" t="s">
        <v>242</v>
      </c>
      <c r="L67" s="255"/>
      <c r="M67" s="255"/>
      <c r="N67" s="255"/>
      <c r="O67" s="160">
        <v>0</v>
      </c>
      <c r="P67" s="94">
        <f>$I$35</f>
        <v>3.2774935435769731E-2</v>
      </c>
      <c r="Q67" s="565">
        <f t="shared" ref="Q67:Q68" si="0">ROUND(O67*P67,0)</f>
        <v>0</v>
      </c>
      <c r="R67" s="126">
        <v>0</v>
      </c>
      <c r="S67" s="94">
        <f>$I$45</f>
        <v>7.5046101456679296E-2</v>
      </c>
      <c r="T67" s="565">
        <f t="shared" ref="T67:T68" si="1">ROUND(R67*S67,0)</f>
        <v>0</v>
      </c>
      <c r="U67" s="566">
        <v>0</v>
      </c>
      <c r="V67" s="565">
        <f>Q67+T67+U67</f>
        <v>0</v>
      </c>
      <c r="W67" s="128">
        <v>0</v>
      </c>
      <c r="X67" s="565">
        <f>V67+W67</f>
        <v>0</v>
      </c>
      <c r="Y67" s="129"/>
      <c r="Z67" s="129"/>
      <c r="AA67" s="129"/>
      <c r="AB67" s="129"/>
      <c r="AC67" s="129"/>
      <c r="AD67" s="129"/>
      <c r="AE67" s="129"/>
    </row>
    <row r="68" spans="11:31">
      <c r="K68" s="611" t="s">
        <v>245</v>
      </c>
      <c r="L68" s="255"/>
      <c r="M68" s="255"/>
      <c r="N68" s="255"/>
      <c r="O68" s="160">
        <v>0</v>
      </c>
      <c r="P68" s="94">
        <f>$I$35</f>
        <v>3.2774935435769731E-2</v>
      </c>
      <c r="Q68" s="565">
        <f t="shared" si="0"/>
        <v>0</v>
      </c>
      <c r="R68" s="126">
        <v>0</v>
      </c>
      <c r="S68" s="94">
        <f>$I$45</f>
        <v>7.5046101456679296E-2</v>
      </c>
      <c r="T68" s="565">
        <f t="shared" si="1"/>
        <v>0</v>
      </c>
      <c r="U68" s="566">
        <v>0</v>
      </c>
      <c r="V68" s="565">
        <f>Q68+T68+U68</f>
        <v>0</v>
      </c>
      <c r="W68" s="126">
        <v>0</v>
      </c>
      <c r="X68" s="565">
        <f>V68+W68</f>
        <v>0</v>
      </c>
      <c r="Y68" s="129"/>
      <c r="Z68" s="129"/>
      <c r="AA68" s="129"/>
      <c r="AB68" s="129"/>
      <c r="AC68" s="129"/>
      <c r="AD68" s="129"/>
      <c r="AE68" s="129"/>
    </row>
    <row r="69" spans="11:31">
      <c r="K69" s="125"/>
      <c r="Q69" s="127"/>
      <c r="T69" s="127"/>
      <c r="V69" s="127"/>
      <c r="X69" s="127"/>
      <c r="Y69" s="129"/>
      <c r="Z69" s="129"/>
      <c r="AA69" s="129"/>
      <c r="AB69" s="129"/>
      <c r="AC69" s="129"/>
      <c r="AD69" s="129"/>
      <c r="AE69" s="129"/>
    </row>
    <row r="70" spans="11:31">
      <c r="K70" s="125"/>
      <c r="Q70" s="127"/>
      <c r="T70" s="127"/>
      <c r="V70" s="127"/>
      <c r="X70" s="127"/>
      <c r="Y70" s="129"/>
      <c r="Z70" s="129"/>
      <c r="AA70" s="129"/>
      <c r="AB70" s="129"/>
      <c r="AC70" s="129"/>
      <c r="AD70" s="129"/>
      <c r="AE70" s="129"/>
    </row>
    <row r="71" spans="11:31">
      <c r="K71" s="125"/>
      <c r="Q71" s="127"/>
      <c r="T71" s="127"/>
      <c r="V71" s="127"/>
      <c r="X71" s="127"/>
      <c r="Y71" s="129"/>
      <c r="Z71" s="129"/>
      <c r="AA71" s="129"/>
      <c r="AB71" s="129"/>
      <c r="AC71" s="129"/>
      <c r="AD71" s="129"/>
      <c r="AE71" s="129"/>
    </row>
    <row r="72" spans="11:31">
      <c r="K72" s="125"/>
      <c r="Q72" s="127"/>
      <c r="T72" s="127"/>
      <c r="V72" s="127"/>
      <c r="X72" s="127"/>
      <c r="Y72" s="129"/>
      <c r="Z72" s="129"/>
      <c r="AA72" s="129"/>
      <c r="AB72" s="129"/>
      <c r="AC72" s="129"/>
      <c r="AD72" s="129"/>
      <c r="AE72" s="129"/>
    </row>
    <row r="73" spans="11:31">
      <c r="K73" s="125"/>
      <c r="Q73" s="127"/>
      <c r="T73" s="127"/>
      <c r="V73" s="127"/>
      <c r="X73" s="127"/>
      <c r="Y73" s="129"/>
      <c r="Z73" s="129"/>
      <c r="AA73" s="129"/>
      <c r="AB73" s="129"/>
      <c r="AC73" s="129"/>
      <c r="AD73" s="129"/>
      <c r="AE73" s="129"/>
    </row>
    <row r="74" spans="11:31">
      <c r="K74" s="125"/>
      <c r="M74" s="129"/>
      <c r="N74" s="129"/>
      <c r="O74" s="129"/>
      <c r="P74" s="129"/>
      <c r="Q74" s="130"/>
      <c r="R74" s="129"/>
      <c r="S74" s="129"/>
      <c r="T74" s="130"/>
      <c r="U74" s="129"/>
      <c r="V74" s="130"/>
      <c r="W74" s="129"/>
      <c r="X74" s="130"/>
      <c r="Y74" s="129"/>
      <c r="Z74" s="129"/>
      <c r="AA74" s="129"/>
      <c r="AB74" s="129"/>
      <c r="AC74" s="129"/>
      <c r="AD74" s="129"/>
      <c r="AE74" s="129"/>
    </row>
    <row r="75" spans="11:31">
      <c r="K75" s="125"/>
      <c r="M75" s="129"/>
      <c r="N75" s="129"/>
      <c r="O75" s="129"/>
      <c r="P75" s="129"/>
      <c r="Q75" s="130"/>
      <c r="R75" s="129"/>
      <c r="S75" s="129"/>
      <c r="T75" s="130"/>
      <c r="U75" s="129"/>
      <c r="V75" s="130"/>
      <c r="W75" s="129"/>
      <c r="X75" s="130"/>
      <c r="Y75" s="129"/>
      <c r="Z75" s="129"/>
      <c r="AA75" s="129"/>
      <c r="AB75" s="129"/>
      <c r="AC75" s="129"/>
      <c r="AD75" s="129"/>
      <c r="AE75" s="129"/>
    </row>
    <row r="76" spans="11:31">
      <c r="K76" s="125"/>
      <c r="M76" s="129"/>
      <c r="N76" s="129"/>
      <c r="O76" s="129"/>
      <c r="P76" s="129"/>
      <c r="Q76" s="130"/>
      <c r="R76" s="129"/>
      <c r="S76" s="129"/>
      <c r="T76" s="130"/>
      <c r="U76" s="129"/>
      <c r="V76" s="130"/>
      <c r="W76" s="129"/>
      <c r="X76" s="130"/>
      <c r="Y76" s="129"/>
      <c r="Z76" s="129"/>
      <c r="AA76" s="129"/>
      <c r="AB76" s="129"/>
      <c r="AC76" s="129"/>
      <c r="AD76" s="129"/>
      <c r="AE76" s="129"/>
    </row>
    <row r="77" spans="11:31">
      <c r="K77" s="125"/>
      <c r="M77" s="129"/>
      <c r="N77" s="129"/>
      <c r="O77" s="129"/>
      <c r="P77" s="129"/>
      <c r="Q77" s="130"/>
      <c r="R77" s="129"/>
      <c r="S77" s="129"/>
      <c r="T77" s="130"/>
      <c r="U77" s="129"/>
      <c r="V77" s="130"/>
      <c r="W77" s="129"/>
      <c r="X77" s="130"/>
      <c r="Y77" s="129"/>
      <c r="Z77" s="129"/>
      <c r="AA77" s="129"/>
      <c r="AB77" s="129"/>
      <c r="AC77" s="129"/>
      <c r="AD77" s="129"/>
      <c r="AE77" s="129"/>
    </row>
    <row r="78" spans="11:31">
      <c r="K78" s="125"/>
      <c r="M78" s="129"/>
      <c r="N78" s="129"/>
      <c r="O78" s="129"/>
      <c r="P78" s="129"/>
      <c r="Q78" s="130"/>
      <c r="R78" s="129"/>
      <c r="S78" s="129"/>
      <c r="T78" s="130"/>
      <c r="U78" s="129"/>
      <c r="V78" s="130"/>
      <c r="W78" s="129"/>
      <c r="X78" s="130"/>
      <c r="Y78" s="129"/>
      <c r="Z78" s="129"/>
      <c r="AA78" s="129"/>
      <c r="AB78" s="129"/>
      <c r="AC78" s="129"/>
      <c r="AD78" s="129"/>
      <c r="AE78" s="129"/>
    </row>
    <row r="79" spans="11:31">
      <c r="K79" s="125"/>
      <c r="M79" s="129"/>
      <c r="N79" s="129"/>
      <c r="O79" s="129"/>
      <c r="P79" s="129"/>
      <c r="Q79" s="130"/>
      <c r="R79" s="129"/>
      <c r="S79" s="129"/>
      <c r="T79" s="130"/>
      <c r="U79" s="129"/>
      <c r="V79" s="130"/>
      <c r="W79" s="129"/>
      <c r="X79" s="130"/>
      <c r="Y79" s="129"/>
      <c r="Z79" s="129"/>
      <c r="AA79" s="129"/>
      <c r="AB79" s="129"/>
      <c r="AC79" s="129"/>
      <c r="AD79" s="129"/>
      <c r="AE79" s="129"/>
    </row>
    <row r="80" spans="11:31">
      <c r="K80" s="125"/>
      <c r="M80" s="129"/>
      <c r="N80" s="129"/>
      <c r="O80" s="129"/>
      <c r="P80" s="129"/>
      <c r="Q80" s="130"/>
      <c r="R80" s="129"/>
      <c r="S80" s="129"/>
      <c r="T80" s="130"/>
      <c r="U80" s="129"/>
      <c r="V80" s="130"/>
      <c r="W80" s="129"/>
      <c r="X80" s="130"/>
      <c r="Y80" s="129"/>
      <c r="Z80" s="129"/>
      <c r="AA80" s="129"/>
      <c r="AB80" s="129"/>
      <c r="AC80" s="129"/>
      <c r="AD80" s="129"/>
      <c r="AE80" s="129"/>
    </row>
    <row r="81" spans="11:31">
      <c r="K81" s="125"/>
      <c r="M81" s="129"/>
      <c r="N81" s="129"/>
      <c r="O81" s="129"/>
      <c r="P81" s="129"/>
      <c r="Q81" s="130"/>
      <c r="R81" s="129"/>
      <c r="S81" s="129"/>
      <c r="T81" s="130"/>
      <c r="U81" s="129"/>
      <c r="V81" s="130"/>
      <c r="W81" s="129"/>
      <c r="X81" s="130"/>
      <c r="Y81" s="129"/>
      <c r="Z81" s="129"/>
      <c r="AA81" s="129"/>
      <c r="AB81" s="129"/>
      <c r="AC81" s="129"/>
      <c r="AD81" s="129"/>
      <c r="AE81" s="129"/>
    </row>
    <row r="82" spans="11:31">
      <c r="K82" s="125"/>
      <c r="M82" s="129"/>
      <c r="N82" s="129"/>
      <c r="O82" s="129"/>
      <c r="P82" s="129"/>
      <c r="Q82" s="130"/>
      <c r="R82" s="129"/>
      <c r="S82" s="129"/>
      <c r="T82" s="130"/>
      <c r="U82" s="129"/>
      <c r="V82" s="130"/>
      <c r="W82" s="129"/>
      <c r="X82" s="130"/>
      <c r="Y82" s="129"/>
      <c r="Z82" s="129"/>
      <c r="AA82" s="129"/>
      <c r="AB82" s="129"/>
      <c r="AC82" s="129"/>
      <c r="AD82" s="129"/>
      <c r="AE82" s="129"/>
    </row>
    <row r="83" spans="11:31">
      <c r="K83" s="125"/>
      <c r="M83" s="129"/>
      <c r="N83" s="129"/>
      <c r="O83" s="129"/>
      <c r="P83" s="129"/>
      <c r="Q83" s="130"/>
      <c r="R83" s="129"/>
      <c r="S83" s="129"/>
      <c r="T83" s="130"/>
      <c r="U83" s="129"/>
      <c r="V83" s="130"/>
      <c r="W83" s="129"/>
      <c r="X83" s="130"/>
      <c r="Y83" s="129"/>
      <c r="Z83" s="129"/>
      <c r="AA83" s="129"/>
      <c r="AB83" s="129"/>
      <c r="AC83" s="129"/>
      <c r="AD83" s="129"/>
      <c r="AE83" s="129"/>
    </row>
    <row r="84" spans="11:31">
      <c r="K84" s="125"/>
      <c r="M84" s="129"/>
      <c r="N84" s="129"/>
      <c r="O84" s="129"/>
      <c r="P84" s="129"/>
      <c r="Q84" s="130"/>
      <c r="R84" s="129"/>
      <c r="S84" s="129"/>
      <c r="T84" s="130"/>
      <c r="U84" s="129"/>
      <c r="V84" s="130"/>
      <c r="W84" s="129"/>
      <c r="X84" s="130"/>
      <c r="Y84" s="129"/>
      <c r="Z84" s="129"/>
      <c r="AA84" s="129"/>
      <c r="AB84" s="129"/>
      <c r="AC84" s="129"/>
      <c r="AD84" s="129"/>
      <c r="AE84" s="129"/>
    </row>
    <row r="85" spans="11:31">
      <c r="K85" s="131"/>
      <c r="L85" s="132"/>
      <c r="M85" s="133"/>
      <c r="N85" s="133"/>
      <c r="O85" s="133"/>
      <c r="P85" s="133"/>
      <c r="Q85" s="134"/>
      <c r="R85" s="133"/>
      <c r="S85" s="133"/>
      <c r="T85" s="134"/>
      <c r="U85" s="133"/>
      <c r="V85" s="134"/>
      <c r="W85" s="133"/>
      <c r="X85" s="134"/>
      <c r="Y85" s="129"/>
      <c r="Z85" s="129"/>
      <c r="AA85" s="129"/>
      <c r="AB85" s="129"/>
      <c r="AC85" s="129"/>
      <c r="AD85" s="129"/>
      <c r="AE85" s="129"/>
    </row>
    <row r="86" spans="11:31">
      <c r="K86" s="5" t="s">
        <v>248</v>
      </c>
      <c r="L86" s="102"/>
      <c r="M86" s="1" t="s">
        <v>249</v>
      </c>
      <c r="N86" s="1"/>
      <c r="O86" s="67"/>
      <c r="P86" s="67"/>
      <c r="Q86" s="2"/>
      <c r="R86" s="2"/>
      <c r="S86" s="2"/>
      <c r="T86" s="2"/>
      <c r="U86" s="2"/>
      <c r="V86" s="9">
        <f>SUM(V66:V85)</f>
        <v>0</v>
      </c>
      <c r="W86" s="9">
        <f>SUM(W66:W85)</f>
        <v>0</v>
      </c>
      <c r="X86" s="9">
        <f>SUM(X66:X85)</f>
        <v>0</v>
      </c>
      <c r="Y86" s="129"/>
      <c r="Z86" s="129"/>
      <c r="AA86" s="129"/>
      <c r="AB86" s="129"/>
      <c r="AC86" s="129"/>
      <c r="AD86" s="129"/>
      <c r="AE86" s="129"/>
    </row>
    <row r="87" spans="11:31">
      <c r="K87" s="52"/>
      <c r="L87" s="129"/>
      <c r="M87" s="129"/>
      <c r="N87" s="129"/>
      <c r="O87" s="129"/>
      <c r="P87" s="129"/>
      <c r="Q87" s="129"/>
      <c r="R87" s="129"/>
      <c r="S87" s="129"/>
      <c r="T87" s="129"/>
      <c r="U87" s="129"/>
      <c r="V87" s="129"/>
      <c r="W87" s="129"/>
      <c r="X87" s="129"/>
      <c r="Y87" s="129"/>
      <c r="Z87" s="129"/>
      <c r="AA87" s="129"/>
      <c r="AB87" s="129"/>
      <c r="AC87" s="129"/>
      <c r="AD87" s="129"/>
      <c r="AE87" s="129"/>
    </row>
    <row r="88" spans="11:31">
      <c r="K88" s="135">
        <v>3</v>
      </c>
      <c r="L88" s="129"/>
      <c r="M88" s="9" t="s">
        <v>534</v>
      </c>
      <c r="N88" s="129"/>
      <c r="O88" s="129"/>
      <c r="P88" s="129"/>
      <c r="Q88" s="129"/>
      <c r="R88" s="129"/>
      <c r="S88" s="129"/>
      <c r="T88" s="129"/>
      <c r="U88" s="129"/>
      <c r="V88" s="9"/>
      <c r="W88" s="129"/>
      <c r="X88" s="9">
        <f>X86</f>
        <v>0</v>
      </c>
      <c r="Y88" s="129"/>
      <c r="Z88" s="129"/>
      <c r="AA88" s="129"/>
      <c r="AB88" s="129"/>
      <c r="AC88" s="129"/>
      <c r="AD88" s="129"/>
      <c r="AE88" s="129"/>
    </row>
    <row r="89" spans="11:31">
      <c r="K89" s="129"/>
      <c r="L89" s="129"/>
      <c r="M89" s="129"/>
      <c r="N89" s="129"/>
      <c r="O89" s="129"/>
      <c r="P89" s="129"/>
      <c r="Q89" s="129"/>
      <c r="R89" s="129"/>
      <c r="S89" s="129"/>
      <c r="T89" s="129"/>
      <c r="U89" s="129"/>
      <c r="V89" s="129"/>
      <c r="W89" s="129"/>
      <c r="X89" s="129"/>
      <c r="Y89" s="129"/>
      <c r="Z89" s="129"/>
      <c r="AA89" s="129"/>
      <c r="AB89" s="129"/>
      <c r="AC89" s="129"/>
      <c r="AD89" s="129"/>
      <c r="AE89" s="129"/>
    </row>
    <row r="90" spans="11:31">
      <c r="K90" s="129"/>
      <c r="L90" s="129"/>
      <c r="M90" s="129"/>
      <c r="N90" s="129"/>
      <c r="O90" s="129"/>
      <c r="P90" s="129"/>
      <c r="Q90" s="129"/>
      <c r="R90" s="129"/>
      <c r="S90" s="129"/>
      <c r="T90" s="129"/>
      <c r="U90" s="129"/>
      <c r="V90" s="129"/>
      <c r="W90" s="129"/>
      <c r="X90" s="129"/>
      <c r="Y90" s="129"/>
      <c r="Z90" s="129"/>
      <c r="AA90" s="129"/>
      <c r="AB90" s="129"/>
      <c r="AC90" s="129"/>
      <c r="AD90" s="129"/>
      <c r="AE90" s="129"/>
    </row>
    <row r="91" spans="11:31">
      <c r="K91" s="67" t="s">
        <v>94</v>
      </c>
      <c r="L91" s="129"/>
      <c r="M91" s="129"/>
      <c r="N91" s="129"/>
      <c r="O91" s="129"/>
      <c r="P91" s="129"/>
      <c r="Q91" s="129"/>
      <c r="R91" s="129"/>
      <c r="S91" s="129"/>
      <c r="T91" s="129"/>
      <c r="U91" s="129"/>
      <c r="V91" s="129"/>
      <c r="W91" s="129"/>
      <c r="X91" s="129"/>
      <c r="Y91" s="129"/>
      <c r="Z91" s="129"/>
      <c r="AA91" s="129"/>
      <c r="AB91" s="129"/>
      <c r="AC91" s="129"/>
      <c r="AD91" s="129"/>
      <c r="AE91" s="129"/>
    </row>
    <row r="92" spans="11:31" ht="15.75" thickBot="1">
      <c r="K92" s="492" t="s">
        <v>95</v>
      </c>
      <c r="L92" s="129"/>
      <c r="M92" s="129"/>
      <c r="N92" s="129"/>
      <c r="O92" s="129"/>
      <c r="P92" s="129"/>
      <c r="Q92" s="129"/>
      <c r="R92" s="129"/>
      <c r="S92" s="129"/>
      <c r="T92" s="129"/>
      <c r="U92" s="129"/>
      <c r="V92" s="129"/>
      <c r="W92" s="129"/>
      <c r="X92" s="129"/>
      <c r="Y92" s="129"/>
      <c r="Z92" s="129"/>
      <c r="AA92" s="129"/>
      <c r="AB92" s="129"/>
      <c r="AC92" s="129"/>
      <c r="AD92" s="129"/>
      <c r="AE92" s="129"/>
    </row>
    <row r="93" spans="11:31">
      <c r="K93" s="136" t="s">
        <v>96</v>
      </c>
      <c r="L93" s="66"/>
      <c r="M93" s="1033" t="s">
        <v>573</v>
      </c>
      <c r="N93" s="1034"/>
      <c r="O93" s="1034"/>
      <c r="P93" s="1034"/>
      <c r="Q93" s="1034"/>
      <c r="R93" s="1034"/>
      <c r="S93" s="1034"/>
      <c r="T93" s="1034"/>
      <c r="U93" s="1034"/>
      <c r="V93" s="1034"/>
      <c r="W93" s="1034"/>
      <c r="X93" s="1034"/>
      <c r="Y93" s="129"/>
      <c r="Z93" s="129"/>
      <c r="AA93" s="129"/>
      <c r="AB93" s="129"/>
      <c r="AC93" s="129"/>
      <c r="AD93" s="129"/>
      <c r="AE93" s="129"/>
    </row>
    <row r="94" spans="11:31">
      <c r="K94" s="136" t="s">
        <v>97</v>
      </c>
      <c r="L94" s="66"/>
      <c r="M94" s="1033" t="s">
        <v>574</v>
      </c>
      <c r="N94" s="1034"/>
      <c r="O94" s="1034"/>
      <c r="P94" s="1034"/>
      <c r="Q94" s="1034"/>
      <c r="R94" s="1034"/>
      <c r="S94" s="1034"/>
      <c r="T94" s="1034"/>
      <c r="U94" s="1034"/>
      <c r="V94" s="1034"/>
      <c r="W94" s="1034"/>
      <c r="X94" s="1034"/>
      <c r="Y94" s="129"/>
      <c r="Z94" s="129"/>
      <c r="AA94" s="129"/>
      <c r="AB94" s="129"/>
      <c r="AC94" s="129"/>
      <c r="AD94" s="129"/>
      <c r="AE94" s="129"/>
    </row>
    <row r="95" spans="11:31" ht="27.75" customHeight="1">
      <c r="K95" s="137" t="s">
        <v>98</v>
      </c>
      <c r="L95" s="66"/>
      <c r="M95" s="1035" t="s">
        <v>250</v>
      </c>
      <c r="N95" s="1035"/>
      <c r="O95" s="1035"/>
      <c r="P95" s="1035"/>
      <c r="Q95" s="1035"/>
      <c r="R95" s="1035"/>
      <c r="S95" s="1035"/>
      <c r="T95" s="1035"/>
      <c r="U95" s="1035"/>
      <c r="V95" s="1035"/>
      <c r="W95" s="1035"/>
      <c r="X95" s="1035"/>
      <c r="Y95" s="129"/>
      <c r="Z95" s="129"/>
      <c r="AA95" s="129"/>
      <c r="AB95" s="129"/>
      <c r="AC95" s="129"/>
      <c r="AD95" s="129"/>
      <c r="AE95" s="129"/>
    </row>
    <row r="96" spans="11:31" ht="15" customHeight="1">
      <c r="K96" s="137" t="s">
        <v>99</v>
      </c>
      <c r="L96" s="66"/>
      <c r="M96" s="1035" t="s">
        <v>251</v>
      </c>
      <c r="N96" s="1035"/>
      <c r="O96" s="1035"/>
      <c r="P96" s="1035"/>
      <c r="Q96" s="1035"/>
      <c r="R96" s="1035"/>
      <c r="S96" s="1035"/>
      <c r="T96" s="1035"/>
      <c r="U96" s="1035"/>
      <c r="V96" s="1035"/>
      <c r="W96" s="1035"/>
      <c r="X96" s="1035"/>
      <c r="Y96" s="129"/>
      <c r="Z96" s="129"/>
      <c r="AA96" s="129"/>
      <c r="AB96" s="129"/>
      <c r="AC96" s="129"/>
      <c r="AD96" s="129"/>
      <c r="AE96" s="129"/>
    </row>
    <row r="97" spans="3:31">
      <c r="K97" s="136" t="s">
        <v>100</v>
      </c>
      <c r="L97" s="66"/>
      <c r="M97" s="1034" t="s">
        <v>312</v>
      </c>
      <c r="N97" s="1034"/>
      <c r="O97" s="1034"/>
      <c r="P97" s="1034"/>
      <c r="Q97" s="1034"/>
      <c r="R97" s="1034"/>
      <c r="S97" s="1034"/>
      <c r="T97" s="1034"/>
      <c r="U97" s="1034"/>
      <c r="V97" s="1034"/>
      <c r="W97" s="1034"/>
      <c r="X97" s="1034"/>
      <c r="Y97" s="129"/>
      <c r="Z97" s="129"/>
      <c r="AA97" s="129"/>
      <c r="AB97" s="129"/>
      <c r="AC97" s="129"/>
      <c r="AD97" s="129"/>
      <c r="AE97" s="129"/>
    </row>
    <row r="98" spans="3:31">
      <c r="K98" s="136" t="s">
        <v>101</v>
      </c>
      <c r="L98" s="66"/>
      <c r="M98" s="1034" t="s">
        <v>252</v>
      </c>
      <c r="N98" s="1034"/>
      <c r="O98" s="1034"/>
      <c r="P98" s="1034"/>
      <c r="Q98" s="1034"/>
      <c r="R98" s="1034"/>
      <c r="S98" s="1034"/>
      <c r="T98" s="1034"/>
      <c r="U98" s="1034"/>
      <c r="V98" s="1034"/>
      <c r="W98" s="1034"/>
      <c r="X98" s="1034"/>
      <c r="Y98" s="129"/>
      <c r="Z98" s="129"/>
      <c r="AA98" s="129"/>
      <c r="AB98" s="129"/>
      <c r="AC98" s="129"/>
      <c r="AD98" s="129"/>
      <c r="AE98" s="129"/>
    </row>
    <row r="99" spans="3:31">
      <c r="K99" s="136" t="s">
        <v>102</v>
      </c>
      <c r="L99" s="66"/>
      <c r="M99" s="1033" t="s">
        <v>533</v>
      </c>
      <c r="N99" s="1034"/>
      <c r="O99" s="1034"/>
      <c r="P99" s="1034"/>
      <c r="Q99" s="1034"/>
      <c r="R99" s="1034"/>
      <c r="S99" s="1034"/>
      <c r="T99" s="1034"/>
      <c r="U99" s="1034"/>
      <c r="V99" s="1034"/>
      <c r="W99" s="1034"/>
      <c r="X99" s="1034"/>
      <c r="Y99" s="129"/>
      <c r="Z99" s="129"/>
      <c r="AA99" s="129"/>
      <c r="AB99" s="129"/>
      <c r="AC99" s="129"/>
      <c r="AD99" s="129"/>
      <c r="AE99" s="129"/>
    </row>
    <row r="100" spans="3:31">
      <c r="K100" s="248" t="s">
        <v>103</v>
      </c>
      <c r="M100" s="1033" t="s">
        <v>334</v>
      </c>
      <c r="N100" s="1033"/>
      <c r="O100" s="1033"/>
      <c r="P100" s="1033"/>
      <c r="Q100" s="1033"/>
      <c r="R100" s="1033"/>
      <c r="S100" s="1033"/>
      <c r="T100" s="1033"/>
      <c r="U100" s="1033"/>
      <c r="V100" s="1033"/>
      <c r="W100" s="1033"/>
      <c r="X100" s="1033"/>
      <c r="Y100" s="129"/>
      <c r="Z100" s="129"/>
      <c r="AA100" s="129"/>
      <c r="AB100" s="129"/>
      <c r="AC100" s="129"/>
      <c r="AD100" s="129"/>
      <c r="AE100" s="129"/>
    </row>
    <row r="101" spans="3:31" ht="15.75">
      <c r="K101" s="104"/>
      <c r="L101" s="138"/>
      <c r="M101" s="139"/>
      <c r="N101" s="97"/>
      <c r="O101" s="67"/>
      <c r="P101" s="67"/>
      <c r="Q101" s="2"/>
      <c r="R101" s="9"/>
      <c r="S101" s="9"/>
      <c r="T101" s="93"/>
      <c r="U101" s="9"/>
      <c r="W101" s="2"/>
      <c r="X101" s="105"/>
      <c r="Y101" s="129"/>
      <c r="Z101" s="129"/>
      <c r="AA101" s="129"/>
      <c r="AB101" s="129"/>
      <c r="AC101" s="129"/>
      <c r="AD101" s="129"/>
      <c r="AE101" s="129"/>
    </row>
    <row r="102" spans="3:31" ht="15.75">
      <c r="K102" s="104"/>
      <c r="L102" s="138"/>
      <c r="M102" s="139"/>
      <c r="N102" s="97"/>
      <c r="O102" s="67"/>
      <c r="P102" s="67"/>
      <c r="Q102" s="2"/>
      <c r="R102" s="9"/>
      <c r="S102" s="9"/>
      <c r="T102" s="93"/>
      <c r="U102" s="9"/>
      <c r="W102" s="2"/>
      <c r="X102" s="95"/>
      <c r="Y102" s="129"/>
      <c r="Z102" s="129"/>
      <c r="AA102" s="129"/>
      <c r="AB102" s="129"/>
      <c r="AC102" s="129"/>
      <c r="AD102" s="129"/>
      <c r="AE102" s="129"/>
    </row>
    <row r="103" spans="3:31">
      <c r="M103" s="129"/>
      <c r="N103" s="129"/>
      <c r="O103" s="129"/>
      <c r="P103" s="129"/>
      <c r="Q103" s="129"/>
      <c r="R103" s="129"/>
      <c r="S103" s="129"/>
      <c r="T103" s="129"/>
      <c r="U103" s="129"/>
      <c r="V103" s="129"/>
      <c r="W103" s="129"/>
      <c r="X103" s="129"/>
      <c r="Y103" s="129"/>
      <c r="Z103" s="129"/>
      <c r="AA103" s="129"/>
      <c r="AB103" s="129"/>
      <c r="AC103" s="129"/>
      <c r="AD103" s="129"/>
      <c r="AE103" s="129"/>
    </row>
    <row r="104" spans="3:31">
      <c r="M104" s="129"/>
      <c r="N104" s="129"/>
      <c r="O104" s="129"/>
      <c r="P104" s="129"/>
      <c r="Q104" s="129"/>
      <c r="R104" s="129"/>
      <c r="S104" s="129"/>
      <c r="T104" s="129"/>
      <c r="U104" s="129"/>
      <c r="V104" s="129"/>
      <c r="W104" s="129"/>
      <c r="X104" s="129"/>
      <c r="Y104" s="129"/>
      <c r="Z104" s="129"/>
      <c r="AA104" s="129"/>
      <c r="AB104" s="129"/>
      <c r="AC104" s="129"/>
      <c r="AD104" s="129"/>
      <c r="AE104" s="129"/>
    </row>
    <row r="105" spans="3:31">
      <c r="M105" s="129"/>
      <c r="N105" s="129"/>
      <c r="O105" s="129"/>
      <c r="P105" s="129"/>
      <c r="Q105" s="129"/>
      <c r="R105" s="129"/>
      <c r="S105" s="129"/>
      <c r="T105" s="129"/>
      <c r="U105" s="129"/>
      <c r="V105" s="129"/>
      <c r="W105" s="129"/>
      <c r="X105" s="129"/>
      <c r="Y105" s="129"/>
      <c r="Z105" s="129"/>
      <c r="AA105" s="129"/>
      <c r="AB105" s="129"/>
      <c r="AC105" s="129"/>
      <c r="AD105" s="129"/>
      <c r="AE105" s="129"/>
    </row>
    <row r="106" spans="3:31">
      <c r="M106" s="129"/>
      <c r="N106" s="129"/>
      <c r="O106" s="129"/>
      <c r="P106" s="129"/>
      <c r="Q106" s="129"/>
      <c r="R106" s="129"/>
      <c r="S106" s="129"/>
      <c r="T106" s="129"/>
      <c r="U106" s="129"/>
      <c r="V106" s="129"/>
      <c r="W106" s="129"/>
      <c r="X106" s="129"/>
      <c r="Y106" s="129"/>
      <c r="Z106" s="129"/>
      <c r="AA106" s="129"/>
      <c r="AB106" s="129"/>
      <c r="AC106" s="129"/>
      <c r="AD106" s="129"/>
      <c r="AE106" s="129"/>
    </row>
    <row r="107" spans="3:31">
      <c r="M107" s="129"/>
      <c r="N107" s="129"/>
      <c r="O107" s="129"/>
      <c r="P107" s="129"/>
      <c r="Q107" s="129"/>
      <c r="R107" s="129"/>
      <c r="S107" s="129"/>
      <c r="T107" s="129"/>
      <c r="U107" s="129"/>
      <c r="V107" s="129"/>
      <c r="W107" s="129"/>
      <c r="X107" s="129"/>
      <c r="Y107" s="129"/>
      <c r="Z107" s="129"/>
      <c r="AA107" s="129"/>
      <c r="AB107" s="129"/>
      <c r="AC107" s="129"/>
      <c r="AD107" s="129"/>
      <c r="AE107" s="129"/>
    </row>
    <row r="108" spans="3:31">
      <c r="C108" s="129"/>
      <c r="D108" s="129"/>
      <c r="E108" s="129"/>
      <c r="F108" s="129"/>
      <c r="G108" s="129"/>
      <c r="H108" s="129"/>
      <c r="I108" s="129"/>
      <c r="J108" s="129"/>
    </row>
    <row r="109" spans="3:31">
      <c r="C109" s="129"/>
      <c r="D109" s="129"/>
      <c r="E109" s="129"/>
      <c r="F109" s="129"/>
      <c r="G109" s="129"/>
      <c r="H109" s="129"/>
      <c r="I109" s="129"/>
      <c r="J109" s="129"/>
    </row>
    <row r="110" spans="3:31">
      <c r="C110" s="129"/>
      <c r="D110" s="129"/>
      <c r="E110" s="129"/>
      <c r="F110" s="129"/>
      <c r="G110" s="129"/>
      <c r="H110" s="129"/>
      <c r="I110" s="129"/>
      <c r="J110" s="129"/>
    </row>
    <row r="111" spans="3:31">
      <c r="C111" s="129"/>
      <c r="D111" s="129"/>
      <c r="E111" s="129"/>
      <c r="F111" s="129"/>
      <c r="G111" s="129"/>
      <c r="H111" s="129"/>
      <c r="I111" s="129"/>
      <c r="J111" s="129"/>
    </row>
    <row r="112" spans="3:31">
      <c r="C112" s="129"/>
      <c r="D112" s="129"/>
      <c r="E112" s="129"/>
      <c r="F112" s="129"/>
      <c r="G112" s="129"/>
      <c r="H112" s="129"/>
      <c r="I112" s="129"/>
      <c r="J112" s="129"/>
    </row>
    <row r="113" spans="3:10">
      <c r="C113" s="129"/>
      <c r="D113" s="129"/>
      <c r="E113" s="129"/>
      <c r="F113" s="129"/>
      <c r="G113" s="129"/>
      <c r="H113" s="129"/>
      <c r="I113" s="129"/>
      <c r="J113" s="129"/>
    </row>
    <row r="114" spans="3:10">
      <c r="C114" s="129"/>
      <c r="D114" s="129"/>
      <c r="E114" s="129"/>
      <c r="F114" s="129"/>
      <c r="G114" s="129"/>
      <c r="H114" s="129"/>
      <c r="I114" s="129"/>
      <c r="J114" s="129"/>
    </row>
    <row r="115" spans="3:10">
      <c r="C115" s="129"/>
      <c r="D115" s="129"/>
      <c r="E115" s="129"/>
      <c r="F115" s="129"/>
      <c r="G115" s="129"/>
      <c r="H115" s="129"/>
      <c r="I115" s="129"/>
      <c r="J115" s="129"/>
    </row>
    <row r="116" spans="3:10">
      <c r="C116" s="129"/>
      <c r="D116" s="129"/>
      <c r="E116" s="129"/>
      <c r="F116" s="129"/>
      <c r="G116" s="129"/>
      <c r="H116" s="129"/>
      <c r="I116" s="129"/>
      <c r="J116" s="129"/>
    </row>
    <row r="117" spans="3:10">
      <c r="C117" s="129"/>
      <c r="D117" s="129"/>
      <c r="E117" s="129"/>
      <c r="F117" s="129"/>
      <c r="G117" s="129"/>
      <c r="H117" s="129"/>
      <c r="I117" s="129"/>
      <c r="J117" s="129"/>
    </row>
    <row r="118" spans="3:10">
      <c r="C118" s="129"/>
      <c r="D118" s="129"/>
      <c r="E118" s="129"/>
      <c r="F118" s="129"/>
      <c r="G118" s="129"/>
      <c r="H118" s="129"/>
      <c r="I118" s="129"/>
      <c r="J118" s="129"/>
    </row>
    <row r="119" spans="3:10">
      <c r="C119" s="129"/>
      <c r="D119" s="129"/>
      <c r="E119" s="129"/>
      <c r="F119" s="129"/>
      <c r="G119" s="129"/>
      <c r="H119" s="129"/>
      <c r="I119" s="129"/>
      <c r="J119" s="129"/>
    </row>
    <row r="120" spans="3:10">
      <c r="C120" s="129"/>
      <c r="D120" s="129"/>
      <c r="E120" s="129"/>
      <c r="F120" s="129"/>
      <c r="G120" s="129"/>
      <c r="H120" s="129"/>
      <c r="I120" s="129"/>
      <c r="J120" s="129"/>
    </row>
    <row r="121" spans="3:10">
      <c r="C121" s="129"/>
      <c r="D121" s="129"/>
      <c r="E121" s="129"/>
      <c r="F121" s="129"/>
      <c r="G121" s="129"/>
      <c r="H121" s="129"/>
      <c r="I121" s="129"/>
      <c r="J121" s="129"/>
    </row>
    <row r="122" spans="3:10">
      <c r="C122" s="129"/>
      <c r="D122" s="129"/>
      <c r="E122" s="129"/>
      <c r="F122" s="129"/>
      <c r="G122" s="129"/>
      <c r="H122" s="129"/>
      <c r="I122" s="129"/>
      <c r="J122" s="129"/>
    </row>
    <row r="123" spans="3:10">
      <c r="C123" s="129"/>
      <c r="D123" s="129"/>
      <c r="E123" s="129"/>
      <c r="F123" s="129"/>
      <c r="G123" s="129"/>
      <c r="H123" s="129"/>
      <c r="I123" s="129"/>
      <c r="J123" s="129"/>
    </row>
    <row r="124" spans="3:10">
      <c r="C124" s="129"/>
      <c r="D124" s="129"/>
      <c r="E124" s="129"/>
      <c r="F124" s="129"/>
      <c r="G124" s="129"/>
      <c r="H124" s="129"/>
      <c r="I124" s="129"/>
      <c r="J124" s="129"/>
    </row>
    <row r="125" spans="3:10">
      <c r="C125" s="129"/>
      <c r="D125" s="129"/>
      <c r="E125" s="129"/>
      <c r="F125" s="129"/>
      <c r="G125" s="129"/>
      <c r="H125" s="129"/>
      <c r="I125" s="129"/>
      <c r="J125" s="129"/>
    </row>
    <row r="126" spans="3:10">
      <c r="C126" s="129"/>
      <c r="D126" s="129"/>
      <c r="E126" s="129"/>
      <c r="F126" s="129"/>
      <c r="G126" s="129"/>
      <c r="H126" s="129"/>
      <c r="I126" s="129"/>
      <c r="J126" s="129"/>
    </row>
    <row r="127" spans="3:10">
      <c r="C127" s="129"/>
      <c r="D127" s="129"/>
      <c r="E127" s="129"/>
      <c r="F127" s="129"/>
      <c r="G127" s="129"/>
      <c r="H127" s="129"/>
      <c r="I127" s="129"/>
      <c r="J127" s="129"/>
    </row>
    <row r="128" spans="3:10">
      <c r="C128" s="129"/>
      <c r="D128" s="129"/>
      <c r="E128" s="129"/>
      <c r="F128" s="129"/>
      <c r="G128" s="129"/>
      <c r="H128" s="129"/>
      <c r="I128" s="129"/>
      <c r="J128" s="129"/>
    </row>
    <row r="129" spans="3:10">
      <c r="C129" s="129"/>
      <c r="D129" s="129"/>
      <c r="E129" s="129"/>
      <c r="F129" s="129"/>
      <c r="G129" s="129"/>
      <c r="H129" s="129"/>
      <c r="I129" s="129"/>
      <c r="J129" s="129"/>
    </row>
    <row r="130" spans="3:10">
      <c r="C130" s="129"/>
      <c r="D130" s="129"/>
      <c r="E130" s="129"/>
      <c r="F130" s="129"/>
      <c r="G130" s="129"/>
      <c r="H130" s="129"/>
      <c r="I130" s="129"/>
      <c r="J130" s="129"/>
    </row>
    <row r="131" spans="3:10">
      <c r="C131" s="129"/>
      <c r="D131" s="129"/>
      <c r="E131" s="129"/>
      <c r="F131" s="129"/>
      <c r="G131" s="129"/>
      <c r="H131" s="129"/>
      <c r="I131" s="129"/>
      <c r="J131" s="129"/>
    </row>
    <row r="132" spans="3:10">
      <c r="C132" s="129"/>
      <c r="D132" s="129"/>
      <c r="E132" s="129"/>
      <c r="F132" s="129"/>
      <c r="G132" s="129"/>
      <c r="H132" s="129"/>
      <c r="I132" s="129"/>
      <c r="J132" s="129"/>
    </row>
    <row r="133" spans="3:10">
      <c r="C133" s="129"/>
      <c r="D133" s="129"/>
      <c r="E133" s="129"/>
      <c r="F133" s="129"/>
      <c r="G133" s="129"/>
      <c r="H133" s="129"/>
      <c r="I133" s="129"/>
      <c r="J133" s="129"/>
    </row>
    <row r="134" spans="3:10">
      <c r="C134" s="129"/>
      <c r="D134" s="129"/>
      <c r="E134" s="129"/>
      <c r="F134" s="129"/>
      <c r="G134" s="129"/>
      <c r="H134" s="129"/>
      <c r="I134" s="129"/>
      <c r="J134" s="129"/>
    </row>
    <row r="135" spans="3:10">
      <c r="C135" s="129"/>
      <c r="D135" s="129"/>
      <c r="E135" s="129"/>
      <c r="F135" s="129"/>
      <c r="G135" s="129"/>
      <c r="H135" s="129"/>
      <c r="I135" s="129"/>
      <c r="J135" s="129"/>
    </row>
    <row r="136" spans="3:10">
      <c r="C136" s="129"/>
      <c r="D136" s="129"/>
      <c r="E136" s="129"/>
      <c r="F136" s="129"/>
      <c r="G136" s="129"/>
      <c r="H136" s="129"/>
      <c r="I136" s="129"/>
      <c r="J136" s="129"/>
    </row>
    <row r="137" spans="3:10">
      <c r="C137" s="129"/>
      <c r="D137" s="129"/>
      <c r="E137" s="129"/>
      <c r="F137" s="129"/>
      <c r="G137" s="129"/>
      <c r="H137" s="129"/>
      <c r="I137" s="129"/>
      <c r="J137" s="129"/>
    </row>
    <row r="138" spans="3:10">
      <c r="C138" s="129"/>
      <c r="D138" s="129"/>
      <c r="E138" s="129"/>
      <c r="F138" s="129"/>
      <c r="G138" s="129"/>
      <c r="H138" s="129"/>
      <c r="I138" s="129"/>
      <c r="J138" s="129"/>
    </row>
    <row r="139" spans="3:10">
      <c r="C139" s="129"/>
      <c r="D139" s="129"/>
      <c r="E139" s="129"/>
      <c r="F139" s="129"/>
      <c r="G139" s="129"/>
      <c r="H139" s="129"/>
      <c r="I139" s="129"/>
      <c r="J139" s="129"/>
    </row>
    <row r="140" spans="3:10">
      <c r="C140" s="129"/>
      <c r="D140" s="129"/>
      <c r="E140" s="129"/>
      <c r="F140" s="129"/>
      <c r="G140" s="129"/>
      <c r="H140" s="129"/>
      <c r="I140" s="129"/>
      <c r="J140" s="129"/>
    </row>
    <row r="141" spans="3:10">
      <c r="C141" s="129"/>
      <c r="D141" s="129"/>
      <c r="E141" s="129"/>
      <c r="F141" s="129"/>
      <c r="G141" s="129"/>
      <c r="H141" s="129"/>
      <c r="I141" s="129"/>
      <c r="J141" s="129"/>
    </row>
    <row r="142" spans="3:10">
      <c r="C142" s="129"/>
      <c r="D142" s="129"/>
      <c r="E142" s="129"/>
      <c r="F142" s="129"/>
      <c r="G142" s="129"/>
      <c r="H142" s="129"/>
      <c r="I142" s="129"/>
      <c r="J142" s="129"/>
    </row>
    <row r="143" spans="3:10">
      <c r="C143" s="129"/>
      <c r="D143" s="129"/>
      <c r="E143" s="129"/>
      <c r="F143" s="129"/>
      <c r="G143" s="129"/>
      <c r="H143" s="129"/>
      <c r="I143" s="129"/>
      <c r="J143" s="129"/>
    </row>
    <row r="144" spans="3:10">
      <c r="C144" s="129"/>
      <c r="D144" s="129"/>
      <c r="E144" s="129"/>
      <c r="F144" s="129"/>
      <c r="G144" s="129"/>
      <c r="H144" s="129"/>
      <c r="I144" s="129"/>
      <c r="J144" s="129"/>
    </row>
    <row r="145" spans="3:10">
      <c r="C145" s="129"/>
      <c r="D145" s="129"/>
      <c r="E145" s="129"/>
      <c r="F145" s="129"/>
      <c r="G145" s="129"/>
      <c r="H145" s="129"/>
      <c r="I145" s="129"/>
      <c r="J145" s="129"/>
    </row>
    <row r="146" spans="3:10">
      <c r="C146" s="129"/>
      <c r="D146" s="129"/>
      <c r="E146" s="129"/>
      <c r="F146" s="129"/>
      <c r="G146" s="129"/>
      <c r="H146" s="129"/>
      <c r="I146" s="129"/>
      <c r="J146" s="129"/>
    </row>
    <row r="147" spans="3:10">
      <c r="C147" s="129"/>
      <c r="D147" s="129"/>
      <c r="E147" s="129"/>
      <c r="F147" s="129"/>
      <c r="G147" s="129"/>
      <c r="H147" s="129"/>
      <c r="I147" s="129"/>
      <c r="J147" s="129"/>
    </row>
    <row r="148" spans="3:10">
      <c r="C148" s="129"/>
      <c r="D148" s="129"/>
      <c r="E148" s="129"/>
      <c r="F148" s="129"/>
      <c r="G148" s="129"/>
      <c r="H148" s="129"/>
      <c r="I148" s="129"/>
      <c r="J148" s="129"/>
    </row>
    <row r="149" spans="3:10">
      <c r="C149" s="129"/>
      <c r="D149" s="129"/>
      <c r="E149" s="129"/>
      <c r="F149" s="129"/>
      <c r="G149" s="129"/>
      <c r="H149" s="129"/>
      <c r="I149" s="129"/>
      <c r="J149" s="129"/>
    </row>
    <row r="150" spans="3:10">
      <c r="C150" s="129"/>
      <c r="D150" s="129"/>
      <c r="E150" s="129"/>
      <c r="F150" s="129"/>
      <c r="G150" s="129"/>
      <c r="H150" s="129"/>
      <c r="I150" s="129"/>
      <c r="J150" s="129"/>
    </row>
    <row r="151" spans="3:10">
      <c r="C151" s="129"/>
      <c r="D151" s="129"/>
      <c r="E151" s="129"/>
      <c r="F151" s="129"/>
      <c r="G151" s="129"/>
      <c r="H151" s="129"/>
      <c r="I151" s="129"/>
      <c r="J151" s="129"/>
    </row>
    <row r="152" spans="3:10">
      <c r="C152" s="129"/>
      <c r="D152" s="129"/>
      <c r="E152" s="129"/>
      <c r="F152" s="129"/>
      <c r="G152" s="129"/>
      <c r="H152" s="129"/>
      <c r="I152" s="129"/>
      <c r="J152" s="129"/>
    </row>
    <row r="153" spans="3:10">
      <c r="C153" s="129"/>
      <c r="D153" s="129"/>
      <c r="E153" s="129"/>
      <c r="F153" s="129"/>
      <c r="G153" s="129"/>
      <c r="H153" s="129"/>
      <c r="I153" s="129"/>
      <c r="J153" s="129"/>
    </row>
    <row r="154" spans="3:10">
      <c r="C154" s="129"/>
      <c r="D154" s="129"/>
      <c r="E154" s="129"/>
      <c r="F154" s="129"/>
      <c r="G154" s="129"/>
      <c r="H154" s="129"/>
      <c r="I154" s="129"/>
      <c r="J154" s="129"/>
    </row>
    <row r="155" spans="3:10">
      <c r="C155" s="129"/>
      <c r="D155" s="129"/>
      <c r="E155" s="129"/>
      <c r="F155" s="129"/>
      <c r="G155" s="129"/>
      <c r="H155" s="129"/>
      <c r="I155" s="129"/>
      <c r="J155" s="129"/>
    </row>
    <row r="156" spans="3:10">
      <c r="C156" s="129"/>
      <c r="D156" s="129"/>
      <c r="E156" s="129"/>
      <c r="F156" s="129"/>
      <c r="G156" s="129"/>
      <c r="H156" s="129"/>
      <c r="I156" s="129"/>
      <c r="J156" s="129"/>
    </row>
    <row r="157" spans="3:10">
      <c r="C157" s="129"/>
      <c r="D157" s="129"/>
      <c r="E157" s="129"/>
      <c r="F157" s="129"/>
      <c r="G157" s="129"/>
      <c r="H157" s="129"/>
      <c r="I157" s="129"/>
      <c r="J157" s="129"/>
    </row>
    <row r="158" spans="3:10">
      <c r="C158" s="129"/>
      <c r="D158" s="129"/>
      <c r="E158" s="129"/>
      <c r="F158" s="129"/>
      <c r="G158" s="129"/>
      <c r="H158" s="129"/>
      <c r="I158" s="129"/>
      <c r="J158" s="129"/>
    </row>
    <row r="159" spans="3:10">
      <c r="C159" s="129"/>
      <c r="D159" s="129"/>
      <c r="E159" s="129"/>
      <c r="F159" s="129"/>
      <c r="G159" s="129"/>
      <c r="H159" s="129"/>
      <c r="I159" s="129"/>
      <c r="J159" s="129"/>
    </row>
    <row r="160" spans="3:10">
      <c r="C160" s="129"/>
      <c r="D160" s="129"/>
      <c r="E160" s="129"/>
      <c r="F160" s="129"/>
      <c r="G160" s="129"/>
      <c r="H160" s="129"/>
      <c r="I160" s="129"/>
      <c r="J160" s="129"/>
    </row>
    <row r="161" spans="3:10">
      <c r="C161" s="129"/>
      <c r="D161" s="129"/>
      <c r="E161" s="129"/>
      <c r="F161" s="129"/>
      <c r="G161" s="129"/>
      <c r="H161" s="129"/>
      <c r="I161" s="129"/>
      <c r="J161" s="129"/>
    </row>
    <row r="162" spans="3:10">
      <c r="C162" s="129"/>
      <c r="D162" s="129"/>
      <c r="E162" s="129"/>
      <c r="F162" s="129"/>
      <c r="G162" s="129"/>
      <c r="H162" s="129"/>
      <c r="I162" s="129"/>
      <c r="J162" s="129"/>
    </row>
    <row r="163" spans="3:10">
      <c r="C163" s="129"/>
      <c r="D163" s="129"/>
      <c r="E163" s="129"/>
      <c r="F163" s="129"/>
      <c r="G163" s="129"/>
      <c r="H163" s="129"/>
      <c r="I163" s="129"/>
      <c r="J163" s="129"/>
    </row>
    <row r="164" spans="3:10">
      <c r="C164" s="129"/>
      <c r="D164" s="129"/>
      <c r="E164" s="129"/>
      <c r="F164" s="129"/>
      <c r="G164" s="129"/>
      <c r="H164" s="129"/>
      <c r="I164" s="129"/>
      <c r="J164" s="129"/>
    </row>
    <row r="165" spans="3:10">
      <c r="C165" s="129"/>
      <c r="D165" s="129"/>
      <c r="E165" s="129"/>
      <c r="F165" s="129"/>
      <c r="G165" s="129"/>
      <c r="H165" s="129"/>
      <c r="I165" s="129"/>
      <c r="J165" s="129"/>
    </row>
    <row r="166" spans="3:10">
      <c r="C166" s="129"/>
      <c r="D166" s="129"/>
      <c r="E166" s="129"/>
      <c r="F166" s="129"/>
      <c r="G166" s="129"/>
      <c r="H166" s="129"/>
      <c r="I166" s="129"/>
      <c r="J166" s="129"/>
    </row>
    <row r="167" spans="3:10">
      <c r="C167" s="129"/>
      <c r="D167" s="129"/>
      <c r="E167" s="129"/>
      <c r="F167" s="129"/>
      <c r="G167" s="129"/>
      <c r="H167" s="129"/>
      <c r="I167" s="129"/>
      <c r="J167" s="129"/>
    </row>
    <row r="168" spans="3:10">
      <c r="C168" s="129"/>
      <c r="D168" s="129"/>
      <c r="E168" s="129"/>
      <c r="F168" s="129"/>
      <c r="G168" s="129"/>
      <c r="H168" s="129"/>
      <c r="I168" s="129"/>
      <c r="J168" s="129"/>
    </row>
    <row r="169" spans="3:10">
      <c r="C169" s="129"/>
      <c r="D169" s="129"/>
      <c r="E169" s="129"/>
      <c r="F169" s="129"/>
      <c r="G169" s="129"/>
      <c r="H169" s="129"/>
      <c r="I169" s="129"/>
      <c r="J169" s="129"/>
    </row>
    <row r="170" spans="3:10">
      <c r="C170" s="129"/>
      <c r="D170" s="129"/>
      <c r="E170" s="129"/>
      <c r="F170" s="129"/>
      <c r="G170" s="129"/>
      <c r="H170" s="129"/>
      <c r="I170" s="129"/>
      <c r="J170" s="129"/>
    </row>
    <row r="171" spans="3:10">
      <c r="C171" s="129"/>
      <c r="D171" s="129"/>
      <c r="E171" s="129"/>
      <c r="F171" s="129"/>
      <c r="G171" s="129"/>
      <c r="H171" s="129"/>
      <c r="I171" s="129"/>
      <c r="J171" s="129"/>
    </row>
    <row r="172" spans="3:10">
      <c r="C172" s="129"/>
      <c r="D172" s="129"/>
      <c r="E172" s="129"/>
      <c r="F172" s="129"/>
      <c r="G172" s="129"/>
      <c r="H172" s="129"/>
      <c r="I172" s="129"/>
      <c r="J172" s="129"/>
    </row>
    <row r="173" spans="3:10">
      <c r="C173" s="129"/>
      <c r="D173" s="129"/>
      <c r="E173" s="129"/>
      <c r="F173" s="129"/>
      <c r="G173" s="129"/>
      <c r="H173" s="129"/>
      <c r="I173" s="129"/>
      <c r="J173" s="129"/>
    </row>
    <row r="174" spans="3:10">
      <c r="C174" s="129"/>
      <c r="D174" s="129"/>
      <c r="E174" s="129"/>
      <c r="F174" s="129"/>
      <c r="G174" s="129"/>
      <c r="H174" s="129"/>
      <c r="I174" s="129"/>
      <c r="J174" s="129"/>
    </row>
    <row r="175" spans="3:10">
      <c r="C175" s="129"/>
      <c r="D175" s="129"/>
      <c r="E175" s="129"/>
      <c r="F175" s="129"/>
      <c r="G175" s="129"/>
      <c r="H175" s="129"/>
      <c r="I175" s="129"/>
      <c r="J175" s="129"/>
    </row>
    <row r="176" spans="3:10">
      <c r="C176" s="129"/>
      <c r="D176" s="129"/>
      <c r="E176" s="129"/>
      <c r="F176" s="129"/>
      <c r="G176" s="129"/>
      <c r="H176" s="129"/>
      <c r="I176" s="129"/>
      <c r="J176" s="129"/>
    </row>
    <row r="177" spans="3:10">
      <c r="C177" s="129"/>
      <c r="D177" s="129"/>
      <c r="E177" s="129"/>
      <c r="F177" s="129"/>
      <c r="G177" s="129"/>
      <c r="H177" s="129"/>
      <c r="I177" s="129"/>
      <c r="J177" s="129"/>
    </row>
    <row r="178" spans="3:10">
      <c r="C178" s="129"/>
      <c r="D178" s="129"/>
      <c r="E178" s="129"/>
      <c r="F178" s="129"/>
      <c r="G178" s="129"/>
      <c r="H178" s="129"/>
      <c r="I178" s="129"/>
      <c r="J178" s="129"/>
    </row>
    <row r="179" spans="3:10">
      <c r="C179" s="129"/>
      <c r="D179" s="129"/>
      <c r="E179" s="129"/>
      <c r="F179" s="129"/>
      <c r="G179" s="129"/>
      <c r="H179" s="129"/>
      <c r="I179" s="129"/>
      <c r="J179" s="129"/>
    </row>
    <row r="180" spans="3:10">
      <c r="C180" s="129"/>
      <c r="D180" s="129"/>
      <c r="E180" s="129"/>
      <c r="F180" s="129"/>
      <c r="G180" s="129"/>
      <c r="H180" s="129"/>
      <c r="I180" s="129"/>
      <c r="J180" s="129"/>
    </row>
    <row r="181" spans="3:10">
      <c r="C181" s="129"/>
      <c r="D181" s="129"/>
      <c r="E181" s="129"/>
      <c r="F181" s="129"/>
      <c r="G181" s="129"/>
      <c r="H181" s="129"/>
      <c r="I181" s="129"/>
      <c r="J181" s="129"/>
    </row>
    <row r="182" spans="3:10">
      <c r="C182" s="129"/>
      <c r="D182" s="129"/>
      <c r="E182" s="129"/>
      <c r="F182" s="129"/>
      <c r="G182" s="129"/>
      <c r="H182" s="129"/>
      <c r="I182" s="129"/>
      <c r="J182" s="129"/>
    </row>
    <row r="183" spans="3:10">
      <c r="C183" s="129"/>
      <c r="D183" s="129"/>
      <c r="E183" s="129"/>
      <c r="F183" s="129"/>
      <c r="G183" s="129"/>
      <c r="H183" s="129"/>
      <c r="I183" s="129"/>
      <c r="J183" s="129"/>
    </row>
    <row r="184" spans="3:10">
      <c r="C184" s="129"/>
      <c r="D184" s="129"/>
      <c r="E184" s="129"/>
      <c r="F184" s="129"/>
      <c r="G184" s="129"/>
      <c r="H184" s="129"/>
      <c r="I184" s="129"/>
      <c r="J184" s="129"/>
    </row>
    <row r="185" spans="3:10">
      <c r="C185" s="129"/>
      <c r="D185" s="129"/>
      <c r="E185" s="129"/>
      <c r="F185" s="129"/>
      <c r="G185" s="129"/>
      <c r="H185" s="129"/>
      <c r="I185" s="129"/>
      <c r="J185" s="129"/>
    </row>
    <row r="186" spans="3:10">
      <c r="C186" s="129"/>
      <c r="D186" s="129"/>
      <c r="E186" s="129"/>
      <c r="F186" s="129"/>
      <c r="G186" s="129"/>
      <c r="H186" s="129"/>
      <c r="I186" s="129"/>
      <c r="J186" s="129"/>
    </row>
    <row r="187" spans="3:10">
      <c r="C187" s="129"/>
      <c r="D187" s="129"/>
      <c r="E187" s="129"/>
      <c r="F187" s="129"/>
      <c r="G187" s="129"/>
      <c r="H187" s="129"/>
      <c r="I187" s="129"/>
      <c r="J187" s="129"/>
    </row>
    <row r="188" spans="3:10">
      <c r="C188" s="129"/>
      <c r="D188" s="129"/>
      <c r="E188" s="129"/>
      <c r="F188" s="129"/>
      <c r="G188" s="129"/>
      <c r="H188" s="129"/>
      <c r="I188" s="129"/>
      <c r="J188" s="129"/>
    </row>
    <row r="189" spans="3:10">
      <c r="C189" s="129"/>
      <c r="D189" s="129"/>
      <c r="E189" s="129"/>
      <c r="F189" s="129"/>
      <c r="G189" s="129"/>
      <c r="H189" s="129"/>
      <c r="I189" s="129"/>
      <c r="J189" s="129"/>
    </row>
    <row r="190" spans="3:10">
      <c r="C190" s="129"/>
      <c r="D190" s="129"/>
      <c r="E190" s="129"/>
      <c r="F190" s="129"/>
      <c r="G190" s="129"/>
      <c r="H190" s="129"/>
      <c r="I190" s="129"/>
      <c r="J190" s="129"/>
    </row>
    <row r="191" spans="3:10">
      <c r="C191" s="129"/>
      <c r="D191" s="129"/>
      <c r="E191" s="129"/>
      <c r="F191" s="129"/>
      <c r="G191" s="129"/>
      <c r="H191" s="129"/>
      <c r="I191" s="129"/>
      <c r="J191" s="129"/>
    </row>
    <row r="192" spans="3:10">
      <c r="C192" s="129"/>
      <c r="D192" s="129"/>
      <c r="E192" s="129"/>
      <c r="F192" s="129"/>
      <c r="G192" s="129"/>
      <c r="H192" s="129"/>
      <c r="I192" s="129"/>
      <c r="J192" s="129"/>
    </row>
    <row r="193" spans="3:10">
      <c r="C193" s="129"/>
      <c r="D193" s="129"/>
      <c r="E193" s="129"/>
      <c r="F193" s="129"/>
      <c r="G193" s="129"/>
      <c r="H193" s="129"/>
      <c r="I193" s="129"/>
      <c r="J193" s="129"/>
    </row>
    <row r="194" spans="3:10">
      <c r="C194" s="129"/>
      <c r="D194" s="129"/>
      <c r="E194" s="129"/>
      <c r="F194" s="129"/>
      <c r="G194" s="129"/>
      <c r="H194" s="129"/>
      <c r="I194" s="129"/>
      <c r="J194" s="129"/>
    </row>
    <row r="195" spans="3:10">
      <c r="C195" s="129"/>
      <c r="D195" s="129"/>
      <c r="E195" s="129"/>
      <c r="F195" s="129"/>
      <c r="G195" s="129"/>
      <c r="H195" s="129"/>
      <c r="I195" s="129"/>
      <c r="J195" s="129"/>
    </row>
    <row r="196" spans="3:10">
      <c r="C196" s="129"/>
      <c r="D196" s="129"/>
      <c r="E196" s="129"/>
      <c r="F196" s="129"/>
      <c r="G196" s="129"/>
      <c r="H196" s="129"/>
      <c r="I196" s="129"/>
      <c r="J196" s="129"/>
    </row>
    <row r="197" spans="3:10">
      <c r="C197" s="129"/>
      <c r="D197" s="129"/>
      <c r="E197" s="129"/>
      <c r="F197" s="129"/>
      <c r="G197" s="129"/>
      <c r="H197" s="129"/>
      <c r="I197" s="129"/>
      <c r="J197" s="129"/>
    </row>
    <row r="198" spans="3:10">
      <c r="C198" s="129"/>
      <c r="D198" s="129"/>
      <c r="E198" s="129"/>
      <c r="F198" s="129"/>
      <c r="G198" s="129"/>
      <c r="H198" s="129"/>
      <c r="I198" s="129"/>
      <c r="J198" s="129"/>
    </row>
    <row r="199" spans="3:10">
      <c r="C199" s="129"/>
      <c r="D199" s="129"/>
      <c r="E199" s="129"/>
      <c r="F199" s="129"/>
      <c r="G199" s="129"/>
      <c r="H199" s="129"/>
      <c r="I199" s="129"/>
      <c r="J199" s="129"/>
    </row>
    <row r="200" spans="3:10">
      <c r="C200" s="129"/>
      <c r="D200" s="129"/>
      <c r="E200" s="129"/>
      <c r="F200" s="129"/>
      <c r="G200" s="129"/>
      <c r="H200" s="129"/>
      <c r="I200" s="129"/>
      <c r="J200" s="129"/>
    </row>
    <row r="201" spans="3:10">
      <c r="C201" s="129"/>
      <c r="D201" s="129"/>
      <c r="E201" s="129"/>
      <c r="F201" s="129"/>
      <c r="G201" s="129"/>
      <c r="H201" s="129"/>
      <c r="I201" s="129"/>
      <c r="J201" s="129"/>
    </row>
    <row r="202" spans="3:10">
      <c r="C202" s="129"/>
      <c r="D202" s="129"/>
      <c r="E202" s="129"/>
      <c r="F202" s="129"/>
      <c r="G202" s="129"/>
      <c r="H202" s="129"/>
      <c r="I202" s="129"/>
      <c r="J202" s="129"/>
    </row>
    <row r="203" spans="3:10">
      <c r="C203" s="129"/>
      <c r="D203" s="129"/>
      <c r="E203" s="129"/>
      <c r="F203" s="129"/>
      <c r="G203" s="129"/>
      <c r="H203" s="129"/>
      <c r="I203" s="129"/>
      <c r="J203" s="129"/>
    </row>
    <row r="204" spans="3:10">
      <c r="C204" s="129"/>
      <c r="D204" s="129"/>
      <c r="E204" s="129"/>
      <c r="F204" s="129"/>
      <c r="G204" s="129"/>
      <c r="H204" s="129"/>
      <c r="I204" s="129"/>
      <c r="J204" s="129"/>
    </row>
    <row r="205" spans="3:10">
      <c r="C205" s="129"/>
      <c r="D205" s="129"/>
      <c r="E205" s="129"/>
      <c r="F205" s="129"/>
      <c r="G205" s="129"/>
      <c r="H205" s="129"/>
      <c r="I205" s="129"/>
      <c r="J205" s="129"/>
    </row>
    <row r="206" spans="3:10">
      <c r="C206" s="129"/>
      <c r="D206" s="129"/>
      <c r="E206" s="129"/>
      <c r="F206" s="129"/>
      <c r="G206" s="129"/>
      <c r="H206" s="129"/>
      <c r="I206" s="129"/>
      <c r="J206" s="129"/>
    </row>
    <row r="207" spans="3:10">
      <c r="C207" s="129"/>
      <c r="D207" s="129"/>
      <c r="E207" s="129"/>
      <c r="F207" s="129"/>
      <c r="G207" s="129"/>
      <c r="H207" s="129"/>
      <c r="I207" s="129"/>
      <c r="J207" s="129"/>
    </row>
    <row r="208" spans="3:10">
      <c r="C208" s="129"/>
      <c r="D208" s="129"/>
      <c r="E208" s="129"/>
      <c r="F208" s="129"/>
      <c r="G208" s="129"/>
      <c r="H208" s="129"/>
      <c r="I208" s="129"/>
      <c r="J208" s="129"/>
    </row>
    <row r="209" spans="3:10">
      <c r="C209" s="129"/>
      <c r="D209" s="129"/>
      <c r="E209" s="129"/>
      <c r="F209" s="129"/>
      <c r="G209" s="129"/>
      <c r="H209" s="129"/>
      <c r="I209" s="129"/>
      <c r="J209" s="129"/>
    </row>
    <row r="210" spans="3:10">
      <c r="C210" s="129"/>
      <c r="D210" s="129"/>
      <c r="E210" s="129"/>
      <c r="F210" s="129"/>
      <c r="G210" s="129"/>
      <c r="H210" s="129"/>
      <c r="I210" s="129"/>
      <c r="J210" s="129"/>
    </row>
    <row r="211" spans="3:10">
      <c r="C211" s="129"/>
      <c r="D211" s="129"/>
      <c r="E211" s="129"/>
      <c r="F211" s="129"/>
      <c r="G211" s="129"/>
      <c r="H211" s="129"/>
      <c r="I211" s="129"/>
      <c r="J211" s="129"/>
    </row>
    <row r="212" spans="3:10">
      <c r="C212" s="129"/>
      <c r="D212" s="129"/>
      <c r="E212" s="129"/>
      <c r="F212" s="129"/>
      <c r="G212" s="129"/>
      <c r="H212" s="129"/>
      <c r="I212" s="129"/>
      <c r="J212" s="129"/>
    </row>
    <row r="213" spans="3:10">
      <c r="C213" s="129"/>
      <c r="D213" s="129"/>
      <c r="E213" s="129"/>
      <c r="F213" s="129"/>
      <c r="G213" s="129"/>
      <c r="H213" s="129"/>
      <c r="I213" s="129"/>
      <c r="J213" s="129"/>
    </row>
    <row r="214" spans="3:10">
      <c r="C214" s="129"/>
      <c r="D214" s="129"/>
      <c r="E214" s="129"/>
      <c r="F214" s="129"/>
      <c r="G214" s="129"/>
      <c r="H214" s="129"/>
      <c r="I214" s="129"/>
      <c r="J214" s="129"/>
    </row>
    <row r="215" spans="3:10">
      <c r="C215" s="129"/>
      <c r="D215" s="129"/>
      <c r="E215" s="129"/>
      <c r="F215" s="129"/>
      <c r="G215" s="129"/>
      <c r="H215" s="129"/>
      <c r="I215" s="129"/>
      <c r="J215" s="129"/>
    </row>
    <row r="216" spans="3:10">
      <c r="C216" s="129"/>
      <c r="D216" s="129"/>
      <c r="E216" s="129"/>
      <c r="F216" s="129"/>
      <c r="G216" s="129"/>
      <c r="H216" s="129"/>
      <c r="I216" s="129"/>
      <c r="J216" s="129"/>
    </row>
    <row r="217" spans="3:10">
      <c r="C217" s="129"/>
      <c r="D217" s="129"/>
      <c r="E217" s="129"/>
      <c r="F217" s="129"/>
      <c r="G217" s="129"/>
      <c r="H217" s="129"/>
      <c r="I217" s="129"/>
      <c r="J217" s="129"/>
    </row>
    <row r="218" spans="3:10">
      <c r="C218" s="129"/>
      <c r="D218" s="129"/>
      <c r="E218" s="129"/>
      <c r="F218" s="129"/>
      <c r="G218" s="129"/>
      <c r="H218" s="129"/>
      <c r="I218" s="129"/>
      <c r="J218" s="129"/>
    </row>
    <row r="219" spans="3:10">
      <c r="C219" s="129"/>
      <c r="D219" s="129"/>
      <c r="E219" s="129"/>
      <c r="F219" s="129"/>
      <c r="G219" s="129"/>
      <c r="H219" s="129"/>
      <c r="I219" s="129"/>
      <c r="J219" s="129"/>
    </row>
    <row r="220" spans="3:10">
      <c r="C220" s="129"/>
      <c r="D220" s="129"/>
      <c r="E220" s="129"/>
      <c r="F220" s="129"/>
      <c r="G220" s="129"/>
      <c r="H220" s="129"/>
      <c r="I220" s="129"/>
      <c r="J220" s="129"/>
    </row>
    <row r="221" spans="3:10">
      <c r="C221" s="129"/>
      <c r="D221" s="129"/>
      <c r="E221" s="129"/>
      <c r="F221" s="129"/>
      <c r="G221" s="129"/>
      <c r="H221" s="129"/>
      <c r="I221" s="129"/>
      <c r="J221" s="129"/>
    </row>
    <row r="222" spans="3:10">
      <c r="C222" s="129"/>
      <c r="D222" s="129"/>
      <c r="E222" s="129"/>
      <c r="F222" s="129"/>
      <c r="G222" s="129"/>
      <c r="H222" s="129"/>
      <c r="I222" s="129"/>
      <c r="J222" s="129"/>
    </row>
    <row r="223" spans="3:10">
      <c r="C223" s="129"/>
      <c r="D223" s="129"/>
      <c r="E223" s="129"/>
      <c r="F223" s="129"/>
      <c r="G223" s="129"/>
      <c r="H223" s="129"/>
      <c r="I223" s="129"/>
      <c r="J223" s="129"/>
    </row>
    <row r="224" spans="3:10">
      <c r="C224" s="129"/>
      <c r="D224" s="129"/>
      <c r="E224" s="129"/>
      <c r="F224" s="129"/>
      <c r="G224" s="129"/>
      <c r="H224" s="129"/>
      <c r="I224" s="129"/>
      <c r="J224" s="129"/>
    </row>
    <row r="225" spans="3:10">
      <c r="C225" s="129"/>
      <c r="D225" s="129"/>
      <c r="E225" s="129"/>
      <c r="F225" s="129"/>
      <c r="G225" s="129"/>
      <c r="H225" s="129"/>
      <c r="I225" s="129"/>
      <c r="J225" s="129"/>
    </row>
    <row r="226" spans="3:10">
      <c r="C226" s="129"/>
      <c r="D226" s="129"/>
      <c r="E226" s="129"/>
      <c r="F226" s="129"/>
      <c r="G226" s="129"/>
      <c r="H226" s="129"/>
      <c r="I226" s="129"/>
      <c r="J226" s="129"/>
    </row>
    <row r="227" spans="3:10">
      <c r="C227" s="129"/>
      <c r="D227" s="129"/>
      <c r="E227" s="129"/>
      <c r="F227" s="129"/>
      <c r="G227" s="129"/>
      <c r="H227" s="129"/>
      <c r="I227" s="129"/>
      <c r="J227" s="129"/>
    </row>
    <row r="228" spans="3:10">
      <c r="C228" s="129"/>
      <c r="D228" s="129"/>
      <c r="E228" s="129"/>
      <c r="F228" s="129"/>
      <c r="G228" s="129"/>
      <c r="H228" s="129"/>
      <c r="I228" s="129"/>
      <c r="J228" s="129"/>
    </row>
    <row r="229" spans="3:10">
      <c r="C229" s="129"/>
      <c r="D229" s="129"/>
      <c r="E229" s="129"/>
      <c r="F229" s="129"/>
      <c r="G229" s="129"/>
      <c r="H229" s="129"/>
      <c r="I229" s="129"/>
      <c r="J229" s="129"/>
    </row>
    <row r="230" spans="3:10">
      <c r="C230" s="129"/>
      <c r="D230" s="129"/>
      <c r="E230" s="129"/>
      <c r="F230" s="129"/>
      <c r="G230" s="129"/>
      <c r="H230" s="129"/>
      <c r="I230" s="129"/>
      <c r="J230" s="129"/>
    </row>
    <row r="231" spans="3:10">
      <c r="C231" s="129"/>
      <c r="D231" s="129"/>
      <c r="E231" s="129"/>
      <c r="F231" s="129"/>
      <c r="G231" s="129"/>
      <c r="H231" s="129"/>
      <c r="I231" s="129"/>
      <c r="J231" s="129"/>
    </row>
    <row r="232" spans="3:10">
      <c r="C232" s="129"/>
      <c r="D232" s="129"/>
      <c r="E232" s="129"/>
      <c r="F232" s="129"/>
      <c r="G232" s="129"/>
      <c r="H232" s="129"/>
      <c r="I232" s="129"/>
      <c r="J232" s="129"/>
    </row>
    <row r="233" spans="3:10">
      <c r="C233" s="129"/>
      <c r="D233" s="129"/>
      <c r="E233" s="129"/>
      <c r="F233" s="129"/>
      <c r="G233" s="129"/>
      <c r="H233" s="129"/>
      <c r="I233" s="129"/>
      <c r="J233" s="129"/>
    </row>
    <row r="234" spans="3:10">
      <c r="C234" s="129"/>
      <c r="D234" s="129"/>
      <c r="E234" s="129"/>
      <c r="F234" s="129"/>
      <c r="G234" s="129"/>
      <c r="H234" s="129"/>
      <c r="I234" s="129"/>
      <c r="J234" s="129"/>
    </row>
    <row r="235" spans="3:10">
      <c r="C235" s="129"/>
      <c r="D235" s="129"/>
      <c r="E235" s="129"/>
      <c r="F235" s="129"/>
      <c r="G235" s="129"/>
      <c r="H235" s="129"/>
      <c r="I235" s="129"/>
      <c r="J235" s="129"/>
    </row>
    <row r="236" spans="3:10">
      <c r="C236" s="129"/>
      <c r="D236" s="129"/>
      <c r="E236" s="129"/>
      <c r="F236" s="129"/>
      <c r="G236" s="129"/>
      <c r="H236" s="129"/>
      <c r="I236" s="129"/>
      <c r="J236" s="129"/>
    </row>
    <row r="237" spans="3:10">
      <c r="C237" s="129"/>
      <c r="D237" s="129"/>
      <c r="E237" s="129"/>
      <c r="F237" s="129"/>
      <c r="G237" s="129"/>
      <c r="H237" s="129"/>
      <c r="I237" s="129"/>
      <c r="J237" s="129"/>
    </row>
    <row r="238" spans="3:10">
      <c r="C238" s="129"/>
      <c r="D238" s="129"/>
      <c r="E238" s="129"/>
      <c r="F238" s="129"/>
      <c r="G238" s="129"/>
      <c r="H238" s="129"/>
      <c r="I238" s="129"/>
      <c r="J238" s="129"/>
    </row>
    <row r="239" spans="3:10">
      <c r="C239" s="129"/>
      <c r="D239" s="129"/>
      <c r="E239" s="129"/>
      <c r="F239" s="129"/>
      <c r="G239" s="129"/>
      <c r="H239" s="129"/>
      <c r="I239" s="129"/>
      <c r="J239" s="129"/>
    </row>
    <row r="240" spans="3:10">
      <c r="C240" s="129"/>
      <c r="D240" s="129"/>
      <c r="E240" s="129"/>
      <c r="F240" s="129"/>
      <c r="G240" s="129"/>
      <c r="H240" s="129"/>
      <c r="I240" s="129"/>
      <c r="J240" s="129"/>
    </row>
    <row r="241" spans="3:10">
      <c r="C241" s="129"/>
      <c r="D241" s="129"/>
      <c r="E241" s="129"/>
      <c r="F241" s="129"/>
      <c r="G241" s="129"/>
      <c r="H241" s="129"/>
      <c r="I241" s="129"/>
      <c r="J241" s="129"/>
    </row>
    <row r="242" spans="3:10">
      <c r="C242" s="129"/>
      <c r="D242" s="129"/>
      <c r="E242" s="129"/>
      <c r="F242" s="129"/>
      <c r="G242" s="129"/>
      <c r="H242" s="129"/>
      <c r="I242" s="129"/>
      <c r="J242" s="129"/>
    </row>
    <row r="243" spans="3:10">
      <c r="C243" s="129"/>
      <c r="D243" s="129"/>
      <c r="E243" s="129"/>
      <c r="F243" s="129"/>
      <c r="G243" s="129"/>
      <c r="H243" s="129"/>
      <c r="I243" s="129"/>
      <c r="J243" s="129"/>
    </row>
    <row r="244" spans="3:10">
      <c r="C244" s="129"/>
      <c r="D244" s="129"/>
      <c r="E244" s="129"/>
      <c r="F244" s="129"/>
      <c r="G244" s="129"/>
      <c r="H244" s="129"/>
      <c r="I244" s="129"/>
      <c r="J244" s="129"/>
    </row>
    <row r="245" spans="3:10">
      <c r="C245" s="129"/>
      <c r="D245" s="129"/>
      <c r="E245" s="129"/>
      <c r="F245" s="129"/>
      <c r="G245" s="129"/>
      <c r="H245" s="129"/>
      <c r="I245" s="129"/>
      <c r="J245" s="129"/>
    </row>
    <row r="246" spans="3:10">
      <c r="C246" s="129"/>
      <c r="D246" s="129"/>
      <c r="E246" s="129"/>
      <c r="F246" s="129"/>
      <c r="G246" s="129"/>
      <c r="H246" s="129"/>
      <c r="I246" s="129"/>
      <c r="J246" s="129"/>
    </row>
    <row r="247" spans="3:10">
      <c r="C247" s="129"/>
      <c r="D247" s="129"/>
      <c r="E247" s="129"/>
      <c r="F247" s="129"/>
      <c r="G247" s="129"/>
      <c r="H247" s="129"/>
      <c r="I247" s="129"/>
      <c r="J247" s="129"/>
    </row>
    <row r="248" spans="3:10">
      <c r="C248" s="129"/>
      <c r="D248" s="129"/>
      <c r="E248" s="129"/>
      <c r="F248" s="129"/>
      <c r="G248" s="129"/>
      <c r="H248" s="129"/>
      <c r="I248" s="129"/>
      <c r="J248" s="129"/>
    </row>
    <row r="249" spans="3:10">
      <c r="C249" s="129"/>
      <c r="D249" s="129"/>
      <c r="E249" s="129"/>
      <c r="F249" s="129"/>
      <c r="G249" s="129"/>
      <c r="H249" s="129"/>
      <c r="I249" s="129"/>
      <c r="J249" s="129"/>
    </row>
    <row r="250" spans="3:10">
      <c r="C250" s="129"/>
      <c r="D250" s="129"/>
      <c r="E250" s="129"/>
      <c r="F250" s="129"/>
      <c r="G250" s="129"/>
      <c r="H250" s="129"/>
      <c r="I250" s="129"/>
      <c r="J250" s="129"/>
    </row>
    <row r="251" spans="3:10">
      <c r="C251" s="129"/>
      <c r="D251" s="129"/>
      <c r="E251" s="129"/>
      <c r="F251" s="129"/>
      <c r="G251" s="129"/>
      <c r="H251" s="129"/>
      <c r="I251" s="129"/>
      <c r="J251" s="129"/>
    </row>
    <row r="252" spans="3:10">
      <c r="C252" s="129"/>
      <c r="D252" s="129"/>
      <c r="E252" s="129"/>
      <c r="F252" s="129"/>
      <c r="G252" s="129"/>
      <c r="H252" s="129"/>
      <c r="I252" s="129"/>
      <c r="J252" s="129"/>
    </row>
    <row r="253" spans="3:10">
      <c r="C253" s="129"/>
      <c r="D253" s="129"/>
      <c r="E253" s="129"/>
      <c r="F253" s="129"/>
      <c r="G253" s="129"/>
      <c r="H253" s="129"/>
      <c r="I253" s="129"/>
      <c r="J253" s="129"/>
    </row>
    <row r="254" spans="3:10">
      <c r="C254" s="129"/>
      <c r="D254" s="129"/>
      <c r="E254" s="129"/>
      <c r="F254" s="129"/>
      <c r="G254" s="129"/>
      <c r="H254" s="129"/>
      <c r="I254" s="129"/>
      <c r="J254" s="129"/>
    </row>
    <row r="255" spans="3:10">
      <c r="C255" s="129"/>
      <c r="D255" s="129"/>
      <c r="E255" s="129"/>
      <c r="F255" s="129"/>
      <c r="G255" s="129"/>
      <c r="H255" s="129"/>
      <c r="I255" s="129"/>
      <c r="J255" s="129"/>
    </row>
    <row r="256" spans="3:10">
      <c r="C256" s="129"/>
      <c r="D256" s="129"/>
      <c r="E256" s="129"/>
      <c r="F256" s="129"/>
      <c r="G256" s="129"/>
      <c r="H256" s="129"/>
      <c r="I256" s="129"/>
      <c r="J256" s="129"/>
    </row>
    <row r="257" spans="3:10">
      <c r="C257" s="129"/>
      <c r="D257" s="129"/>
      <c r="E257" s="129"/>
      <c r="F257" s="129"/>
      <c r="G257" s="129"/>
      <c r="H257" s="129"/>
      <c r="I257" s="129"/>
      <c r="J257" s="129"/>
    </row>
    <row r="258" spans="3:10">
      <c r="C258" s="129"/>
      <c r="D258" s="129"/>
      <c r="E258" s="129"/>
      <c r="F258" s="129"/>
      <c r="G258" s="129"/>
      <c r="H258" s="129"/>
      <c r="I258" s="129"/>
      <c r="J258" s="129"/>
    </row>
    <row r="259" spans="3:10">
      <c r="C259" s="129"/>
      <c r="D259" s="129"/>
      <c r="E259" s="129"/>
      <c r="F259" s="129"/>
      <c r="G259" s="129"/>
      <c r="H259" s="129"/>
      <c r="I259" s="129"/>
      <c r="J259" s="129"/>
    </row>
    <row r="260" spans="3:10">
      <c r="C260" s="129"/>
      <c r="D260" s="129"/>
      <c r="E260" s="129"/>
      <c r="F260" s="129"/>
      <c r="G260" s="129"/>
      <c r="H260" s="129"/>
      <c r="I260" s="129"/>
      <c r="J260" s="129"/>
    </row>
    <row r="261" spans="3:10">
      <c r="C261" s="129"/>
      <c r="D261" s="129"/>
      <c r="E261" s="129"/>
      <c r="F261" s="129"/>
      <c r="G261" s="129"/>
      <c r="H261" s="129"/>
      <c r="I261" s="129"/>
      <c r="J261" s="129"/>
    </row>
    <row r="262" spans="3:10">
      <c r="C262" s="129"/>
      <c r="D262" s="129"/>
      <c r="E262" s="129"/>
      <c r="F262" s="129"/>
      <c r="G262" s="129"/>
      <c r="H262" s="129"/>
      <c r="I262" s="129"/>
      <c r="J262" s="129"/>
    </row>
    <row r="263" spans="3:10">
      <c r="C263" s="129"/>
      <c r="D263" s="129"/>
      <c r="E263" s="129"/>
      <c r="F263" s="129"/>
      <c r="G263" s="129"/>
      <c r="H263" s="129"/>
      <c r="I263" s="129"/>
      <c r="J263" s="129"/>
    </row>
    <row r="264" spans="3:10">
      <c r="C264" s="129"/>
      <c r="D264" s="129"/>
      <c r="E264" s="129"/>
      <c r="F264" s="129"/>
      <c r="G264" s="129"/>
      <c r="H264" s="129"/>
      <c r="I264" s="129"/>
      <c r="J264" s="129"/>
    </row>
    <row r="265" spans="3:10">
      <c r="C265" s="129"/>
      <c r="D265" s="129"/>
      <c r="E265" s="129"/>
      <c r="F265" s="129"/>
      <c r="G265" s="129"/>
      <c r="H265" s="129"/>
      <c r="I265" s="129"/>
      <c r="J265" s="129"/>
    </row>
    <row r="266" spans="3:10">
      <c r="C266" s="129"/>
      <c r="D266" s="129"/>
      <c r="E266" s="129"/>
      <c r="F266" s="129"/>
      <c r="G266" s="129"/>
      <c r="H266" s="129"/>
      <c r="I266" s="129"/>
      <c r="J266" s="129"/>
    </row>
    <row r="267" spans="3:10">
      <c r="C267" s="129"/>
      <c r="D267" s="129"/>
      <c r="E267" s="129"/>
      <c r="F267" s="129"/>
      <c r="G267" s="129"/>
      <c r="H267" s="129"/>
      <c r="I267" s="129"/>
      <c r="J267" s="129"/>
    </row>
    <row r="268" spans="3:10">
      <c r="C268" s="129"/>
      <c r="D268" s="129"/>
      <c r="E268" s="129"/>
      <c r="F268" s="129"/>
      <c r="G268" s="129"/>
      <c r="H268" s="129"/>
      <c r="I268" s="129"/>
      <c r="J268" s="129"/>
    </row>
    <row r="269" spans="3:10">
      <c r="C269" s="129"/>
      <c r="D269" s="129"/>
      <c r="E269" s="129"/>
      <c r="F269" s="129"/>
      <c r="G269" s="129"/>
      <c r="H269" s="129"/>
      <c r="I269" s="129"/>
      <c r="J269" s="129"/>
    </row>
    <row r="270" spans="3:10">
      <c r="C270" s="129"/>
      <c r="D270" s="129"/>
      <c r="E270" s="129"/>
      <c r="F270" s="129"/>
      <c r="G270" s="129"/>
      <c r="H270" s="129"/>
      <c r="I270" s="129"/>
      <c r="J270" s="129"/>
    </row>
    <row r="271" spans="3:10">
      <c r="C271" s="129"/>
      <c r="D271" s="129"/>
      <c r="E271" s="129"/>
      <c r="F271" s="129"/>
      <c r="G271" s="129"/>
      <c r="H271" s="129"/>
      <c r="I271" s="129"/>
      <c r="J271" s="129"/>
    </row>
    <row r="272" spans="3:10">
      <c r="C272" s="129"/>
      <c r="D272" s="129"/>
      <c r="E272" s="129"/>
      <c r="F272" s="129"/>
      <c r="G272" s="129"/>
      <c r="H272" s="129"/>
      <c r="I272" s="129"/>
      <c r="J272" s="129"/>
    </row>
    <row r="273" spans="3:10">
      <c r="C273" s="129"/>
      <c r="D273" s="129"/>
      <c r="E273" s="129"/>
      <c r="F273" s="129"/>
      <c r="G273" s="129"/>
      <c r="H273" s="129"/>
      <c r="I273" s="129"/>
      <c r="J273" s="129"/>
    </row>
    <row r="274" spans="3:10">
      <c r="C274" s="129"/>
      <c r="D274" s="129"/>
      <c r="E274" s="129"/>
      <c r="F274" s="129"/>
      <c r="G274" s="129"/>
      <c r="H274" s="129"/>
      <c r="I274" s="129"/>
      <c r="J274" s="129"/>
    </row>
    <row r="275" spans="3:10">
      <c r="C275" s="129"/>
      <c r="D275" s="129"/>
      <c r="E275" s="129"/>
      <c r="F275" s="129"/>
      <c r="G275" s="129"/>
      <c r="H275" s="129"/>
      <c r="I275" s="129"/>
      <c r="J275" s="129"/>
    </row>
    <row r="276" spans="3:10">
      <c r="C276" s="129"/>
      <c r="D276" s="129"/>
      <c r="E276" s="129"/>
      <c r="F276" s="129"/>
      <c r="G276" s="129"/>
      <c r="H276" s="129"/>
      <c r="I276" s="129"/>
      <c r="J276" s="129"/>
    </row>
    <row r="277" spans="3:10">
      <c r="C277" s="129"/>
      <c r="D277" s="129"/>
      <c r="E277" s="129"/>
      <c r="F277" s="129"/>
      <c r="G277" s="129"/>
      <c r="H277" s="129"/>
      <c r="I277" s="129"/>
      <c r="J277" s="129"/>
    </row>
    <row r="278" spans="3:10">
      <c r="C278" s="129"/>
      <c r="D278" s="129"/>
      <c r="E278" s="129"/>
      <c r="F278" s="129"/>
      <c r="G278" s="129"/>
      <c r="H278" s="129"/>
      <c r="I278" s="129"/>
      <c r="J278" s="129"/>
    </row>
    <row r="279" spans="3:10">
      <c r="C279" s="129"/>
      <c r="D279" s="129"/>
      <c r="E279" s="129"/>
      <c r="F279" s="129"/>
      <c r="G279" s="129"/>
      <c r="H279" s="129"/>
      <c r="I279" s="129"/>
      <c r="J279" s="129"/>
    </row>
    <row r="280" spans="3:10">
      <c r="C280" s="129"/>
      <c r="D280" s="129"/>
      <c r="E280" s="129"/>
      <c r="F280" s="129"/>
      <c r="G280" s="129"/>
      <c r="H280" s="129"/>
      <c r="I280" s="129"/>
      <c r="J280" s="129"/>
    </row>
    <row r="281" spans="3:10">
      <c r="C281" s="129"/>
      <c r="D281" s="129"/>
      <c r="E281" s="129"/>
      <c r="F281" s="129"/>
      <c r="G281" s="129"/>
      <c r="H281" s="129"/>
      <c r="I281" s="129"/>
      <c r="J281" s="129"/>
    </row>
    <row r="282" spans="3:10">
      <c r="C282" s="129"/>
      <c r="D282" s="129"/>
      <c r="E282" s="129"/>
      <c r="F282" s="129"/>
      <c r="G282" s="129"/>
      <c r="H282" s="129"/>
      <c r="I282" s="129"/>
      <c r="J282" s="129"/>
    </row>
    <row r="283" spans="3:10">
      <c r="C283" s="129"/>
      <c r="D283" s="129"/>
      <c r="E283" s="129"/>
      <c r="F283" s="129"/>
      <c r="G283" s="129"/>
      <c r="H283" s="129"/>
      <c r="I283" s="129"/>
      <c r="J283" s="129"/>
    </row>
    <row r="284" spans="3:10">
      <c r="C284" s="129"/>
      <c r="D284" s="129"/>
      <c r="E284" s="129"/>
      <c r="F284" s="129"/>
      <c r="G284" s="129"/>
      <c r="H284" s="129"/>
      <c r="I284" s="129"/>
      <c r="J284" s="129"/>
    </row>
    <row r="285" spans="3:10">
      <c r="C285" s="129"/>
      <c r="D285" s="129"/>
      <c r="E285" s="129"/>
      <c r="F285" s="129"/>
      <c r="G285" s="129"/>
      <c r="H285" s="129"/>
      <c r="I285" s="129"/>
      <c r="J285" s="129"/>
    </row>
    <row r="286" spans="3:10">
      <c r="C286" s="129"/>
      <c r="D286" s="129"/>
      <c r="E286" s="129"/>
      <c r="F286" s="129"/>
      <c r="G286" s="129"/>
      <c r="H286" s="129"/>
      <c r="I286" s="129"/>
      <c r="J286" s="129"/>
    </row>
    <row r="287" spans="3:10">
      <c r="C287" s="129"/>
      <c r="D287" s="129"/>
      <c r="E287" s="129"/>
      <c r="F287" s="129"/>
      <c r="G287" s="129"/>
      <c r="H287" s="129"/>
      <c r="I287" s="129"/>
      <c r="J287" s="129"/>
    </row>
    <row r="288" spans="3:10">
      <c r="C288" s="129"/>
      <c r="D288" s="129"/>
      <c r="E288" s="129"/>
      <c r="F288" s="129"/>
      <c r="G288" s="129"/>
      <c r="H288" s="129"/>
      <c r="I288" s="129"/>
      <c r="J288" s="129"/>
    </row>
    <row r="289" spans="3:10">
      <c r="C289" s="129"/>
      <c r="D289" s="129"/>
      <c r="E289" s="129"/>
      <c r="F289" s="129"/>
      <c r="G289" s="129"/>
      <c r="H289" s="129"/>
      <c r="I289" s="129"/>
      <c r="J289" s="129"/>
    </row>
    <row r="290" spans="3:10">
      <c r="C290" s="129"/>
      <c r="D290" s="129"/>
      <c r="E290" s="129"/>
      <c r="F290" s="129"/>
      <c r="G290" s="129"/>
      <c r="H290" s="129"/>
      <c r="I290" s="129"/>
      <c r="J290" s="129"/>
    </row>
    <row r="291" spans="3:10">
      <c r="C291" s="129"/>
      <c r="D291" s="129"/>
      <c r="E291" s="129"/>
      <c r="F291" s="129"/>
      <c r="G291" s="129"/>
      <c r="H291" s="129"/>
      <c r="I291" s="129"/>
      <c r="J291" s="129"/>
    </row>
    <row r="292" spans="3:10">
      <c r="C292" s="129"/>
      <c r="D292" s="129"/>
      <c r="E292" s="129"/>
      <c r="F292" s="129"/>
      <c r="G292" s="129"/>
      <c r="H292" s="129"/>
      <c r="I292" s="129"/>
      <c r="J292" s="129"/>
    </row>
    <row r="293" spans="3:10">
      <c r="C293" s="129"/>
      <c r="D293" s="129"/>
      <c r="E293" s="129"/>
      <c r="F293" s="129"/>
      <c r="G293" s="129"/>
      <c r="H293" s="129"/>
      <c r="I293" s="129"/>
      <c r="J293" s="129"/>
    </row>
    <row r="294" spans="3:10">
      <c r="C294" s="129"/>
      <c r="D294" s="129"/>
      <c r="E294" s="129"/>
      <c r="F294" s="129"/>
      <c r="G294" s="129"/>
      <c r="H294" s="129"/>
      <c r="I294" s="129"/>
      <c r="J294" s="129"/>
    </row>
    <row r="295" spans="3:10">
      <c r="C295" s="129"/>
      <c r="D295" s="129"/>
      <c r="E295" s="129"/>
      <c r="F295" s="129"/>
      <c r="G295" s="129"/>
      <c r="H295" s="129"/>
      <c r="I295" s="129"/>
      <c r="J295" s="129"/>
    </row>
    <row r="296" spans="3:10">
      <c r="C296" s="129"/>
      <c r="D296" s="129"/>
      <c r="E296" s="129"/>
      <c r="F296" s="129"/>
      <c r="G296" s="129"/>
      <c r="H296" s="129"/>
      <c r="I296" s="129"/>
      <c r="J296" s="129"/>
    </row>
    <row r="297" spans="3:10">
      <c r="C297" s="129"/>
      <c r="D297" s="129"/>
      <c r="E297" s="129"/>
      <c r="F297" s="129"/>
      <c r="G297" s="129"/>
      <c r="H297" s="129"/>
      <c r="I297" s="129"/>
      <c r="J297" s="129"/>
    </row>
    <row r="298" spans="3:10">
      <c r="C298" s="129"/>
      <c r="D298" s="129"/>
      <c r="E298" s="129"/>
      <c r="F298" s="129"/>
      <c r="G298" s="129"/>
      <c r="H298" s="129"/>
      <c r="I298" s="129"/>
      <c r="J298" s="129"/>
    </row>
  </sheetData>
  <mergeCells count="8">
    <mergeCell ref="M99:X99"/>
    <mergeCell ref="M100:X100"/>
    <mergeCell ref="M93:X93"/>
    <mergeCell ref="M94:X94"/>
    <mergeCell ref="M95:X95"/>
    <mergeCell ref="M96:X96"/>
    <mergeCell ref="M97:X97"/>
    <mergeCell ref="M98:X98"/>
  </mergeCells>
  <printOptions horizontalCentered="1"/>
  <pageMargins left="0.75" right="0.75" top="0.75" bottom="0.5" header="0.5" footer="0.5"/>
  <pageSetup scale="57" orientation="landscape" horizontalDpi="300" verticalDpi="300" r:id="rId1"/>
  <headerFooter alignWithMargins="0"/>
  <rowBreaks count="1" manualBreakCount="1">
    <brk id="48" min="10" max="2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5">
    <tabColor rgb="FFFF3300"/>
    <pageSetUpPr fitToPage="1"/>
  </sheetPr>
  <dimension ref="A1:X298"/>
  <sheetViews>
    <sheetView view="pageBreakPreview" zoomScale="80" zoomScaleNormal="75" zoomScaleSheetLayoutView="80" workbookViewId="0"/>
  </sheetViews>
  <sheetFormatPr defaultRowHeight="15"/>
  <cols>
    <col min="1" max="1" width="6" customWidth="1"/>
    <col min="2" max="2" width="1.44140625" customWidth="1"/>
    <col min="3" max="3" width="53.21875" customWidth="1"/>
    <col min="4" max="4" width="1.109375" customWidth="1"/>
    <col min="5" max="5" width="37.109375" customWidth="1"/>
    <col min="6" max="6" width="1" customWidth="1"/>
    <col min="7" max="7" width="14.109375" customWidth="1"/>
    <col min="8" max="8" width="1" customWidth="1"/>
    <col min="9" max="9" width="12.77734375" customWidth="1"/>
    <col min="10" max="10" width="2.109375" customWidth="1"/>
    <col min="11" max="11" width="4.77734375" customWidth="1"/>
    <col min="12" max="12" width="2.77734375" customWidth="1"/>
    <col min="13" max="13" width="26.77734375" customWidth="1"/>
    <col min="14" max="14" width="9.21875" customWidth="1"/>
    <col min="15" max="15" width="10.77734375" customWidth="1"/>
    <col min="16" max="16" width="13.109375" customWidth="1"/>
    <col min="17" max="17" width="13.21875" customWidth="1"/>
    <col min="18" max="18" width="11.21875" customWidth="1"/>
    <col min="19" max="19" width="14.77734375" customWidth="1"/>
    <col min="20" max="20" width="14" customWidth="1"/>
    <col min="21" max="21" width="11.77734375" customWidth="1"/>
    <col min="22" max="22" width="16.109375" customWidth="1"/>
    <col min="23" max="23" width="12.21875" customWidth="1"/>
    <col min="24" max="24" width="16.21875" customWidth="1"/>
    <col min="25" max="250" width="8.77734375"/>
    <col min="251" max="251" width="6" customWidth="1"/>
    <col min="252" max="252" width="1.44140625" customWidth="1"/>
    <col min="253" max="253" width="39.109375" customWidth="1"/>
    <col min="254" max="254" width="12" customWidth="1"/>
    <col min="255" max="255" width="14.44140625" customWidth="1"/>
    <col min="256" max="256" width="11.77734375" customWidth="1"/>
    <col min="257" max="257" width="14.109375" customWidth="1"/>
    <col min="258" max="258" width="13.77734375" customWidth="1"/>
    <col min="259" max="260" width="12.77734375" customWidth="1"/>
    <col min="261" max="261" width="13.5546875" customWidth="1"/>
    <col min="262" max="262" width="15.21875" customWidth="1"/>
    <col min="263" max="263" width="12.77734375" customWidth="1"/>
    <col min="264" max="264" width="13.77734375" customWidth="1"/>
    <col min="265" max="265" width="1.77734375" customWidth="1"/>
    <col min="266" max="266" width="13" customWidth="1"/>
    <col min="267" max="506" width="8.77734375"/>
    <col min="507" max="507" width="6" customWidth="1"/>
    <col min="508" max="508" width="1.44140625" customWidth="1"/>
    <col min="509" max="509" width="39.109375" customWidth="1"/>
    <col min="510" max="510" width="12" customWidth="1"/>
    <col min="511" max="511" width="14.44140625" customWidth="1"/>
    <col min="512" max="512" width="11.77734375" customWidth="1"/>
    <col min="513" max="513" width="14.109375" customWidth="1"/>
    <col min="514" max="514" width="13.77734375" customWidth="1"/>
    <col min="515" max="516" width="12.77734375" customWidth="1"/>
    <col min="517" max="517" width="13.5546875" customWidth="1"/>
    <col min="518" max="518" width="15.21875" customWidth="1"/>
    <col min="519" max="519" width="12.77734375" customWidth="1"/>
    <col min="520" max="520" width="13.77734375" customWidth="1"/>
    <col min="521" max="521" width="1.77734375" customWidth="1"/>
    <col min="522" max="522" width="13" customWidth="1"/>
    <col min="523" max="762" width="8.77734375"/>
    <col min="763" max="763" width="6" customWidth="1"/>
    <col min="764" max="764" width="1.44140625" customWidth="1"/>
    <col min="765" max="765" width="39.109375" customWidth="1"/>
    <col min="766" max="766" width="12" customWidth="1"/>
    <col min="767" max="767" width="14.44140625" customWidth="1"/>
    <col min="768" max="768" width="11.77734375" customWidth="1"/>
    <col min="769" max="769" width="14.109375" customWidth="1"/>
    <col min="770" max="770" width="13.77734375" customWidth="1"/>
    <col min="771" max="772" width="12.77734375" customWidth="1"/>
    <col min="773" max="773" width="13.5546875" customWidth="1"/>
    <col min="774" max="774" width="15.21875" customWidth="1"/>
    <col min="775" max="775" width="12.77734375" customWidth="1"/>
    <col min="776" max="776" width="13.77734375" customWidth="1"/>
    <col min="777" max="777" width="1.77734375" customWidth="1"/>
    <col min="778" max="778" width="13" customWidth="1"/>
    <col min="779" max="1018" width="8.77734375"/>
    <col min="1019" max="1019" width="6" customWidth="1"/>
    <col min="1020" max="1020" width="1.44140625" customWidth="1"/>
    <col min="1021" max="1021" width="39.109375" customWidth="1"/>
    <col min="1022" max="1022" width="12" customWidth="1"/>
    <col min="1023" max="1023" width="14.44140625" customWidth="1"/>
    <col min="1024" max="1024" width="11.77734375" customWidth="1"/>
    <col min="1025" max="1025" width="14.109375" customWidth="1"/>
    <col min="1026" max="1026" width="13.77734375" customWidth="1"/>
    <col min="1027" max="1028" width="12.77734375" customWidth="1"/>
    <col min="1029" max="1029" width="13.5546875" customWidth="1"/>
    <col min="1030" max="1030" width="15.21875" customWidth="1"/>
    <col min="1031" max="1031" width="12.77734375" customWidth="1"/>
    <col min="1032" max="1032" width="13.77734375" customWidth="1"/>
    <col min="1033" max="1033" width="1.77734375" customWidth="1"/>
    <col min="1034" max="1034" width="13" customWidth="1"/>
    <col min="1035" max="1274" width="8.77734375"/>
    <col min="1275" max="1275" width="6" customWidth="1"/>
    <col min="1276" max="1276" width="1.44140625" customWidth="1"/>
    <col min="1277" max="1277" width="39.109375" customWidth="1"/>
    <col min="1278" max="1278" width="12" customWidth="1"/>
    <col min="1279" max="1279" width="14.44140625" customWidth="1"/>
    <col min="1280" max="1280" width="11.77734375" customWidth="1"/>
    <col min="1281" max="1281" width="14.109375" customWidth="1"/>
    <col min="1282" max="1282" width="13.77734375" customWidth="1"/>
    <col min="1283" max="1284" width="12.77734375" customWidth="1"/>
    <col min="1285" max="1285" width="13.5546875" customWidth="1"/>
    <col min="1286" max="1286" width="15.21875" customWidth="1"/>
    <col min="1287" max="1287" width="12.77734375" customWidth="1"/>
    <col min="1288" max="1288" width="13.77734375" customWidth="1"/>
    <col min="1289" max="1289" width="1.77734375" customWidth="1"/>
    <col min="1290" max="1290" width="13" customWidth="1"/>
    <col min="1291" max="1530" width="8.77734375"/>
    <col min="1531" max="1531" width="6" customWidth="1"/>
    <col min="1532" max="1532" width="1.44140625" customWidth="1"/>
    <col min="1533" max="1533" width="39.109375" customWidth="1"/>
    <col min="1534" max="1534" width="12" customWidth="1"/>
    <col min="1535" max="1535" width="14.44140625" customWidth="1"/>
    <col min="1536" max="1536" width="11.77734375" customWidth="1"/>
    <col min="1537" max="1537" width="14.109375" customWidth="1"/>
    <col min="1538" max="1538" width="13.77734375" customWidth="1"/>
    <col min="1539" max="1540" width="12.77734375" customWidth="1"/>
    <col min="1541" max="1541" width="13.5546875" customWidth="1"/>
    <col min="1542" max="1542" width="15.21875" customWidth="1"/>
    <col min="1543" max="1543" width="12.77734375" customWidth="1"/>
    <col min="1544" max="1544" width="13.77734375" customWidth="1"/>
    <col min="1545" max="1545" width="1.77734375" customWidth="1"/>
    <col min="1546" max="1546" width="13" customWidth="1"/>
    <col min="1547" max="1786" width="8.77734375"/>
    <col min="1787" max="1787" width="6" customWidth="1"/>
    <col min="1788" max="1788" width="1.44140625" customWidth="1"/>
    <col min="1789" max="1789" width="39.109375" customWidth="1"/>
    <col min="1790" max="1790" width="12" customWidth="1"/>
    <col min="1791" max="1791" width="14.44140625" customWidth="1"/>
    <col min="1792" max="1792" width="11.77734375" customWidth="1"/>
    <col min="1793" max="1793" width="14.109375" customWidth="1"/>
    <col min="1794" max="1794" width="13.77734375" customWidth="1"/>
    <col min="1795" max="1796" width="12.77734375" customWidth="1"/>
    <col min="1797" max="1797" width="13.5546875" customWidth="1"/>
    <col min="1798" max="1798" width="15.21875" customWidth="1"/>
    <col min="1799" max="1799" width="12.77734375" customWidth="1"/>
    <col min="1800" max="1800" width="13.77734375" customWidth="1"/>
    <col min="1801" max="1801" width="1.77734375" customWidth="1"/>
    <col min="1802" max="1802" width="13" customWidth="1"/>
    <col min="1803" max="2042" width="8.77734375"/>
    <col min="2043" max="2043" width="6" customWidth="1"/>
    <col min="2044" max="2044" width="1.44140625" customWidth="1"/>
    <col min="2045" max="2045" width="39.109375" customWidth="1"/>
    <col min="2046" max="2046" width="12" customWidth="1"/>
    <col min="2047" max="2047" width="14.44140625" customWidth="1"/>
    <col min="2048" max="2048" width="11.77734375" customWidth="1"/>
    <col min="2049" max="2049" width="14.109375" customWidth="1"/>
    <col min="2050" max="2050" width="13.77734375" customWidth="1"/>
    <col min="2051" max="2052" width="12.77734375" customWidth="1"/>
    <col min="2053" max="2053" width="13.5546875" customWidth="1"/>
    <col min="2054" max="2054" width="15.21875" customWidth="1"/>
    <col min="2055" max="2055" width="12.77734375" customWidth="1"/>
    <col min="2056" max="2056" width="13.77734375" customWidth="1"/>
    <col min="2057" max="2057" width="1.77734375" customWidth="1"/>
    <col min="2058" max="2058" width="13" customWidth="1"/>
    <col min="2059" max="2298" width="8.77734375"/>
    <col min="2299" max="2299" width="6" customWidth="1"/>
    <col min="2300" max="2300" width="1.44140625" customWidth="1"/>
    <col min="2301" max="2301" width="39.109375" customWidth="1"/>
    <col min="2302" max="2302" width="12" customWidth="1"/>
    <col min="2303" max="2303" width="14.44140625" customWidth="1"/>
    <col min="2304" max="2304" width="11.77734375" customWidth="1"/>
    <col min="2305" max="2305" width="14.109375" customWidth="1"/>
    <col min="2306" max="2306" width="13.77734375" customWidth="1"/>
    <col min="2307" max="2308" width="12.77734375" customWidth="1"/>
    <col min="2309" max="2309" width="13.5546875" customWidth="1"/>
    <col min="2310" max="2310" width="15.21875" customWidth="1"/>
    <col min="2311" max="2311" width="12.77734375" customWidth="1"/>
    <col min="2312" max="2312" width="13.77734375" customWidth="1"/>
    <col min="2313" max="2313" width="1.77734375" customWidth="1"/>
    <col min="2314" max="2314" width="13" customWidth="1"/>
    <col min="2315" max="2554" width="8.77734375"/>
    <col min="2555" max="2555" width="6" customWidth="1"/>
    <col min="2556" max="2556" width="1.44140625" customWidth="1"/>
    <col min="2557" max="2557" width="39.109375" customWidth="1"/>
    <col min="2558" max="2558" width="12" customWidth="1"/>
    <col min="2559" max="2559" width="14.44140625" customWidth="1"/>
    <col min="2560" max="2560" width="11.77734375" customWidth="1"/>
    <col min="2561" max="2561" width="14.109375" customWidth="1"/>
    <col min="2562" max="2562" width="13.77734375" customWidth="1"/>
    <col min="2563" max="2564" width="12.77734375" customWidth="1"/>
    <col min="2565" max="2565" width="13.5546875" customWidth="1"/>
    <col min="2566" max="2566" width="15.21875" customWidth="1"/>
    <col min="2567" max="2567" width="12.77734375" customWidth="1"/>
    <col min="2568" max="2568" width="13.77734375" customWidth="1"/>
    <col min="2569" max="2569" width="1.77734375" customWidth="1"/>
    <col min="2570" max="2570" width="13" customWidth="1"/>
    <col min="2571" max="2810" width="8.77734375"/>
    <col min="2811" max="2811" width="6" customWidth="1"/>
    <col min="2812" max="2812" width="1.44140625" customWidth="1"/>
    <col min="2813" max="2813" width="39.109375" customWidth="1"/>
    <col min="2814" max="2814" width="12" customWidth="1"/>
    <col min="2815" max="2815" width="14.44140625" customWidth="1"/>
    <col min="2816" max="2816" width="11.77734375" customWidth="1"/>
    <col min="2817" max="2817" width="14.109375" customWidth="1"/>
    <col min="2818" max="2818" width="13.77734375" customWidth="1"/>
    <col min="2819" max="2820" width="12.77734375" customWidth="1"/>
    <col min="2821" max="2821" width="13.5546875" customWidth="1"/>
    <col min="2822" max="2822" width="15.21875" customWidth="1"/>
    <col min="2823" max="2823" width="12.77734375" customWidth="1"/>
    <col min="2824" max="2824" width="13.77734375" customWidth="1"/>
    <col min="2825" max="2825" width="1.77734375" customWidth="1"/>
    <col min="2826" max="2826" width="13" customWidth="1"/>
    <col min="2827" max="3066" width="8.77734375"/>
    <col min="3067" max="3067" width="6" customWidth="1"/>
    <col min="3068" max="3068" width="1.44140625" customWidth="1"/>
    <col min="3069" max="3069" width="39.109375" customWidth="1"/>
    <col min="3070" max="3070" width="12" customWidth="1"/>
    <col min="3071" max="3071" width="14.44140625" customWidth="1"/>
    <col min="3072" max="3072" width="11.77734375" customWidth="1"/>
    <col min="3073" max="3073" width="14.109375" customWidth="1"/>
    <col min="3074" max="3074" width="13.77734375" customWidth="1"/>
    <col min="3075" max="3076" width="12.77734375" customWidth="1"/>
    <col min="3077" max="3077" width="13.5546875" customWidth="1"/>
    <col min="3078" max="3078" width="15.21875" customWidth="1"/>
    <col min="3079" max="3079" width="12.77734375" customWidth="1"/>
    <col min="3080" max="3080" width="13.77734375" customWidth="1"/>
    <col min="3081" max="3081" width="1.77734375" customWidth="1"/>
    <col min="3082" max="3082" width="13" customWidth="1"/>
    <col min="3083" max="3322" width="8.77734375"/>
    <col min="3323" max="3323" width="6" customWidth="1"/>
    <col min="3324" max="3324" width="1.44140625" customWidth="1"/>
    <col min="3325" max="3325" width="39.109375" customWidth="1"/>
    <col min="3326" max="3326" width="12" customWidth="1"/>
    <col min="3327" max="3327" width="14.44140625" customWidth="1"/>
    <col min="3328" max="3328" width="11.77734375" customWidth="1"/>
    <col min="3329" max="3329" width="14.109375" customWidth="1"/>
    <col min="3330" max="3330" width="13.77734375" customWidth="1"/>
    <col min="3331" max="3332" width="12.77734375" customWidth="1"/>
    <col min="3333" max="3333" width="13.5546875" customWidth="1"/>
    <col min="3334" max="3334" width="15.21875" customWidth="1"/>
    <col min="3335" max="3335" width="12.77734375" customWidth="1"/>
    <col min="3336" max="3336" width="13.77734375" customWidth="1"/>
    <col min="3337" max="3337" width="1.77734375" customWidth="1"/>
    <col min="3338" max="3338" width="13" customWidth="1"/>
    <col min="3339" max="3578" width="8.77734375"/>
    <col min="3579" max="3579" width="6" customWidth="1"/>
    <col min="3580" max="3580" width="1.44140625" customWidth="1"/>
    <col min="3581" max="3581" width="39.109375" customWidth="1"/>
    <col min="3582" max="3582" width="12" customWidth="1"/>
    <col min="3583" max="3583" width="14.44140625" customWidth="1"/>
    <col min="3584" max="3584" width="11.77734375" customWidth="1"/>
    <col min="3585" max="3585" width="14.109375" customWidth="1"/>
    <col min="3586" max="3586" width="13.77734375" customWidth="1"/>
    <col min="3587" max="3588" width="12.77734375" customWidth="1"/>
    <col min="3589" max="3589" width="13.5546875" customWidth="1"/>
    <col min="3590" max="3590" width="15.21875" customWidth="1"/>
    <col min="3591" max="3591" width="12.77734375" customWidth="1"/>
    <col min="3592" max="3592" width="13.77734375" customWidth="1"/>
    <col min="3593" max="3593" width="1.77734375" customWidth="1"/>
    <col min="3594" max="3594" width="13" customWidth="1"/>
    <col min="3595" max="3834" width="8.77734375"/>
    <col min="3835" max="3835" width="6" customWidth="1"/>
    <col min="3836" max="3836" width="1.44140625" customWidth="1"/>
    <col min="3837" max="3837" width="39.109375" customWidth="1"/>
    <col min="3838" max="3838" width="12" customWidth="1"/>
    <col min="3839" max="3839" width="14.44140625" customWidth="1"/>
    <col min="3840" max="3840" width="11.77734375" customWidth="1"/>
    <col min="3841" max="3841" width="14.109375" customWidth="1"/>
    <col min="3842" max="3842" width="13.77734375" customWidth="1"/>
    <col min="3843" max="3844" width="12.77734375" customWidth="1"/>
    <col min="3845" max="3845" width="13.5546875" customWidth="1"/>
    <col min="3846" max="3846" width="15.21875" customWidth="1"/>
    <col min="3847" max="3847" width="12.77734375" customWidth="1"/>
    <col min="3848" max="3848" width="13.77734375" customWidth="1"/>
    <col min="3849" max="3849" width="1.77734375" customWidth="1"/>
    <col min="3850" max="3850" width="13" customWidth="1"/>
    <col min="3851" max="4090" width="8.77734375"/>
    <col min="4091" max="4091" width="6" customWidth="1"/>
    <col min="4092" max="4092" width="1.44140625" customWidth="1"/>
    <col min="4093" max="4093" width="39.109375" customWidth="1"/>
    <col min="4094" max="4094" width="12" customWidth="1"/>
    <col min="4095" max="4095" width="14.44140625" customWidth="1"/>
    <col min="4096" max="4096" width="11.77734375" customWidth="1"/>
    <col min="4097" max="4097" width="14.109375" customWidth="1"/>
    <col min="4098" max="4098" width="13.77734375" customWidth="1"/>
    <col min="4099" max="4100" width="12.77734375" customWidth="1"/>
    <col min="4101" max="4101" width="13.5546875" customWidth="1"/>
    <col min="4102" max="4102" width="15.21875" customWidth="1"/>
    <col min="4103" max="4103" width="12.77734375" customWidth="1"/>
    <col min="4104" max="4104" width="13.77734375" customWidth="1"/>
    <col min="4105" max="4105" width="1.77734375" customWidth="1"/>
    <col min="4106" max="4106" width="13" customWidth="1"/>
    <col min="4107" max="4346" width="8.77734375"/>
    <col min="4347" max="4347" width="6" customWidth="1"/>
    <col min="4348" max="4348" width="1.44140625" customWidth="1"/>
    <col min="4349" max="4349" width="39.109375" customWidth="1"/>
    <col min="4350" max="4350" width="12" customWidth="1"/>
    <col min="4351" max="4351" width="14.44140625" customWidth="1"/>
    <col min="4352" max="4352" width="11.77734375" customWidth="1"/>
    <col min="4353" max="4353" width="14.109375" customWidth="1"/>
    <col min="4354" max="4354" width="13.77734375" customWidth="1"/>
    <col min="4355" max="4356" width="12.77734375" customWidth="1"/>
    <col min="4357" max="4357" width="13.5546875" customWidth="1"/>
    <col min="4358" max="4358" width="15.21875" customWidth="1"/>
    <col min="4359" max="4359" width="12.77734375" customWidth="1"/>
    <col min="4360" max="4360" width="13.77734375" customWidth="1"/>
    <col min="4361" max="4361" width="1.77734375" customWidth="1"/>
    <col min="4362" max="4362" width="13" customWidth="1"/>
    <col min="4363" max="4602" width="8.77734375"/>
    <col min="4603" max="4603" width="6" customWidth="1"/>
    <col min="4604" max="4604" width="1.44140625" customWidth="1"/>
    <col min="4605" max="4605" width="39.109375" customWidth="1"/>
    <col min="4606" max="4606" width="12" customWidth="1"/>
    <col min="4607" max="4607" width="14.44140625" customWidth="1"/>
    <col min="4608" max="4608" width="11.77734375" customWidth="1"/>
    <col min="4609" max="4609" width="14.109375" customWidth="1"/>
    <col min="4610" max="4610" width="13.77734375" customWidth="1"/>
    <col min="4611" max="4612" width="12.77734375" customWidth="1"/>
    <col min="4613" max="4613" width="13.5546875" customWidth="1"/>
    <col min="4614" max="4614" width="15.21875" customWidth="1"/>
    <col min="4615" max="4615" width="12.77734375" customWidth="1"/>
    <col min="4616" max="4616" width="13.77734375" customWidth="1"/>
    <col min="4617" max="4617" width="1.77734375" customWidth="1"/>
    <col min="4618" max="4618" width="13" customWidth="1"/>
    <col min="4619" max="4858" width="8.77734375"/>
    <col min="4859" max="4859" width="6" customWidth="1"/>
    <col min="4860" max="4860" width="1.44140625" customWidth="1"/>
    <col min="4861" max="4861" width="39.109375" customWidth="1"/>
    <col min="4862" max="4862" width="12" customWidth="1"/>
    <col min="4863" max="4863" width="14.44140625" customWidth="1"/>
    <col min="4864" max="4864" width="11.77734375" customWidth="1"/>
    <col min="4865" max="4865" width="14.109375" customWidth="1"/>
    <col min="4866" max="4866" width="13.77734375" customWidth="1"/>
    <col min="4867" max="4868" width="12.77734375" customWidth="1"/>
    <col min="4869" max="4869" width="13.5546875" customWidth="1"/>
    <col min="4870" max="4870" width="15.21875" customWidth="1"/>
    <col min="4871" max="4871" width="12.77734375" customWidth="1"/>
    <col min="4872" max="4872" width="13.77734375" customWidth="1"/>
    <col min="4873" max="4873" width="1.77734375" customWidth="1"/>
    <col min="4874" max="4874" width="13" customWidth="1"/>
    <col min="4875" max="5114" width="8.77734375"/>
    <col min="5115" max="5115" width="6" customWidth="1"/>
    <col min="5116" max="5116" width="1.44140625" customWidth="1"/>
    <col min="5117" max="5117" width="39.109375" customWidth="1"/>
    <col min="5118" max="5118" width="12" customWidth="1"/>
    <col min="5119" max="5119" width="14.44140625" customWidth="1"/>
    <col min="5120" max="5120" width="11.77734375" customWidth="1"/>
    <col min="5121" max="5121" width="14.109375" customWidth="1"/>
    <col min="5122" max="5122" width="13.77734375" customWidth="1"/>
    <col min="5123" max="5124" width="12.77734375" customWidth="1"/>
    <col min="5125" max="5125" width="13.5546875" customWidth="1"/>
    <col min="5126" max="5126" width="15.21875" customWidth="1"/>
    <col min="5127" max="5127" width="12.77734375" customWidth="1"/>
    <col min="5128" max="5128" width="13.77734375" customWidth="1"/>
    <col min="5129" max="5129" width="1.77734375" customWidth="1"/>
    <col min="5130" max="5130" width="13" customWidth="1"/>
    <col min="5131" max="5370" width="8.77734375"/>
    <col min="5371" max="5371" width="6" customWidth="1"/>
    <col min="5372" max="5372" width="1.44140625" customWidth="1"/>
    <col min="5373" max="5373" width="39.109375" customWidth="1"/>
    <col min="5374" max="5374" width="12" customWidth="1"/>
    <col min="5375" max="5375" width="14.44140625" customWidth="1"/>
    <col min="5376" max="5376" width="11.77734375" customWidth="1"/>
    <col min="5377" max="5377" width="14.109375" customWidth="1"/>
    <col min="5378" max="5378" width="13.77734375" customWidth="1"/>
    <col min="5379" max="5380" width="12.77734375" customWidth="1"/>
    <col min="5381" max="5381" width="13.5546875" customWidth="1"/>
    <col min="5382" max="5382" width="15.21875" customWidth="1"/>
    <col min="5383" max="5383" width="12.77734375" customWidth="1"/>
    <col min="5384" max="5384" width="13.77734375" customWidth="1"/>
    <col min="5385" max="5385" width="1.77734375" customWidth="1"/>
    <col min="5386" max="5386" width="13" customWidth="1"/>
    <col min="5387" max="5626" width="8.77734375"/>
    <col min="5627" max="5627" width="6" customWidth="1"/>
    <col min="5628" max="5628" width="1.44140625" customWidth="1"/>
    <col min="5629" max="5629" width="39.109375" customWidth="1"/>
    <col min="5630" max="5630" width="12" customWidth="1"/>
    <col min="5631" max="5631" width="14.44140625" customWidth="1"/>
    <col min="5632" max="5632" width="11.77734375" customWidth="1"/>
    <col min="5633" max="5633" width="14.109375" customWidth="1"/>
    <col min="5634" max="5634" width="13.77734375" customWidth="1"/>
    <col min="5635" max="5636" width="12.77734375" customWidth="1"/>
    <col min="5637" max="5637" width="13.5546875" customWidth="1"/>
    <col min="5638" max="5638" width="15.21875" customWidth="1"/>
    <col min="5639" max="5639" width="12.77734375" customWidth="1"/>
    <col min="5640" max="5640" width="13.77734375" customWidth="1"/>
    <col min="5641" max="5641" width="1.77734375" customWidth="1"/>
    <col min="5642" max="5642" width="13" customWidth="1"/>
    <col min="5643" max="5882" width="8.77734375"/>
    <col min="5883" max="5883" width="6" customWidth="1"/>
    <col min="5884" max="5884" width="1.44140625" customWidth="1"/>
    <col min="5885" max="5885" width="39.109375" customWidth="1"/>
    <col min="5886" max="5886" width="12" customWidth="1"/>
    <col min="5887" max="5887" width="14.44140625" customWidth="1"/>
    <col min="5888" max="5888" width="11.77734375" customWidth="1"/>
    <col min="5889" max="5889" width="14.109375" customWidth="1"/>
    <col min="5890" max="5890" width="13.77734375" customWidth="1"/>
    <col min="5891" max="5892" width="12.77734375" customWidth="1"/>
    <col min="5893" max="5893" width="13.5546875" customWidth="1"/>
    <col min="5894" max="5894" width="15.21875" customWidth="1"/>
    <col min="5895" max="5895" width="12.77734375" customWidth="1"/>
    <col min="5896" max="5896" width="13.77734375" customWidth="1"/>
    <col min="5897" max="5897" width="1.77734375" customWidth="1"/>
    <col min="5898" max="5898" width="13" customWidth="1"/>
    <col min="5899" max="6138" width="8.77734375"/>
    <col min="6139" max="6139" width="6" customWidth="1"/>
    <col min="6140" max="6140" width="1.44140625" customWidth="1"/>
    <col min="6141" max="6141" width="39.109375" customWidth="1"/>
    <col min="6142" max="6142" width="12" customWidth="1"/>
    <col min="6143" max="6143" width="14.44140625" customWidth="1"/>
    <col min="6144" max="6144" width="11.77734375" customWidth="1"/>
    <col min="6145" max="6145" width="14.109375" customWidth="1"/>
    <col min="6146" max="6146" width="13.77734375" customWidth="1"/>
    <col min="6147" max="6148" width="12.77734375" customWidth="1"/>
    <col min="6149" max="6149" width="13.5546875" customWidth="1"/>
    <col min="6150" max="6150" width="15.21875" customWidth="1"/>
    <col min="6151" max="6151" width="12.77734375" customWidth="1"/>
    <col min="6152" max="6152" width="13.77734375" customWidth="1"/>
    <col min="6153" max="6153" width="1.77734375" customWidth="1"/>
    <col min="6154" max="6154" width="13" customWidth="1"/>
    <col min="6155" max="6394" width="8.77734375"/>
    <col min="6395" max="6395" width="6" customWidth="1"/>
    <col min="6396" max="6396" width="1.44140625" customWidth="1"/>
    <col min="6397" max="6397" width="39.109375" customWidth="1"/>
    <col min="6398" max="6398" width="12" customWidth="1"/>
    <col min="6399" max="6399" width="14.44140625" customWidth="1"/>
    <col min="6400" max="6400" width="11.77734375" customWidth="1"/>
    <col min="6401" max="6401" width="14.109375" customWidth="1"/>
    <col min="6402" max="6402" width="13.77734375" customWidth="1"/>
    <col min="6403" max="6404" width="12.77734375" customWidth="1"/>
    <col min="6405" max="6405" width="13.5546875" customWidth="1"/>
    <col min="6406" max="6406" width="15.21875" customWidth="1"/>
    <col min="6407" max="6407" width="12.77734375" customWidth="1"/>
    <col min="6408" max="6408" width="13.77734375" customWidth="1"/>
    <col min="6409" max="6409" width="1.77734375" customWidth="1"/>
    <col min="6410" max="6410" width="13" customWidth="1"/>
    <col min="6411" max="6650" width="8.77734375"/>
    <col min="6651" max="6651" width="6" customWidth="1"/>
    <col min="6652" max="6652" width="1.44140625" customWidth="1"/>
    <col min="6653" max="6653" width="39.109375" customWidth="1"/>
    <col min="6654" max="6654" width="12" customWidth="1"/>
    <col min="6655" max="6655" width="14.44140625" customWidth="1"/>
    <col min="6656" max="6656" width="11.77734375" customWidth="1"/>
    <col min="6657" max="6657" width="14.109375" customWidth="1"/>
    <col min="6658" max="6658" width="13.77734375" customWidth="1"/>
    <col min="6659" max="6660" width="12.77734375" customWidth="1"/>
    <col min="6661" max="6661" width="13.5546875" customWidth="1"/>
    <col min="6662" max="6662" width="15.21875" customWidth="1"/>
    <col min="6663" max="6663" width="12.77734375" customWidth="1"/>
    <col min="6664" max="6664" width="13.77734375" customWidth="1"/>
    <col min="6665" max="6665" width="1.77734375" customWidth="1"/>
    <col min="6666" max="6666" width="13" customWidth="1"/>
    <col min="6667" max="6906" width="8.77734375"/>
    <col min="6907" max="6907" width="6" customWidth="1"/>
    <col min="6908" max="6908" width="1.44140625" customWidth="1"/>
    <col min="6909" max="6909" width="39.109375" customWidth="1"/>
    <col min="6910" max="6910" width="12" customWidth="1"/>
    <col min="6911" max="6911" width="14.44140625" customWidth="1"/>
    <col min="6912" max="6912" width="11.77734375" customWidth="1"/>
    <col min="6913" max="6913" width="14.109375" customWidth="1"/>
    <col min="6914" max="6914" width="13.77734375" customWidth="1"/>
    <col min="6915" max="6916" width="12.77734375" customWidth="1"/>
    <col min="6917" max="6917" width="13.5546875" customWidth="1"/>
    <col min="6918" max="6918" width="15.21875" customWidth="1"/>
    <col min="6919" max="6919" width="12.77734375" customWidth="1"/>
    <col min="6920" max="6920" width="13.77734375" customWidth="1"/>
    <col min="6921" max="6921" width="1.77734375" customWidth="1"/>
    <col min="6922" max="6922" width="13" customWidth="1"/>
    <col min="6923" max="7162" width="8.77734375"/>
    <col min="7163" max="7163" width="6" customWidth="1"/>
    <col min="7164" max="7164" width="1.44140625" customWidth="1"/>
    <col min="7165" max="7165" width="39.109375" customWidth="1"/>
    <col min="7166" max="7166" width="12" customWidth="1"/>
    <col min="7167" max="7167" width="14.44140625" customWidth="1"/>
    <col min="7168" max="7168" width="11.77734375" customWidth="1"/>
    <col min="7169" max="7169" width="14.109375" customWidth="1"/>
    <col min="7170" max="7170" width="13.77734375" customWidth="1"/>
    <col min="7171" max="7172" width="12.77734375" customWidth="1"/>
    <col min="7173" max="7173" width="13.5546875" customWidth="1"/>
    <col min="7174" max="7174" width="15.21875" customWidth="1"/>
    <col min="7175" max="7175" width="12.77734375" customWidth="1"/>
    <col min="7176" max="7176" width="13.77734375" customWidth="1"/>
    <col min="7177" max="7177" width="1.77734375" customWidth="1"/>
    <col min="7178" max="7178" width="13" customWidth="1"/>
    <col min="7179" max="7418" width="8.77734375"/>
    <col min="7419" max="7419" width="6" customWidth="1"/>
    <col min="7420" max="7420" width="1.44140625" customWidth="1"/>
    <col min="7421" max="7421" width="39.109375" customWidth="1"/>
    <col min="7422" max="7422" width="12" customWidth="1"/>
    <col min="7423" max="7423" width="14.44140625" customWidth="1"/>
    <col min="7424" max="7424" width="11.77734375" customWidth="1"/>
    <col min="7425" max="7425" width="14.109375" customWidth="1"/>
    <col min="7426" max="7426" width="13.77734375" customWidth="1"/>
    <col min="7427" max="7428" width="12.77734375" customWidth="1"/>
    <col min="7429" max="7429" width="13.5546875" customWidth="1"/>
    <col min="7430" max="7430" width="15.21875" customWidth="1"/>
    <col min="7431" max="7431" width="12.77734375" customWidth="1"/>
    <col min="7432" max="7432" width="13.77734375" customWidth="1"/>
    <col min="7433" max="7433" width="1.77734375" customWidth="1"/>
    <col min="7434" max="7434" width="13" customWidth="1"/>
    <col min="7435" max="7674" width="8.77734375"/>
    <col min="7675" max="7675" width="6" customWidth="1"/>
    <col min="7676" max="7676" width="1.44140625" customWidth="1"/>
    <col min="7677" max="7677" width="39.109375" customWidth="1"/>
    <col min="7678" max="7678" width="12" customWidth="1"/>
    <col min="7679" max="7679" width="14.44140625" customWidth="1"/>
    <col min="7680" max="7680" width="11.77734375" customWidth="1"/>
    <col min="7681" max="7681" width="14.109375" customWidth="1"/>
    <col min="7682" max="7682" width="13.77734375" customWidth="1"/>
    <col min="7683" max="7684" width="12.77734375" customWidth="1"/>
    <col min="7685" max="7685" width="13.5546875" customWidth="1"/>
    <col min="7686" max="7686" width="15.21875" customWidth="1"/>
    <col min="7687" max="7687" width="12.77734375" customWidth="1"/>
    <col min="7688" max="7688" width="13.77734375" customWidth="1"/>
    <col min="7689" max="7689" width="1.77734375" customWidth="1"/>
    <col min="7690" max="7690" width="13" customWidth="1"/>
    <col min="7691" max="7930" width="8.77734375"/>
    <col min="7931" max="7931" width="6" customWidth="1"/>
    <col min="7932" max="7932" width="1.44140625" customWidth="1"/>
    <col min="7933" max="7933" width="39.109375" customWidth="1"/>
    <col min="7934" max="7934" width="12" customWidth="1"/>
    <col min="7935" max="7935" width="14.44140625" customWidth="1"/>
    <col min="7936" max="7936" width="11.77734375" customWidth="1"/>
    <col min="7937" max="7937" width="14.109375" customWidth="1"/>
    <col min="7938" max="7938" width="13.77734375" customWidth="1"/>
    <col min="7939" max="7940" width="12.77734375" customWidth="1"/>
    <col min="7941" max="7941" width="13.5546875" customWidth="1"/>
    <col min="7942" max="7942" width="15.21875" customWidth="1"/>
    <col min="7943" max="7943" width="12.77734375" customWidth="1"/>
    <col min="7944" max="7944" width="13.77734375" customWidth="1"/>
    <col min="7945" max="7945" width="1.77734375" customWidth="1"/>
    <col min="7946" max="7946" width="13" customWidth="1"/>
    <col min="7947" max="8186" width="8.77734375"/>
    <col min="8187" max="8187" width="6" customWidth="1"/>
    <col min="8188" max="8188" width="1.44140625" customWidth="1"/>
    <col min="8189" max="8189" width="39.109375" customWidth="1"/>
    <col min="8190" max="8190" width="12" customWidth="1"/>
    <col min="8191" max="8191" width="14.44140625" customWidth="1"/>
    <col min="8192" max="8192" width="11.77734375" customWidth="1"/>
    <col min="8193" max="8193" width="14.109375" customWidth="1"/>
    <col min="8194" max="8194" width="13.77734375" customWidth="1"/>
    <col min="8195" max="8196" width="12.77734375" customWidth="1"/>
    <col min="8197" max="8197" width="13.5546875" customWidth="1"/>
    <col min="8198" max="8198" width="15.21875" customWidth="1"/>
    <col min="8199" max="8199" width="12.77734375" customWidth="1"/>
    <col min="8200" max="8200" width="13.77734375" customWidth="1"/>
    <col min="8201" max="8201" width="1.77734375" customWidth="1"/>
    <col min="8202" max="8202" width="13" customWidth="1"/>
    <col min="8203" max="8442" width="8.77734375"/>
    <col min="8443" max="8443" width="6" customWidth="1"/>
    <col min="8444" max="8444" width="1.44140625" customWidth="1"/>
    <col min="8445" max="8445" width="39.109375" customWidth="1"/>
    <col min="8446" max="8446" width="12" customWidth="1"/>
    <col min="8447" max="8447" width="14.44140625" customWidth="1"/>
    <col min="8448" max="8448" width="11.77734375" customWidth="1"/>
    <col min="8449" max="8449" width="14.109375" customWidth="1"/>
    <col min="8450" max="8450" width="13.77734375" customWidth="1"/>
    <col min="8451" max="8452" width="12.77734375" customWidth="1"/>
    <col min="8453" max="8453" width="13.5546875" customWidth="1"/>
    <col min="8454" max="8454" width="15.21875" customWidth="1"/>
    <col min="8455" max="8455" width="12.77734375" customWidth="1"/>
    <col min="8456" max="8456" width="13.77734375" customWidth="1"/>
    <col min="8457" max="8457" width="1.77734375" customWidth="1"/>
    <col min="8458" max="8458" width="13" customWidth="1"/>
    <col min="8459" max="8698" width="8.77734375"/>
    <col min="8699" max="8699" width="6" customWidth="1"/>
    <col min="8700" max="8700" width="1.44140625" customWidth="1"/>
    <col min="8701" max="8701" width="39.109375" customWidth="1"/>
    <col min="8702" max="8702" width="12" customWidth="1"/>
    <col min="8703" max="8703" width="14.44140625" customWidth="1"/>
    <col min="8704" max="8704" width="11.77734375" customWidth="1"/>
    <col min="8705" max="8705" width="14.109375" customWidth="1"/>
    <col min="8706" max="8706" width="13.77734375" customWidth="1"/>
    <col min="8707" max="8708" width="12.77734375" customWidth="1"/>
    <col min="8709" max="8709" width="13.5546875" customWidth="1"/>
    <col min="8710" max="8710" width="15.21875" customWidth="1"/>
    <col min="8711" max="8711" width="12.77734375" customWidth="1"/>
    <col min="8712" max="8712" width="13.77734375" customWidth="1"/>
    <col min="8713" max="8713" width="1.77734375" customWidth="1"/>
    <col min="8714" max="8714" width="13" customWidth="1"/>
    <col min="8715" max="8954" width="8.77734375"/>
    <col min="8955" max="8955" width="6" customWidth="1"/>
    <col min="8956" max="8956" width="1.44140625" customWidth="1"/>
    <col min="8957" max="8957" width="39.109375" customWidth="1"/>
    <col min="8958" max="8958" width="12" customWidth="1"/>
    <col min="8959" max="8959" width="14.44140625" customWidth="1"/>
    <col min="8960" max="8960" width="11.77734375" customWidth="1"/>
    <col min="8961" max="8961" width="14.109375" customWidth="1"/>
    <col min="8962" max="8962" width="13.77734375" customWidth="1"/>
    <col min="8963" max="8964" width="12.77734375" customWidth="1"/>
    <col min="8965" max="8965" width="13.5546875" customWidth="1"/>
    <col min="8966" max="8966" width="15.21875" customWidth="1"/>
    <col min="8967" max="8967" width="12.77734375" customWidth="1"/>
    <col min="8968" max="8968" width="13.77734375" customWidth="1"/>
    <col min="8969" max="8969" width="1.77734375" customWidth="1"/>
    <col min="8970" max="8970" width="13" customWidth="1"/>
    <col min="8971" max="9210" width="8.77734375"/>
    <col min="9211" max="9211" width="6" customWidth="1"/>
    <col min="9212" max="9212" width="1.44140625" customWidth="1"/>
    <col min="9213" max="9213" width="39.109375" customWidth="1"/>
    <col min="9214" max="9214" width="12" customWidth="1"/>
    <col min="9215" max="9215" width="14.44140625" customWidth="1"/>
    <col min="9216" max="9216" width="11.77734375" customWidth="1"/>
    <col min="9217" max="9217" width="14.109375" customWidth="1"/>
    <col min="9218" max="9218" width="13.77734375" customWidth="1"/>
    <col min="9219" max="9220" width="12.77734375" customWidth="1"/>
    <col min="9221" max="9221" width="13.5546875" customWidth="1"/>
    <col min="9222" max="9222" width="15.21875" customWidth="1"/>
    <col min="9223" max="9223" width="12.77734375" customWidth="1"/>
    <col min="9224" max="9224" width="13.77734375" customWidth="1"/>
    <col min="9225" max="9225" width="1.77734375" customWidth="1"/>
    <col min="9226" max="9226" width="13" customWidth="1"/>
    <col min="9227" max="9466" width="8.77734375"/>
    <col min="9467" max="9467" width="6" customWidth="1"/>
    <col min="9468" max="9468" width="1.44140625" customWidth="1"/>
    <col min="9469" max="9469" width="39.109375" customWidth="1"/>
    <col min="9470" max="9470" width="12" customWidth="1"/>
    <col min="9471" max="9471" width="14.44140625" customWidth="1"/>
    <col min="9472" max="9472" width="11.77734375" customWidth="1"/>
    <col min="9473" max="9473" width="14.109375" customWidth="1"/>
    <col min="9474" max="9474" width="13.77734375" customWidth="1"/>
    <col min="9475" max="9476" width="12.77734375" customWidth="1"/>
    <col min="9477" max="9477" width="13.5546875" customWidth="1"/>
    <col min="9478" max="9478" width="15.21875" customWidth="1"/>
    <col min="9479" max="9479" width="12.77734375" customWidth="1"/>
    <col min="9480" max="9480" width="13.77734375" customWidth="1"/>
    <col min="9481" max="9481" width="1.77734375" customWidth="1"/>
    <col min="9482" max="9482" width="13" customWidth="1"/>
    <col min="9483" max="9722" width="8.77734375"/>
    <col min="9723" max="9723" width="6" customWidth="1"/>
    <col min="9724" max="9724" width="1.44140625" customWidth="1"/>
    <col min="9725" max="9725" width="39.109375" customWidth="1"/>
    <col min="9726" max="9726" width="12" customWidth="1"/>
    <col min="9727" max="9727" width="14.44140625" customWidth="1"/>
    <col min="9728" max="9728" width="11.77734375" customWidth="1"/>
    <col min="9729" max="9729" width="14.109375" customWidth="1"/>
    <col min="9730" max="9730" width="13.77734375" customWidth="1"/>
    <col min="9731" max="9732" width="12.77734375" customWidth="1"/>
    <col min="9733" max="9733" width="13.5546875" customWidth="1"/>
    <col min="9734" max="9734" width="15.21875" customWidth="1"/>
    <col min="9735" max="9735" width="12.77734375" customWidth="1"/>
    <col min="9736" max="9736" width="13.77734375" customWidth="1"/>
    <col min="9737" max="9737" width="1.77734375" customWidth="1"/>
    <col min="9738" max="9738" width="13" customWidth="1"/>
    <col min="9739" max="9978" width="8.77734375"/>
    <col min="9979" max="9979" width="6" customWidth="1"/>
    <col min="9980" max="9980" width="1.44140625" customWidth="1"/>
    <col min="9981" max="9981" width="39.109375" customWidth="1"/>
    <col min="9982" max="9982" width="12" customWidth="1"/>
    <col min="9983" max="9983" width="14.44140625" customWidth="1"/>
    <col min="9984" max="9984" width="11.77734375" customWidth="1"/>
    <col min="9985" max="9985" width="14.109375" customWidth="1"/>
    <col min="9986" max="9986" width="13.77734375" customWidth="1"/>
    <col min="9987" max="9988" width="12.77734375" customWidth="1"/>
    <col min="9989" max="9989" width="13.5546875" customWidth="1"/>
    <col min="9990" max="9990" width="15.21875" customWidth="1"/>
    <col min="9991" max="9991" width="12.77734375" customWidth="1"/>
    <col min="9992" max="9992" width="13.77734375" customWidth="1"/>
    <col min="9993" max="9993" width="1.77734375" customWidth="1"/>
    <col min="9994" max="9994" width="13" customWidth="1"/>
    <col min="9995" max="10234" width="8.77734375"/>
    <col min="10235" max="10235" width="6" customWidth="1"/>
    <col min="10236" max="10236" width="1.44140625" customWidth="1"/>
    <col min="10237" max="10237" width="39.109375" customWidth="1"/>
    <col min="10238" max="10238" width="12" customWidth="1"/>
    <col min="10239" max="10239" width="14.44140625" customWidth="1"/>
    <col min="10240" max="10240" width="11.77734375" customWidth="1"/>
    <col min="10241" max="10241" width="14.109375" customWidth="1"/>
    <col min="10242" max="10242" width="13.77734375" customWidth="1"/>
    <col min="10243" max="10244" width="12.77734375" customWidth="1"/>
    <col min="10245" max="10245" width="13.5546875" customWidth="1"/>
    <col min="10246" max="10246" width="15.21875" customWidth="1"/>
    <col min="10247" max="10247" width="12.77734375" customWidth="1"/>
    <col min="10248" max="10248" width="13.77734375" customWidth="1"/>
    <col min="10249" max="10249" width="1.77734375" customWidth="1"/>
    <col min="10250" max="10250" width="13" customWidth="1"/>
    <col min="10251" max="10490" width="8.77734375"/>
    <col min="10491" max="10491" width="6" customWidth="1"/>
    <col min="10492" max="10492" width="1.44140625" customWidth="1"/>
    <col min="10493" max="10493" width="39.109375" customWidth="1"/>
    <col min="10494" max="10494" width="12" customWidth="1"/>
    <col min="10495" max="10495" width="14.44140625" customWidth="1"/>
    <col min="10496" max="10496" width="11.77734375" customWidth="1"/>
    <col min="10497" max="10497" width="14.109375" customWidth="1"/>
    <col min="10498" max="10498" width="13.77734375" customWidth="1"/>
    <col min="10499" max="10500" width="12.77734375" customWidth="1"/>
    <col min="10501" max="10501" width="13.5546875" customWidth="1"/>
    <col min="10502" max="10502" width="15.21875" customWidth="1"/>
    <col min="10503" max="10503" width="12.77734375" customWidth="1"/>
    <col min="10504" max="10504" width="13.77734375" customWidth="1"/>
    <col min="10505" max="10505" width="1.77734375" customWidth="1"/>
    <col min="10506" max="10506" width="13" customWidth="1"/>
    <col min="10507" max="10746" width="8.77734375"/>
    <col min="10747" max="10747" width="6" customWidth="1"/>
    <col min="10748" max="10748" width="1.44140625" customWidth="1"/>
    <col min="10749" max="10749" width="39.109375" customWidth="1"/>
    <col min="10750" max="10750" width="12" customWidth="1"/>
    <col min="10751" max="10751" width="14.44140625" customWidth="1"/>
    <col min="10752" max="10752" width="11.77734375" customWidth="1"/>
    <col min="10753" max="10753" width="14.109375" customWidth="1"/>
    <col min="10754" max="10754" width="13.77734375" customWidth="1"/>
    <col min="10755" max="10756" width="12.77734375" customWidth="1"/>
    <col min="10757" max="10757" width="13.5546875" customWidth="1"/>
    <col min="10758" max="10758" width="15.21875" customWidth="1"/>
    <col min="10759" max="10759" width="12.77734375" customWidth="1"/>
    <col min="10760" max="10760" width="13.77734375" customWidth="1"/>
    <col min="10761" max="10761" width="1.77734375" customWidth="1"/>
    <col min="10762" max="10762" width="13" customWidth="1"/>
    <col min="10763" max="11002" width="8.77734375"/>
    <col min="11003" max="11003" width="6" customWidth="1"/>
    <col min="11004" max="11004" width="1.44140625" customWidth="1"/>
    <col min="11005" max="11005" width="39.109375" customWidth="1"/>
    <col min="11006" max="11006" width="12" customWidth="1"/>
    <col min="11007" max="11007" width="14.44140625" customWidth="1"/>
    <col min="11008" max="11008" width="11.77734375" customWidth="1"/>
    <col min="11009" max="11009" width="14.109375" customWidth="1"/>
    <col min="11010" max="11010" width="13.77734375" customWidth="1"/>
    <col min="11011" max="11012" width="12.77734375" customWidth="1"/>
    <col min="11013" max="11013" width="13.5546875" customWidth="1"/>
    <col min="11014" max="11014" width="15.21875" customWidth="1"/>
    <col min="11015" max="11015" width="12.77734375" customWidth="1"/>
    <col min="11016" max="11016" width="13.77734375" customWidth="1"/>
    <col min="11017" max="11017" width="1.77734375" customWidth="1"/>
    <col min="11018" max="11018" width="13" customWidth="1"/>
    <col min="11019" max="11258" width="8.77734375"/>
    <col min="11259" max="11259" width="6" customWidth="1"/>
    <col min="11260" max="11260" width="1.44140625" customWidth="1"/>
    <col min="11261" max="11261" width="39.109375" customWidth="1"/>
    <col min="11262" max="11262" width="12" customWidth="1"/>
    <col min="11263" max="11263" width="14.44140625" customWidth="1"/>
    <col min="11264" max="11264" width="11.77734375" customWidth="1"/>
    <col min="11265" max="11265" width="14.109375" customWidth="1"/>
    <col min="11266" max="11266" width="13.77734375" customWidth="1"/>
    <col min="11267" max="11268" width="12.77734375" customWidth="1"/>
    <col min="11269" max="11269" width="13.5546875" customWidth="1"/>
    <col min="11270" max="11270" width="15.21875" customWidth="1"/>
    <col min="11271" max="11271" width="12.77734375" customWidth="1"/>
    <col min="11272" max="11272" width="13.77734375" customWidth="1"/>
    <col min="11273" max="11273" width="1.77734375" customWidth="1"/>
    <col min="11274" max="11274" width="13" customWidth="1"/>
    <col min="11275" max="11514" width="8.77734375"/>
    <col min="11515" max="11515" width="6" customWidth="1"/>
    <col min="11516" max="11516" width="1.44140625" customWidth="1"/>
    <col min="11517" max="11517" width="39.109375" customWidth="1"/>
    <col min="11518" max="11518" width="12" customWidth="1"/>
    <col min="11519" max="11519" width="14.44140625" customWidth="1"/>
    <col min="11520" max="11520" width="11.77734375" customWidth="1"/>
    <col min="11521" max="11521" width="14.109375" customWidth="1"/>
    <col min="11522" max="11522" width="13.77734375" customWidth="1"/>
    <col min="11523" max="11524" width="12.77734375" customWidth="1"/>
    <col min="11525" max="11525" width="13.5546875" customWidth="1"/>
    <col min="11526" max="11526" width="15.21875" customWidth="1"/>
    <col min="11527" max="11527" width="12.77734375" customWidth="1"/>
    <col min="11528" max="11528" width="13.77734375" customWidth="1"/>
    <col min="11529" max="11529" width="1.77734375" customWidth="1"/>
    <col min="11530" max="11530" width="13" customWidth="1"/>
    <col min="11531" max="11770" width="8.77734375"/>
    <col min="11771" max="11771" width="6" customWidth="1"/>
    <col min="11772" max="11772" width="1.44140625" customWidth="1"/>
    <col min="11773" max="11773" width="39.109375" customWidth="1"/>
    <col min="11774" max="11774" width="12" customWidth="1"/>
    <col min="11775" max="11775" width="14.44140625" customWidth="1"/>
    <col min="11776" max="11776" width="11.77734375" customWidth="1"/>
    <col min="11777" max="11777" width="14.109375" customWidth="1"/>
    <col min="11778" max="11778" width="13.77734375" customWidth="1"/>
    <col min="11779" max="11780" width="12.77734375" customWidth="1"/>
    <col min="11781" max="11781" width="13.5546875" customWidth="1"/>
    <col min="11782" max="11782" width="15.21875" customWidth="1"/>
    <col min="11783" max="11783" width="12.77734375" customWidth="1"/>
    <col min="11784" max="11784" width="13.77734375" customWidth="1"/>
    <col min="11785" max="11785" width="1.77734375" customWidth="1"/>
    <col min="11786" max="11786" width="13" customWidth="1"/>
    <col min="11787" max="12026" width="8.77734375"/>
    <col min="12027" max="12027" width="6" customWidth="1"/>
    <col min="12028" max="12028" width="1.44140625" customWidth="1"/>
    <col min="12029" max="12029" width="39.109375" customWidth="1"/>
    <col min="12030" max="12030" width="12" customWidth="1"/>
    <col min="12031" max="12031" width="14.44140625" customWidth="1"/>
    <col min="12032" max="12032" width="11.77734375" customWidth="1"/>
    <col min="12033" max="12033" width="14.109375" customWidth="1"/>
    <col min="12034" max="12034" width="13.77734375" customWidth="1"/>
    <col min="12035" max="12036" width="12.77734375" customWidth="1"/>
    <col min="12037" max="12037" width="13.5546875" customWidth="1"/>
    <col min="12038" max="12038" width="15.21875" customWidth="1"/>
    <col min="12039" max="12039" width="12.77734375" customWidth="1"/>
    <col min="12040" max="12040" width="13.77734375" customWidth="1"/>
    <col min="12041" max="12041" width="1.77734375" customWidth="1"/>
    <col min="12042" max="12042" width="13" customWidth="1"/>
    <col min="12043" max="12282" width="8.77734375"/>
    <col min="12283" max="12283" width="6" customWidth="1"/>
    <col min="12284" max="12284" width="1.44140625" customWidth="1"/>
    <col min="12285" max="12285" width="39.109375" customWidth="1"/>
    <col min="12286" max="12286" width="12" customWidth="1"/>
    <col min="12287" max="12287" width="14.44140625" customWidth="1"/>
    <col min="12288" max="12288" width="11.77734375" customWidth="1"/>
    <col min="12289" max="12289" width="14.109375" customWidth="1"/>
    <col min="12290" max="12290" width="13.77734375" customWidth="1"/>
    <col min="12291" max="12292" width="12.77734375" customWidth="1"/>
    <col min="12293" max="12293" width="13.5546875" customWidth="1"/>
    <col min="12294" max="12294" width="15.21875" customWidth="1"/>
    <col min="12295" max="12295" width="12.77734375" customWidth="1"/>
    <col min="12296" max="12296" width="13.77734375" customWidth="1"/>
    <col min="12297" max="12297" width="1.77734375" customWidth="1"/>
    <col min="12298" max="12298" width="13" customWidth="1"/>
    <col min="12299" max="12538" width="8.77734375"/>
    <col min="12539" max="12539" width="6" customWidth="1"/>
    <col min="12540" max="12540" width="1.44140625" customWidth="1"/>
    <col min="12541" max="12541" width="39.109375" customWidth="1"/>
    <col min="12542" max="12542" width="12" customWidth="1"/>
    <col min="12543" max="12543" width="14.44140625" customWidth="1"/>
    <col min="12544" max="12544" width="11.77734375" customWidth="1"/>
    <col min="12545" max="12545" width="14.109375" customWidth="1"/>
    <col min="12546" max="12546" width="13.77734375" customWidth="1"/>
    <col min="12547" max="12548" width="12.77734375" customWidth="1"/>
    <col min="12549" max="12549" width="13.5546875" customWidth="1"/>
    <col min="12550" max="12550" width="15.21875" customWidth="1"/>
    <col min="12551" max="12551" width="12.77734375" customWidth="1"/>
    <col min="12552" max="12552" width="13.77734375" customWidth="1"/>
    <col min="12553" max="12553" width="1.77734375" customWidth="1"/>
    <col min="12554" max="12554" width="13" customWidth="1"/>
    <col min="12555" max="12794" width="8.77734375"/>
    <col min="12795" max="12795" width="6" customWidth="1"/>
    <col min="12796" max="12796" width="1.44140625" customWidth="1"/>
    <col min="12797" max="12797" width="39.109375" customWidth="1"/>
    <col min="12798" max="12798" width="12" customWidth="1"/>
    <col min="12799" max="12799" width="14.44140625" customWidth="1"/>
    <col min="12800" max="12800" width="11.77734375" customWidth="1"/>
    <col min="12801" max="12801" width="14.109375" customWidth="1"/>
    <col min="12802" max="12802" width="13.77734375" customWidth="1"/>
    <col min="12803" max="12804" width="12.77734375" customWidth="1"/>
    <col min="12805" max="12805" width="13.5546875" customWidth="1"/>
    <col min="12806" max="12806" width="15.21875" customWidth="1"/>
    <col min="12807" max="12807" width="12.77734375" customWidth="1"/>
    <col min="12808" max="12808" width="13.77734375" customWidth="1"/>
    <col min="12809" max="12809" width="1.77734375" customWidth="1"/>
    <col min="12810" max="12810" width="13" customWidth="1"/>
    <col min="12811" max="13050" width="8.77734375"/>
    <col min="13051" max="13051" width="6" customWidth="1"/>
    <col min="13052" max="13052" width="1.44140625" customWidth="1"/>
    <col min="13053" max="13053" width="39.109375" customWidth="1"/>
    <col min="13054" max="13054" width="12" customWidth="1"/>
    <col min="13055" max="13055" width="14.44140625" customWidth="1"/>
    <col min="13056" max="13056" width="11.77734375" customWidth="1"/>
    <col min="13057" max="13057" width="14.109375" customWidth="1"/>
    <col min="13058" max="13058" width="13.77734375" customWidth="1"/>
    <col min="13059" max="13060" width="12.77734375" customWidth="1"/>
    <col min="13061" max="13061" width="13.5546875" customWidth="1"/>
    <col min="13062" max="13062" width="15.21875" customWidth="1"/>
    <col min="13063" max="13063" width="12.77734375" customWidth="1"/>
    <col min="13064" max="13064" width="13.77734375" customWidth="1"/>
    <col min="13065" max="13065" width="1.77734375" customWidth="1"/>
    <col min="13066" max="13066" width="13" customWidth="1"/>
    <col min="13067" max="13306" width="8.77734375"/>
    <col min="13307" max="13307" width="6" customWidth="1"/>
    <col min="13308" max="13308" width="1.44140625" customWidth="1"/>
    <col min="13309" max="13309" width="39.109375" customWidth="1"/>
    <col min="13310" max="13310" width="12" customWidth="1"/>
    <col min="13311" max="13311" width="14.44140625" customWidth="1"/>
    <col min="13312" max="13312" width="11.77734375" customWidth="1"/>
    <col min="13313" max="13313" width="14.109375" customWidth="1"/>
    <col min="13314" max="13314" width="13.77734375" customWidth="1"/>
    <col min="13315" max="13316" width="12.77734375" customWidth="1"/>
    <col min="13317" max="13317" width="13.5546875" customWidth="1"/>
    <col min="13318" max="13318" width="15.21875" customWidth="1"/>
    <col min="13319" max="13319" width="12.77734375" customWidth="1"/>
    <col min="13320" max="13320" width="13.77734375" customWidth="1"/>
    <col min="13321" max="13321" width="1.77734375" customWidth="1"/>
    <col min="13322" max="13322" width="13" customWidth="1"/>
    <col min="13323" max="13562" width="8.77734375"/>
    <col min="13563" max="13563" width="6" customWidth="1"/>
    <col min="13564" max="13564" width="1.44140625" customWidth="1"/>
    <col min="13565" max="13565" width="39.109375" customWidth="1"/>
    <col min="13566" max="13566" width="12" customWidth="1"/>
    <col min="13567" max="13567" width="14.44140625" customWidth="1"/>
    <col min="13568" max="13568" width="11.77734375" customWidth="1"/>
    <col min="13569" max="13569" width="14.109375" customWidth="1"/>
    <col min="13570" max="13570" width="13.77734375" customWidth="1"/>
    <col min="13571" max="13572" width="12.77734375" customWidth="1"/>
    <col min="13573" max="13573" width="13.5546875" customWidth="1"/>
    <col min="13574" max="13574" width="15.21875" customWidth="1"/>
    <col min="13575" max="13575" width="12.77734375" customWidth="1"/>
    <col min="13576" max="13576" width="13.77734375" customWidth="1"/>
    <col min="13577" max="13577" width="1.77734375" customWidth="1"/>
    <col min="13578" max="13578" width="13" customWidth="1"/>
    <col min="13579" max="13818" width="8.77734375"/>
    <col min="13819" max="13819" width="6" customWidth="1"/>
    <col min="13820" max="13820" width="1.44140625" customWidth="1"/>
    <col min="13821" max="13821" width="39.109375" customWidth="1"/>
    <col min="13822" max="13822" width="12" customWidth="1"/>
    <col min="13823" max="13823" width="14.44140625" customWidth="1"/>
    <col min="13824" max="13824" width="11.77734375" customWidth="1"/>
    <col min="13825" max="13825" width="14.109375" customWidth="1"/>
    <col min="13826" max="13826" width="13.77734375" customWidth="1"/>
    <col min="13827" max="13828" width="12.77734375" customWidth="1"/>
    <col min="13829" max="13829" width="13.5546875" customWidth="1"/>
    <col min="13830" max="13830" width="15.21875" customWidth="1"/>
    <col min="13831" max="13831" width="12.77734375" customWidth="1"/>
    <col min="13832" max="13832" width="13.77734375" customWidth="1"/>
    <col min="13833" max="13833" width="1.77734375" customWidth="1"/>
    <col min="13834" max="13834" width="13" customWidth="1"/>
    <col min="13835" max="14074" width="8.77734375"/>
    <col min="14075" max="14075" width="6" customWidth="1"/>
    <col min="14076" max="14076" width="1.44140625" customWidth="1"/>
    <col min="14077" max="14077" width="39.109375" customWidth="1"/>
    <col min="14078" max="14078" width="12" customWidth="1"/>
    <col min="14079" max="14079" width="14.44140625" customWidth="1"/>
    <col min="14080" max="14080" width="11.77734375" customWidth="1"/>
    <col min="14081" max="14081" width="14.109375" customWidth="1"/>
    <col min="14082" max="14082" width="13.77734375" customWidth="1"/>
    <col min="14083" max="14084" width="12.77734375" customWidth="1"/>
    <col min="14085" max="14085" width="13.5546875" customWidth="1"/>
    <col min="14086" max="14086" width="15.21875" customWidth="1"/>
    <col min="14087" max="14087" width="12.77734375" customWidth="1"/>
    <col min="14088" max="14088" width="13.77734375" customWidth="1"/>
    <col min="14089" max="14089" width="1.77734375" customWidth="1"/>
    <col min="14090" max="14090" width="13" customWidth="1"/>
    <col min="14091" max="14330" width="8.77734375"/>
    <col min="14331" max="14331" width="6" customWidth="1"/>
    <col min="14332" max="14332" width="1.44140625" customWidth="1"/>
    <col min="14333" max="14333" width="39.109375" customWidth="1"/>
    <col min="14334" max="14334" width="12" customWidth="1"/>
    <col min="14335" max="14335" width="14.44140625" customWidth="1"/>
    <col min="14336" max="14336" width="11.77734375" customWidth="1"/>
    <col min="14337" max="14337" width="14.109375" customWidth="1"/>
    <col min="14338" max="14338" width="13.77734375" customWidth="1"/>
    <col min="14339" max="14340" width="12.77734375" customWidth="1"/>
    <col min="14341" max="14341" width="13.5546875" customWidth="1"/>
    <col min="14342" max="14342" width="15.21875" customWidth="1"/>
    <col min="14343" max="14343" width="12.77734375" customWidth="1"/>
    <col min="14344" max="14344" width="13.77734375" customWidth="1"/>
    <col min="14345" max="14345" width="1.77734375" customWidth="1"/>
    <col min="14346" max="14346" width="13" customWidth="1"/>
    <col min="14347" max="14586" width="8.77734375"/>
    <col min="14587" max="14587" width="6" customWidth="1"/>
    <col min="14588" max="14588" width="1.44140625" customWidth="1"/>
    <col min="14589" max="14589" width="39.109375" customWidth="1"/>
    <col min="14590" max="14590" width="12" customWidth="1"/>
    <col min="14591" max="14591" width="14.44140625" customWidth="1"/>
    <col min="14592" max="14592" width="11.77734375" customWidth="1"/>
    <col min="14593" max="14593" width="14.109375" customWidth="1"/>
    <col min="14594" max="14594" width="13.77734375" customWidth="1"/>
    <col min="14595" max="14596" width="12.77734375" customWidth="1"/>
    <col min="14597" max="14597" width="13.5546875" customWidth="1"/>
    <col min="14598" max="14598" width="15.21875" customWidth="1"/>
    <col min="14599" max="14599" width="12.77734375" customWidth="1"/>
    <col min="14600" max="14600" width="13.77734375" customWidth="1"/>
    <col min="14601" max="14601" width="1.77734375" customWidth="1"/>
    <col min="14602" max="14602" width="13" customWidth="1"/>
    <col min="14603" max="14842" width="8.77734375"/>
    <col min="14843" max="14843" width="6" customWidth="1"/>
    <col min="14844" max="14844" width="1.44140625" customWidth="1"/>
    <col min="14845" max="14845" width="39.109375" customWidth="1"/>
    <col min="14846" max="14846" width="12" customWidth="1"/>
    <col min="14847" max="14847" width="14.44140625" customWidth="1"/>
    <col min="14848" max="14848" width="11.77734375" customWidth="1"/>
    <col min="14849" max="14849" width="14.109375" customWidth="1"/>
    <col min="14850" max="14850" width="13.77734375" customWidth="1"/>
    <col min="14851" max="14852" width="12.77734375" customWidth="1"/>
    <col min="14853" max="14853" width="13.5546875" customWidth="1"/>
    <col min="14854" max="14854" width="15.21875" customWidth="1"/>
    <col min="14855" max="14855" width="12.77734375" customWidth="1"/>
    <col min="14856" max="14856" width="13.77734375" customWidth="1"/>
    <col min="14857" max="14857" width="1.77734375" customWidth="1"/>
    <col min="14858" max="14858" width="13" customWidth="1"/>
    <col min="14859" max="15098" width="8.77734375"/>
    <col min="15099" max="15099" width="6" customWidth="1"/>
    <col min="15100" max="15100" width="1.44140625" customWidth="1"/>
    <col min="15101" max="15101" width="39.109375" customWidth="1"/>
    <col min="15102" max="15102" width="12" customWidth="1"/>
    <col min="15103" max="15103" width="14.44140625" customWidth="1"/>
    <col min="15104" max="15104" width="11.77734375" customWidth="1"/>
    <col min="15105" max="15105" width="14.109375" customWidth="1"/>
    <col min="15106" max="15106" width="13.77734375" customWidth="1"/>
    <col min="15107" max="15108" width="12.77734375" customWidth="1"/>
    <col min="15109" max="15109" width="13.5546875" customWidth="1"/>
    <col min="15110" max="15110" width="15.21875" customWidth="1"/>
    <col min="15111" max="15111" width="12.77734375" customWidth="1"/>
    <col min="15112" max="15112" width="13.77734375" customWidth="1"/>
    <col min="15113" max="15113" width="1.77734375" customWidth="1"/>
    <col min="15114" max="15114" width="13" customWidth="1"/>
    <col min="15115" max="15354" width="8.77734375"/>
    <col min="15355" max="15355" width="6" customWidth="1"/>
    <col min="15356" max="15356" width="1.44140625" customWidth="1"/>
    <col min="15357" max="15357" width="39.109375" customWidth="1"/>
    <col min="15358" max="15358" width="12" customWidth="1"/>
    <col min="15359" max="15359" width="14.44140625" customWidth="1"/>
    <col min="15360" max="15360" width="11.77734375" customWidth="1"/>
    <col min="15361" max="15361" width="14.109375" customWidth="1"/>
    <col min="15362" max="15362" width="13.77734375" customWidth="1"/>
    <col min="15363" max="15364" width="12.77734375" customWidth="1"/>
    <col min="15365" max="15365" width="13.5546875" customWidth="1"/>
    <col min="15366" max="15366" width="15.21875" customWidth="1"/>
    <col min="15367" max="15367" width="12.77734375" customWidth="1"/>
    <col min="15368" max="15368" width="13.77734375" customWidth="1"/>
    <col min="15369" max="15369" width="1.77734375" customWidth="1"/>
    <col min="15370" max="15370" width="13" customWidth="1"/>
    <col min="15371" max="15610" width="8.77734375"/>
    <col min="15611" max="15611" width="6" customWidth="1"/>
    <col min="15612" max="15612" width="1.44140625" customWidth="1"/>
    <col min="15613" max="15613" width="39.109375" customWidth="1"/>
    <col min="15614" max="15614" width="12" customWidth="1"/>
    <col min="15615" max="15615" width="14.44140625" customWidth="1"/>
    <col min="15616" max="15616" width="11.77734375" customWidth="1"/>
    <col min="15617" max="15617" width="14.109375" customWidth="1"/>
    <col min="15618" max="15618" width="13.77734375" customWidth="1"/>
    <col min="15619" max="15620" width="12.77734375" customWidth="1"/>
    <col min="15621" max="15621" width="13.5546875" customWidth="1"/>
    <col min="15622" max="15622" width="15.21875" customWidth="1"/>
    <col min="15623" max="15623" width="12.77734375" customWidth="1"/>
    <col min="15624" max="15624" width="13.77734375" customWidth="1"/>
    <col min="15625" max="15625" width="1.77734375" customWidth="1"/>
    <col min="15626" max="15626" width="13" customWidth="1"/>
    <col min="15627" max="15866" width="8.77734375"/>
    <col min="15867" max="15867" width="6" customWidth="1"/>
    <col min="15868" max="15868" width="1.44140625" customWidth="1"/>
    <col min="15869" max="15869" width="39.109375" customWidth="1"/>
    <col min="15870" max="15870" width="12" customWidth="1"/>
    <col min="15871" max="15871" width="14.44140625" customWidth="1"/>
    <col min="15872" max="15872" width="11.77734375" customWidth="1"/>
    <col min="15873" max="15873" width="14.109375" customWidth="1"/>
    <col min="15874" max="15874" width="13.77734375" customWidth="1"/>
    <col min="15875" max="15876" width="12.77734375" customWidth="1"/>
    <col min="15877" max="15877" width="13.5546875" customWidth="1"/>
    <col min="15878" max="15878" width="15.21875" customWidth="1"/>
    <col min="15879" max="15879" width="12.77734375" customWidth="1"/>
    <col min="15880" max="15880" width="13.77734375" customWidth="1"/>
    <col min="15881" max="15881" width="1.77734375" customWidth="1"/>
    <col min="15882" max="15882" width="13" customWidth="1"/>
    <col min="15883" max="16122" width="8.77734375"/>
    <col min="16123" max="16123" width="6" customWidth="1"/>
    <col min="16124" max="16124" width="1.44140625" customWidth="1"/>
    <col min="16125" max="16125" width="39.109375" customWidth="1"/>
    <col min="16126" max="16126" width="12" customWidth="1"/>
    <col min="16127" max="16127" width="14.44140625" customWidth="1"/>
    <col min="16128" max="16128" width="11.77734375" customWidth="1"/>
    <col min="16129" max="16129" width="14.109375" customWidth="1"/>
    <col min="16130" max="16130" width="13.77734375" customWidth="1"/>
    <col min="16131" max="16132" width="12.77734375" customWidth="1"/>
    <col min="16133" max="16133" width="13.5546875" customWidth="1"/>
    <col min="16134" max="16134" width="15.21875" customWidth="1"/>
    <col min="16135" max="16135" width="12.77734375" customWidth="1"/>
    <col min="16136" max="16136" width="13.77734375" customWidth="1"/>
    <col min="16137" max="16137" width="1.77734375" customWidth="1"/>
    <col min="16138" max="16138" width="13" customWidth="1"/>
    <col min="16139" max="16378" width="8.77734375"/>
    <col min="16379" max="16384" width="8.77734375" customWidth="1"/>
  </cols>
  <sheetData>
    <row r="1" spans="1:16">
      <c r="I1" s="50" t="s">
        <v>296</v>
      </c>
      <c r="P1" s="278"/>
    </row>
    <row r="2" spans="1:16">
      <c r="I2" s="50" t="s">
        <v>294</v>
      </c>
      <c r="M2" s="785"/>
      <c r="N2" s="785"/>
    </row>
    <row r="3" spans="1:16">
      <c r="I3" s="50" t="s">
        <v>192</v>
      </c>
    </row>
    <row r="4" spans="1:16">
      <c r="I4" s="61" t="str">
        <f>"For the 12 months ended: "&amp;TEXT(INPUT!B1,"mm/dd/yyyy")</f>
        <v>For the 12 months ended: 12/31/2021</v>
      </c>
    </row>
    <row r="5" spans="1:16">
      <c r="C5" s="24"/>
    </row>
    <row r="6" spans="1:16">
      <c r="A6" s="144" t="s">
        <v>255</v>
      </c>
      <c r="B6" s="174"/>
      <c r="C6" s="174"/>
      <c r="D6" s="144"/>
      <c r="E6" s="144"/>
      <c r="F6" s="144"/>
      <c r="G6" s="174"/>
      <c r="H6" s="144"/>
      <c r="I6" s="144"/>
      <c r="K6" s="85"/>
      <c r="L6" s="84"/>
    </row>
    <row r="7" spans="1:16">
      <c r="A7" s="145" t="s">
        <v>297</v>
      </c>
      <c r="B7" s="174"/>
      <c r="C7" s="174"/>
      <c r="D7" s="144"/>
      <c r="E7" s="144"/>
      <c r="F7" s="144"/>
      <c r="G7" s="174"/>
      <c r="H7" s="144"/>
      <c r="I7" s="144"/>
      <c r="K7" s="85"/>
      <c r="L7" s="84"/>
    </row>
    <row r="8" spans="1:16">
      <c r="A8" s="146"/>
      <c r="B8" s="174"/>
      <c r="C8" s="174"/>
      <c r="D8" s="146"/>
      <c r="E8" s="146"/>
      <c r="F8" s="146"/>
      <c r="G8" s="174"/>
      <c r="H8" s="146"/>
      <c r="I8" s="146"/>
      <c r="K8" s="85"/>
      <c r="L8" s="84"/>
    </row>
    <row r="9" spans="1:16">
      <c r="A9" s="258" t="str">
        <f>DEK!A11</f>
        <v>DUKE ENERGY KENTUCKY (DEK)</v>
      </c>
      <c r="B9" s="174"/>
      <c r="C9" s="174"/>
      <c r="D9" s="146"/>
      <c r="E9" s="146"/>
      <c r="F9" s="146"/>
      <c r="G9" s="174"/>
      <c r="H9" s="177"/>
      <c r="I9" s="146"/>
      <c r="K9" s="85"/>
      <c r="L9" s="84"/>
    </row>
    <row r="10" spans="1:16">
      <c r="A10" s="176" t="s">
        <v>597</v>
      </c>
      <c r="B10" s="174"/>
      <c r="C10" s="146"/>
      <c r="D10" s="146"/>
      <c r="E10" s="146"/>
      <c r="F10" s="146"/>
      <c r="G10" s="174"/>
      <c r="H10" s="177"/>
      <c r="I10" s="146"/>
      <c r="K10" s="85"/>
      <c r="L10" s="84"/>
    </row>
    <row r="11" spans="1:16">
      <c r="A11" s="250"/>
      <c r="B11" s="174"/>
      <c r="C11" s="146"/>
      <c r="D11" s="146"/>
      <c r="E11" s="146"/>
      <c r="F11" s="146"/>
      <c r="G11" s="177"/>
      <c r="H11" s="146"/>
      <c r="I11" s="146"/>
      <c r="K11" s="85"/>
      <c r="L11" s="84"/>
    </row>
    <row r="12" spans="1:16">
      <c r="A12" s="146" t="s">
        <v>785</v>
      </c>
      <c r="B12" s="174"/>
      <c r="C12" s="174"/>
      <c r="D12" s="146"/>
      <c r="E12" s="146"/>
      <c r="F12" s="146"/>
      <c r="G12" s="177"/>
      <c r="H12" s="146"/>
      <c r="I12" s="146"/>
      <c r="K12" s="85"/>
      <c r="L12" s="84"/>
    </row>
    <row r="13" spans="1:16">
      <c r="A13" s="86"/>
      <c r="C13" s="1"/>
      <c r="D13" s="1"/>
      <c r="E13" s="1"/>
      <c r="F13" s="1"/>
      <c r="G13" s="17"/>
      <c r="K13" s="84"/>
      <c r="L13" s="84"/>
    </row>
    <row r="14" spans="1:16">
      <c r="A14" s="86"/>
      <c r="C14" s="1"/>
      <c r="D14" s="1"/>
      <c r="E14" s="1"/>
      <c r="F14" s="1"/>
      <c r="G14" s="1"/>
      <c r="K14" s="84"/>
      <c r="L14" s="84"/>
    </row>
    <row r="15" spans="1:16">
      <c r="C15" s="3" t="s">
        <v>18</v>
      </c>
      <c r="D15" s="3"/>
      <c r="E15" s="3" t="s">
        <v>19</v>
      </c>
      <c r="F15" s="3"/>
      <c r="G15" s="3" t="s">
        <v>20</v>
      </c>
      <c r="I15" s="5" t="s">
        <v>21</v>
      </c>
      <c r="K15" s="87"/>
      <c r="L15" s="84"/>
    </row>
    <row r="16" spans="1:16">
      <c r="C16" s="1"/>
      <c r="D16" s="1"/>
      <c r="K16" s="89"/>
      <c r="L16" s="84"/>
    </row>
    <row r="17" spans="1:12">
      <c r="A17" s="26" t="s">
        <v>8</v>
      </c>
      <c r="C17" s="1"/>
      <c r="D17" s="1"/>
      <c r="E17" s="4" t="s">
        <v>296</v>
      </c>
      <c r="F17" s="4"/>
      <c r="G17" s="2"/>
      <c r="K17" s="89"/>
      <c r="L17" s="84"/>
    </row>
    <row r="18" spans="1:12">
      <c r="A18" s="180" t="s">
        <v>10</v>
      </c>
      <c r="B18" s="249"/>
      <c r="C18" s="184"/>
      <c r="D18" s="184"/>
      <c r="E18" s="238" t="s">
        <v>25</v>
      </c>
      <c r="F18" s="238"/>
      <c r="G18" s="180" t="s">
        <v>24</v>
      </c>
      <c r="H18" s="249"/>
      <c r="I18" s="180" t="s">
        <v>13</v>
      </c>
      <c r="K18" s="87"/>
      <c r="L18" s="84"/>
    </row>
    <row r="19" spans="1:12" ht="15.75">
      <c r="A19" s="90"/>
      <c r="C19" s="1" t="s">
        <v>335</v>
      </c>
      <c r="D19" s="1"/>
      <c r="E19" s="4"/>
      <c r="F19" s="2"/>
      <c r="G19" s="2"/>
      <c r="I19" s="2"/>
      <c r="K19" s="87"/>
      <c r="L19" s="84"/>
    </row>
    <row r="20" spans="1:12">
      <c r="A20" s="91">
        <v>1</v>
      </c>
      <c r="C20" s="1" t="s">
        <v>212</v>
      </c>
      <c r="D20" s="1"/>
      <c r="E20" s="4" t="str">
        <f>'Appx C - DEO(MTEP) Pg1'!E20</f>
        <v>Att. H-22A, p 2, line 2, col 5 (Note A)</v>
      </c>
      <c r="F20" s="4"/>
      <c r="G20" s="92">
        <f>DEK!J54</f>
        <v>78920247</v>
      </c>
      <c r="K20" s="87"/>
      <c r="L20" s="84"/>
    </row>
    <row r="21" spans="1:12">
      <c r="A21" s="91">
        <v>2</v>
      </c>
      <c r="C21" s="1" t="s">
        <v>213</v>
      </c>
      <c r="D21" s="1"/>
      <c r="E21" s="4" t="str">
        <f>'Appx C - DEO(MTEP) Pg1'!E21</f>
        <v>Att. H-22A, p 2, line 14, col 5 (Note B)</v>
      </c>
      <c r="F21" s="4"/>
      <c r="G21" s="92">
        <f>DEK!J70</f>
        <v>70381724</v>
      </c>
      <c r="K21" s="87"/>
      <c r="L21" s="84"/>
    </row>
    <row r="22" spans="1:12">
      <c r="A22" s="91"/>
      <c r="E22" s="4"/>
      <c r="F22" s="4"/>
      <c r="K22" s="87"/>
      <c r="L22" s="84"/>
    </row>
    <row r="23" spans="1:12">
      <c r="A23" s="91"/>
      <c r="C23" s="1" t="s">
        <v>193</v>
      </c>
      <c r="D23" s="1"/>
      <c r="E23" s="4"/>
      <c r="F23" s="4"/>
      <c r="G23" s="2"/>
      <c r="I23" s="2"/>
      <c r="K23" s="87"/>
      <c r="L23" s="84"/>
    </row>
    <row r="24" spans="1:12">
      <c r="A24" s="91">
        <v>3</v>
      </c>
      <c r="C24" s="1" t="s">
        <v>214</v>
      </c>
      <c r="D24" s="1"/>
      <c r="E24" s="4" t="str">
        <f>'Appx C - DEO(MTEP) Pg1'!E24</f>
        <v>Att. H-22A, p 3, line 8, col 5</v>
      </c>
      <c r="F24" s="4"/>
      <c r="G24" s="92">
        <f>DEK!J127</f>
        <v>1849327</v>
      </c>
      <c r="K24" s="87"/>
      <c r="L24" s="84"/>
    </row>
    <row r="25" spans="1:12">
      <c r="A25" s="91">
        <v>4</v>
      </c>
      <c r="C25" s="1" t="s">
        <v>215</v>
      </c>
      <c r="D25" s="1"/>
      <c r="E25" s="4" t="str">
        <f>'Appx C - DEO(MTEP) Pg1'!E25</f>
        <v>(line 3 divided by line 1, col 3)</v>
      </c>
      <c r="F25" s="4"/>
      <c r="G25" s="93">
        <f>ROUND(IF(G24=0,0,G24/G20),4)</f>
        <v>2.3400000000000001E-2</v>
      </c>
      <c r="I25" s="94">
        <f>G25</f>
        <v>2.3400000000000001E-2</v>
      </c>
      <c r="K25" s="87"/>
      <c r="L25" s="84"/>
    </row>
    <row r="26" spans="1:12">
      <c r="A26" s="91"/>
      <c r="E26" s="4"/>
      <c r="F26" s="4"/>
      <c r="K26" s="87"/>
      <c r="L26" s="84"/>
    </row>
    <row r="27" spans="1:12" ht="30">
      <c r="A27" s="91"/>
      <c r="C27" s="381" t="s">
        <v>569</v>
      </c>
      <c r="D27" s="1"/>
      <c r="E27" s="67"/>
      <c r="F27" s="4"/>
      <c r="K27" s="87"/>
      <c r="L27" s="84"/>
    </row>
    <row r="28" spans="1:12">
      <c r="A28" s="97" t="s">
        <v>216</v>
      </c>
      <c r="C28" s="1" t="s">
        <v>570</v>
      </c>
      <c r="D28" s="1"/>
      <c r="E28" s="4" t="str">
        <f>'Appx C - DEO(MTEP) Pg1'!E28</f>
        <v>Att. H-22A, p 3, lines 10 &amp; 11, col 5 (Note H)</v>
      </c>
      <c r="F28" s="4"/>
      <c r="G28" s="92">
        <f>DEK!J131+DEK!J132</f>
        <v>136471</v>
      </c>
      <c r="K28" s="87"/>
      <c r="L28" s="84"/>
    </row>
    <row r="29" spans="1:12" ht="30">
      <c r="A29" s="382" t="s">
        <v>217</v>
      </c>
      <c r="C29" s="381" t="s">
        <v>571</v>
      </c>
      <c r="D29" s="1"/>
      <c r="E29" s="383" t="str">
        <f>'Appx C - DEO(MTEP) Pg1'!E29</f>
        <v>(line 5 divided by line 1, col 3)</v>
      </c>
      <c r="F29" s="383"/>
      <c r="G29" s="384">
        <f>ROUND(IF(G28=0,0,G28/G20),4)</f>
        <v>1.6999999999999999E-3</v>
      </c>
      <c r="H29" s="385"/>
      <c r="I29" s="386">
        <f>G29</f>
        <v>1.6999999999999999E-3</v>
      </c>
      <c r="K29" s="87"/>
      <c r="L29" s="84"/>
    </row>
    <row r="30" spans="1:12">
      <c r="A30" s="91"/>
      <c r="E30" s="4"/>
      <c r="F30" s="4"/>
      <c r="K30" s="87"/>
      <c r="L30" s="84"/>
    </row>
    <row r="31" spans="1:12">
      <c r="A31" s="97"/>
      <c r="C31" s="1" t="s">
        <v>196</v>
      </c>
      <c r="D31" s="1"/>
      <c r="E31" s="67"/>
      <c r="F31" s="67"/>
      <c r="G31" s="2"/>
      <c r="I31" s="2"/>
      <c r="K31" s="87"/>
      <c r="L31" s="84"/>
    </row>
    <row r="32" spans="1:12">
      <c r="A32" s="97" t="s">
        <v>219</v>
      </c>
      <c r="C32" s="1" t="s">
        <v>198</v>
      </c>
      <c r="D32" s="1"/>
      <c r="E32" s="4" t="str">
        <f>'Appx C - DEO(MTEP) Pg1'!E32</f>
        <v>Att. H-22A, p 3, line 20, col 5</v>
      </c>
      <c r="F32" s="4"/>
      <c r="G32" s="92">
        <f>DEK!J144</f>
        <v>600808</v>
      </c>
      <c r="K32" s="89"/>
      <c r="L32" s="84"/>
    </row>
    <row r="33" spans="1:12">
      <c r="A33" s="97" t="s">
        <v>221</v>
      </c>
      <c r="C33" s="1" t="s">
        <v>218</v>
      </c>
      <c r="D33" s="1"/>
      <c r="E33" s="4" t="str">
        <f>'Appx C - DEO(MTEP) Pg1'!E33</f>
        <v>(line 7 divided by line 1, col 3)</v>
      </c>
      <c r="F33" s="4"/>
      <c r="G33" s="93">
        <f>ROUND(IF(G32=0,0,G32/G20),4)</f>
        <v>7.6E-3</v>
      </c>
      <c r="I33" s="94">
        <f>G33</f>
        <v>7.6E-3</v>
      </c>
      <c r="K33" s="89"/>
      <c r="L33" s="84"/>
    </row>
    <row r="34" spans="1:12">
      <c r="A34" s="97"/>
      <c r="C34" s="1"/>
      <c r="D34" s="1"/>
      <c r="E34" s="4"/>
      <c r="F34" s="4"/>
      <c r="G34" s="2"/>
      <c r="I34" s="2"/>
      <c r="K34" s="87"/>
      <c r="L34" s="84"/>
    </row>
    <row r="35" spans="1:12" ht="15.75">
      <c r="A35" s="98" t="s">
        <v>194</v>
      </c>
      <c r="B35" s="99"/>
      <c r="C35" s="10" t="s">
        <v>220</v>
      </c>
      <c r="D35" s="10"/>
      <c r="E35" s="88" t="s">
        <v>402</v>
      </c>
      <c r="F35" s="88"/>
      <c r="G35" s="100"/>
      <c r="I35" s="101">
        <f>I25+I29+I33</f>
        <v>3.27E-2</v>
      </c>
      <c r="K35" s="87"/>
      <c r="L35" s="84"/>
    </row>
    <row r="36" spans="1:12">
      <c r="A36" s="229"/>
      <c r="C36" s="1"/>
      <c r="D36" s="1"/>
      <c r="E36" s="4"/>
      <c r="F36" s="4"/>
      <c r="G36" s="2"/>
      <c r="I36" s="2"/>
      <c r="K36" s="87"/>
      <c r="L36" s="84"/>
    </row>
    <row r="37" spans="1:12">
      <c r="A37" s="97"/>
      <c r="B37" s="102"/>
      <c r="C37" s="2" t="s">
        <v>200</v>
      </c>
      <c r="D37" s="2"/>
      <c r="E37" s="4"/>
      <c r="F37" s="4"/>
      <c r="G37" s="2"/>
      <c r="I37" s="2"/>
      <c r="K37" s="89"/>
      <c r="L37" s="87" t="s">
        <v>7</v>
      </c>
    </row>
    <row r="38" spans="1:12">
      <c r="A38" s="97" t="s">
        <v>195</v>
      </c>
      <c r="B38" s="102"/>
      <c r="C38" s="2" t="s">
        <v>125</v>
      </c>
      <c r="D38" s="2"/>
      <c r="E38" s="4" t="str">
        <f>'Appx C - DEO(MTEP) Pg1'!E38</f>
        <v>Att. H-22A, p 3, line 29, col 5</v>
      </c>
      <c r="F38" s="4"/>
      <c r="G38" s="92">
        <f>DEK!J161</f>
        <v>846102</v>
      </c>
      <c r="I38" s="2"/>
      <c r="K38" s="89"/>
      <c r="L38" s="87"/>
    </row>
    <row r="39" spans="1:12">
      <c r="A39" s="97" t="s">
        <v>197</v>
      </c>
      <c r="B39" s="102"/>
      <c r="C39" s="2" t="s">
        <v>222</v>
      </c>
      <c r="D39" s="2"/>
      <c r="E39" s="4" t="str">
        <f>'Appx C - DEO(MTEP) Pg1'!E39</f>
        <v>(line 10 divided by line 2, col 3)</v>
      </c>
      <c r="F39" s="4"/>
      <c r="G39" s="93">
        <f>ROUND(IF(G38=0,0,G38/G21),4)</f>
        <v>1.2E-2</v>
      </c>
      <c r="I39" s="94">
        <f>G39</f>
        <v>1.2E-2</v>
      </c>
      <c r="K39" s="89"/>
      <c r="L39" s="87"/>
    </row>
    <row r="40" spans="1:12">
      <c r="A40" s="97"/>
      <c r="C40" s="2"/>
      <c r="D40" s="2"/>
      <c r="E40" s="4"/>
      <c r="F40" s="4"/>
      <c r="G40" s="2"/>
      <c r="I40" s="2"/>
      <c r="K40" s="84"/>
      <c r="L40" s="84"/>
    </row>
    <row r="41" spans="1:12">
      <c r="A41" s="97"/>
      <c r="C41" s="1" t="s">
        <v>59</v>
      </c>
      <c r="D41" s="1"/>
      <c r="E41" s="15"/>
      <c r="F41" s="15"/>
      <c r="K41" s="87"/>
      <c r="L41" s="84"/>
    </row>
    <row r="42" spans="1:12">
      <c r="A42" s="97" t="s">
        <v>199</v>
      </c>
      <c r="C42" s="1" t="s">
        <v>201</v>
      </c>
      <c r="D42" s="1"/>
      <c r="E42" s="4" t="str">
        <f>'Appx C - DEO(MTEP) Pg1'!E42</f>
        <v>Att. H-22A, p 3, line 30, col 5</v>
      </c>
      <c r="F42" s="4"/>
      <c r="G42" s="92">
        <f>DEK!J163</f>
        <v>4435772</v>
      </c>
      <c r="I42" s="2"/>
      <c r="K42" s="87"/>
      <c r="L42" s="84"/>
    </row>
    <row r="43" spans="1:12">
      <c r="A43" s="97" t="s">
        <v>260</v>
      </c>
      <c r="B43" s="102"/>
      <c r="C43" s="2" t="s">
        <v>223</v>
      </c>
      <c r="D43" s="2"/>
      <c r="E43" s="4" t="str">
        <f>'Appx C - DEO(MTEP) Pg1'!E43</f>
        <v>(line 12 divided by line 2, col 3)</v>
      </c>
      <c r="F43" s="4"/>
      <c r="G43" s="103">
        <f>ROUND(IF(G42=0,0,G42/G21),4)</f>
        <v>6.3E-2</v>
      </c>
      <c r="I43" s="94">
        <f>G43</f>
        <v>6.3E-2</v>
      </c>
      <c r="K43" s="89"/>
      <c r="L43" s="87"/>
    </row>
    <row r="44" spans="1:12">
      <c r="A44" s="97"/>
      <c r="C44" s="1"/>
      <c r="D44" s="1"/>
      <c r="E44" s="4"/>
      <c r="F44" s="4"/>
      <c r="G44" s="2"/>
      <c r="I44" s="2"/>
      <c r="K44" s="87"/>
      <c r="L44" s="84"/>
    </row>
    <row r="45" spans="1:12" ht="15.75">
      <c r="A45" s="98" t="s">
        <v>261</v>
      </c>
      <c r="B45" s="99"/>
      <c r="C45" s="10" t="s">
        <v>224</v>
      </c>
      <c r="D45" s="10"/>
      <c r="E45" s="88" t="s">
        <v>337</v>
      </c>
      <c r="F45" s="88"/>
      <c r="G45" s="100"/>
      <c r="I45" s="101">
        <f>I39+I43</f>
        <v>7.4999999999999997E-2</v>
      </c>
      <c r="K45" s="87"/>
      <c r="L45" s="84"/>
    </row>
    <row r="46" spans="1:12">
      <c r="K46" s="87"/>
      <c r="L46" s="84"/>
    </row>
    <row r="47" spans="1:12">
      <c r="A47" s="106"/>
      <c r="C47" s="97"/>
      <c r="D47" s="97"/>
      <c r="E47" s="67"/>
      <c r="F47" s="67"/>
      <c r="G47" s="2"/>
      <c r="H47" s="9"/>
      <c r="I47" s="9"/>
      <c r="J47" s="93"/>
      <c r="K47" s="91"/>
      <c r="L47" s="87"/>
    </row>
    <row r="48" spans="1:12">
      <c r="A48" s="86"/>
      <c r="C48" s="9"/>
      <c r="D48" s="9"/>
      <c r="E48" s="9"/>
      <c r="F48" s="9"/>
      <c r="G48" s="2"/>
      <c r="H48" s="9"/>
      <c r="I48" s="9"/>
      <c r="J48" s="9"/>
      <c r="K48" s="89"/>
      <c r="L48" s="87" t="s">
        <v>7</v>
      </c>
    </row>
    <row r="49" spans="11:24">
      <c r="X49" s="50" t="s">
        <v>296</v>
      </c>
    </row>
    <row r="50" spans="11:24">
      <c r="X50" s="50" t="s">
        <v>294</v>
      </c>
    </row>
    <row r="51" spans="11:24">
      <c r="X51" s="107" t="s">
        <v>202</v>
      </c>
    </row>
    <row r="52" spans="11:24">
      <c r="K52" s="86"/>
      <c r="M52" s="9"/>
      <c r="N52" s="9"/>
      <c r="O52" s="9"/>
      <c r="P52" s="9"/>
      <c r="Q52" s="2"/>
      <c r="R52" s="9"/>
      <c r="S52" s="9"/>
      <c r="T52" s="9"/>
      <c r="U52" s="9"/>
      <c r="W52" s="2"/>
      <c r="X52" s="107" t="str">
        <f>I4</f>
        <v>For the 12 months ended: 12/31/2021</v>
      </c>
    </row>
    <row r="53" spans="11:24">
      <c r="K53" s="86"/>
      <c r="M53" s="1"/>
      <c r="N53" s="9"/>
      <c r="O53" s="9"/>
      <c r="P53" s="9"/>
      <c r="Q53" s="2"/>
      <c r="R53" s="9"/>
      <c r="S53" s="9"/>
      <c r="T53" s="9"/>
      <c r="U53" s="9"/>
      <c r="W53" s="2"/>
    </row>
    <row r="54" spans="11:24">
      <c r="K54" s="70" t="str">
        <f>A6</f>
        <v>Rate Formula Template</v>
      </c>
      <c r="L54" s="174"/>
      <c r="M54" s="174"/>
      <c r="N54" s="146"/>
      <c r="O54" s="70"/>
      <c r="P54" s="70"/>
      <c r="Q54" s="174"/>
      <c r="R54" s="70"/>
      <c r="S54" s="70"/>
      <c r="T54" s="70"/>
      <c r="U54" s="70"/>
      <c r="V54" s="174"/>
      <c r="W54" s="145"/>
      <c r="X54" s="174"/>
    </row>
    <row r="55" spans="11:24">
      <c r="K55" s="70" t="str">
        <f>A7</f>
        <v>Utilizing Attachment H-22A Data</v>
      </c>
      <c r="L55" s="174"/>
      <c r="M55" s="146"/>
      <c r="N55" s="146"/>
      <c r="O55" s="70"/>
      <c r="P55" s="70"/>
      <c r="Q55" s="174"/>
      <c r="R55" s="70"/>
      <c r="S55" s="70"/>
      <c r="T55" s="70"/>
      <c r="U55" s="70"/>
      <c r="V55" s="145"/>
      <c r="W55" s="145"/>
      <c r="X55" s="174"/>
    </row>
    <row r="56" spans="11:24" ht="14.25" customHeight="1">
      <c r="K56" s="173"/>
      <c r="M56" s="9"/>
      <c r="N56" s="9"/>
      <c r="O56" s="9"/>
      <c r="P56" s="9"/>
      <c r="R56" s="70"/>
      <c r="S56" s="9"/>
      <c r="T56" s="9"/>
      <c r="U56" s="9"/>
      <c r="W56" s="2"/>
      <c r="X56" s="9"/>
    </row>
    <row r="57" spans="11:24">
      <c r="K57" s="70" t="str">
        <f>A9</f>
        <v>DUKE ENERGY KENTUCKY (DEK)</v>
      </c>
      <c r="L57" s="174"/>
      <c r="M57" s="174"/>
      <c r="N57" s="174"/>
      <c r="O57" s="70"/>
      <c r="P57" s="70"/>
      <c r="Q57" s="174"/>
      <c r="R57" s="70"/>
      <c r="S57" s="70"/>
      <c r="T57" s="70"/>
      <c r="U57" s="70"/>
      <c r="V57" s="70"/>
      <c r="W57" s="145"/>
      <c r="X57" s="145"/>
    </row>
    <row r="58" spans="11:24">
      <c r="K58" s="70" t="str">
        <f>A10</f>
        <v>MTEP - Transmission Enhancement Charges</v>
      </c>
      <c r="L58" s="174"/>
      <c r="M58" s="174"/>
      <c r="N58" s="174"/>
      <c r="O58" s="146"/>
      <c r="P58" s="146"/>
      <c r="Q58" s="146"/>
      <c r="R58" s="146"/>
      <c r="S58" s="146"/>
      <c r="T58" s="146"/>
      <c r="U58" s="146"/>
      <c r="V58" s="146"/>
      <c r="W58" s="146"/>
      <c r="X58" s="146"/>
    </row>
    <row r="59" spans="11:24">
      <c r="K59" s="86"/>
      <c r="O59" s="1"/>
      <c r="P59" s="1"/>
      <c r="Q59" s="1"/>
      <c r="R59" s="1"/>
      <c r="S59" s="1"/>
      <c r="T59" s="1"/>
      <c r="U59" s="1"/>
      <c r="V59" s="1"/>
      <c r="W59" s="1"/>
      <c r="X59" s="1"/>
    </row>
    <row r="60" spans="11:24" ht="15.75">
      <c r="K60" s="175" t="s">
        <v>269</v>
      </c>
      <c r="L60" s="174"/>
      <c r="M60" s="70"/>
      <c r="N60" s="70"/>
      <c r="O60" s="174"/>
      <c r="P60" s="175"/>
      <c r="Q60" s="174"/>
      <c r="R60" s="146"/>
      <c r="S60" s="146"/>
      <c r="T60" s="146"/>
      <c r="U60" s="146"/>
      <c r="V60" s="146"/>
      <c r="W60" s="145"/>
      <c r="X60" s="145"/>
    </row>
    <row r="61" spans="11:24" ht="15.75">
      <c r="K61" s="86"/>
      <c r="M61" s="9"/>
      <c r="N61" s="9"/>
      <c r="O61" s="10"/>
      <c r="P61" s="10"/>
      <c r="R61" s="1"/>
      <c r="S61" s="1"/>
      <c r="T61" s="1"/>
      <c r="U61" s="1"/>
      <c r="V61" s="1"/>
      <c r="W61" s="2"/>
      <c r="X61" s="2"/>
    </row>
    <row r="62" spans="11:24" ht="15.75">
      <c r="K62" s="86"/>
      <c r="M62" s="108">
        <v>-1</v>
      </c>
      <c r="N62" s="108">
        <v>-2</v>
      </c>
      <c r="O62" s="108">
        <v>-3</v>
      </c>
      <c r="P62" s="108">
        <v>-4</v>
      </c>
      <c r="Q62" s="108">
        <v>-5</v>
      </c>
      <c r="R62" s="108">
        <v>-6</v>
      </c>
      <c r="S62" s="108">
        <v>-7</v>
      </c>
      <c r="T62" s="108">
        <v>-8</v>
      </c>
      <c r="U62" s="108">
        <v>-9</v>
      </c>
      <c r="V62" s="108">
        <v>-10</v>
      </c>
      <c r="W62" s="108">
        <v>-11</v>
      </c>
      <c r="X62" s="108">
        <v>-12</v>
      </c>
    </row>
    <row r="63" spans="11:24" ht="63">
      <c r="K63" s="109" t="s">
        <v>225</v>
      </c>
      <c r="L63" s="110"/>
      <c r="M63" s="110" t="s">
        <v>206</v>
      </c>
      <c r="N63" s="111" t="s">
        <v>226</v>
      </c>
      <c r="O63" s="112" t="s">
        <v>227</v>
      </c>
      <c r="P63" s="112" t="s">
        <v>220</v>
      </c>
      <c r="Q63" s="113" t="s">
        <v>228</v>
      </c>
      <c r="R63" s="112" t="s">
        <v>229</v>
      </c>
      <c r="S63" s="112" t="s">
        <v>224</v>
      </c>
      <c r="T63" s="113" t="s">
        <v>230</v>
      </c>
      <c r="U63" s="112" t="s">
        <v>231</v>
      </c>
      <c r="V63" s="114" t="s">
        <v>232</v>
      </c>
      <c r="W63" s="115" t="s">
        <v>233</v>
      </c>
      <c r="X63" s="114" t="s">
        <v>234</v>
      </c>
    </row>
    <row r="64" spans="11:24" ht="46.5" customHeight="1">
      <c r="K64" s="116"/>
      <c r="L64" s="117"/>
      <c r="M64" s="117"/>
      <c r="N64" s="117"/>
      <c r="O64" s="118" t="s">
        <v>16</v>
      </c>
      <c r="P64" s="118" t="s">
        <v>694</v>
      </c>
      <c r="Q64" s="119" t="s">
        <v>235</v>
      </c>
      <c r="R64" s="118" t="s">
        <v>17</v>
      </c>
      <c r="S64" s="118" t="s">
        <v>695</v>
      </c>
      <c r="T64" s="119" t="s">
        <v>236</v>
      </c>
      <c r="U64" s="118" t="s">
        <v>237</v>
      </c>
      <c r="V64" s="119" t="s">
        <v>238</v>
      </c>
      <c r="W64" s="120" t="s">
        <v>203</v>
      </c>
      <c r="X64" s="121" t="s">
        <v>239</v>
      </c>
    </row>
    <row r="65" spans="11:24">
      <c r="K65" s="122"/>
      <c r="L65" s="1"/>
      <c r="M65" s="1"/>
      <c r="N65" s="1"/>
      <c r="O65" s="1"/>
      <c r="P65" s="1"/>
      <c r="Q65" s="123"/>
      <c r="R65" s="1"/>
      <c r="S65" s="1"/>
      <c r="T65" s="123"/>
      <c r="U65" s="1"/>
      <c r="V65" s="123"/>
      <c r="W65" s="2"/>
      <c r="X65" s="124"/>
    </row>
    <row r="66" spans="11:24">
      <c r="K66" s="610" t="s">
        <v>1</v>
      </c>
      <c r="L66" s="255"/>
      <c r="M66" s="255" t="s">
        <v>240</v>
      </c>
      <c r="N66" s="608" t="s">
        <v>241</v>
      </c>
      <c r="O66" s="160">
        <v>0</v>
      </c>
      <c r="P66" s="94">
        <f>$I$35</f>
        <v>3.27E-2</v>
      </c>
      <c r="Q66" s="565">
        <f>ROUND(O66*P66,0)</f>
        <v>0</v>
      </c>
      <c r="R66" s="126">
        <v>0</v>
      </c>
      <c r="S66" s="94">
        <f>$I$45</f>
        <v>7.4999999999999997E-2</v>
      </c>
      <c r="T66" s="565">
        <f>ROUND(R66*S66,0)</f>
        <v>0</v>
      </c>
      <c r="U66" s="566">
        <v>0</v>
      </c>
      <c r="V66" s="565">
        <f>Q66+T66+U66</f>
        <v>0</v>
      </c>
      <c r="W66" s="128">
        <v>0</v>
      </c>
      <c r="X66" s="565">
        <f>V66+W66</f>
        <v>0</v>
      </c>
    </row>
    <row r="67" spans="11:24">
      <c r="K67" s="610" t="s">
        <v>242</v>
      </c>
      <c r="L67" s="255"/>
      <c r="M67" s="255" t="s">
        <v>243</v>
      </c>
      <c r="N67" s="608" t="s">
        <v>244</v>
      </c>
      <c r="O67" s="160">
        <v>0</v>
      </c>
      <c r="P67" s="94">
        <f>$I$35</f>
        <v>3.27E-2</v>
      </c>
      <c r="Q67" s="565">
        <f t="shared" ref="Q67:Q68" si="0">ROUND(O67*P67,0)</f>
        <v>0</v>
      </c>
      <c r="R67" s="126">
        <v>0</v>
      </c>
      <c r="S67" s="94">
        <f>$I$45</f>
        <v>7.4999999999999997E-2</v>
      </c>
      <c r="T67" s="565">
        <f t="shared" ref="T67:T68" si="1">ROUND(R67*S67,0)</f>
        <v>0</v>
      </c>
      <c r="U67" s="566">
        <v>0</v>
      </c>
      <c r="V67" s="565">
        <f>Q67+T67+U67</f>
        <v>0</v>
      </c>
      <c r="W67" s="128">
        <v>0</v>
      </c>
      <c r="X67" s="565">
        <f>V67+W67</f>
        <v>0</v>
      </c>
    </row>
    <row r="68" spans="11:24">
      <c r="K68" s="611" t="s">
        <v>245</v>
      </c>
      <c r="L68" s="255"/>
      <c r="M68" s="255" t="s">
        <v>246</v>
      </c>
      <c r="N68" s="608" t="s">
        <v>247</v>
      </c>
      <c r="O68" s="160">
        <v>0</v>
      </c>
      <c r="P68" s="94">
        <f>$I$35</f>
        <v>3.27E-2</v>
      </c>
      <c r="Q68" s="565">
        <f t="shared" si="0"/>
        <v>0</v>
      </c>
      <c r="R68" s="126">
        <v>0</v>
      </c>
      <c r="S68" s="94">
        <f>$I$45</f>
        <v>7.4999999999999997E-2</v>
      </c>
      <c r="T68" s="565">
        <f t="shared" si="1"/>
        <v>0</v>
      </c>
      <c r="U68" s="566">
        <v>0</v>
      </c>
      <c r="V68" s="565">
        <f>Q68+T68+U68</f>
        <v>0</v>
      </c>
      <c r="W68" s="126">
        <v>0</v>
      </c>
      <c r="X68" s="565">
        <f>V68+W68</f>
        <v>0</v>
      </c>
    </row>
    <row r="69" spans="11:24">
      <c r="K69" s="125"/>
      <c r="Q69" s="127"/>
      <c r="T69" s="127"/>
      <c r="V69" s="127"/>
      <c r="X69" s="127"/>
    </row>
    <row r="70" spans="11:24">
      <c r="K70" s="125"/>
      <c r="Q70" s="127"/>
      <c r="T70" s="127"/>
      <c r="V70" s="127"/>
      <c r="X70" s="127"/>
    </row>
    <row r="71" spans="11:24">
      <c r="K71" s="125"/>
      <c r="Q71" s="127"/>
      <c r="T71" s="127"/>
      <c r="V71" s="127"/>
      <c r="X71" s="127"/>
    </row>
    <row r="72" spans="11:24">
      <c r="K72" s="125"/>
      <c r="Q72" s="127"/>
      <c r="T72" s="127"/>
      <c r="V72" s="127"/>
      <c r="X72" s="127"/>
    </row>
    <row r="73" spans="11:24">
      <c r="K73" s="125"/>
      <c r="Q73" s="127"/>
      <c r="T73" s="127"/>
      <c r="V73" s="127"/>
      <c r="X73" s="127"/>
    </row>
    <row r="74" spans="11:24">
      <c r="K74" s="125"/>
      <c r="M74" s="129"/>
      <c r="N74" s="129"/>
      <c r="O74" s="129"/>
      <c r="P74" s="129"/>
      <c r="Q74" s="130"/>
      <c r="R74" s="129"/>
      <c r="S74" s="129"/>
      <c r="T74" s="130"/>
      <c r="U74" s="129"/>
      <c r="V74" s="130"/>
      <c r="W74" s="129"/>
      <c r="X74" s="130"/>
    </row>
    <row r="75" spans="11:24">
      <c r="K75" s="125"/>
      <c r="M75" s="129"/>
      <c r="N75" s="129"/>
      <c r="O75" s="129"/>
      <c r="P75" s="129"/>
      <c r="Q75" s="130"/>
      <c r="R75" s="129"/>
      <c r="S75" s="129"/>
      <c r="T75" s="130"/>
      <c r="U75" s="129"/>
      <c r="V75" s="130"/>
      <c r="W75" s="129"/>
      <c r="X75" s="130"/>
    </row>
    <row r="76" spans="11:24">
      <c r="K76" s="125"/>
      <c r="M76" s="129"/>
      <c r="N76" s="129"/>
      <c r="O76" s="129"/>
      <c r="P76" s="129"/>
      <c r="Q76" s="130"/>
      <c r="R76" s="129"/>
      <c r="S76" s="129"/>
      <c r="T76" s="130"/>
      <c r="U76" s="129"/>
      <c r="V76" s="130"/>
      <c r="W76" s="129"/>
      <c r="X76" s="130"/>
    </row>
    <row r="77" spans="11:24">
      <c r="K77" s="125"/>
      <c r="M77" s="129"/>
      <c r="N77" s="129"/>
      <c r="O77" s="129"/>
      <c r="P77" s="129"/>
      <c r="Q77" s="130"/>
      <c r="R77" s="129"/>
      <c r="S77" s="129"/>
      <c r="T77" s="130"/>
      <c r="U77" s="129"/>
      <c r="V77" s="130"/>
      <c r="W77" s="129"/>
      <c r="X77" s="130"/>
    </row>
    <row r="78" spans="11:24">
      <c r="K78" s="125"/>
      <c r="M78" s="129"/>
      <c r="N78" s="129"/>
      <c r="O78" s="129"/>
      <c r="P78" s="129"/>
      <c r="Q78" s="130"/>
      <c r="R78" s="129"/>
      <c r="S78" s="129"/>
      <c r="T78" s="130"/>
      <c r="U78" s="129"/>
      <c r="V78" s="130"/>
      <c r="W78" s="129"/>
      <c r="X78" s="130"/>
    </row>
    <row r="79" spans="11:24">
      <c r="K79" s="125"/>
      <c r="M79" s="129"/>
      <c r="N79" s="129"/>
      <c r="O79" s="129"/>
      <c r="P79" s="129"/>
      <c r="Q79" s="130"/>
      <c r="R79" s="129"/>
      <c r="S79" s="129"/>
      <c r="T79" s="130"/>
      <c r="U79" s="129"/>
      <c r="V79" s="130"/>
      <c r="W79" s="129"/>
      <c r="X79" s="130"/>
    </row>
    <row r="80" spans="11:24">
      <c r="K80" s="125"/>
      <c r="M80" s="129"/>
      <c r="N80" s="129"/>
      <c r="O80" s="129"/>
      <c r="P80" s="129"/>
      <c r="Q80" s="130"/>
      <c r="R80" s="129"/>
      <c r="S80" s="129"/>
      <c r="T80" s="130"/>
      <c r="U80" s="129"/>
      <c r="V80" s="130"/>
      <c r="W80" s="129"/>
      <c r="X80" s="130"/>
    </row>
    <row r="81" spans="11:24">
      <c r="K81" s="125"/>
      <c r="M81" s="129"/>
      <c r="N81" s="129"/>
      <c r="O81" s="129"/>
      <c r="P81" s="129"/>
      <c r="Q81" s="130"/>
      <c r="R81" s="129"/>
      <c r="S81" s="129"/>
      <c r="T81" s="130"/>
      <c r="U81" s="129"/>
      <c r="V81" s="130"/>
      <c r="W81" s="129"/>
      <c r="X81" s="130"/>
    </row>
    <row r="82" spans="11:24">
      <c r="K82" s="125"/>
      <c r="M82" s="129"/>
      <c r="N82" s="129"/>
      <c r="O82" s="129"/>
      <c r="P82" s="129"/>
      <c r="Q82" s="130"/>
      <c r="R82" s="129"/>
      <c r="S82" s="129"/>
      <c r="T82" s="130"/>
      <c r="U82" s="129"/>
      <c r="V82" s="130"/>
      <c r="W82" s="129"/>
      <c r="X82" s="130"/>
    </row>
    <row r="83" spans="11:24">
      <c r="K83" s="125"/>
      <c r="M83" s="129"/>
      <c r="N83" s="129"/>
      <c r="O83" s="129"/>
      <c r="P83" s="129"/>
      <c r="Q83" s="130"/>
      <c r="R83" s="129"/>
      <c r="S83" s="129"/>
      <c r="T83" s="130"/>
      <c r="U83" s="129"/>
      <c r="V83" s="130"/>
      <c r="W83" s="129"/>
      <c r="X83" s="130"/>
    </row>
    <row r="84" spans="11:24">
      <c r="K84" s="125"/>
      <c r="M84" s="129"/>
      <c r="N84" s="129"/>
      <c r="O84" s="129"/>
      <c r="P84" s="129"/>
      <c r="Q84" s="130"/>
      <c r="R84" s="129"/>
      <c r="S84" s="129"/>
      <c r="T84" s="130"/>
      <c r="U84" s="129"/>
      <c r="V84" s="130"/>
      <c r="W84" s="129"/>
      <c r="X84" s="130"/>
    </row>
    <row r="85" spans="11:24">
      <c r="K85" s="131"/>
      <c r="L85" s="132"/>
      <c r="M85" s="133"/>
      <c r="N85" s="133"/>
      <c r="O85" s="133"/>
      <c r="P85" s="133"/>
      <c r="Q85" s="134"/>
      <c r="R85" s="133"/>
      <c r="S85" s="133"/>
      <c r="T85" s="134"/>
      <c r="U85" s="133"/>
      <c r="V85" s="134"/>
      <c r="W85" s="133"/>
      <c r="X85" s="134"/>
    </row>
    <row r="86" spans="11:24">
      <c r="K86" s="5" t="s">
        <v>248</v>
      </c>
      <c r="L86" s="102"/>
      <c r="M86" s="1" t="s">
        <v>249</v>
      </c>
      <c r="N86" s="1"/>
      <c r="O86" s="67"/>
      <c r="P86" s="67"/>
      <c r="Q86" s="2"/>
      <c r="R86" s="2"/>
      <c r="S86" s="2"/>
      <c r="T86" s="2"/>
      <c r="U86" s="2"/>
      <c r="V86" s="544">
        <f>SUM(V66:V85)</f>
        <v>0</v>
      </c>
      <c r="W86" s="544">
        <f>SUM(W66:W85)</f>
        <v>0</v>
      </c>
      <c r="X86" s="544">
        <f>SUM(X66:X85)</f>
        <v>0</v>
      </c>
    </row>
    <row r="87" spans="11:24">
      <c r="K87" s="52"/>
      <c r="L87" s="129"/>
      <c r="M87" s="129"/>
      <c r="N87" s="129"/>
      <c r="O87" s="129"/>
      <c r="P87" s="129"/>
      <c r="Q87" s="129"/>
      <c r="R87" s="129"/>
      <c r="S87" s="129"/>
      <c r="T87" s="129"/>
      <c r="U87" s="129"/>
      <c r="V87" s="564"/>
      <c r="W87" s="564"/>
      <c r="X87" s="564"/>
    </row>
    <row r="88" spans="11:24">
      <c r="K88" s="135">
        <v>3</v>
      </c>
      <c r="L88" s="129"/>
      <c r="M88" s="9" t="str">
        <f>'Appx C - DEOK(MTEP)'!D40</f>
        <v>MTEP Transmission Enhancement Charges</v>
      </c>
      <c r="N88" s="129"/>
      <c r="O88" s="129"/>
      <c r="P88" s="129"/>
      <c r="Q88" s="129"/>
      <c r="R88" s="129"/>
      <c r="S88" s="129"/>
      <c r="T88" s="129"/>
      <c r="U88" s="129"/>
      <c r="V88" s="544"/>
      <c r="W88" s="564"/>
      <c r="X88" s="544">
        <f>X86</f>
        <v>0</v>
      </c>
    </row>
    <row r="89" spans="11:24">
      <c r="K89" s="129"/>
      <c r="L89" s="129"/>
      <c r="M89" s="129"/>
      <c r="N89" s="129"/>
      <c r="O89" s="129"/>
      <c r="P89" s="129"/>
      <c r="Q89" s="129"/>
      <c r="R89" s="129"/>
      <c r="S89" s="129"/>
      <c r="T89" s="129"/>
      <c r="U89" s="129"/>
      <c r="V89" s="129"/>
      <c r="W89" s="129"/>
      <c r="X89" s="129"/>
    </row>
    <row r="90" spans="11:24">
      <c r="K90" s="129"/>
      <c r="L90" s="129"/>
      <c r="M90" s="129"/>
      <c r="N90" s="129"/>
      <c r="O90" s="129"/>
      <c r="P90" s="129"/>
      <c r="Q90" s="129"/>
      <c r="R90" s="129"/>
      <c r="S90" s="129"/>
      <c r="T90" s="129"/>
      <c r="U90" s="129"/>
      <c r="V90" s="129"/>
      <c r="W90" s="129"/>
      <c r="X90" s="129"/>
    </row>
    <row r="91" spans="11:24">
      <c r="K91" s="67" t="s">
        <v>94</v>
      </c>
      <c r="L91" s="129"/>
      <c r="M91" s="129"/>
      <c r="N91" s="129"/>
      <c r="O91" s="129"/>
      <c r="P91" s="129"/>
      <c r="Q91" s="129"/>
      <c r="R91" s="129"/>
      <c r="S91" s="129"/>
      <c r="T91" s="129"/>
      <c r="U91" s="129"/>
      <c r="V91" s="129"/>
      <c r="W91" s="129"/>
      <c r="X91" s="129"/>
    </row>
    <row r="92" spans="11:24" ht="15.75" thickBot="1">
      <c r="K92" s="492" t="s">
        <v>95</v>
      </c>
      <c r="L92" s="129"/>
      <c r="M92" s="129"/>
      <c r="N92" s="129"/>
      <c r="O92" s="129"/>
      <c r="P92" s="129"/>
      <c r="Q92" s="129"/>
      <c r="R92" s="129"/>
      <c r="S92" s="129"/>
      <c r="T92" s="129"/>
      <c r="U92" s="129"/>
      <c r="V92" s="129"/>
      <c r="W92" s="129"/>
      <c r="X92" s="129"/>
    </row>
    <row r="93" spans="11:24">
      <c r="K93" s="136" t="s">
        <v>96</v>
      </c>
      <c r="L93" s="66"/>
      <c r="M93" s="1033" t="s">
        <v>573</v>
      </c>
      <c r="N93" s="1034"/>
      <c r="O93" s="1034"/>
      <c r="P93" s="1034"/>
      <c r="Q93" s="1034"/>
      <c r="R93" s="1034"/>
      <c r="S93" s="1034"/>
      <c r="T93" s="1034"/>
      <c r="U93" s="1034"/>
      <c r="V93" s="1034"/>
      <c r="W93" s="1034"/>
      <c r="X93" s="1034"/>
    </row>
    <row r="94" spans="11:24">
      <c r="K94" s="136" t="s">
        <v>97</v>
      </c>
      <c r="L94" s="66"/>
      <c r="M94" s="1033" t="s">
        <v>574</v>
      </c>
      <c r="N94" s="1034"/>
      <c r="O94" s="1034"/>
      <c r="P94" s="1034"/>
      <c r="Q94" s="1034"/>
      <c r="R94" s="1034"/>
      <c r="S94" s="1034"/>
      <c r="T94" s="1034"/>
      <c r="U94" s="1034"/>
      <c r="V94" s="1034"/>
      <c r="W94" s="1034"/>
      <c r="X94" s="1034"/>
    </row>
    <row r="95" spans="11:24" ht="27.75" customHeight="1">
      <c r="K95" s="137" t="s">
        <v>98</v>
      </c>
      <c r="L95" s="66"/>
      <c r="M95" s="1035" t="s">
        <v>250</v>
      </c>
      <c r="N95" s="1035"/>
      <c r="O95" s="1035"/>
      <c r="P95" s="1035"/>
      <c r="Q95" s="1035"/>
      <c r="R95" s="1035"/>
      <c r="S95" s="1035"/>
      <c r="T95" s="1035"/>
      <c r="U95" s="1035"/>
      <c r="V95" s="1035"/>
      <c r="W95" s="1035"/>
      <c r="X95" s="1035"/>
    </row>
    <row r="96" spans="11:24" ht="15" customHeight="1">
      <c r="K96" s="137" t="s">
        <v>99</v>
      </c>
      <c r="L96" s="66"/>
      <c r="M96" s="1035" t="s">
        <v>251</v>
      </c>
      <c r="N96" s="1035"/>
      <c r="O96" s="1035"/>
      <c r="P96" s="1035"/>
      <c r="Q96" s="1035"/>
      <c r="R96" s="1035"/>
      <c r="S96" s="1035"/>
      <c r="T96" s="1035"/>
      <c r="U96" s="1035"/>
      <c r="V96" s="1035"/>
      <c r="W96" s="1035"/>
      <c r="X96" s="1035"/>
    </row>
    <row r="97" spans="11:24">
      <c r="K97" s="136" t="s">
        <v>100</v>
      </c>
      <c r="L97" s="66"/>
      <c r="M97" s="1034" t="s">
        <v>312</v>
      </c>
      <c r="N97" s="1034"/>
      <c r="O97" s="1034"/>
      <c r="P97" s="1034"/>
      <c r="Q97" s="1034"/>
      <c r="R97" s="1034"/>
      <c r="S97" s="1034"/>
      <c r="T97" s="1034"/>
      <c r="U97" s="1034"/>
      <c r="V97" s="1034"/>
      <c r="W97" s="1034"/>
      <c r="X97" s="1034"/>
    </row>
    <row r="98" spans="11:24">
      <c r="K98" s="136" t="s">
        <v>101</v>
      </c>
      <c r="L98" s="66"/>
      <c r="M98" s="1034" t="s">
        <v>252</v>
      </c>
      <c r="N98" s="1034"/>
      <c r="O98" s="1034"/>
      <c r="P98" s="1034"/>
      <c r="Q98" s="1034"/>
      <c r="R98" s="1034"/>
      <c r="S98" s="1034"/>
      <c r="T98" s="1034"/>
      <c r="U98" s="1034"/>
      <c r="V98" s="1034"/>
      <c r="W98" s="1034"/>
      <c r="X98" s="1034"/>
    </row>
    <row r="99" spans="11:24">
      <c r="K99" s="136" t="s">
        <v>102</v>
      </c>
      <c r="L99" s="66"/>
      <c r="M99" s="1034" t="s">
        <v>253</v>
      </c>
      <c r="N99" s="1034"/>
      <c r="O99" s="1034"/>
      <c r="P99" s="1034"/>
      <c r="Q99" s="1034"/>
      <c r="R99" s="1034"/>
      <c r="S99" s="1034"/>
      <c r="T99" s="1034"/>
      <c r="U99" s="1034"/>
      <c r="V99" s="1034"/>
      <c r="W99" s="1034"/>
      <c r="X99" s="1034"/>
    </row>
    <row r="100" spans="11:24">
      <c r="K100" s="248" t="s">
        <v>103</v>
      </c>
      <c r="M100" s="1033" t="s">
        <v>334</v>
      </c>
      <c r="N100" s="1033"/>
      <c r="O100" s="1033"/>
      <c r="P100" s="1033"/>
      <c r="Q100" s="1033"/>
      <c r="R100" s="1033"/>
      <c r="S100" s="1033"/>
      <c r="T100" s="1033"/>
      <c r="U100" s="1033"/>
      <c r="V100" s="1033"/>
      <c r="W100" s="1033"/>
      <c r="X100" s="1033"/>
    </row>
    <row r="101" spans="11:24" ht="15.75">
      <c r="K101" s="104"/>
      <c r="L101" s="138"/>
      <c r="M101" s="139"/>
      <c r="N101" s="97"/>
      <c r="O101" s="67"/>
      <c r="P101" s="67"/>
      <c r="Q101" s="2"/>
      <c r="R101" s="9"/>
      <c r="S101" s="9"/>
      <c r="T101" s="93"/>
      <c r="U101" s="9"/>
      <c r="W101" s="2"/>
      <c r="X101" s="105"/>
    </row>
    <row r="102" spans="11:24" ht="15.75">
      <c r="K102" s="104"/>
      <c r="L102" s="138"/>
      <c r="M102" s="139"/>
      <c r="N102" s="97"/>
      <c r="O102" s="67"/>
      <c r="P102" s="67"/>
      <c r="Q102" s="2"/>
      <c r="R102" s="9"/>
      <c r="S102" s="9"/>
      <c r="T102" s="93"/>
      <c r="U102" s="9"/>
      <c r="W102" s="2"/>
      <c r="X102" s="95"/>
    </row>
    <row r="103" spans="11:24">
      <c r="M103" s="129"/>
      <c r="N103" s="129"/>
      <c r="O103" s="129"/>
      <c r="P103" s="129"/>
      <c r="Q103" s="129"/>
      <c r="R103" s="129"/>
      <c r="S103" s="129"/>
      <c r="T103" s="129"/>
      <c r="U103" s="129"/>
      <c r="V103" s="129"/>
      <c r="W103" s="129"/>
      <c r="X103" s="129"/>
    </row>
    <row r="104" spans="11:24">
      <c r="M104" s="129"/>
      <c r="N104" s="129"/>
      <c r="O104" s="129"/>
      <c r="P104" s="129"/>
      <c r="Q104" s="129"/>
      <c r="R104" s="129"/>
      <c r="S104" s="129"/>
      <c r="T104" s="129"/>
      <c r="U104" s="129"/>
      <c r="V104" s="129"/>
      <c r="W104" s="129"/>
      <c r="X104" s="129"/>
    </row>
    <row r="105" spans="11:24">
      <c r="M105" s="129"/>
      <c r="N105" s="129"/>
      <c r="O105" s="129"/>
      <c r="P105" s="129"/>
      <c r="Q105" s="129"/>
      <c r="R105" s="129"/>
      <c r="S105" s="129"/>
      <c r="T105" s="129"/>
      <c r="U105" s="129"/>
      <c r="V105" s="129"/>
      <c r="W105" s="129"/>
      <c r="X105" s="129"/>
    </row>
    <row r="106" spans="11:24">
      <c r="M106" s="129"/>
      <c r="N106" s="129"/>
      <c r="O106" s="129"/>
      <c r="P106" s="129"/>
      <c r="Q106" s="129"/>
      <c r="R106" s="129"/>
      <c r="S106" s="129"/>
      <c r="T106" s="129"/>
      <c r="U106" s="129"/>
      <c r="V106" s="129"/>
      <c r="W106" s="129"/>
      <c r="X106" s="129"/>
    </row>
    <row r="107" spans="11:24">
      <c r="M107" s="129"/>
      <c r="N107" s="129"/>
      <c r="O107" s="129"/>
      <c r="P107" s="129"/>
      <c r="Q107" s="129"/>
      <c r="R107" s="129"/>
      <c r="S107" s="129"/>
      <c r="T107" s="129"/>
      <c r="U107" s="129"/>
      <c r="V107" s="129"/>
      <c r="W107" s="129"/>
      <c r="X107" s="129"/>
    </row>
    <row r="108" spans="11:24">
      <c r="M108" s="129"/>
      <c r="N108" s="129"/>
      <c r="O108" s="129"/>
      <c r="P108" s="129"/>
      <c r="Q108" s="129"/>
      <c r="R108" s="129"/>
      <c r="S108" s="129"/>
      <c r="T108" s="129"/>
      <c r="U108" s="129"/>
      <c r="V108" s="129"/>
      <c r="W108" s="129"/>
      <c r="X108" s="129"/>
    </row>
    <row r="109" spans="11:24">
      <c r="M109" s="129"/>
      <c r="N109" s="129"/>
      <c r="O109" s="129"/>
      <c r="P109" s="129"/>
      <c r="Q109" s="129"/>
      <c r="R109" s="129"/>
      <c r="S109" s="129"/>
      <c r="T109" s="129"/>
      <c r="U109" s="129"/>
      <c r="V109" s="129"/>
      <c r="W109" s="129"/>
      <c r="X109" s="129"/>
    </row>
    <row r="110" spans="11:24">
      <c r="M110" s="129"/>
      <c r="N110" s="129"/>
      <c r="O110" s="129"/>
      <c r="P110" s="129"/>
      <c r="Q110" s="129"/>
      <c r="R110" s="129"/>
      <c r="S110" s="129"/>
      <c r="T110" s="129"/>
      <c r="U110" s="129"/>
      <c r="V110" s="129"/>
      <c r="W110" s="129"/>
      <c r="X110" s="129"/>
    </row>
    <row r="111" spans="11:24">
      <c r="M111" s="129"/>
      <c r="N111" s="129"/>
      <c r="O111" s="129"/>
      <c r="P111" s="129"/>
      <c r="Q111" s="129"/>
      <c r="R111" s="129"/>
      <c r="S111" s="129"/>
      <c r="T111" s="129"/>
      <c r="U111" s="129"/>
      <c r="V111" s="129"/>
      <c r="W111" s="129"/>
      <c r="X111" s="129"/>
    </row>
    <row r="112" spans="11:24">
      <c r="M112" s="129"/>
      <c r="N112" s="129"/>
      <c r="O112" s="129"/>
      <c r="P112" s="129"/>
      <c r="Q112" s="129"/>
      <c r="R112" s="129"/>
      <c r="S112" s="129"/>
      <c r="T112" s="129"/>
      <c r="U112" s="129"/>
      <c r="V112" s="129"/>
      <c r="W112" s="129"/>
      <c r="X112" s="129"/>
    </row>
    <row r="113" spans="13:24">
      <c r="M113" s="129"/>
      <c r="N113" s="129"/>
      <c r="O113" s="129"/>
      <c r="P113" s="129"/>
      <c r="Q113" s="129"/>
      <c r="R113" s="129"/>
      <c r="S113" s="129"/>
      <c r="T113" s="129"/>
      <c r="U113" s="129"/>
      <c r="V113" s="129"/>
      <c r="W113" s="129"/>
      <c r="X113" s="129"/>
    </row>
    <row r="114" spans="13:24">
      <c r="M114" s="129"/>
      <c r="N114" s="129"/>
      <c r="O114" s="129"/>
      <c r="P114" s="129"/>
      <c r="Q114" s="129"/>
      <c r="R114" s="129"/>
      <c r="S114" s="129"/>
      <c r="T114" s="129"/>
      <c r="U114" s="129"/>
      <c r="V114" s="129"/>
      <c r="W114" s="129"/>
      <c r="X114" s="129"/>
    </row>
    <row r="115" spans="13:24">
      <c r="M115" s="129"/>
      <c r="N115" s="129"/>
      <c r="O115" s="129"/>
      <c r="P115" s="129"/>
      <c r="Q115" s="129"/>
      <c r="R115" s="129"/>
      <c r="S115" s="129"/>
      <c r="T115" s="129"/>
      <c r="U115" s="129"/>
      <c r="V115" s="129"/>
      <c r="W115" s="129"/>
      <c r="X115" s="129"/>
    </row>
    <row r="116" spans="13:24">
      <c r="M116" s="129"/>
      <c r="N116" s="129"/>
      <c r="O116" s="129"/>
      <c r="P116" s="129"/>
      <c r="Q116" s="129"/>
      <c r="R116" s="129"/>
      <c r="S116" s="129"/>
      <c r="T116" s="129"/>
      <c r="U116" s="129"/>
      <c r="V116" s="129"/>
      <c r="W116" s="129"/>
      <c r="X116" s="129"/>
    </row>
    <row r="117" spans="13:24">
      <c r="M117" s="129"/>
      <c r="N117" s="129"/>
      <c r="O117" s="129"/>
      <c r="P117" s="129"/>
      <c r="Q117" s="129"/>
      <c r="R117" s="129"/>
      <c r="S117" s="129"/>
      <c r="T117" s="129"/>
      <c r="U117" s="129"/>
      <c r="V117" s="129"/>
      <c r="W117" s="129"/>
      <c r="X117" s="129"/>
    </row>
    <row r="118" spans="13:24">
      <c r="M118" s="129"/>
      <c r="N118" s="129"/>
      <c r="O118" s="129"/>
      <c r="P118" s="129"/>
      <c r="Q118" s="129"/>
      <c r="R118" s="129"/>
      <c r="S118" s="129"/>
      <c r="T118" s="129"/>
      <c r="U118" s="129"/>
      <c r="V118" s="129"/>
      <c r="W118" s="129"/>
      <c r="X118" s="129"/>
    </row>
    <row r="119" spans="13:24">
      <c r="M119" s="129"/>
      <c r="N119" s="129"/>
      <c r="O119" s="129"/>
      <c r="P119" s="129"/>
      <c r="Q119" s="129"/>
      <c r="R119" s="129"/>
      <c r="S119" s="129"/>
      <c r="T119" s="129"/>
      <c r="U119" s="129"/>
      <c r="V119" s="129"/>
      <c r="W119" s="129"/>
      <c r="X119" s="129"/>
    </row>
    <row r="120" spans="13:24">
      <c r="M120" s="129"/>
      <c r="N120" s="129"/>
      <c r="O120" s="129"/>
      <c r="P120" s="129"/>
      <c r="Q120" s="129"/>
      <c r="R120" s="129"/>
      <c r="S120" s="129"/>
      <c r="T120" s="129"/>
      <c r="U120" s="129"/>
      <c r="V120" s="129"/>
      <c r="W120" s="129"/>
      <c r="X120" s="129"/>
    </row>
    <row r="121" spans="13:24">
      <c r="M121" s="129"/>
      <c r="N121" s="129"/>
      <c r="O121" s="129"/>
      <c r="P121" s="129"/>
      <c r="Q121" s="129"/>
      <c r="R121" s="129"/>
      <c r="S121" s="129"/>
      <c r="T121" s="129"/>
      <c r="U121" s="129"/>
      <c r="V121" s="129"/>
      <c r="W121" s="129"/>
      <c r="X121" s="129"/>
    </row>
    <row r="122" spans="13:24">
      <c r="M122" s="129"/>
      <c r="N122" s="129"/>
      <c r="O122" s="129"/>
      <c r="P122" s="129"/>
      <c r="Q122" s="129"/>
      <c r="R122" s="129"/>
      <c r="S122" s="129"/>
      <c r="T122" s="129"/>
      <c r="U122" s="129"/>
      <c r="V122" s="129"/>
      <c r="W122" s="129"/>
      <c r="X122" s="129"/>
    </row>
    <row r="123" spans="13:24">
      <c r="M123" s="129"/>
      <c r="N123" s="129"/>
      <c r="O123" s="129"/>
      <c r="P123" s="129"/>
      <c r="Q123" s="129"/>
      <c r="R123" s="129"/>
      <c r="S123" s="129"/>
      <c r="T123" s="129"/>
      <c r="U123" s="129"/>
      <c r="V123" s="129"/>
      <c r="W123" s="129"/>
      <c r="X123" s="129"/>
    </row>
    <row r="124" spans="13:24">
      <c r="M124" s="129"/>
      <c r="N124" s="129"/>
      <c r="O124" s="129"/>
      <c r="P124" s="129"/>
      <c r="Q124" s="129"/>
      <c r="R124" s="129"/>
      <c r="S124" s="129"/>
      <c r="T124" s="129"/>
      <c r="U124" s="129"/>
      <c r="V124" s="129"/>
      <c r="W124" s="129"/>
      <c r="X124" s="129"/>
    </row>
    <row r="125" spans="13:24">
      <c r="M125" s="129"/>
      <c r="N125" s="129"/>
      <c r="O125" s="129"/>
      <c r="P125" s="129"/>
      <c r="Q125" s="129"/>
      <c r="R125" s="129"/>
      <c r="S125" s="129"/>
      <c r="T125" s="129"/>
      <c r="U125" s="129"/>
      <c r="V125" s="129"/>
      <c r="W125" s="129"/>
      <c r="X125" s="129"/>
    </row>
    <row r="126" spans="13:24">
      <c r="M126" s="129"/>
      <c r="N126" s="129"/>
      <c r="O126" s="129"/>
      <c r="P126" s="129"/>
      <c r="Q126" s="129"/>
      <c r="R126" s="129"/>
      <c r="S126" s="129"/>
      <c r="T126" s="129"/>
      <c r="U126" s="129"/>
      <c r="V126" s="129"/>
      <c r="W126" s="129"/>
      <c r="X126" s="129"/>
    </row>
    <row r="127" spans="13:24">
      <c r="M127" s="129"/>
      <c r="N127" s="129"/>
      <c r="O127" s="129"/>
      <c r="P127" s="129"/>
      <c r="Q127" s="129"/>
      <c r="R127" s="129"/>
      <c r="S127" s="129"/>
      <c r="T127" s="129"/>
      <c r="U127" s="129"/>
      <c r="V127" s="129"/>
      <c r="W127" s="129"/>
      <c r="X127" s="129"/>
    </row>
    <row r="128" spans="13:24">
      <c r="M128" s="129"/>
      <c r="N128" s="129"/>
      <c r="O128" s="129"/>
      <c r="P128" s="129"/>
      <c r="Q128" s="129"/>
      <c r="R128" s="129"/>
      <c r="S128" s="129"/>
      <c r="T128" s="129"/>
      <c r="U128" s="129"/>
      <c r="V128" s="129"/>
      <c r="W128" s="129"/>
      <c r="X128" s="129"/>
    </row>
    <row r="129" spans="3:24">
      <c r="M129" s="129"/>
      <c r="N129" s="129"/>
      <c r="O129" s="129"/>
      <c r="P129" s="129"/>
      <c r="Q129" s="129"/>
      <c r="R129" s="129"/>
      <c r="S129" s="129"/>
      <c r="T129" s="129"/>
      <c r="U129" s="129"/>
      <c r="V129" s="129"/>
      <c r="W129" s="129"/>
      <c r="X129" s="129"/>
    </row>
    <row r="130" spans="3:24">
      <c r="C130" s="129"/>
      <c r="D130" s="129"/>
      <c r="E130" s="129"/>
      <c r="F130" s="129"/>
      <c r="G130" s="129"/>
      <c r="H130" s="129"/>
      <c r="I130" s="129"/>
      <c r="J130" s="129"/>
      <c r="K130" s="129"/>
      <c r="L130" s="129"/>
      <c r="M130" s="129"/>
      <c r="N130" s="129"/>
      <c r="O130" s="129"/>
    </row>
    <row r="131" spans="3:24">
      <c r="C131" s="129"/>
      <c r="D131" s="129"/>
      <c r="E131" s="129"/>
      <c r="F131" s="129"/>
      <c r="G131" s="129"/>
      <c r="H131" s="129"/>
      <c r="I131" s="129"/>
      <c r="J131" s="129"/>
      <c r="K131" s="129"/>
      <c r="L131" s="129"/>
      <c r="M131" s="129"/>
      <c r="N131" s="129"/>
      <c r="O131" s="129"/>
    </row>
    <row r="132" spans="3:24">
      <c r="C132" s="129"/>
      <c r="D132" s="129"/>
      <c r="E132" s="129"/>
      <c r="F132" s="129"/>
      <c r="G132" s="129"/>
      <c r="H132" s="129"/>
      <c r="I132" s="129"/>
      <c r="J132" s="129"/>
      <c r="K132" s="129"/>
      <c r="L132" s="129"/>
      <c r="M132" s="129"/>
      <c r="N132" s="129"/>
      <c r="O132" s="129"/>
    </row>
    <row r="133" spans="3:24">
      <c r="C133" s="129"/>
      <c r="D133" s="129"/>
      <c r="E133" s="129"/>
      <c r="F133" s="129"/>
      <c r="G133" s="129"/>
      <c r="H133" s="129"/>
      <c r="I133" s="129"/>
      <c r="J133" s="129"/>
      <c r="K133" s="129"/>
      <c r="L133" s="129"/>
      <c r="M133" s="129"/>
      <c r="N133" s="129"/>
      <c r="O133" s="129"/>
    </row>
    <row r="134" spans="3:24">
      <c r="C134" s="129"/>
      <c r="D134" s="129"/>
      <c r="E134" s="129"/>
      <c r="F134" s="129"/>
      <c r="G134" s="129"/>
      <c r="H134" s="129"/>
      <c r="I134" s="129"/>
      <c r="J134" s="129"/>
      <c r="K134" s="129"/>
      <c r="L134" s="129"/>
      <c r="M134" s="129"/>
      <c r="N134" s="129"/>
      <c r="O134" s="129"/>
    </row>
    <row r="135" spans="3:24">
      <c r="C135" s="129"/>
      <c r="D135" s="129"/>
      <c r="E135" s="129"/>
      <c r="F135" s="129"/>
      <c r="G135" s="129"/>
      <c r="H135" s="129"/>
      <c r="I135" s="129"/>
      <c r="J135" s="129"/>
      <c r="K135" s="129"/>
      <c r="L135" s="129"/>
      <c r="M135" s="129"/>
      <c r="N135" s="129"/>
      <c r="O135" s="129"/>
    </row>
    <row r="136" spans="3:24">
      <c r="C136" s="129"/>
      <c r="D136" s="129"/>
      <c r="E136" s="129"/>
      <c r="F136" s="129"/>
      <c r="G136" s="129"/>
      <c r="H136" s="129"/>
      <c r="I136" s="129"/>
      <c r="J136" s="129"/>
      <c r="K136" s="129"/>
      <c r="L136" s="129"/>
      <c r="M136" s="129"/>
      <c r="N136" s="129"/>
      <c r="O136" s="129"/>
    </row>
    <row r="137" spans="3:24">
      <c r="C137" s="129"/>
      <c r="D137" s="129"/>
      <c r="E137" s="129"/>
      <c r="F137" s="129"/>
      <c r="G137" s="129"/>
      <c r="H137" s="129"/>
      <c r="I137" s="129"/>
      <c r="J137" s="129"/>
      <c r="K137" s="129"/>
      <c r="L137" s="129"/>
      <c r="M137" s="129"/>
      <c r="N137" s="129"/>
      <c r="O137" s="129"/>
    </row>
    <row r="138" spans="3:24">
      <c r="C138" s="129"/>
      <c r="D138" s="129"/>
      <c r="E138" s="129"/>
      <c r="F138" s="129"/>
      <c r="G138" s="129"/>
      <c r="H138" s="129"/>
      <c r="I138" s="129"/>
      <c r="J138" s="129"/>
      <c r="K138" s="129"/>
      <c r="L138" s="129"/>
      <c r="M138" s="129"/>
      <c r="N138" s="129"/>
      <c r="O138" s="129"/>
    </row>
    <row r="139" spans="3:24">
      <c r="C139" s="129"/>
      <c r="D139" s="129"/>
      <c r="E139" s="129"/>
      <c r="F139" s="129"/>
      <c r="G139" s="129"/>
      <c r="H139" s="129"/>
      <c r="I139" s="129"/>
      <c r="J139" s="129"/>
      <c r="K139" s="129"/>
      <c r="L139" s="129"/>
      <c r="M139" s="129"/>
      <c r="N139" s="129"/>
      <c r="O139" s="129"/>
    </row>
    <row r="140" spans="3:24">
      <c r="C140" s="129"/>
      <c r="D140" s="129"/>
      <c r="E140" s="129"/>
      <c r="F140" s="129"/>
      <c r="G140" s="129"/>
      <c r="H140" s="129"/>
      <c r="I140" s="129"/>
      <c r="J140" s="129"/>
      <c r="K140" s="129"/>
      <c r="L140" s="129"/>
      <c r="M140" s="129"/>
      <c r="N140" s="129"/>
      <c r="O140" s="129"/>
    </row>
    <row r="141" spans="3:24">
      <c r="C141" s="129"/>
      <c r="D141" s="129"/>
      <c r="E141" s="129"/>
      <c r="F141" s="129"/>
      <c r="G141" s="129"/>
      <c r="H141" s="129"/>
      <c r="I141" s="129"/>
      <c r="J141" s="129"/>
      <c r="K141" s="129"/>
      <c r="L141" s="129"/>
      <c r="M141" s="129"/>
      <c r="N141" s="129"/>
      <c r="O141" s="129"/>
    </row>
    <row r="142" spans="3:24">
      <c r="C142" s="129"/>
      <c r="D142" s="129"/>
      <c r="E142" s="129"/>
      <c r="F142" s="129"/>
      <c r="G142" s="129"/>
      <c r="H142" s="129"/>
      <c r="I142" s="129"/>
      <c r="J142" s="129"/>
      <c r="K142" s="129"/>
      <c r="L142" s="129"/>
      <c r="M142" s="129"/>
      <c r="N142" s="129"/>
      <c r="O142" s="129"/>
    </row>
    <row r="143" spans="3:24">
      <c r="C143" s="129"/>
      <c r="D143" s="129"/>
      <c r="E143" s="129"/>
      <c r="F143" s="129"/>
      <c r="G143" s="129"/>
      <c r="H143" s="129"/>
      <c r="I143" s="129"/>
      <c r="J143" s="129"/>
      <c r="K143" s="129"/>
      <c r="L143" s="129"/>
      <c r="M143" s="129"/>
      <c r="N143" s="129"/>
      <c r="O143" s="129"/>
    </row>
    <row r="144" spans="3:24">
      <c r="C144" s="129"/>
      <c r="D144" s="129"/>
      <c r="E144" s="129"/>
      <c r="F144" s="129"/>
      <c r="G144" s="129"/>
      <c r="H144" s="129"/>
      <c r="I144" s="129"/>
      <c r="J144" s="129"/>
      <c r="K144" s="129"/>
      <c r="L144" s="129"/>
      <c r="M144" s="129"/>
      <c r="N144" s="129"/>
      <c r="O144" s="129"/>
    </row>
    <row r="145" spans="3:15">
      <c r="C145" s="129"/>
      <c r="D145" s="129"/>
      <c r="E145" s="129"/>
      <c r="F145" s="129"/>
      <c r="G145" s="129"/>
      <c r="H145" s="129"/>
      <c r="I145" s="129"/>
      <c r="J145" s="129"/>
      <c r="K145" s="129"/>
      <c r="L145" s="129"/>
      <c r="M145" s="129"/>
      <c r="N145" s="129"/>
      <c r="O145" s="129"/>
    </row>
    <row r="146" spans="3:15">
      <c r="C146" s="129"/>
      <c r="D146" s="129"/>
      <c r="E146" s="129"/>
      <c r="F146" s="129"/>
      <c r="G146" s="129"/>
      <c r="H146" s="129"/>
      <c r="I146" s="129"/>
      <c r="J146" s="129"/>
      <c r="K146" s="129"/>
      <c r="L146" s="129"/>
      <c r="M146" s="129"/>
      <c r="N146" s="129"/>
      <c r="O146" s="129"/>
    </row>
    <row r="147" spans="3:15">
      <c r="C147" s="129"/>
      <c r="D147" s="129"/>
      <c r="E147" s="129"/>
      <c r="F147" s="129"/>
      <c r="G147" s="129"/>
      <c r="H147" s="129"/>
      <c r="I147" s="129"/>
      <c r="J147" s="129"/>
      <c r="K147" s="129"/>
      <c r="L147" s="129"/>
      <c r="M147" s="129"/>
      <c r="N147" s="129"/>
      <c r="O147" s="129"/>
    </row>
    <row r="148" spans="3:15">
      <c r="C148" s="129"/>
      <c r="D148" s="129"/>
      <c r="E148" s="129"/>
      <c r="F148" s="129"/>
      <c r="G148" s="129"/>
      <c r="H148" s="129"/>
      <c r="I148" s="129"/>
      <c r="J148" s="129"/>
      <c r="K148" s="129"/>
      <c r="L148" s="129"/>
      <c r="M148" s="129"/>
      <c r="N148" s="129"/>
      <c r="O148" s="129"/>
    </row>
    <row r="149" spans="3:15">
      <c r="C149" s="129"/>
      <c r="D149" s="129"/>
      <c r="E149" s="129"/>
      <c r="F149" s="129"/>
      <c r="G149" s="129"/>
      <c r="H149" s="129"/>
      <c r="I149" s="129"/>
      <c r="J149" s="129"/>
      <c r="K149" s="129"/>
      <c r="L149" s="129"/>
      <c r="M149" s="129"/>
      <c r="N149" s="129"/>
      <c r="O149" s="129"/>
    </row>
    <row r="150" spans="3:15">
      <c r="C150" s="129"/>
      <c r="D150" s="129"/>
      <c r="E150" s="129"/>
      <c r="F150" s="129"/>
      <c r="G150" s="129"/>
      <c r="H150" s="129"/>
      <c r="I150" s="129"/>
      <c r="J150" s="129"/>
      <c r="K150" s="129"/>
      <c r="L150" s="129"/>
      <c r="M150" s="129"/>
      <c r="N150" s="129"/>
      <c r="O150" s="129"/>
    </row>
    <row r="151" spans="3:15">
      <c r="C151" s="129"/>
      <c r="D151" s="129"/>
      <c r="E151" s="129"/>
      <c r="F151" s="129"/>
      <c r="G151" s="129"/>
      <c r="H151" s="129"/>
      <c r="I151" s="129"/>
      <c r="J151" s="129"/>
      <c r="K151" s="129"/>
      <c r="L151" s="129"/>
      <c r="M151" s="129"/>
      <c r="N151" s="129"/>
      <c r="O151" s="129"/>
    </row>
    <row r="152" spans="3:15">
      <c r="C152" s="129"/>
      <c r="D152" s="129"/>
      <c r="E152" s="129"/>
      <c r="F152" s="129"/>
      <c r="G152" s="129"/>
      <c r="H152" s="129"/>
      <c r="I152" s="129"/>
      <c r="J152" s="129"/>
      <c r="K152" s="129"/>
      <c r="L152" s="129"/>
      <c r="M152" s="129"/>
      <c r="N152" s="129"/>
      <c r="O152" s="129"/>
    </row>
    <row r="153" spans="3:15">
      <c r="C153" s="129"/>
      <c r="D153" s="129"/>
      <c r="E153" s="129"/>
      <c r="F153" s="129"/>
      <c r="G153" s="129"/>
      <c r="H153" s="129"/>
      <c r="I153" s="129"/>
      <c r="J153" s="129"/>
      <c r="K153" s="129"/>
      <c r="L153" s="129"/>
      <c r="M153" s="129"/>
      <c r="N153" s="129"/>
      <c r="O153" s="129"/>
    </row>
    <row r="154" spans="3:15">
      <c r="C154" s="129"/>
      <c r="D154" s="129"/>
      <c r="E154" s="129"/>
      <c r="F154" s="129"/>
      <c r="G154" s="129"/>
      <c r="H154" s="129"/>
      <c r="I154" s="129"/>
      <c r="J154" s="129"/>
      <c r="K154" s="129"/>
      <c r="L154" s="129"/>
      <c r="M154" s="129"/>
      <c r="N154" s="129"/>
      <c r="O154" s="129"/>
    </row>
    <row r="155" spans="3:15">
      <c r="C155" s="129"/>
      <c r="D155" s="129"/>
      <c r="E155" s="129"/>
      <c r="F155" s="129"/>
      <c r="G155" s="129"/>
      <c r="H155" s="129"/>
      <c r="I155" s="129"/>
      <c r="J155" s="129"/>
      <c r="K155" s="129"/>
      <c r="L155" s="129"/>
      <c r="M155" s="129"/>
      <c r="N155" s="129"/>
      <c r="O155" s="129"/>
    </row>
    <row r="156" spans="3:15">
      <c r="C156" s="129"/>
      <c r="D156" s="129"/>
      <c r="E156" s="129"/>
      <c r="F156" s="129"/>
      <c r="G156" s="129"/>
      <c r="H156" s="129"/>
      <c r="I156" s="129"/>
      <c r="J156" s="129"/>
      <c r="K156" s="129"/>
      <c r="L156" s="129"/>
      <c r="M156" s="129"/>
      <c r="N156" s="129"/>
      <c r="O156" s="129"/>
    </row>
    <row r="157" spans="3:15">
      <c r="C157" s="129"/>
      <c r="D157" s="129"/>
      <c r="E157" s="129"/>
      <c r="F157" s="129"/>
      <c r="G157" s="129"/>
      <c r="H157" s="129"/>
      <c r="I157" s="129"/>
      <c r="J157" s="129"/>
      <c r="K157" s="129"/>
      <c r="L157" s="129"/>
      <c r="M157" s="129"/>
      <c r="N157" s="129"/>
      <c r="O157" s="129"/>
    </row>
    <row r="158" spans="3:15">
      <c r="C158" s="129"/>
      <c r="D158" s="129"/>
      <c r="E158" s="129"/>
      <c r="F158" s="129"/>
      <c r="G158" s="129"/>
      <c r="H158" s="129"/>
      <c r="I158" s="129"/>
      <c r="J158" s="129"/>
      <c r="K158" s="129"/>
      <c r="L158" s="129"/>
      <c r="M158" s="129"/>
      <c r="N158" s="129"/>
      <c r="O158" s="129"/>
    </row>
    <row r="159" spans="3:15">
      <c r="C159" s="129"/>
      <c r="D159" s="129"/>
      <c r="E159" s="129"/>
      <c r="F159" s="129"/>
      <c r="G159" s="129"/>
      <c r="H159" s="129"/>
      <c r="I159" s="129"/>
      <c r="J159" s="129"/>
      <c r="K159" s="129"/>
      <c r="L159" s="129"/>
      <c r="M159" s="129"/>
      <c r="N159" s="129"/>
      <c r="O159" s="129"/>
    </row>
    <row r="160" spans="3:15">
      <c r="C160" s="129"/>
      <c r="D160" s="129"/>
      <c r="E160" s="129"/>
      <c r="F160" s="129"/>
      <c r="G160" s="129"/>
      <c r="H160" s="129"/>
      <c r="I160" s="129"/>
      <c r="J160" s="129"/>
      <c r="K160" s="129"/>
      <c r="L160" s="129"/>
      <c r="M160" s="129"/>
      <c r="N160" s="129"/>
      <c r="O160" s="129"/>
    </row>
    <row r="161" spans="3:15">
      <c r="C161" s="129"/>
      <c r="D161" s="129"/>
      <c r="E161" s="129"/>
      <c r="F161" s="129"/>
      <c r="G161" s="129"/>
      <c r="H161" s="129"/>
      <c r="I161" s="129"/>
      <c r="J161" s="129"/>
      <c r="K161" s="129"/>
      <c r="L161" s="129"/>
      <c r="M161" s="129"/>
      <c r="N161" s="129"/>
      <c r="O161" s="129"/>
    </row>
    <row r="162" spans="3:15">
      <c r="C162" s="129"/>
      <c r="D162" s="129"/>
      <c r="E162" s="129"/>
      <c r="F162" s="129"/>
      <c r="G162" s="129"/>
      <c r="H162" s="129"/>
      <c r="I162" s="129"/>
      <c r="J162" s="129"/>
      <c r="K162" s="129"/>
      <c r="L162" s="129"/>
      <c r="M162" s="129"/>
      <c r="N162" s="129"/>
      <c r="O162" s="129"/>
    </row>
    <row r="163" spans="3:15">
      <c r="C163" s="129"/>
      <c r="D163" s="129"/>
      <c r="E163" s="129"/>
      <c r="F163" s="129"/>
      <c r="G163" s="129"/>
      <c r="H163" s="129"/>
      <c r="I163" s="129"/>
      <c r="J163" s="129"/>
      <c r="K163" s="129"/>
      <c r="L163" s="129"/>
      <c r="M163" s="129"/>
      <c r="N163" s="129"/>
      <c r="O163" s="129"/>
    </row>
    <row r="164" spans="3:15">
      <c r="C164" s="129"/>
      <c r="D164" s="129"/>
      <c r="E164" s="129"/>
      <c r="F164" s="129"/>
      <c r="G164" s="129"/>
      <c r="H164" s="129"/>
      <c r="I164" s="129"/>
      <c r="J164" s="129"/>
      <c r="K164" s="129"/>
      <c r="L164" s="129"/>
      <c r="M164" s="129"/>
      <c r="N164" s="129"/>
      <c r="O164" s="129"/>
    </row>
    <row r="165" spans="3:15">
      <c r="C165" s="129"/>
      <c r="D165" s="129"/>
      <c r="E165" s="129"/>
      <c r="F165" s="129"/>
      <c r="G165" s="129"/>
      <c r="H165" s="129"/>
      <c r="I165" s="129"/>
      <c r="J165" s="129"/>
      <c r="K165" s="129"/>
      <c r="L165" s="129"/>
      <c r="M165" s="129"/>
      <c r="N165" s="129"/>
      <c r="O165" s="129"/>
    </row>
    <row r="166" spans="3:15">
      <c r="C166" s="129"/>
      <c r="D166" s="129"/>
      <c r="E166" s="129"/>
      <c r="F166" s="129"/>
      <c r="G166" s="129"/>
      <c r="H166" s="129"/>
      <c r="I166" s="129"/>
      <c r="J166" s="129"/>
      <c r="K166" s="129"/>
      <c r="L166" s="129"/>
      <c r="M166" s="129"/>
      <c r="N166" s="129"/>
      <c r="O166" s="129"/>
    </row>
    <row r="167" spans="3:15">
      <c r="C167" s="129"/>
      <c r="D167" s="129"/>
      <c r="E167" s="129"/>
      <c r="F167" s="129"/>
      <c r="G167" s="129"/>
      <c r="H167" s="129"/>
      <c r="I167" s="129"/>
      <c r="J167" s="129"/>
      <c r="K167" s="129"/>
      <c r="L167" s="129"/>
      <c r="M167" s="129"/>
      <c r="N167" s="129"/>
      <c r="O167" s="129"/>
    </row>
    <row r="168" spans="3:15">
      <c r="C168" s="129"/>
      <c r="D168" s="129"/>
      <c r="E168" s="129"/>
      <c r="F168" s="129"/>
      <c r="G168" s="129"/>
      <c r="H168" s="129"/>
      <c r="I168" s="129"/>
      <c r="J168" s="129"/>
      <c r="K168" s="129"/>
      <c r="L168" s="129"/>
      <c r="M168" s="129"/>
      <c r="N168" s="129"/>
      <c r="O168" s="129"/>
    </row>
    <row r="169" spans="3:15">
      <c r="C169" s="129"/>
      <c r="D169" s="129"/>
      <c r="E169" s="129"/>
      <c r="F169" s="129"/>
      <c r="G169" s="129"/>
      <c r="H169" s="129"/>
      <c r="I169" s="129"/>
      <c r="J169" s="129"/>
      <c r="K169" s="129"/>
      <c r="L169" s="129"/>
      <c r="M169" s="129"/>
      <c r="N169" s="129"/>
      <c r="O169" s="129"/>
    </row>
    <row r="170" spans="3:15">
      <c r="C170" s="129"/>
      <c r="D170" s="129"/>
      <c r="E170" s="129"/>
      <c r="F170" s="129"/>
      <c r="G170" s="129"/>
      <c r="H170" s="129"/>
      <c r="I170" s="129"/>
      <c r="J170" s="129"/>
      <c r="K170" s="129"/>
      <c r="L170" s="129"/>
      <c r="M170" s="129"/>
      <c r="N170" s="129"/>
      <c r="O170" s="129"/>
    </row>
    <row r="171" spans="3:15">
      <c r="C171" s="129"/>
      <c r="D171" s="129"/>
      <c r="E171" s="129"/>
      <c r="F171" s="129"/>
      <c r="G171" s="129"/>
      <c r="H171" s="129"/>
      <c r="I171" s="129"/>
      <c r="J171" s="129"/>
      <c r="K171" s="129"/>
      <c r="L171" s="129"/>
      <c r="M171" s="129"/>
      <c r="N171" s="129"/>
      <c r="O171" s="129"/>
    </row>
    <row r="172" spans="3:15">
      <c r="C172" s="129"/>
      <c r="D172" s="129"/>
      <c r="E172" s="129"/>
      <c r="F172" s="129"/>
      <c r="G172" s="129"/>
      <c r="H172" s="129"/>
      <c r="I172" s="129"/>
      <c r="J172" s="129"/>
      <c r="K172" s="129"/>
      <c r="L172" s="129"/>
      <c r="M172" s="129"/>
      <c r="N172" s="129"/>
      <c r="O172" s="129"/>
    </row>
    <row r="173" spans="3:15">
      <c r="C173" s="129"/>
      <c r="D173" s="129"/>
      <c r="E173" s="129"/>
      <c r="F173" s="129"/>
      <c r="G173" s="129"/>
      <c r="H173" s="129"/>
      <c r="I173" s="129"/>
      <c r="J173" s="129"/>
      <c r="K173" s="129"/>
      <c r="L173" s="129"/>
      <c r="M173" s="129"/>
      <c r="N173" s="129"/>
      <c r="O173" s="129"/>
    </row>
    <row r="174" spans="3:15">
      <c r="C174" s="129"/>
      <c r="D174" s="129"/>
      <c r="E174" s="129"/>
      <c r="F174" s="129"/>
      <c r="G174" s="129"/>
      <c r="H174" s="129"/>
      <c r="I174" s="129"/>
      <c r="J174" s="129"/>
      <c r="K174" s="129"/>
      <c r="L174" s="129"/>
      <c r="M174" s="129"/>
      <c r="N174" s="129"/>
      <c r="O174" s="129"/>
    </row>
    <row r="175" spans="3:15">
      <c r="C175" s="129"/>
      <c r="D175" s="129"/>
      <c r="E175" s="129"/>
      <c r="F175" s="129"/>
      <c r="G175" s="129"/>
      <c r="H175" s="129"/>
      <c r="I175" s="129"/>
      <c r="J175" s="129"/>
      <c r="K175" s="129"/>
      <c r="L175" s="129"/>
      <c r="M175" s="129"/>
      <c r="N175" s="129"/>
      <c r="O175" s="129"/>
    </row>
    <row r="176" spans="3:15">
      <c r="C176" s="129"/>
      <c r="D176" s="129"/>
      <c r="E176" s="129"/>
      <c r="F176" s="129"/>
      <c r="G176" s="129"/>
      <c r="H176" s="129"/>
      <c r="I176" s="129"/>
      <c r="J176" s="129"/>
      <c r="K176" s="129"/>
      <c r="L176" s="129"/>
      <c r="M176" s="129"/>
      <c r="N176" s="129"/>
      <c r="O176" s="129"/>
    </row>
    <row r="177" spans="3:15">
      <c r="C177" s="129"/>
      <c r="D177" s="129"/>
      <c r="E177" s="129"/>
      <c r="F177" s="129"/>
      <c r="G177" s="129"/>
      <c r="H177" s="129"/>
      <c r="I177" s="129"/>
      <c r="J177" s="129"/>
      <c r="K177" s="129"/>
      <c r="L177" s="129"/>
      <c r="M177" s="129"/>
      <c r="N177" s="129"/>
      <c r="O177" s="129"/>
    </row>
    <row r="178" spans="3:15">
      <c r="C178" s="129"/>
      <c r="D178" s="129"/>
      <c r="E178" s="129"/>
      <c r="F178" s="129"/>
      <c r="G178" s="129"/>
      <c r="H178" s="129"/>
      <c r="I178" s="129"/>
      <c r="J178" s="129"/>
      <c r="K178" s="129"/>
      <c r="L178" s="129"/>
      <c r="M178" s="129"/>
      <c r="N178" s="129"/>
      <c r="O178" s="129"/>
    </row>
    <row r="179" spans="3:15">
      <c r="C179" s="129"/>
      <c r="D179" s="129"/>
      <c r="E179" s="129"/>
      <c r="F179" s="129"/>
      <c r="G179" s="129"/>
      <c r="H179" s="129"/>
      <c r="I179" s="129"/>
      <c r="J179" s="129"/>
      <c r="K179" s="129"/>
      <c r="L179" s="129"/>
      <c r="M179" s="129"/>
      <c r="N179" s="129"/>
      <c r="O179" s="129"/>
    </row>
    <row r="180" spans="3:15">
      <c r="C180" s="129"/>
      <c r="D180" s="129"/>
      <c r="E180" s="129"/>
      <c r="F180" s="129"/>
      <c r="G180" s="129"/>
      <c r="H180" s="129"/>
      <c r="I180" s="129"/>
      <c r="J180" s="129"/>
      <c r="K180" s="129"/>
      <c r="L180" s="129"/>
      <c r="M180" s="129"/>
      <c r="N180" s="129"/>
      <c r="O180" s="129"/>
    </row>
    <row r="181" spans="3:15">
      <c r="C181" s="129"/>
      <c r="D181" s="129"/>
      <c r="E181" s="129"/>
      <c r="F181" s="129"/>
      <c r="G181" s="129"/>
      <c r="H181" s="129"/>
      <c r="I181" s="129"/>
      <c r="J181" s="129"/>
      <c r="K181" s="129"/>
      <c r="L181" s="129"/>
      <c r="M181" s="129"/>
      <c r="N181" s="129"/>
      <c r="O181" s="129"/>
    </row>
    <row r="182" spans="3:15">
      <c r="C182" s="129"/>
      <c r="D182" s="129"/>
      <c r="E182" s="129"/>
      <c r="F182" s="129"/>
      <c r="G182" s="129"/>
      <c r="H182" s="129"/>
      <c r="I182" s="129"/>
      <c r="J182" s="129"/>
      <c r="K182" s="129"/>
      <c r="L182" s="129"/>
      <c r="M182" s="129"/>
      <c r="N182" s="129"/>
      <c r="O182" s="129"/>
    </row>
    <row r="183" spans="3:15">
      <c r="C183" s="129"/>
      <c r="D183" s="129"/>
      <c r="E183" s="129"/>
      <c r="F183" s="129"/>
      <c r="G183" s="129"/>
      <c r="H183" s="129"/>
      <c r="I183" s="129"/>
      <c r="J183" s="129"/>
      <c r="K183" s="129"/>
      <c r="L183" s="129"/>
      <c r="M183" s="129"/>
      <c r="N183" s="129"/>
      <c r="O183" s="129"/>
    </row>
    <row r="184" spans="3:15">
      <c r="C184" s="129"/>
      <c r="D184" s="129"/>
      <c r="E184" s="129"/>
      <c r="F184" s="129"/>
      <c r="G184" s="129"/>
      <c r="H184" s="129"/>
      <c r="I184" s="129"/>
      <c r="J184" s="129"/>
      <c r="K184" s="129"/>
      <c r="L184" s="129"/>
      <c r="M184" s="129"/>
      <c r="N184" s="129"/>
      <c r="O184" s="129"/>
    </row>
    <row r="185" spans="3:15">
      <c r="C185" s="129"/>
      <c r="D185" s="129"/>
      <c r="E185" s="129"/>
      <c r="F185" s="129"/>
      <c r="G185" s="129"/>
      <c r="H185" s="129"/>
      <c r="I185" s="129"/>
      <c r="J185" s="129"/>
      <c r="K185" s="129"/>
      <c r="L185" s="129"/>
      <c r="M185" s="129"/>
      <c r="N185" s="129"/>
      <c r="O185" s="129"/>
    </row>
    <row r="186" spans="3:15">
      <c r="C186" s="129"/>
      <c r="D186" s="129"/>
      <c r="E186" s="129"/>
      <c r="F186" s="129"/>
      <c r="G186" s="129"/>
      <c r="H186" s="129"/>
      <c r="I186" s="129"/>
      <c r="J186" s="129"/>
      <c r="K186" s="129"/>
      <c r="L186" s="129"/>
      <c r="M186" s="129"/>
      <c r="N186" s="129"/>
      <c r="O186" s="129"/>
    </row>
    <row r="187" spans="3:15">
      <c r="C187" s="129"/>
      <c r="D187" s="129"/>
      <c r="E187" s="129"/>
      <c r="F187" s="129"/>
      <c r="G187" s="129"/>
      <c r="H187" s="129"/>
      <c r="I187" s="129"/>
      <c r="J187" s="129"/>
      <c r="K187" s="129"/>
      <c r="L187" s="129"/>
      <c r="M187" s="129"/>
      <c r="N187" s="129"/>
      <c r="O187" s="129"/>
    </row>
    <row r="188" spans="3:15">
      <c r="C188" s="129"/>
      <c r="D188" s="129"/>
      <c r="E188" s="129"/>
      <c r="F188" s="129"/>
      <c r="G188" s="129"/>
      <c r="H188" s="129"/>
      <c r="I188" s="129"/>
      <c r="J188" s="129"/>
      <c r="K188" s="129"/>
      <c r="L188" s="129"/>
      <c r="M188" s="129"/>
      <c r="N188" s="129"/>
      <c r="O188" s="129"/>
    </row>
    <row r="189" spans="3:15">
      <c r="C189" s="129"/>
      <c r="D189" s="129"/>
      <c r="E189" s="129"/>
      <c r="F189" s="129"/>
      <c r="G189" s="129"/>
      <c r="H189" s="129"/>
      <c r="I189" s="129"/>
      <c r="J189" s="129"/>
      <c r="K189" s="129"/>
      <c r="L189" s="129"/>
      <c r="M189" s="129"/>
      <c r="N189" s="129"/>
      <c r="O189" s="129"/>
    </row>
    <row r="190" spans="3:15">
      <c r="C190" s="129"/>
      <c r="D190" s="129"/>
      <c r="E190" s="129"/>
      <c r="F190" s="129"/>
      <c r="G190" s="129"/>
      <c r="H190" s="129"/>
      <c r="I190" s="129"/>
      <c r="J190" s="129"/>
      <c r="K190" s="129"/>
      <c r="L190" s="129"/>
      <c r="M190" s="129"/>
      <c r="N190" s="129"/>
      <c r="O190" s="129"/>
    </row>
    <row r="191" spans="3:15">
      <c r="C191" s="129"/>
      <c r="D191" s="129"/>
      <c r="E191" s="129"/>
      <c r="F191" s="129"/>
      <c r="G191" s="129"/>
      <c r="H191" s="129"/>
      <c r="I191" s="129"/>
      <c r="J191" s="129"/>
      <c r="K191" s="129"/>
      <c r="L191" s="129"/>
      <c r="M191" s="129"/>
      <c r="N191" s="129"/>
      <c r="O191" s="129"/>
    </row>
    <row r="192" spans="3:15">
      <c r="C192" s="129"/>
      <c r="D192" s="129"/>
      <c r="E192" s="129"/>
      <c r="F192" s="129"/>
      <c r="G192" s="129"/>
      <c r="H192" s="129"/>
      <c r="I192" s="129"/>
      <c r="J192" s="129"/>
      <c r="K192" s="129"/>
      <c r="L192" s="129"/>
      <c r="M192" s="129"/>
      <c r="N192" s="129"/>
      <c r="O192" s="129"/>
    </row>
    <row r="193" spans="3:15">
      <c r="C193" s="129"/>
      <c r="D193" s="129"/>
      <c r="E193" s="129"/>
      <c r="F193" s="129"/>
      <c r="G193" s="129"/>
      <c r="H193" s="129"/>
      <c r="I193" s="129"/>
      <c r="J193" s="129"/>
      <c r="K193" s="129"/>
      <c r="L193" s="129"/>
      <c r="M193" s="129"/>
      <c r="N193" s="129"/>
      <c r="O193" s="129"/>
    </row>
    <row r="194" spans="3:15">
      <c r="C194" s="129"/>
      <c r="D194" s="129"/>
      <c r="E194" s="129"/>
      <c r="F194" s="129"/>
      <c r="G194" s="129"/>
      <c r="H194" s="129"/>
      <c r="I194" s="129"/>
      <c r="J194" s="129"/>
      <c r="K194" s="129"/>
      <c r="L194" s="129"/>
      <c r="M194" s="129"/>
      <c r="N194" s="129"/>
      <c r="O194" s="129"/>
    </row>
    <row r="195" spans="3:15">
      <c r="C195" s="129"/>
      <c r="D195" s="129"/>
      <c r="E195" s="129"/>
      <c r="F195" s="129"/>
      <c r="G195" s="129"/>
      <c r="H195" s="129"/>
      <c r="I195" s="129"/>
      <c r="J195" s="129"/>
      <c r="K195" s="129"/>
      <c r="L195" s="129"/>
      <c r="M195" s="129"/>
      <c r="N195" s="129"/>
      <c r="O195" s="129"/>
    </row>
    <row r="196" spans="3:15">
      <c r="C196" s="129"/>
      <c r="D196" s="129"/>
      <c r="E196" s="129"/>
      <c r="F196" s="129"/>
      <c r="G196" s="129"/>
      <c r="H196" s="129"/>
      <c r="I196" s="129"/>
      <c r="J196" s="129"/>
      <c r="K196" s="129"/>
      <c r="L196" s="129"/>
      <c r="M196" s="129"/>
      <c r="N196" s="129"/>
      <c r="O196" s="129"/>
    </row>
    <row r="197" spans="3:15">
      <c r="C197" s="129"/>
      <c r="D197" s="129"/>
      <c r="E197" s="129"/>
      <c r="F197" s="129"/>
      <c r="G197" s="129"/>
      <c r="H197" s="129"/>
      <c r="I197" s="129"/>
      <c r="J197" s="129"/>
      <c r="K197" s="129"/>
      <c r="L197" s="129"/>
      <c r="M197" s="129"/>
      <c r="N197" s="129"/>
      <c r="O197" s="129"/>
    </row>
    <row r="198" spans="3:15">
      <c r="C198" s="129"/>
      <c r="D198" s="129"/>
      <c r="E198" s="129"/>
      <c r="F198" s="129"/>
      <c r="G198" s="129"/>
      <c r="H198" s="129"/>
      <c r="I198" s="129"/>
      <c r="J198" s="129"/>
      <c r="K198" s="129"/>
      <c r="L198" s="129"/>
      <c r="M198" s="129"/>
      <c r="N198" s="129"/>
      <c r="O198" s="129"/>
    </row>
    <row r="199" spans="3:15">
      <c r="C199" s="129"/>
      <c r="D199" s="129"/>
      <c r="E199" s="129"/>
      <c r="F199" s="129"/>
      <c r="G199" s="129"/>
      <c r="H199" s="129"/>
      <c r="I199" s="129"/>
      <c r="J199" s="129"/>
      <c r="K199" s="129"/>
      <c r="L199" s="129"/>
      <c r="M199" s="129"/>
      <c r="N199" s="129"/>
      <c r="O199" s="129"/>
    </row>
    <row r="200" spans="3:15">
      <c r="C200" s="129"/>
      <c r="D200" s="129"/>
      <c r="E200" s="129"/>
      <c r="F200" s="129"/>
      <c r="G200" s="129"/>
      <c r="H200" s="129"/>
      <c r="I200" s="129"/>
      <c r="J200" s="129"/>
      <c r="K200" s="129"/>
      <c r="L200" s="129"/>
      <c r="M200" s="129"/>
      <c r="N200" s="129"/>
      <c r="O200" s="129"/>
    </row>
    <row r="201" spans="3:15">
      <c r="C201" s="129"/>
      <c r="D201" s="129"/>
      <c r="E201" s="129"/>
      <c r="F201" s="129"/>
      <c r="G201" s="129"/>
      <c r="H201" s="129"/>
      <c r="I201" s="129"/>
      <c r="J201" s="129"/>
      <c r="K201" s="129"/>
      <c r="L201" s="129"/>
      <c r="M201" s="129"/>
      <c r="N201" s="129"/>
      <c r="O201" s="129"/>
    </row>
    <row r="202" spans="3:15">
      <c r="C202" s="129"/>
      <c r="D202" s="129"/>
      <c r="E202" s="129"/>
      <c r="F202" s="129"/>
      <c r="G202" s="129"/>
      <c r="H202" s="129"/>
      <c r="I202" s="129"/>
      <c r="J202" s="129"/>
      <c r="K202" s="129"/>
      <c r="L202" s="129"/>
      <c r="M202" s="129"/>
      <c r="N202" s="129"/>
      <c r="O202" s="129"/>
    </row>
    <row r="203" spans="3:15">
      <c r="C203" s="129"/>
      <c r="D203" s="129"/>
      <c r="E203" s="129"/>
      <c r="F203" s="129"/>
      <c r="G203" s="129"/>
      <c r="H203" s="129"/>
      <c r="I203" s="129"/>
      <c r="J203" s="129"/>
      <c r="K203" s="129"/>
      <c r="L203" s="129"/>
      <c r="M203" s="129"/>
      <c r="N203" s="129"/>
      <c r="O203" s="129"/>
    </row>
    <row r="204" spans="3:15">
      <c r="C204" s="129"/>
      <c r="D204" s="129"/>
      <c r="E204" s="129"/>
      <c r="F204" s="129"/>
      <c r="G204" s="129"/>
      <c r="H204" s="129"/>
      <c r="I204" s="129"/>
      <c r="J204" s="129"/>
      <c r="K204" s="129"/>
      <c r="L204" s="129"/>
      <c r="M204" s="129"/>
      <c r="N204" s="129"/>
      <c r="O204" s="129"/>
    </row>
    <row r="205" spans="3:15">
      <c r="C205" s="129"/>
      <c r="D205" s="129"/>
      <c r="E205" s="129"/>
      <c r="F205" s="129"/>
      <c r="G205" s="129"/>
      <c r="H205" s="129"/>
      <c r="I205" s="129"/>
      <c r="J205" s="129"/>
      <c r="K205" s="129"/>
      <c r="L205" s="129"/>
      <c r="M205" s="129"/>
      <c r="N205" s="129"/>
      <c r="O205" s="129"/>
    </row>
    <row r="206" spans="3:15">
      <c r="C206" s="129"/>
      <c r="D206" s="129"/>
      <c r="E206" s="129"/>
      <c r="F206" s="129"/>
      <c r="G206" s="129"/>
      <c r="H206" s="129"/>
      <c r="I206" s="129"/>
      <c r="J206" s="129"/>
      <c r="K206" s="129"/>
      <c r="L206" s="129"/>
      <c r="M206" s="129"/>
      <c r="N206" s="129"/>
      <c r="O206" s="129"/>
    </row>
    <row r="207" spans="3:15">
      <c r="C207" s="129"/>
      <c r="D207" s="129"/>
      <c r="E207" s="129"/>
      <c r="F207" s="129"/>
      <c r="G207" s="129"/>
      <c r="H207" s="129"/>
      <c r="I207" s="129"/>
      <c r="J207" s="129"/>
      <c r="K207" s="129"/>
      <c r="L207" s="129"/>
      <c r="M207" s="129"/>
      <c r="N207" s="129"/>
      <c r="O207" s="129"/>
    </row>
    <row r="208" spans="3:15">
      <c r="C208" s="129"/>
      <c r="D208" s="129"/>
      <c r="E208" s="129"/>
      <c r="F208" s="129"/>
      <c r="G208" s="129"/>
      <c r="H208" s="129"/>
      <c r="I208" s="129"/>
      <c r="J208" s="129"/>
      <c r="K208" s="129"/>
      <c r="L208" s="129"/>
      <c r="M208" s="129"/>
      <c r="N208" s="129"/>
      <c r="O208" s="129"/>
    </row>
    <row r="209" spans="3:15">
      <c r="C209" s="129"/>
      <c r="D209" s="129"/>
      <c r="E209" s="129"/>
      <c r="F209" s="129"/>
      <c r="G209" s="129"/>
      <c r="H209" s="129"/>
      <c r="I209" s="129"/>
      <c r="J209" s="129"/>
      <c r="K209" s="129"/>
      <c r="L209" s="129"/>
      <c r="M209" s="129"/>
      <c r="N209" s="129"/>
      <c r="O209" s="129"/>
    </row>
    <row r="210" spans="3:15">
      <c r="C210" s="129"/>
      <c r="D210" s="129"/>
      <c r="E210" s="129"/>
      <c r="F210" s="129"/>
      <c r="G210" s="129"/>
      <c r="H210" s="129"/>
      <c r="I210" s="129"/>
      <c r="J210" s="129"/>
      <c r="K210" s="129"/>
      <c r="L210" s="129"/>
      <c r="M210" s="129"/>
      <c r="N210" s="129"/>
      <c r="O210" s="129"/>
    </row>
    <row r="211" spans="3:15">
      <c r="C211" s="129"/>
      <c r="D211" s="129"/>
      <c r="E211" s="129"/>
      <c r="F211" s="129"/>
      <c r="G211" s="129"/>
      <c r="H211" s="129"/>
      <c r="I211" s="129"/>
      <c r="J211" s="129"/>
      <c r="K211" s="129"/>
      <c r="L211" s="129"/>
      <c r="M211" s="129"/>
      <c r="N211" s="129"/>
      <c r="O211" s="129"/>
    </row>
    <row r="212" spans="3:15">
      <c r="C212" s="129"/>
      <c r="D212" s="129"/>
      <c r="E212" s="129"/>
      <c r="F212" s="129"/>
      <c r="G212" s="129"/>
      <c r="H212" s="129"/>
      <c r="I212" s="129"/>
      <c r="J212" s="129"/>
      <c r="K212" s="129"/>
      <c r="L212" s="129"/>
      <c r="M212" s="129"/>
      <c r="N212" s="129"/>
      <c r="O212" s="129"/>
    </row>
    <row r="213" spans="3:15">
      <c r="C213" s="129"/>
      <c r="D213" s="129"/>
      <c r="E213" s="129"/>
      <c r="F213" s="129"/>
      <c r="G213" s="129"/>
      <c r="H213" s="129"/>
      <c r="I213" s="129"/>
      <c r="J213" s="129"/>
      <c r="K213" s="129"/>
      <c r="L213" s="129"/>
      <c r="M213" s="129"/>
      <c r="N213" s="129"/>
      <c r="O213" s="129"/>
    </row>
    <row r="214" spans="3:15">
      <c r="C214" s="129"/>
      <c r="D214" s="129"/>
      <c r="E214" s="129"/>
      <c r="F214" s="129"/>
      <c r="G214" s="129"/>
      <c r="H214" s="129"/>
      <c r="I214" s="129"/>
      <c r="J214" s="129"/>
      <c r="K214" s="129"/>
      <c r="L214" s="129"/>
      <c r="M214" s="129"/>
      <c r="N214" s="129"/>
      <c r="O214" s="129"/>
    </row>
    <row r="215" spans="3:15">
      <c r="C215" s="129"/>
      <c r="D215" s="129"/>
      <c r="E215" s="129"/>
      <c r="F215" s="129"/>
      <c r="G215" s="129"/>
      <c r="H215" s="129"/>
      <c r="I215" s="129"/>
      <c r="J215" s="129"/>
      <c r="K215" s="129"/>
      <c r="L215" s="129"/>
      <c r="M215" s="129"/>
      <c r="N215" s="129"/>
      <c r="O215" s="129"/>
    </row>
    <row r="216" spans="3:15">
      <c r="C216" s="129"/>
      <c r="D216" s="129"/>
      <c r="E216" s="129"/>
      <c r="F216" s="129"/>
      <c r="G216" s="129"/>
      <c r="H216" s="129"/>
      <c r="I216" s="129"/>
      <c r="J216" s="129"/>
      <c r="K216" s="129"/>
      <c r="L216" s="129"/>
      <c r="M216" s="129"/>
      <c r="N216" s="129"/>
      <c r="O216" s="129"/>
    </row>
    <row r="217" spans="3:15">
      <c r="C217" s="129"/>
      <c r="D217" s="129"/>
      <c r="E217" s="129"/>
      <c r="F217" s="129"/>
      <c r="G217" s="129"/>
      <c r="H217" s="129"/>
      <c r="I217" s="129"/>
      <c r="J217" s="129"/>
      <c r="K217" s="129"/>
      <c r="L217" s="129"/>
      <c r="M217" s="129"/>
      <c r="N217" s="129"/>
      <c r="O217" s="129"/>
    </row>
    <row r="218" spans="3:15">
      <c r="C218" s="129"/>
      <c r="D218" s="129"/>
      <c r="E218" s="129"/>
      <c r="F218" s="129"/>
      <c r="G218" s="129"/>
      <c r="H218" s="129"/>
      <c r="I218" s="129"/>
      <c r="J218" s="129"/>
      <c r="K218" s="129"/>
      <c r="L218" s="129"/>
      <c r="M218" s="129"/>
      <c r="N218" s="129"/>
      <c r="O218" s="129"/>
    </row>
    <row r="219" spans="3:15">
      <c r="C219" s="129"/>
      <c r="D219" s="129"/>
      <c r="E219" s="129"/>
      <c r="F219" s="129"/>
      <c r="G219" s="129"/>
      <c r="H219" s="129"/>
      <c r="I219" s="129"/>
      <c r="J219" s="129"/>
      <c r="K219" s="129"/>
      <c r="L219" s="129"/>
      <c r="M219" s="129"/>
      <c r="N219" s="129"/>
      <c r="O219" s="129"/>
    </row>
    <row r="220" spans="3:15">
      <c r="C220" s="129"/>
      <c r="D220" s="129"/>
      <c r="E220" s="129"/>
      <c r="F220" s="129"/>
      <c r="G220" s="129"/>
      <c r="H220" s="129"/>
      <c r="I220" s="129"/>
      <c r="J220" s="129"/>
      <c r="K220" s="129"/>
      <c r="L220" s="129"/>
      <c r="M220" s="129"/>
      <c r="N220" s="129"/>
      <c r="O220" s="129"/>
    </row>
    <row r="221" spans="3:15">
      <c r="C221" s="129"/>
      <c r="D221" s="129"/>
      <c r="E221" s="129"/>
      <c r="F221" s="129"/>
      <c r="G221" s="129"/>
      <c r="H221" s="129"/>
      <c r="I221" s="129"/>
      <c r="J221" s="129"/>
      <c r="K221" s="129"/>
      <c r="L221" s="129"/>
      <c r="M221" s="129"/>
      <c r="N221" s="129"/>
      <c r="O221" s="129"/>
    </row>
    <row r="222" spans="3:15">
      <c r="C222" s="129"/>
      <c r="D222" s="129"/>
      <c r="E222" s="129"/>
      <c r="F222" s="129"/>
      <c r="G222" s="129"/>
      <c r="H222" s="129"/>
      <c r="I222" s="129"/>
      <c r="J222" s="129"/>
      <c r="K222" s="129"/>
      <c r="L222" s="129"/>
      <c r="M222" s="129"/>
      <c r="N222" s="129"/>
      <c r="O222" s="129"/>
    </row>
    <row r="223" spans="3:15">
      <c r="C223" s="129"/>
      <c r="D223" s="129"/>
      <c r="E223" s="129"/>
      <c r="F223" s="129"/>
      <c r="G223" s="129"/>
      <c r="H223" s="129"/>
      <c r="I223" s="129"/>
      <c r="J223" s="129"/>
      <c r="K223" s="129"/>
      <c r="L223" s="129"/>
      <c r="M223" s="129"/>
      <c r="N223" s="129"/>
      <c r="O223" s="129"/>
    </row>
    <row r="224" spans="3:15">
      <c r="C224" s="129"/>
      <c r="D224" s="129"/>
      <c r="E224" s="129"/>
      <c r="F224" s="129"/>
      <c r="G224" s="129"/>
      <c r="H224" s="129"/>
      <c r="I224" s="129"/>
      <c r="J224" s="129"/>
      <c r="K224" s="129"/>
      <c r="L224" s="129"/>
      <c r="M224" s="129"/>
      <c r="N224" s="129"/>
      <c r="O224" s="129"/>
    </row>
    <row r="225" spans="3:15">
      <c r="C225" s="129"/>
      <c r="D225" s="129"/>
      <c r="E225" s="129"/>
      <c r="F225" s="129"/>
      <c r="G225" s="129"/>
      <c r="H225" s="129"/>
      <c r="I225" s="129"/>
      <c r="J225" s="129"/>
      <c r="K225" s="129"/>
      <c r="L225" s="129"/>
      <c r="M225" s="129"/>
      <c r="N225" s="129"/>
      <c r="O225" s="129"/>
    </row>
    <row r="226" spans="3:15">
      <c r="C226" s="129"/>
      <c r="D226" s="129"/>
      <c r="E226" s="129"/>
      <c r="F226" s="129"/>
      <c r="G226" s="129"/>
      <c r="H226" s="129"/>
      <c r="I226" s="129"/>
      <c r="J226" s="129"/>
      <c r="K226" s="129"/>
      <c r="L226" s="129"/>
      <c r="M226" s="129"/>
      <c r="N226" s="129"/>
      <c r="O226" s="129"/>
    </row>
    <row r="227" spans="3:15">
      <c r="C227" s="129"/>
      <c r="D227" s="129"/>
      <c r="E227" s="129"/>
      <c r="F227" s="129"/>
      <c r="G227" s="129"/>
      <c r="H227" s="129"/>
      <c r="I227" s="129"/>
      <c r="J227" s="129"/>
      <c r="K227" s="129"/>
      <c r="L227" s="129"/>
      <c r="M227" s="129"/>
      <c r="N227" s="129"/>
      <c r="O227" s="129"/>
    </row>
    <row r="228" spans="3:15">
      <c r="C228" s="129"/>
      <c r="D228" s="129"/>
      <c r="E228" s="129"/>
      <c r="F228" s="129"/>
      <c r="G228" s="129"/>
      <c r="H228" s="129"/>
      <c r="I228" s="129"/>
      <c r="J228" s="129"/>
      <c r="K228" s="129"/>
      <c r="L228" s="129"/>
      <c r="M228" s="129"/>
      <c r="N228" s="129"/>
      <c r="O228" s="129"/>
    </row>
    <row r="229" spans="3:15">
      <c r="C229" s="129"/>
      <c r="D229" s="129"/>
      <c r="E229" s="129"/>
      <c r="F229" s="129"/>
      <c r="G229" s="129"/>
      <c r="H229" s="129"/>
      <c r="I229" s="129"/>
      <c r="J229" s="129"/>
      <c r="K229" s="129"/>
      <c r="L229" s="129"/>
      <c r="M229" s="129"/>
      <c r="N229" s="129"/>
      <c r="O229" s="129"/>
    </row>
    <row r="230" spans="3:15">
      <c r="C230" s="129"/>
      <c r="D230" s="129"/>
      <c r="E230" s="129"/>
      <c r="F230" s="129"/>
      <c r="G230" s="129"/>
      <c r="H230" s="129"/>
      <c r="I230" s="129"/>
      <c r="J230" s="129"/>
      <c r="K230" s="129"/>
      <c r="L230" s="129"/>
      <c r="M230" s="129"/>
      <c r="N230" s="129"/>
      <c r="O230" s="129"/>
    </row>
    <row r="231" spans="3:15">
      <c r="C231" s="129"/>
      <c r="D231" s="129"/>
      <c r="E231" s="129"/>
      <c r="F231" s="129"/>
      <c r="G231" s="129"/>
      <c r="H231" s="129"/>
      <c r="I231" s="129"/>
      <c r="J231" s="129"/>
      <c r="K231" s="129"/>
      <c r="L231" s="129"/>
      <c r="M231" s="129"/>
      <c r="N231" s="129"/>
      <c r="O231" s="129"/>
    </row>
    <row r="232" spans="3:15">
      <c r="C232" s="129"/>
      <c r="D232" s="129"/>
      <c r="E232" s="129"/>
      <c r="F232" s="129"/>
      <c r="G232" s="129"/>
      <c r="H232" s="129"/>
      <c r="I232" s="129"/>
      <c r="J232" s="129"/>
      <c r="K232" s="129"/>
      <c r="L232" s="129"/>
      <c r="M232" s="129"/>
      <c r="N232" s="129"/>
      <c r="O232" s="129"/>
    </row>
    <row r="233" spans="3:15">
      <c r="C233" s="129"/>
      <c r="D233" s="129"/>
      <c r="E233" s="129"/>
      <c r="F233" s="129"/>
      <c r="G233" s="129"/>
      <c r="H233" s="129"/>
      <c r="I233" s="129"/>
      <c r="J233" s="129"/>
      <c r="K233" s="129"/>
      <c r="L233" s="129"/>
      <c r="M233" s="129"/>
      <c r="N233" s="129"/>
      <c r="O233" s="129"/>
    </row>
    <row r="234" spans="3:15">
      <c r="C234" s="129"/>
      <c r="D234" s="129"/>
      <c r="E234" s="129"/>
      <c r="F234" s="129"/>
      <c r="G234" s="129"/>
      <c r="H234" s="129"/>
      <c r="I234" s="129"/>
      <c r="J234" s="129"/>
      <c r="K234" s="129"/>
      <c r="L234" s="129"/>
      <c r="M234" s="129"/>
      <c r="N234" s="129"/>
      <c r="O234" s="129"/>
    </row>
    <row r="235" spans="3:15">
      <c r="C235" s="129"/>
      <c r="D235" s="129"/>
      <c r="E235" s="129"/>
      <c r="F235" s="129"/>
      <c r="G235" s="129"/>
      <c r="H235" s="129"/>
      <c r="I235" s="129"/>
      <c r="J235" s="129"/>
      <c r="K235" s="129"/>
      <c r="L235" s="129"/>
      <c r="M235" s="129"/>
      <c r="N235" s="129"/>
      <c r="O235" s="129"/>
    </row>
    <row r="236" spans="3:15">
      <c r="C236" s="129"/>
      <c r="D236" s="129"/>
      <c r="E236" s="129"/>
      <c r="F236" s="129"/>
      <c r="G236" s="129"/>
      <c r="H236" s="129"/>
      <c r="I236" s="129"/>
      <c r="J236" s="129"/>
      <c r="K236" s="129"/>
      <c r="L236" s="129"/>
      <c r="M236" s="129"/>
      <c r="N236" s="129"/>
      <c r="O236" s="129"/>
    </row>
    <row r="237" spans="3:15">
      <c r="C237" s="129"/>
      <c r="D237" s="129"/>
      <c r="E237" s="129"/>
      <c r="F237" s="129"/>
      <c r="G237" s="129"/>
      <c r="H237" s="129"/>
      <c r="I237" s="129"/>
      <c r="J237" s="129"/>
      <c r="K237" s="129"/>
      <c r="L237" s="129"/>
      <c r="M237" s="129"/>
      <c r="N237" s="129"/>
      <c r="O237" s="129"/>
    </row>
    <row r="238" spans="3:15">
      <c r="C238" s="129"/>
      <c r="D238" s="129"/>
      <c r="E238" s="129"/>
      <c r="F238" s="129"/>
      <c r="G238" s="129"/>
      <c r="H238" s="129"/>
      <c r="I238" s="129"/>
      <c r="J238" s="129"/>
      <c r="K238" s="129"/>
      <c r="L238" s="129"/>
      <c r="M238" s="129"/>
      <c r="N238" s="129"/>
      <c r="O238" s="129"/>
    </row>
    <row r="239" spans="3:15">
      <c r="C239" s="129"/>
      <c r="D239" s="129"/>
      <c r="E239" s="129"/>
      <c r="F239" s="129"/>
      <c r="G239" s="129"/>
      <c r="H239" s="129"/>
      <c r="I239" s="129"/>
      <c r="J239" s="129"/>
      <c r="K239" s="129"/>
      <c r="L239" s="129"/>
      <c r="M239" s="129"/>
      <c r="N239" s="129"/>
      <c r="O239" s="129"/>
    </row>
    <row r="240" spans="3:15">
      <c r="C240" s="129"/>
      <c r="D240" s="129"/>
      <c r="E240" s="129"/>
      <c r="F240" s="129"/>
      <c r="G240" s="129"/>
      <c r="H240" s="129"/>
      <c r="I240" s="129"/>
      <c r="J240" s="129"/>
      <c r="K240" s="129"/>
      <c r="L240" s="129"/>
      <c r="M240" s="129"/>
      <c r="N240" s="129"/>
      <c r="O240" s="129"/>
    </row>
    <row r="241" spans="3:15">
      <c r="C241" s="129"/>
      <c r="D241" s="129"/>
      <c r="E241" s="129"/>
      <c r="F241" s="129"/>
      <c r="G241" s="129"/>
      <c r="H241" s="129"/>
      <c r="I241" s="129"/>
      <c r="J241" s="129"/>
      <c r="K241" s="129"/>
      <c r="L241" s="129"/>
      <c r="M241" s="129"/>
      <c r="N241" s="129"/>
      <c r="O241" s="129"/>
    </row>
    <row r="242" spans="3:15">
      <c r="C242" s="129"/>
      <c r="D242" s="129"/>
      <c r="E242" s="129"/>
      <c r="F242" s="129"/>
      <c r="G242" s="129"/>
      <c r="H242" s="129"/>
      <c r="I242" s="129"/>
      <c r="J242" s="129"/>
      <c r="K242" s="129"/>
      <c r="L242" s="129"/>
      <c r="M242" s="129"/>
      <c r="N242" s="129"/>
      <c r="O242" s="129"/>
    </row>
    <row r="243" spans="3:15">
      <c r="C243" s="129"/>
      <c r="D243" s="129"/>
      <c r="E243" s="129"/>
      <c r="F243" s="129"/>
      <c r="G243" s="129"/>
      <c r="H243" s="129"/>
      <c r="I243" s="129"/>
      <c r="J243" s="129"/>
      <c r="K243" s="129"/>
      <c r="L243" s="129"/>
      <c r="M243" s="129"/>
      <c r="N243" s="129"/>
      <c r="O243" s="129"/>
    </row>
    <row r="244" spans="3:15">
      <c r="C244" s="129"/>
      <c r="D244" s="129"/>
      <c r="E244" s="129"/>
      <c r="F244" s="129"/>
      <c r="G244" s="129"/>
      <c r="H244" s="129"/>
      <c r="I244" s="129"/>
      <c r="J244" s="129"/>
      <c r="K244" s="129"/>
      <c r="L244" s="129"/>
      <c r="M244" s="129"/>
      <c r="N244" s="129"/>
      <c r="O244" s="129"/>
    </row>
    <row r="245" spans="3:15">
      <c r="C245" s="129"/>
      <c r="D245" s="129"/>
      <c r="E245" s="129"/>
      <c r="F245" s="129"/>
      <c r="G245" s="129"/>
      <c r="H245" s="129"/>
      <c r="I245" s="129"/>
      <c r="J245" s="129"/>
      <c r="K245" s="129"/>
      <c r="L245" s="129"/>
      <c r="M245" s="129"/>
      <c r="N245" s="129"/>
      <c r="O245" s="129"/>
    </row>
    <row r="246" spans="3:15">
      <c r="C246" s="129"/>
      <c r="D246" s="129"/>
      <c r="E246" s="129"/>
      <c r="F246" s="129"/>
      <c r="G246" s="129"/>
      <c r="H246" s="129"/>
      <c r="I246" s="129"/>
      <c r="J246" s="129"/>
      <c r="K246" s="129"/>
      <c r="L246" s="129"/>
      <c r="M246" s="129"/>
      <c r="N246" s="129"/>
      <c r="O246" s="129"/>
    </row>
    <row r="247" spans="3:15">
      <c r="C247" s="129"/>
      <c r="D247" s="129"/>
      <c r="E247" s="129"/>
      <c r="F247" s="129"/>
      <c r="G247" s="129"/>
      <c r="H247" s="129"/>
      <c r="I247" s="129"/>
      <c r="J247" s="129"/>
      <c r="K247" s="129"/>
      <c r="L247" s="129"/>
      <c r="M247" s="129"/>
      <c r="N247" s="129"/>
      <c r="O247" s="129"/>
    </row>
    <row r="248" spans="3:15">
      <c r="C248" s="129"/>
      <c r="D248" s="129"/>
      <c r="E248" s="129"/>
      <c r="F248" s="129"/>
      <c r="G248" s="129"/>
      <c r="H248" s="129"/>
      <c r="I248" s="129"/>
      <c r="J248" s="129"/>
      <c r="K248" s="129"/>
      <c r="L248" s="129"/>
      <c r="M248" s="129"/>
      <c r="N248" s="129"/>
      <c r="O248" s="129"/>
    </row>
    <row r="249" spans="3:15">
      <c r="C249" s="129"/>
      <c r="D249" s="129"/>
      <c r="E249" s="129"/>
      <c r="F249" s="129"/>
      <c r="G249" s="129"/>
      <c r="H249" s="129"/>
      <c r="I249" s="129"/>
      <c r="J249" s="129"/>
      <c r="K249" s="129"/>
      <c r="L249" s="129"/>
      <c r="M249" s="129"/>
      <c r="N249" s="129"/>
      <c r="O249" s="129"/>
    </row>
    <row r="250" spans="3:15">
      <c r="C250" s="129"/>
      <c r="D250" s="129"/>
      <c r="E250" s="129"/>
      <c r="F250" s="129"/>
      <c r="G250" s="129"/>
      <c r="H250" s="129"/>
      <c r="I250" s="129"/>
      <c r="J250" s="129"/>
      <c r="K250" s="129"/>
      <c r="L250" s="129"/>
      <c r="M250" s="129"/>
      <c r="N250" s="129"/>
      <c r="O250" s="129"/>
    </row>
    <row r="251" spans="3:15">
      <c r="C251" s="129"/>
      <c r="D251" s="129"/>
      <c r="E251" s="129"/>
      <c r="F251" s="129"/>
      <c r="G251" s="129"/>
      <c r="H251" s="129"/>
      <c r="I251" s="129"/>
      <c r="J251" s="129"/>
      <c r="K251" s="129"/>
      <c r="L251" s="129"/>
      <c r="M251" s="129"/>
      <c r="N251" s="129"/>
      <c r="O251" s="129"/>
    </row>
    <row r="252" spans="3:15">
      <c r="C252" s="129"/>
      <c r="D252" s="129"/>
      <c r="E252" s="129"/>
      <c r="F252" s="129"/>
      <c r="G252" s="129"/>
      <c r="H252" s="129"/>
      <c r="I252" s="129"/>
      <c r="J252" s="129"/>
      <c r="K252" s="129"/>
      <c r="L252" s="129"/>
      <c r="M252" s="129"/>
      <c r="N252" s="129"/>
      <c r="O252" s="129"/>
    </row>
    <row r="253" spans="3:15">
      <c r="C253" s="129"/>
      <c r="D253" s="129"/>
      <c r="E253" s="129"/>
      <c r="F253" s="129"/>
      <c r="G253" s="129"/>
      <c r="H253" s="129"/>
      <c r="I253" s="129"/>
      <c r="J253" s="129"/>
      <c r="K253" s="129"/>
      <c r="L253" s="129"/>
      <c r="M253" s="129"/>
      <c r="N253" s="129"/>
      <c r="O253" s="129"/>
    </row>
    <row r="254" spans="3:15">
      <c r="C254" s="129"/>
      <c r="D254" s="129"/>
      <c r="E254" s="129"/>
      <c r="F254" s="129"/>
      <c r="G254" s="129"/>
      <c r="H254" s="129"/>
      <c r="I254" s="129"/>
      <c r="J254" s="129"/>
      <c r="K254" s="129"/>
      <c r="L254" s="129"/>
      <c r="M254" s="129"/>
      <c r="N254" s="129"/>
      <c r="O254" s="129"/>
    </row>
    <row r="255" spans="3:15">
      <c r="C255" s="129"/>
      <c r="D255" s="129"/>
      <c r="E255" s="129"/>
      <c r="F255" s="129"/>
      <c r="G255" s="129"/>
      <c r="H255" s="129"/>
      <c r="I255" s="129"/>
      <c r="J255" s="129"/>
      <c r="K255" s="129"/>
      <c r="L255" s="129"/>
      <c r="M255" s="129"/>
      <c r="N255" s="129"/>
      <c r="O255" s="129"/>
    </row>
    <row r="256" spans="3:15">
      <c r="C256" s="129"/>
      <c r="D256" s="129"/>
      <c r="E256" s="129"/>
      <c r="F256" s="129"/>
      <c r="G256" s="129"/>
      <c r="H256" s="129"/>
      <c r="I256" s="129"/>
      <c r="J256" s="129"/>
      <c r="K256" s="129"/>
      <c r="L256" s="129"/>
      <c r="M256" s="129"/>
      <c r="N256" s="129"/>
      <c r="O256" s="129"/>
    </row>
    <row r="257" spans="3:15">
      <c r="C257" s="129"/>
      <c r="D257" s="129"/>
      <c r="E257" s="129"/>
      <c r="F257" s="129"/>
      <c r="G257" s="129"/>
      <c r="H257" s="129"/>
      <c r="I257" s="129"/>
      <c r="J257" s="129"/>
      <c r="K257" s="129"/>
      <c r="L257" s="129"/>
      <c r="M257" s="129"/>
      <c r="N257" s="129"/>
      <c r="O257" s="129"/>
    </row>
    <row r="258" spans="3:15">
      <c r="C258" s="129"/>
      <c r="D258" s="129"/>
      <c r="E258" s="129"/>
      <c r="F258" s="129"/>
      <c r="G258" s="129"/>
      <c r="H258" s="129"/>
      <c r="I258" s="129"/>
      <c r="J258" s="129"/>
      <c r="K258" s="129"/>
      <c r="L258" s="129"/>
      <c r="M258" s="129"/>
      <c r="N258" s="129"/>
      <c r="O258" s="129"/>
    </row>
    <row r="259" spans="3:15">
      <c r="C259" s="129"/>
      <c r="D259" s="129"/>
      <c r="E259" s="129"/>
      <c r="F259" s="129"/>
      <c r="G259" s="129"/>
      <c r="H259" s="129"/>
      <c r="I259" s="129"/>
      <c r="J259" s="129"/>
      <c r="K259" s="129"/>
      <c r="L259" s="129"/>
      <c r="M259" s="129"/>
      <c r="N259" s="129"/>
      <c r="O259" s="129"/>
    </row>
    <row r="260" spans="3:15">
      <c r="C260" s="129"/>
      <c r="D260" s="129"/>
      <c r="E260" s="129"/>
      <c r="F260" s="129"/>
      <c r="G260" s="129"/>
      <c r="H260" s="129"/>
      <c r="I260" s="129"/>
      <c r="J260" s="129"/>
      <c r="K260" s="129"/>
      <c r="L260" s="129"/>
      <c r="M260" s="129"/>
      <c r="N260" s="129"/>
      <c r="O260" s="129"/>
    </row>
    <row r="261" spans="3:15">
      <c r="C261" s="129"/>
      <c r="D261" s="129"/>
      <c r="E261" s="129"/>
      <c r="F261" s="129"/>
      <c r="G261" s="129"/>
      <c r="H261" s="129"/>
      <c r="I261" s="129"/>
      <c r="J261" s="129"/>
      <c r="K261" s="129"/>
      <c r="L261" s="129"/>
      <c r="M261" s="129"/>
      <c r="N261" s="129"/>
      <c r="O261" s="129"/>
    </row>
    <row r="262" spans="3:15">
      <c r="C262" s="129"/>
      <c r="D262" s="129"/>
      <c r="E262" s="129"/>
      <c r="F262" s="129"/>
      <c r="G262" s="129"/>
      <c r="H262" s="129"/>
      <c r="I262" s="129"/>
      <c r="J262" s="129"/>
      <c r="K262" s="129"/>
      <c r="L262" s="129"/>
      <c r="M262" s="129"/>
      <c r="N262" s="129"/>
      <c r="O262" s="129"/>
    </row>
    <row r="263" spans="3:15">
      <c r="C263" s="129"/>
      <c r="D263" s="129"/>
      <c r="E263" s="129"/>
      <c r="F263" s="129"/>
      <c r="G263" s="129"/>
      <c r="H263" s="129"/>
      <c r="I263" s="129"/>
      <c r="J263" s="129"/>
      <c r="K263" s="129"/>
      <c r="L263" s="129"/>
      <c r="M263" s="129"/>
      <c r="N263" s="129"/>
      <c r="O263" s="129"/>
    </row>
    <row r="264" spans="3:15">
      <c r="C264" s="129"/>
      <c r="D264" s="129"/>
      <c r="E264" s="129"/>
      <c r="F264" s="129"/>
      <c r="G264" s="129"/>
      <c r="H264" s="129"/>
      <c r="I264" s="129"/>
      <c r="J264" s="129"/>
      <c r="K264" s="129"/>
      <c r="L264" s="129"/>
      <c r="M264" s="129"/>
      <c r="N264" s="129"/>
      <c r="O264" s="129"/>
    </row>
    <row r="265" spans="3:15">
      <c r="C265" s="129"/>
      <c r="D265" s="129"/>
      <c r="E265" s="129"/>
      <c r="F265" s="129"/>
      <c r="G265" s="129"/>
      <c r="H265" s="129"/>
      <c r="I265" s="129"/>
      <c r="J265" s="129"/>
      <c r="K265" s="129"/>
      <c r="L265" s="129"/>
      <c r="M265" s="129"/>
      <c r="N265" s="129"/>
      <c r="O265" s="129"/>
    </row>
    <row r="266" spans="3:15">
      <c r="C266" s="129"/>
      <c r="D266" s="129"/>
      <c r="E266" s="129"/>
      <c r="F266" s="129"/>
      <c r="G266" s="129"/>
      <c r="H266" s="129"/>
      <c r="I266" s="129"/>
      <c r="J266" s="129"/>
      <c r="K266" s="129"/>
      <c r="L266" s="129"/>
      <c r="M266" s="129"/>
      <c r="N266" s="129"/>
      <c r="O266" s="129"/>
    </row>
    <row r="267" spans="3:15">
      <c r="C267" s="129"/>
      <c r="D267" s="129"/>
      <c r="E267" s="129"/>
      <c r="F267" s="129"/>
      <c r="G267" s="129"/>
      <c r="H267" s="129"/>
      <c r="I267" s="129"/>
      <c r="J267" s="129"/>
      <c r="K267" s="129"/>
      <c r="L267" s="129"/>
      <c r="M267" s="129"/>
      <c r="N267" s="129"/>
      <c r="O267" s="129"/>
    </row>
    <row r="268" spans="3:15">
      <c r="C268" s="129"/>
      <c r="D268" s="129"/>
      <c r="E268" s="129"/>
      <c r="F268" s="129"/>
      <c r="G268" s="129"/>
      <c r="H268" s="129"/>
      <c r="I268" s="129"/>
      <c r="J268" s="129"/>
      <c r="K268" s="129"/>
      <c r="L268" s="129"/>
      <c r="M268" s="129"/>
      <c r="N268" s="129"/>
      <c r="O268" s="129"/>
    </row>
    <row r="269" spans="3:15">
      <c r="C269" s="129"/>
      <c r="D269" s="129"/>
      <c r="E269" s="129"/>
      <c r="F269" s="129"/>
      <c r="G269" s="129"/>
      <c r="H269" s="129"/>
      <c r="I269" s="129"/>
      <c r="J269" s="129"/>
      <c r="K269" s="129"/>
      <c r="L269" s="129"/>
      <c r="M269" s="129"/>
      <c r="N269" s="129"/>
      <c r="O269" s="129"/>
    </row>
    <row r="270" spans="3:15">
      <c r="C270" s="129"/>
      <c r="D270" s="129"/>
      <c r="E270" s="129"/>
      <c r="F270" s="129"/>
      <c r="G270" s="129"/>
      <c r="H270" s="129"/>
      <c r="I270" s="129"/>
      <c r="J270" s="129"/>
      <c r="K270" s="129"/>
      <c r="L270" s="129"/>
      <c r="M270" s="129"/>
      <c r="N270" s="129"/>
      <c r="O270" s="129"/>
    </row>
    <row r="271" spans="3:15">
      <c r="C271" s="129"/>
      <c r="D271" s="129"/>
      <c r="E271" s="129"/>
      <c r="F271" s="129"/>
      <c r="G271" s="129"/>
      <c r="H271" s="129"/>
      <c r="I271" s="129"/>
      <c r="J271" s="129"/>
      <c r="K271" s="129"/>
      <c r="L271" s="129"/>
      <c r="M271" s="129"/>
      <c r="N271" s="129"/>
      <c r="O271" s="129"/>
    </row>
    <row r="272" spans="3:15">
      <c r="C272" s="129"/>
      <c r="D272" s="129"/>
      <c r="E272" s="129"/>
      <c r="F272" s="129"/>
      <c r="G272" s="129"/>
      <c r="H272" s="129"/>
      <c r="I272" s="129"/>
      <c r="J272" s="129"/>
      <c r="K272" s="129"/>
      <c r="L272" s="129"/>
      <c r="M272" s="129"/>
      <c r="N272" s="129"/>
      <c r="O272" s="129"/>
    </row>
    <row r="273" spans="3:15">
      <c r="C273" s="129"/>
      <c r="D273" s="129"/>
      <c r="E273" s="129"/>
      <c r="F273" s="129"/>
      <c r="G273" s="129"/>
      <c r="H273" s="129"/>
      <c r="I273" s="129"/>
      <c r="J273" s="129"/>
      <c r="K273" s="129"/>
      <c r="L273" s="129"/>
      <c r="M273" s="129"/>
      <c r="N273" s="129"/>
      <c r="O273" s="129"/>
    </row>
    <row r="274" spans="3:15">
      <c r="C274" s="129"/>
      <c r="D274" s="129"/>
      <c r="E274" s="129"/>
      <c r="F274" s="129"/>
      <c r="G274" s="129"/>
      <c r="H274" s="129"/>
      <c r="I274" s="129"/>
      <c r="J274" s="129"/>
      <c r="K274" s="129"/>
      <c r="L274" s="129"/>
      <c r="M274" s="129"/>
      <c r="N274" s="129"/>
      <c r="O274" s="129"/>
    </row>
    <row r="275" spans="3:15">
      <c r="C275" s="129"/>
      <c r="D275" s="129"/>
      <c r="E275" s="129"/>
      <c r="F275" s="129"/>
      <c r="G275" s="129"/>
      <c r="H275" s="129"/>
      <c r="I275" s="129"/>
      <c r="J275" s="129"/>
      <c r="K275" s="129"/>
      <c r="L275" s="129"/>
      <c r="M275" s="129"/>
      <c r="N275" s="129"/>
      <c r="O275" s="129"/>
    </row>
    <row r="276" spans="3:15">
      <c r="C276" s="129"/>
      <c r="D276" s="129"/>
      <c r="E276" s="129"/>
      <c r="F276" s="129"/>
      <c r="G276" s="129"/>
      <c r="H276" s="129"/>
      <c r="I276" s="129"/>
      <c r="J276" s="129"/>
      <c r="K276" s="129"/>
      <c r="L276" s="129"/>
      <c r="M276" s="129"/>
      <c r="N276" s="129"/>
      <c r="O276" s="129"/>
    </row>
    <row r="277" spans="3:15">
      <c r="C277" s="129"/>
      <c r="D277" s="129"/>
      <c r="E277" s="129"/>
      <c r="F277" s="129"/>
      <c r="G277" s="129"/>
      <c r="H277" s="129"/>
      <c r="I277" s="129"/>
      <c r="J277" s="129"/>
      <c r="K277" s="129"/>
      <c r="L277" s="129"/>
      <c r="M277" s="129"/>
      <c r="N277" s="129"/>
      <c r="O277" s="129"/>
    </row>
    <row r="278" spans="3:15">
      <c r="C278" s="129"/>
      <c r="D278" s="129"/>
      <c r="E278" s="129"/>
      <c r="F278" s="129"/>
      <c r="G278" s="129"/>
      <c r="H278" s="129"/>
      <c r="I278" s="129"/>
      <c r="J278" s="129"/>
      <c r="K278" s="129"/>
      <c r="L278" s="129"/>
      <c r="M278" s="129"/>
      <c r="N278" s="129"/>
      <c r="O278" s="129"/>
    </row>
    <row r="279" spans="3:15">
      <c r="C279" s="129"/>
      <c r="D279" s="129"/>
      <c r="E279" s="129"/>
      <c r="F279" s="129"/>
      <c r="G279" s="129"/>
      <c r="H279" s="129"/>
      <c r="I279" s="129"/>
      <c r="J279" s="129"/>
      <c r="K279" s="129"/>
      <c r="L279" s="129"/>
      <c r="M279" s="129"/>
      <c r="N279" s="129"/>
      <c r="O279" s="129"/>
    </row>
    <row r="280" spans="3:15">
      <c r="C280" s="129"/>
      <c r="D280" s="129"/>
      <c r="E280" s="129"/>
      <c r="F280" s="129"/>
      <c r="G280" s="129"/>
      <c r="H280" s="129"/>
      <c r="I280" s="129"/>
      <c r="J280" s="129"/>
      <c r="K280" s="129"/>
      <c r="L280" s="129"/>
      <c r="M280" s="129"/>
      <c r="N280" s="129"/>
      <c r="O280" s="129"/>
    </row>
    <row r="281" spans="3:15">
      <c r="C281" s="129"/>
      <c r="D281" s="129"/>
      <c r="E281" s="129"/>
      <c r="F281" s="129"/>
      <c r="G281" s="129"/>
      <c r="H281" s="129"/>
      <c r="I281" s="129"/>
      <c r="J281" s="129"/>
      <c r="K281" s="129"/>
      <c r="L281" s="129"/>
      <c r="M281" s="129"/>
      <c r="N281" s="129"/>
      <c r="O281" s="129"/>
    </row>
    <row r="282" spans="3:15">
      <c r="C282" s="129"/>
      <c r="D282" s="129"/>
      <c r="E282" s="129"/>
      <c r="F282" s="129"/>
      <c r="G282" s="129"/>
      <c r="H282" s="129"/>
      <c r="I282" s="129"/>
      <c r="J282" s="129"/>
      <c r="K282" s="129"/>
      <c r="L282" s="129"/>
      <c r="M282" s="129"/>
      <c r="N282" s="129"/>
      <c r="O282" s="129"/>
    </row>
    <row r="283" spans="3:15">
      <c r="C283" s="129"/>
      <c r="D283" s="129"/>
      <c r="E283" s="129"/>
      <c r="F283" s="129"/>
      <c r="G283" s="129"/>
      <c r="H283" s="129"/>
      <c r="I283" s="129"/>
      <c r="J283" s="129"/>
      <c r="K283" s="129"/>
      <c r="L283" s="129"/>
      <c r="M283" s="129"/>
      <c r="N283" s="129"/>
      <c r="O283" s="129"/>
    </row>
    <row r="284" spans="3:15">
      <c r="C284" s="129"/>
      <c r="D284" s="129"/>
      <c r="E284" s="129"/>
      <c r="F284" s="129"/>
      <c r="G284" s="129"/>
      <c r="H284" s="129"/>
      <c r="I284" s="129"/>
      <c r="J284" s="129"/>
      <c r="K284" s="129"/>
      <c r="L284" s="129"/>
      <c r="M284" s="129"/>
      <c r="N284" s="129"/>
      <c r="O284" s="129"/>
    </row>
    <row r="285" spans="3:15">
      <c r="C285" s="129"/>
      <c r="D285" s="129"/>
      <c r="E285" s="129"/>
      <c r="F285" s="129"/>
      <c r="G285" s="129"/>
      <c r="H285" s="129"/>
      <c r="I285" s="129"/>
      <c r="J285" s="129"/>
      <c r="K285" s="129"/>
      <c r="L285" s="129"/>
      <c r="M285" s="129"/>
      <c r="N285" s="129"/>
      <c r="O285" s="129"/>
    </row>
    <row r="286" spans="3:15">
      <c r="C286" s="129"/>
      <c r="D286" s="129"/>
      <c r="E286" s="129"/>
      <c r="F286" s="129"/>
      <c r="G286" s="129"/>
      <c r="H286" s="129"/>
      <c r="I286" s="129"/>
      <c r="J286" s="129"/>
      <c r="K286" s="129"/>
      <c r="L286" s="129"/>
      <c r="M286" s="129"/>
      <c r="N286" s="129"/>
      <c r="O286" s="129"/>
    </row>
    <row r="287" spans="3:15">
      <c r="C287" s="129"/>
      <c r="D287" s="129"/>
      <c r="E287" s="129"/>
      <c r="F287" s="129"/>
      <c r="G287" s="129"/>
      <c r="H287" s="129"/>
      <c r="I287" s="129"/>
      <c r="J287" s="129"/>
      <c r="K287" s="129"/>
      <c r="L287" s="129"/>
      <c r="M287" s="129"/>
      <c r="N287" s="129"/>
      <c r="O287" s="129"/>
    </row>
    <row r="288" spans="3:15">
      <c r="C288" s="129"/>
      <c r="D288" s="129"/>
      <c r="E288" s="129"/>
      <c r="F288" s="129"/>
      <c r="G288" s="129"/>
      <c r="H288" s="129"/>
      <c r="I288" s="129"/>
      <c r="J288" s="129"/>
      <c r="K288" s="129"/>
      <c r="L288" s="129"/>
      <c r="M288" s="129"/>
      <c r="N288" s="129"/>
      <c r="O288" s="129"/>
    </row>
    <row r="289" spans="3:15">
      <c r="C289" s="129"/>
      <c r="D289" s="129"/>
      <c r="E289" s="129"/>
      <c r="F289" s="129"/>
      <c r="G289" s="129"/>
      <c r="H289" s="129"/>
      <c r="I289" s="129"/>
      <c r="J289" s="129"/>
      <c r="K289" s="129"/>
      <c r="L289" s="129"/>
      <c r="M289" s="129"/>
      <c r="N289" s="129"/>
      <c r="O289" s="129"/>
    </row>
    <row r="290" spans="3:15">
      <c r="C290" s="129"/>
      <c r="D290" s="129"/>
      <c r="E290" s="129"/>
      <c r="F290" s="129"/>
      <c r="G290" s="129"/>
      <c r="H290" s="129"/>
      <c r="I290" s="129"/>
      <c r="J290" s="129"/>
      <c r="K290" s="129"/>
      <c r="L290" s="129"/>
      <c r="M290" s="129"/>
      <c r="N290" s="129"/>
      <c r="O290" s="129"/>
    </row>
    <row r="291" spans="3:15">
      <c r="C291" s="129"/>
      <c r="D291" s="129"/>
      <c r="E291" s="129"/>
      <c r="F291" s="129"/>
      <c r="G291" s="129"/>
      <c r="H291" s="129"/>
      <c r="I291" s="129"/>
      <c r="J291" s="129"/>
    </row>
    <row r="292" spans="3:15">
      <c r="C292" s="129"/>
      <c r="D292" s="129"/>
      <c r="E292" s="129"/>
      <c r="F292" s="129"/>
      <c r="G292" s="129"/>
      <c r="H292" s="129"/>
      <c r="I292" s="129"/>
      <c r="J292" s="129"/>
    </row>
    <row r="293" spans="3:15">
      <c r="C293" s="129"/>
      <c r="D293" s="129"/>
      <c r="E293" s="129"/>
      <c r="F293" s="129"/>
      <c r="G293" s="129"/>
      <c r="H293" s="129"/>
      <c r="I293" s="129"/>
      <c r="J293" s="129"/>
    </row>
    <row r="294" spans="3:15">
      <c r="C294" s="129"/>
      <c r="D294" s="129"/>
      <c r="E294" s="129"/>
      <c r="F294" s="129"/>
      <c r="G294" s="129"/>
      <c r="H294" s="129"/>
      <c r="I294" s="129"/>
      <c r="J294" s="129"/>
    </row>
    <row r="295" spans="3:15">
      <c r="C295" s="129"/>
      <c r="D295" s="129"/>
      <c r="E295" s="129"/>
      <c r="F295" s="129"/>
      <c r="G295" s="129"/>
      <c r="H295" s="129"/>
      <c r="I295" s="129"/>
      <c r="J295" s="129"/>
    </row>
    <row r="296" spans="3:15">
      <c r="C296" s="129"/>
      <c r="D296" s="129"/>
      <c r="E296" s="129"/>
      <c r="F296" s="129"/>
      <c r="G296" s="129"/>
      <c r="H296" s="129"/>
      <c r="I296" s="129"/>
      <c r="J296" s="129"/>
    </row>
    <row r="297" spans="3:15">
      <c r="C297" s="129"/>
      <c r="D297" s="129"/>
      <c r="E297" s="129"/>
      <c r="F297" s="129"/>
      <c r="G297" s="129"/>
      <c r="H297" s="129"/>
      <c r="I297" s="129"/>
      <c r="J297" s="129"/>
    </row>
    <row r="298" spans="3:15">
      <c r="C298" s="129"/>
      <c r="D298" s="129"/>
      <c r="E298" s="129"/>
      <c r="F298" s="129"/>
      <c r="G298" s="129"/>
      <c r="H298" s="129"/>
      <c r="I298" s="129"/>
      <c r="J298" s="129"/>
    </row>
  </sheetData>
  <mergeCells count="8">
    <mergeCell ref="M100:X100"/>
    <mergeCell ref="M99:X99"/>
    <mergeCell ref="M93:X93"/>
    <mergeCell ref="M94:X94"/>
    <mergeCell ref="M95:X95"/>
    <mergeCell ref="M96:X96"/>
    <mergeCell ref="M97:X97"/>
    <mergeCell ref="M98:X98"/>
  </mergeCells>
  <printOptions horizontalCentered="1"/>
  <pageMargins left="0.75" right="0.75" top="0.75" bottom="0.5" header="0.5" footer="0.5"/>
  <pageSetup scale="58" orientation="portrait" horizontalDpi="300" verticalDpi="300" r:id="rId1"/>
  <headerFooter alignWithMargins="0"/>
  <rowBreaks count="1" manualBreakCount="1">
    <brk id="48" min="10" max="2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C674E-F181-4E35-A933-E8EEACBAEC76}">
  <sheetPr codeName="Sheet42">
    <tabColor rgb="FFFF3300"/>
    <pageSetUpPr fitToPage="1"/>
  </sheetPr>
  <dimension ref="A1:X298"/>
  <sheetViews>
    <sheetView view="pageBreakPreview" topLeftCell="K49" zoomScale="80" zoomScaleNormal="75" zoomScaleSheetLayoutView="80" workbookViewId="0"/>
  </sheetViews>
  <sheetFormatPr defaultRowHeight="15"/>
  <cols>
    <col min="1" max="1" width="6" customWidth="1"/>
    <col min="2" max="2" width="1.44140625" customWidth="1"/>
    <col min="3" max="3" width="53.21875" customWidth="1"/>
    <col min="4" max="4" width="1.109375" customWidth="1"/>
    <col min="5" max="5" width="37.109375" customWidth="1"/>
    <col min="6" max="6" width="1" customWidth="1"/>
    <col min="7" max="7" width="14.109375" customWidth="1"/>
    <col min="8" max="8" width="1" customWidth="1"/>
    <col min="9" max="9" width="12.77734375" customWidth="1"/>
    <col min="10" max="10" width="2.109375" customWidth="1"/>
    <col min="11" max="11" width="4.77734375" customWidth="1"/>
    <col min="12" max="12" width="2.77734375" customWidth="1"/>
    <col min="13" max="13" width="26.77734375" customWidth="1"/>
    <col min="14" max="14" width="9.21875" customWidth="1"/>
    <col min="15" max="15" width="10.77734375" customWidth="1"/>
    <col min="16" max="16" width="13.109375" customWidth="1"/>
    <col min="17" max="17" width="13.21875" customWidth="1"/>
    <col min="18" max="18" width="11.21875" customWidth="1"/>
    <col min="19" max="19" width="14.77734375" customWidth="1"/>
    <col min="20" max="20" width="14" customWidth="1"/>
    <col min="21" max="21" width="11.77734375" customWidth="1"/>
    <col min="22" max="22" width="16.109375" customWidth="1"/>
    <col min="23" max="23" width="12.21875" customWidth="1"/>
    <col min="24" max="24" width="16.21875" customWidth="1"/>
    <col min="251" max="251" width="6" customWidth="1"/>
    <col min="252" max="252" width="1.44140625" customWidth="1"/>
    <col min="253" max="253" width="39.109375" customWidth="1"/>
    <col min="254" max="254" width="12" customWidth="1"/>
    <col min="255" max="255" width="14.44140625" customWidth="1"/>
    <col min="256" max="256" width="11.77734375" customWidth="1"/>
    <col min="257" max="257" width="14.109375" customWidth="1"/>
    <col min="258" max="258" width="13.77734375" customWidth="1"/>
    <col min="259" max="260" width="12.77734375" customWidth="1"/>
    <col min="261" max="261" width="13.5546875" customWidth="1"/>
    <col min="262" max="262" width="15.21875" customWidth="1"/>
    <col min="263" max="263" width="12.77734375" customWidth="1"/>
    <col min="264" max="264" width="13.77734375" customWidth="1"/>
    <col min="265" max="265" width="1.77734375" customWidth="1"/>
    <col min="266" max="266" width="13" customWidth="1"/>
    <col min="507" max="507" width="6" customWidth="1"/>
    <col min="508" max="508" width="1.44140625" customWidth="1"/>
    <col min="509" max="509" width="39.109375" customWidth="1"/>
    <col min="510" max="510" width="12" customWidth="1"/>
    <col min="511" max="511" width="14.44140625" customWidth="1"/>
    <col min="512" max="512" width="11.77734375" customWidth="1"/>
    <col min="513" max="513" width="14.109375" customWidth="1"/>
    <col min="514" max="514" width="13.77734375" customWidth="1"/>
    <col min="515" max="516" width="12.77734375" customWidth="1"/>
    <col min="517" max="517" width="13.5546875" customWidth="1"/>
    <col min="518" max="518" width="15.21875" customWidth="1"/>
    <col min="519" max="519" width="12.77734375" customWidth="1"/>
    <col min="520" max="520" width="13.77734375" customWidth="1"/>
    <col min="521" max="521" width="1.77734375" customWidth="1"/>
    <col min="522" max="522" width="13" customWidth="1"/>
    <col min="763" max="763" width="6" customWidth="1"/>
    <col min="764" max="764" width="1.44140625" customWidth="1"/>
    <col min="765" max="765" width="39.109375" customWidth="1"/>
    <col min="766" max="766" width="12" customWidth="1"/>
    <col min="767" max="767" width="14.44140625" customWidth="1"/>
    <col min="768" max="768" width="11.77734375" customWidth="1"/>
    <col min="769" max="769" width="14.109375" customWidth="1"/>
    <col min="770" max="770" width="13.77734375" customWidth="1"/>
    <col min="771" max="772" width="12.77734375" customWidth="1"/>
    <col min="773" max="773" width="13.5546875" customWidth="1"/>
    <col min="774" max="774" width="15.21875" customWidth="1"/>
    <col min="775" max="775" width="12.77734375" customWidth="1"/>
    <col min="776" max="776" width="13.77734375" customWidth="1"/>
    <col min="777" max="777" width="1.77734375" customWidth="1"/>
    <col min="778" max="778" width="13" customWidth="1"/>
    <col min="1019" max="1019" width="6" customWidth="1"/>
    <col min="1020" max="1020" width="1.44140625" customWidth="1"/>
    <col min="1021" max="1021" width="39.109375" customWidth="1"/>
    <col min="1022" max="1022" width="12" customWidth="1"/>
    <col min="1023" max="1023" width="14.44140625" customWidth="1"/>
    <col min="1024" max="1024" width="11.77734375" customWidth="1"/>
    <col min="1025" max="1025" width="14.109375" customWidth="1"/>
    <col min="1026" max="1026" width="13.77734375" customWidth="1"/>
    <col min="1027" max="1028" width="12.77734375" customWidth="1"/>
    <col min="1029" max="1029" width="13.5546875" customWidth="1"/>
    <col min="1030" max="1030" width="15.21875" customWidth="1"/>
    <col min="1031" max="1031" width="12.77734375" customWidth="1"/>
    <col min="1032" max="1032" width="13.77734375" customWidth="1"/>
    <col min="1033" max="1033" width="1.77734375" customWidth="1"/>
    <col min="1034" max="1034" width="13" customWidth="1"/>
    <col min="1275" max="1275" width="6" customWidth="1"/>
    <col min="1276" max="1276" width="1.44140625" customWidth="1"/>
    <col min="1277" max="1277" width="39.109375" customWidth="1"/>
    <col min="1278" max="1278" width="12" customWidth="1"/>
    <col min="1279" max="1279" width="14.44140625" customWidth="1"/>
    <col min="1280" max="1280" width="11.77734375" customWidth="1"/>
    <col min="1281" max="1281" width="14.109375" customWidth="1"/>
    <col min="1282" max="1282" width="13.77734375" customWidth="1"/>
    <col min="1283" max="1284" width="12.77734375" customWidth="1"/>
    <col min="1285" max="1285" width="13.5546875" customWidth="1"/>
    <col min="1286" max="1286" width="15.21875" customWidth="1"/>
    <col min="1287" max="1287" width="12.77734375" customWidth="1"/>
    <col min="1288" max="1288" width="13.77734375" customWidth="1"/>
    <col min="1289" max="1289" width="1.77734375" customWidth="1"/>
    <col min="1290" max="1290" width="13" customWidth="1"/>
    <col min="1531" max="1531" width="6" customWidth="1"/>
    <col min="1532" max="1532" width="1.44140625" customWidth="1"/>
    <col min="1533" max="1533" width="39.109375" customWidth="1"/>
    <col min="1534" max="1534" width="12" customWidth="1"/>
    <col min="1535" max="1535" width="14.44140625" customWidth="1"/>
    <col min="1536" max="1536" width="11.77734375" customWidth="1"/>
    <col min="1537" max="1537" width="14.109375" customWidth="1"/>
    <col min="1538" max="1538" width="13.77734375" customWidth="1"/>
    <col min="1539" max="1540" width="12.77734375" customWidth="1"/>
    <col min="1541" max="1541" width="13.5546875" customWidth="1"/>
    <col min="1542" max="1542" width="15.21875" customWidth="1"/>
    <col min="1543" max="1543" width="12.77734375" customWidth="1"/>
    <col min="1544" max="1544" width="13.77734375" customWidth="1"/>
    <col min="1545" max="1545" width="1.77734375" customWidth="1"/>
    <col min="1546" max="1546" width="13" customWidth="1"/>
    <col min="1787" max="1787" width="6" customWidth="1"/>
    <col min="1788" max="1788" width="1.44140625" customWidth="1"/>
    <col min="1789" max="1789" width="39.109375" customWidth="1"/>
    <col min="1790" max="1790" width="12" customWidth="1"/>
    <col min="1791" max="1791" width="14.44140625" customWidth="1"/>
    <col min="1792" max="1792" width="11.77734375" customWidth="1"/>
    <col min="1793" max="1793" width="14.109375" customWidth="1"/>
    <col min="1794" max="1794" width="13.77734375" customWidth="1"/>
    <col min="1795" max="1796" width="12.77734375" customWidth="1"/>
    <col min="1797" max="1797" width="13.5546875" customWidth="1"/>
    <col min="1798" max="1798" width="15.21875" customWidth="1"/>
    <col min="1799" max="1799" width="12.77734375" customWidth="1"/>
    <col min="1800" max="1800" width="13.77734375" customWidth="1"/>
    <col min="1801" max="1801" width="1.77734375" customWidth="1"/>
    <col min="1802" max="1802" width="13" customWidth="1"/>
    <col min="2043" max="2043" width="6" customWidth="1"/>
    <col min="2044" max="2044" width="1.44140625" customWidth="1"/>
    <col min="2045" max="2045" width="39.109375" customWidth="1"/>
    <col min="2046" max="2046" width="12" customWidth="1"/>
    <col min="2047" max="2047" width="14.44140625" customWidth="1"/>
    <col min="2048" max="2048" width="11.77734375" customWidth="1"/>
    <col min="2049" max="2049" width="14.109375" customWidth="1"/>
    <col min="2050" max="2050" width="13.77734375" customWidth="1"/>
    <col min="2051" max="2052" width="12.77734375" customWidth="1"/>
    <col min="2053" max="2053" width="13.5546875" customWidth="1"/>
    <col min="2054" max="2054" width="15.21875" customWidth="1"/>
    <col min="2055" max="2055" width="12.77734375" customWidth="1"/>
    <col min="2056" max="2056" width="13.77734375" customWidth="1"/>
    <col min="2057" max="2057" width="1.77734375" customWidth="1"/>
    <col min="2058" max="2058" width="13" customWidth="1"/>
    <col min="2299" max="2299" width="6" customWidth="1"/>
    <col min="2300" max="2300" width="1.44140625" customWidth="1"/>
    <col min="2301" max="2301" width="39.109375" customWidth="1"/>
    <col min="2302" max="2302" width="12" customWidth="1"/>
    <col min="2303" max="2303" width="14.44140625" customWidth="1"/>
    <col min="2304" max="2304" width="11.77734375" customWidth="1"/>
    <col min="2305" max="2305" width="14.109375" customWidth="1"/>
    <col min="2306" max="2306" width="13.77734375" customWidth="1"/>
    <col min="2307" max="2308" width="12.77734375" customWidth="1"/>
    <col min="2309" max="2309" width="13.5546875" customWidth="1"/>
    <col min="2310" max="2310" width="15.21875" customWidth="1"/>
    <col min="2311" max="2311" width="12.77734375" customWidth="1"/>
    <col min="2312" max="2312" width="13.77734375" customWidth="1"/>
    <col min="2313" max="2313" width="1.77734375" customWidth="1"/>
    <col min="2314" max="2314" width="13" customWidth="1"/>
    <col min="2555" max="2555" width="6" customWidth="1"/>
    <col min="2556" max="2556" width="1.44140625" customWidth="1"/>
    <col min="2557" max="2557" width="39.109375" customWidth="1"/>
    <col min="2558" max="2558" width="12" customWidth="1"/>
    <col min="2559" max="2559" width="14.44140625" customWidth="1"/>
    <col min="2560" max="2560" width="11.77734375" customWidth="1"/>
    <col min="2561" max="2561" width="14.109375" customWidth="1"/>
    <col min="2562" max="2562" width="13.77734375" customWidth="1"/>
    <col min="2563" max="2564" width="12.77734375" customWidth="1"/>
    <col min="2565" max="2565" width="13.5546875" customWidth="1"/>
    <col min="2566" max="2566" width="15.21875" customWidth="1"/>
    <col min="2567" max="2567" width="12.77734375" customWidth="1"/>
    <col min="2568" max="2568" width="13.77734375" customWidth="1"/>
    <col min="2569" max="2569" width="1.77734375" customWidth="1"/>
    <col min="2570" max="2570" width="13" customWidth="1"/>
    <col min="2811" max="2811" width="6" customWidth="1"/>
    <col min="2812" max="2812" width="1.44140625" customWidth="1"/>
    <col min="2813" max="2813" width="39.109375" customWidth="1"/>
    <col min="2814" max="2814" width="12" customWidth="1"/>
    <col min="2815" max="2815" width="14.44140625" customWidth="1"/>
    <col min="2816" max="2816" width="11.77734375" customWidth="1"/>
    <col min="2817" max="2817" width="14.109375" customWidth="1"/>
    <col min="2818" max="2818" width="13.77734375" customWidth="1"/>
    <col min="2819" max="2820" width="12.77734375" customWidth="1"/>
    <col min="2821" max="2821" width="13.5546875" customWidth="1"/>
    <col min="2822" max="2822" width="15.21875" customWidth="1"/>
    <col min="2823" max="2823" width="12.77734375" customWidth="1"/>
    <col min="2824" max="2824" width="13.77734375" customWidth="1"/>
    <col min="2825" max="2825" width="1.77734375" customWidth="1"/>
    <col min="2826" max="2826" width="13" customWidth="1"/>
    <col min="3067" max="3067" width="6" customWidth="1"/>
    <col min="3068" max="3068" width="1.44140625" customWidth="1"/>
    <col min="3069" max="3069" width="39.109375" customWidth="1"/>
    <col min="3070" max="3070" width="12" customWidth="1"/>
    <col min="3071" max="3071" width="14.44140625" customWidth="1"/>
    <col min="3072" max="3072" width="11.77734375" customWidth="1"/>
    <col min="3073" max="3073" width="14.109375" customWidth="1"/>
    <col min="3074" max="3074" width="13.77734375" customWidth="1"/>
    <col min="3075" max="3076" width="12.77734375" customWidth="1"/>
    <col min="3077" max="3077" width="13.5546875" customWidth="1"/>
    <col min="3078" max="3078" width="15.21875" customWidth="1"/>
    <col min="3079" max="3079" width="12.77734375" customWidth="1"/>
    <col min="3080" max="3080" width="13.77734375" customWidth="1"/>
    <col min="3081" max="3081" width="1.77734375" customWidth="1"/>
    <col min="3082" max="3082" width="13" customWidth="1"/>
    <col min="3323" max="3323" width="6" customWidth="1"/>
    <col min="3324" max="3324" width="1.44140625" customWidth="1"/>
    <col min="3325" max="3325" width="39.109375" customWidth="1"/>
    <col min="3326" max="3326" width="12" customWidth="1"/>
    <col min="3327" max="3327" width="14.44140625" customWidth="1"/>
    <col min="3328" max="3328" width="11.77734375" customWidth="1"/>
    <col min="3329" max="3329" width="14.109375" customWidth="1"/>
    <col min="3330" max="3330" width="13.77734375" customWidth="1"/>
    <col min="3331" max="3332" width="12.77734375" customWidth="1"/>
    <col min="3333" max="3333" width="13.5546875" customWidth="1"/>
    <col min="3334" max="3334" width="15.21875" customWidth="1"/>
    <col min="3335" max="3335" width="12.77734375" customWidth="1"/>
    <col min="3336" max="3336" width="13.77734375" customWidth="1"/>
    <col min="3337" max="3337" width="1.77734375" customWidth="1"/>
    <col min="3338" max="3338" width="13" customWidth="1"/>
    <col min="3579" max="3579" width="6" customWidth="1"/>
    <col min="3580" max="3580" width="1.44140625" customWidth="1"/>
    <col min="3581" max="3581" width="39.109375" customWidth="1"/>
    <col min="3582" max="3582" width="12" customWidth="1"/>
    <col min="3583" max="3583" width="14.44140625" customWidth="1"/>
    <col min="3584" max="3584" width="11.77734375" customWidth="1"/>
    <col min="3585" max="3585" width="14.109375" customWidth="1"/>
    <col min="3586" max="3586" width="13.77734375" customWidth="1"/>
    <col min="3587" max="3588" width="12.77734375" customWidth="1"/>
    <col min="3589" max="3589" width="13.5546875" customWidth="1"/>
    <col min="3590" max="3590" width="15.21875" customWidth="1"/>
    <col min="3591" max="3591" width="12.77734375" customWidth="1"/>
    <col min="3592" max="3592" width="13.77734375" customWidth="1"/>
    <col min="3593" max="3593" width="1.77734375" customWidth="1"/>
    <col min="3594" max="3594" width="13" customWidth="1"/>
    <col min="3835" max="3835" width="6" customWidth="1"/>
    <col min="3836" max="3836" width="1.44140625" customWidth="1"/>
    <col min="3837" max="3837" width="39.109375" customWidth="1"/>
    <col min="3838" max="3838" width="12" customWidth="1"/>
    <col min="3839" max="3839" width="14.44140625" customWidth="1"/>
    <col min="3840" max="3840" width="11.77734375" customWidth="1"/>
    <col min="3841" max="3841" width="14.109375" customWidth="1"/>
    <col min="3842" max="3842" width="13.77734375" customWidth="1"/>
    <col min="3843" max="3844" width="12.77734375" customWidth="1"/>
    <col min="3845" max="3845" width="13.5546875" customWidth="1"/>
    <col min="3846" max="3846" width="15.21875" customWidth="1"/>
    <col min="3847" max="3847" width="12.77734375" customWidth="1"/>
    <col min="3848" max="3848" width="13.77734375" customWidth="1"/>
    <col min="3849" max="3849" width="1.77734375" customWidth="1"/>
    <col min="3850" max="3850" width="13" customWidth="1"/>
    <col min="4091" max="4091" width="6" customWidth="1"/>
    <col min="4092" max="4092" width="1.44140625" customWidth="1"/>
    <col min="4093" max="4093" width="39.109375" customWidth="1"/>
    <col min="4094" max="4094" width="12" customWidth="1"/>
    <col min="4095" max="4095" width="14.44140625" customWidth="1"/>
    <col min="4096" max="4096" width="11.77734375" customWidth="1"/>
    <col min="4097" max="4097" width="14.109375" customWidth="1"/>
    <col min="4098" max="4098" width="13.77734375" customWidth="1"/>
    <col min="4099" max="4100" width="12.77734375" customWidth="1"/>
    <col min="4101" max="4101" width="13.5546875" customWidth="1"/>
    <col min="4102" max="4102" width="15.21875" customWidth="1"/>
    <col min="4103" max="4103" width="12.77734375" customWidth="1"/>
    <col min="4104" max="4104" width="13.77734375" customWidth="1"/>
    <col min="4105" max="4105" width="1.77734375" customWidth="1"/>
    <col min="4106" max="4106" width="13" customWidth="1"/>
    <col min="4347" max="4347" width="6" customWidth="1"/>
    <col min="4348" max="4348" width="1.44140625" customWidth="1"/>
    <col min="4349" max="4349" width="39.109375" customWidth="1"/>
    <col min="4350" max="4350" width="12" customWidth="1"/>
    <col min="4351" max="4351" width="14.44140625" customWidth="1"/>
    <col min="4352" max="4352" width="11.77734375" customWidth="1"/>
    <col min="4353" max="4353" width="14.109375" customWidth="1"/>
    <col min="4354" max="4354" width="13.77734375" customWidth="1"/>
    <col min="4355" max="4356" width="12.77734375" customWidth="1"/>
    <col min="4357" max="4357" width="13.5546875" customWidth="1"/>
    <col min="4358" max="4358" width="15.21875" customWidth="1"/>
    <col min="4359" max="4359" width="12.77734375" customWidth="1"/>
    <col min="4360" max="4360" width="13.77734375" customWidth="1"/>
    <col min="4361" max="4361" width="1.77734375" customWidth="1"/>
    <col min="4362" max="4362" width="13" customWidth="1"/>
    <col min="4603" max="4603" width="6" customWidth="1"/>
    <col min="4604" max="4604" width="1.44140625" customWidth="1"/>
    <col min="4605" max="4605" width="39.109375" customWidth="1"/>
    <col min="4606" max="4606" width="12" customWidth="1"/>
    <col min="4607" max="4607" width="14.44140625" customWidth="1"/>
    <col min="4608" max="4608" width="11.77734375" customWidth="1"/>
    <col min="4609" max="4609" width="14.109375" customWidth="1"/>
    <col min="4610" max="4610" width="13.77734375" customWidth="1"/>
    <col min="4611" max="4612" width="12.77734375" customWidth="1"/>
    <col min="4613" max="4613" width="13.5546875" customWidth="1"/>
    <col min="4614" max="4614" width="15.21875" customWidth="1"/>
    <col min="4615" max="4615" width="12.77734375" customWidth="1"/>
    <col min="4616" max="4616" width="13.77734375" customWidth="1"/>
    <col min="4617" max="4617" width="1.77734375" customWidth="1"/>
    <col min="4618" max="4618" width="13" customWidth="1"/>
    <col min="4859" max="4859" width="6" customWidth="1"/>
    <col min="4860" max="4860" width="1.44140625" customWidth="1"/>
    <col min="4861" max="4861" width="39.109375" customWidth="1"/>
    <col min="4862" max="4862" width="12" customWidth="1"/>
    <col min="4863" max="4863" width="14.44140625" customWidth="1"/>
    <col min="4864" max="4864" width="11.77734375" customWidth="1"/>
    <col min="4865" max="4865" width="14.109375" customWidth="1"/>
    <col min="4866" max="4866" width="13.77734375" customWidth="1"/>
    <col min="4867" max="4868" width="12.77734375" customWidth="1"/>
    <col min="4869" max="4869" width="13.5546875" customWidth="1"/>
    <col min="4870" max="4870" width="15.21875" customWidth="1"/>
    <col min="4871" max="4871" width="12.77734375" customWidth="1"/>
    <col min="4872" max="4872" width="13.77734375" customWidth="1"/>
    <col min="4873" max="4873" width="1.77734375" customWidth="1"/>
    <col min="4874" max="4874" width="13" customWidth="1"/>
    <col min="5115" max="5115" width="6" customWidth="1"/>
    <col min="5116" max="5116" width="1.44140625" customWidth="1"/>
    <col min="5117" max="5117" width="39.109375" customWidth="1"/>
    <col min="5118" max="5118" width="12" customWidth="1"/>
    <col min="5119" max="5119" width="14.44140625" customWidth="1"/>
    <col min="5120" max="5120" width="11.77734375" customWidth="1"/>
    <col min="5121" max="5121" width="14.109375" customWidth="1"/>
    <col min="5122" max="5122" width="13.77734375" customWidth="1"/>
    <col min="5123" max="5124" width="12.77734375" customWidth="1"/>
    <col min="5125" max="5125" width="13.5546875" customWidth="1"/>
    <col min="5126" max="5126" width="15.21875" customWidth="1"/>
    <col min="5127" max="5127" width="12.77734375" customWidth="1"/>
    <col min="5128" max="5128" width="13.77734375" customWidth="1"/>
    <col min="5129" max="5129" width="1.77734375" customWidth="1"/>
    <col min="5130" max="5130" width="13" customWidth="1"/>
    <col min="5371" max="5371" width="6" customWidth="1"/>
    <col min="5372" max="5372" width="1.44140625" customWidth="1"/>
    <col min="5373" max="5373" width="39.109375" customWidth="1"/>
    <col min="5374" max="5374" width="12" customWidth="1"/>
    <col min="5375" max="5375" width="14.44140625" customWidth="1"/>
    <col min="5376" max="5376" width="11.77734375" customWidth="1"/>
    <col min="5377" max="5377" width="14.109375" customWidth="1"/>
    <col min="5378" max="5378" width="13.77734375" customWidth="1"/>
    <col min="5379" max="5380" width="12.77734375" customWidth="1"/>
    <col min="5381" max="5381" width="13.5546875" customWidth="1"/>
    <col min="5382" max="5382" width="15.21875" customWidth="1"/>
    <col min="5383" max="5383" width="12.77734375" customWidth="1"/>
    <col min="5384" max="5384" width="13.77734375" customWidth="1"/>
    <col min="5385" max="5385" width="1.77734375" customWidth="1"/>
    <col min="5386" max="5386" width="13" customWidth="1"/>
    <col min="5627" max="5627" width="6" customWidth="1"/>
    <col min="5628" max="5628" width="1.44140625" customWidth="1"/>
    <col min="5629" max="5629" width="39.109375" customWidth="1"/>
    <col min="5630" max="5630" width="12" customWidth="1"/>
    <col min="5631" max="5631" width="14.44140625" customWidth="1"/>
    <col min="5632" max="5632" width="11.77734375" customWidth="1"/>
    <col min="5633" max="5633" width="14.109375" customWidth="1"/>
    <col min="5634" max="5634" width="13.77734375" customWidth="1"/>
    <col min="5635" max="5636" width="12.77734375" customWidth="1"/>
    <col min="5637" max="5637" width="13.5546875" customWidth="1"/>
    <col min="5638" max="5638" width="15.21875" customWidth="1"/>
    <col min="5639" max="5639" width="12.77734375" customWidth="1"/>
    <col min="5640" max="5640" width="13.77734375" customWidth="1"/>
    <col min="5641" max="5641" width="1.77734375" customWidth="1"/>
    <col min="5642" max="5642" width="13" customWidth="1"/>
    <col min="5883" max="5883" width="6" customWidth="1"/>
    <col min="5884" max="5884" width="1.44140625" customWidth="1"/>
    <col min="5885" max="5885" width="39.109375" customWidth="1"/>
    <col min="5886" max="5886" width="12" customWidth="1"/>
    <col min="5887" max="5887" width="14.44140625" customWidth="1"/>
    <col min="5888" max="5888" width="11.77734375" customWidth="1"/>
    <col min="5889" max="5889" width="14.109375" customWidth="1"/>
    <col min="5890" max="5890" width="13.77734375" customWidth="1"/>
    <col min="5891" max="5892" width="12.77734375" customWidth="1"/>
    <col min="5893" max="5893" width="13.5546875" customWidth="1"/>
    <col min="5894" max="5894" width="15.21875" customWidth="1"/>
    <col min="5895" max="5895" width="12.77734375" customWidth="1"/>
    <col min="5896" max="5896" width="13.77734375" customWidth="1"/>
    <col min="5897" max="5897" width="1.77734375" customWidth="1"/>
    <col min="5898" max="5898" width="13" customWidth="1"/>
    <col min="6139" max="6139" width="6" customWidth="1"/>
    <col min="6140" max="6140" width="1.44140625" customWidth="1"/>
    <col min="6141" max="6141" width="39.109375" customWidth="1"/>
    <col min="6142" max="6142" width="12" customWidth="1"/>
    <col min="6143" max="6143" width="14.44140625" customWidth="1"/>
    <col min="6144" max="6144" width="11.77734375" customWidth="1"/>
    <col min="6145" max="6145" width="14.109375" customWidth="1"/>
    <col min="6146" max="6146" width="13.77734375" customWidth="1"/>
    <col min="6147" max="6148" width="12.77734375" customWidth="1"/>
    <col min="6149" max="6149" width="13.5546875" customWidth="1"/>
    <col min="6150" max="6150" width="15.21875" customWidth="1"/>
    <col min="6151" max="6151" width="12.77734375" customWidth="1"/>
    <col min="6152" max="6152" width="13.77734375" customWidth="1"/>
    <col min="6153" max="6153" width="1.77734375" customWidth="1"/>
    <col min="6154" max="6154" width="13" customWidth="1"/>
    <col min="6395" max="6395" width="6" customWidth="1"/>
    <col min="6396" max="6396" width="1.44140625" customWidth="1"/>
    <col min="6397" max="6397" width="39.109375" customWidth="1"/>
    <col min="6398" max="6398" width="12" customWidth="1"/>
    <col min="6399" max="6399" width="14.44140625" customWidth="1"/>
    <col min="6400" max="6400" width="11.77734375" customWidth="1"/>
    <col min="6401" max="6401" width="14.109375" customWidth="1"/>
    <col min="6402" max="6402" width="13.77734375" customWidth="1"/>
    <col min="6403" max="6404" width="12.77734375" customWidth="1"/>
    <col min="6405" max="6405" width="13.5546875" customWidth="1"/>
    <col min="6406" max="6406" width="15.21875" customWidth="1"/>
    <col min="6407" max="6407" width="12.77734375" customWidth="1"/>
    <col min="6408" max="6408" width="13.77734375" customWidth="1"/>
    <col min="6409" max="6409" width="1.77734375" customWidth="1"/>
    <col min="6410" max="6410" width="13" customWidth="1"/>
    <col min="6651" max="6651" width="6" customWidth="1"/>
    <col min="6652" max="6652" width="1.44140625" customWidth="1"/>
    <col min="6653" max="6653" width="39.109375" customWidth="1"/>
    <col min="6654" max="6654" width="12" customWidth="1"/>
    <col min="6655" max="6655" width="14.44140625" customWidth="1"/>
    <col min="6656" max="6656" width="11.77734375" customWidth="1"/>
    <col min="6657" max="6657" width="14.109375" customWidth="1"/>
    <col min="6658" max="6658" width="13.77734375" customWidth="1"/>
    <col min="6659" max="6660" width="12.77734375" customWidth="1"/>
    <col min="6661" max="6661" width="13.5546875" customWidth="1"/>
    <col min="6662" max="6662" width="15.21875" customWidth="1"/>
    <col min="6663" max="6663" width="12.77734375" customWidth="1"/>
    <col min="6664" max="6664" width="13.77734375" customWidth="1"/>
    <col min="6665" max="6665" width="1.77734375" customWidth="1"/>
    <col min="6666" max="6666" width="13" customWidth="1"/>
    <col min="6907" max="6907" width="6" customWidth="1"/>
    <col min="6908" max="6908" width="1.44140625" customWidth="1"/>
    <col min="6909" max="6909" width="39.109375" customWidth="1"/>
    <col min="6910" max="6910" width="12" customWidth="1"/>
    <col min="6911" max="6911" width="14.44140625" customWidth="1"/>
    <col min="6912" max="6912" width="11.77734375" customWidth="1"/>
    <col min="6913" max="6913" width="14.109375" customWidth="1"/>
    <col min="6914" max="6914" width="13.77734375" customWidth="1"/>
    <col min="6915" max="6916" width="12.77734375" customWidth="1"/>
    <col min="6917" max="6917" width="13.5546875" customWidth="1"/>
    <col min="6918" max="6918" width="15.21875" customWidth="1"/>
    <col min="6919" max="6919" width="12.77734375" customWidth="1"/>
    <col min="6920" max="6920" width="13.77734375" customWidth="1"/>
    <col min="6921" max="6921" width="1.77734375" customWidth="1"/>
    <col min="6922" max="6922" width="13" customWidth="1"/>
    <col min="7163" max="7163" width="6" customWidth="1"/>
    <col min="7164" max="7164" width="1.44140625" customWidth="1"/>
    <col min="7165" max="7165" width="39.109375" customWidth="1"/>
    <col min="7166" max="7166" width="12" customWidth="1"/>
    <col min="7167" max="7167" width="14.44140625" customWidth="1"/>
    <col min="7168" max="7168" width="11.77734375" customWidth="1"/>
    <col min="7169" max="7169" width="14.109375" customWidth="1"/>
    <col min="7170" max="7170" width="13.77734375" customWidth="1"/>
    <col min="7171" max="7172" width="12.77734375" customWidth="1"/>
    <col min="7173" max="7173" width="13.5546875" customWidth="1"/>
    <col min="7174" max="7174" width="15.21875" customWidth="1"/>
    <col min="7175" max="7175" width="12.77734375" customWidth="1"/>
    <col min="7176" max="7176" width="13.77734375" customWidth="1"/>
    <col min="7177" max="7177" width="1.77734375" customWidth="1"/>
    <col min="7178" max="7178" width="13" customWidth="1"/>
    <col min="7419" max="7419" width="6" customWidth="1"/>
    <col min="7420" max="7420" width="1.44140625" customWidth="1"/>
    <col min="7421" max="7421" width="39.109375" customWidth="1"/>
    <col min="7422" max="7422" width="12" customWidth="1"/>
    <col min="7423" max="7423" width="14.44140625" customWidth="1"/>
    <col min="7424" max="7424" width="11.77734375" customWidth="1"/>
    <col min="7425" max="7425" width="14.109375" customWidth="1"/>
    <col min="7426" max="7426" width="13.77734375" customWidth="1"/>
    <col min="7427" max="7428" width="12.77734375" customWidth="1"/>
    <col min="7429" max="7429" width="13.5546875" customWidth="1"/>
    <col min="7430" max="7430" width="15.21875" customWidth="1"/>
    <col min="7431" max="7431" width="12.77734375" customWidth="1"/>
    <col min="7432" max="7432" width="13.77734375" customWidth="1"/>
    <col min="7433" max="7433" width="1.77734375" customWidth="1"/>
    <col min="7434" max="7434" width="13" customWidth="1"/>
    <col min="7675" max="7675" width="6" customWidth="1"/>
    <col min="7676" max="7676" width="1.44140625" customWidth="1"/>
    <col min="7677" max="7677" width="39.109375" customWidth="1"/>
    <col min="7678" max="7678" width="12" customWidth="1"/>
    <col min="7679" max="7679" width="14.44140625" customWidth="1"/>
    <col min="7680" max="7680" width="11.77734375" customWidth="1"/>
    <col min="7681" max="7681" width="14.109375" customWidth="1"/>
    <col min="7682" max="7682" width="13.77734375" customWidth="1"/>
    <col min="7683" max="7684" width="12.77734375" customWidth="1"/>
    <col min="7685" max="7685" width="13.5546875" customWidth="1"/>
    <col min="7686" max="7686" width="15.21875" customWidth="1"/>
    <col min="7687" max="7687" width="12.77734375" customWidth="1"/>
    <col min="7688" max="7688" width="13.77734375" customWidth="1"/>
    <col min="7689" max="7689" width="1.77734375" customWidth="1"/>
    <col min="7690" max="7690" width="13" customWidth="1"/>
    <col min="7931" max="7931" width="6" customWidth="1"/>
    <col min="7932" max="7932" width="1.44140625" customWidth="1"/>
    <col min="7933" max="7933" width="39.109375" customWidth="1"/>
    <col min="7934" max="7934" width="12" customWidth="1"/>
    <col min="7935" max="7935" width="14.44140625" customWidth="1"/>
    <col min="7936" max="7936" width="11.77734375" customWidth="1"/>
    <col min="7937" max="7937" width="14.109375" customWidth="1"/>
    <col min="7938" max="7938" width="13.77734375" customWidth="1"/>
    <col min="7939" max="7940" width="12.77734375" customWidth="1"/>
    <col min="7941" max="7941" width="13.5546875" customWidth="1"/>
    <col min="7942" max="7942" width="15.21875" customWidth="1"/>
    <col min="7943" max="7943" width="12.77734375" customWidth="1"/>
    <col min="7944" max="7944" width="13.77734375" customWidth="1"/>
    <col min="7945" max="7945" width="1.77734375" customWidth="1"/>
    <col min="7946" max="7946" width="13" customWidth="1"/>
    <col min="8187" max="8187" width="6" customWidth="1"/>
    <col min="8188" max="8188" width="1.44140625" customWidth="1"/>
    <col min="8189" max="8189" width="39.109375" customWidth="1"/>
    <col min="8190" max="8190" width="12" customWidth="1"/>
    <col min="8191" max="8191" width="14.44140625" customWidth="1"/>
    <col min="8192" max="8192" width="11.77734375" customWidth="1"/>
    <col min="8193" max="8193" width="14.109375" customWidth="1"/>
    <col min="8194" max="8194" width="13.77734375" customWidth="1"/>
    <col min="8195" max="8196" width="12.77734375" customWidth="1"/>
    <col min="8197" max="8197" width="13.5546875" customWidth="1"/>
    <col min="8198" max="8198" width="15.21875" customWidth="1"/>
    <col min="8199" max="8199" width="12.77734375" customWidth="1"/>
    <col min="8200" max="8200" width="13.77734375" customWidth="1"/>
    <col min="8201" max="8201" width="1.77734375" customWidth="1"/>
    <col min="8202" max="8202" width="13" customWidth="1"/>
    <col min="8443" max="8443" width="6" customWidth="1"/>
    <col min="8444" max="8444" width="1.44140625" customWidth="1"/>
    <col min="8445" max="8445" width="39.109375" customWidth="1"/>
    <col min="8446" max="8446" width="12" customWidth="1"/>
    <col min="8447" max="8447" width="14.44140625" customWidth="1"/>
    <col min="8448" max="8448" width="11.77734375" customWidth="1"/>
    <col min="8449" max="8449" width="14.109375" customWidth="1"/>
    <col min="8450" max="8450" width="13.77734375" customWidth="1"/>
    <col min="8451" max="8452" width="12.77734375" customWidth="1"/>
    <col min="8453" max="8453" width="13.5546875" customWidth="1"/>
    <col min="8454" max="8454" width="15.21875" customWidth="1"/>
    <col min="8455" max="8455" width="12.77734375" customWidth="1"/>
    <col min="8456" max="8456" width="13.77734375" customWidth="1"/>
    <col min="8457" max="8457" width="1.77734375" customWidth="1"/>
    <col min="8458" max="8458" width="13" customWidth="1"/>
    <col min="8699" max="8699" width="6" customWidth="1"/>
    <col min="8700" max="8700" width="1.44140625" customWidth="1"/>
    <col min="8701" max="8701" width="39.109375" customWidth="1"/>
    <col min="8702" max="8702" width="12" customWidth="1"/>
    <col min="8703" max="8703" width="14.44140625" customWidth="1"/>
    <col min="8704" max="8704" width="11.77734375" customWidth="1"/>
    <col min="8705" max="8705" width="14.109375" customWidth="1"/>
    <col min="8706" max="8706" width="13.77734375" customWidth="1"/>
    <col min="8707" max="8708" width="12.77734375" customWidth="1"/>
    <col min="8709" max="8709" width="13.5546875" customWidth="1"/>
    <col min="8710" max="8710" width="15.21875" customWidth="1"/>
    <col min="8711" max="8711" width="12.77734375" customWidth="1"/>
    <col min="8712" max="8712" width="13.77734375" customWidth="1"/>
    <col min="8713" max="8713" width="1.77734375" customWidth="1"/>
    <col min="8714" max="8714" width="13" customWidth="1"/>
    <col min="8955" max="8955" width="6" customWidth="1"/>
    <col min="8956" max="8956" width="1.44140625" customWidth="1"/>
    <col min="8957" max="8957" width="39.109375" customWidth="1"/>
    <col min="8958" max="8958" width="12" customWidth="1"/>
    <col min="8959" max="8959" width="14.44140625" customWidth="1"/>
    <col min="8960" max="8960" width="11.77734375" customWidth="1"/>
    <col min="8961" max="8961" width="14.109375" customWidth="1"/>
    <col min="8962" max="8962" width="13.77734375" customWidth="1"/>
    <col min="8963" max="8964" width="12.77734375" customWidth="1"/>
    <col min="8965" max="8965" width="13.5546875" customWidth="1"/>
    <col min="8966" max="8966" width="15.21875" customWidth="1"/>
    <col min="8967" max="8967" width="12.77734375" customWidth="1"/>
    <col min="8968" max="8968" width="13.77734375" customWidth="1"/>
    <col min="8969" max="8969" width="1.77734375" customWidth="1"/>
    <col min="8970" max="8970" width="13" customWidth="1"/>
    <col min="9211" max="9211" width="6" customWidth="1"/>
    <col min="9212" max="9212" width="1.44140625" customWidth="1"/>
    <col min="9213" max="9213" width="39.109375" customWidth="1"/>
    <col min="9214" max="9214" width="12" customWidth="1"/>
    <col min="9215" max="9215" width="14.44140625" customWidth="1"/>
    <col min="9216" max="9216" width="11.77734375" customWidth="1"/>
    <col min="9217" max="9217" width="14.109375" customWidth="1"/>
    <col min="9218" max="9218" width="13.77734375" customWidth="1"/>
    <col min="9219" max="9220" width="12.77734375" customWidth="1"/>
    <col min="9221" max="9221" width="13.5546875" customWidth="1"/>
    <col min="9222" max="9222" width="15.21875" customWidth="1"/>
    <col min="9223" max="9223" width="12.77734375" customWidth="1"/>
    <col min="9224" max="9224" width="13.77734375" customWidth="1"/>
    <col min="9225" max="9225" width="1.77734375" customWidth="1"/>
    <col min="9226" max="9226" width="13" customWidth="1"/>
    <col min="9467" max="9467" width="6" customWidth="1"/>
    <col min="9468" max="9468" width="1.44140625" customWidth="1"/>
    <col min="9469" max="9469" width="39.109375" customWidth="1"/>
    <col min="9470" max="9470" width="12" customWidth="1"/>
    <col min="9471" max="9471" width="14.44140625" customWidth="1"/>
    <col min="9472" max="9472" width="11.77734375" customWidth="1"/>
    <col min="9473" max="9473" width="14.109375" customWidth="1"/>
    <col min="9474" max="9474" width="13.77734375" customWidth="1"/>
    <col min="9475" max="9476" width="12.77734375" customWidth="1"/>
    <col min="9477" max="9477" width="13.5546875" customWidth="1"/>
    <col min="9478" max="9478" width="15.21875" customWidth="1"/>
    <col min="9479" max="9479" width="12.77734375" customWidth="1"/>
    <col min="9480" max="9480" width="13.77734375" customWidth="1"/>
    <col min="9481" max="9481" width="1.77734375" customWidth="1"/>
    <col min="9482" max="9482" width="13" customWidth="1"/>
    <col min="9723" max="9723" width="6" customWidth="1"/>
    <col min="9724" max="9724" width="1.44140625" customWidth="1"/>
    <col min="9725" max="9725" width="39.109375" customWidth="1"/>
    <col min="9726" max="9726" width="12" customWidth="1"/>
    <col min="9727" max="9727" width="14.44140625" customWidth="1"/>
    <col min="9728" max="9728" width="11.77734375" customWidth="1"/>
    <col min="9729" max="9729" width="14.109375" customWidth="1"/>
    <col min="9730" max="9730" width="13.77734375" customWidth="1"/>
    <col min="9731" max="9732" width="12.77734375" customWidth="1"/>
    <col min="9733" max="9733" width="13.5546875" customWidth="1"/>
    <col min="9734" max="9734" width="15.21875" customWidth="1"/>
    <col min="9735" max="9735" width="12.77734375" customWidth="1"/>
    <col min="9736" max="9736" width="13.77734375" customWidth="1"/>
    <col min="9737" max="9737" width="1.77734375" customWidth="1"/>
    <col min="9738" max="9738" width="13" customWidth="1"/>
    <col min="9979" max="9979" width="6" customWidth="1"/>
    <col min="9980" max="9980" width="1.44140625" customWidth="1"/>
    <col min="9981" max="9981" width="39.109375" customWidth="1"/>
    <col min="9982" max="9982" width="12" customWidth="1"/>
    <col min="9983" max="9983" width="14.44140625" customWidth="1"/>
    <col min="9984" max="9984" width="11.77734375" customWidth="1"/>
    <col min="9985" max="9985" width="14.109375" customWidth="1"/>
    <col min="9986" max="9986" width="13.77734375" customWidth="1"/>
    <col min="9987" max="9988" width="12.77734375" customWidth="1"/>
    <col min="9989" max="9989" width="13.5546875" customWidth="1"/>
    <col min="9990" max="9990" width="15.21875" customWidth="1"/>
    <col min="9991" max="9991" width="12.77734375" customWidth="1"/>
    <col min="9992" max="9992" width="13.77734375" customWidth="1"/>
    <col min="9993" max="9993" width="1.77734375" customWidth="1"/>
    <col min="9994" max="9994" width="13" customWidth="1"/>
    <col min="10235" max="10235" width="6" customWidth="1"/>
    <col min="10236" max="10236" width="1.44140625" customWidth="1"/>
    <col min="10237" max="10237" width="39.109375" customWidth="1"/>
    <col min="10238" max="10238" width="12" customWidth="1"/>
    <col min="10239" max="10239" width="14.44140625" customWidth="1"/>
    <col min="10240" max="10240" width="11.77734375" customWidth="1"/>
    <col min="10241" max="10241" width="14.109375" customWidth="1"/>
    <col min="10242" max="10242" width="13.77734375" customWidth="1"/>
    <col min="10243" max="10244" width="12.77734375" customWidth="1"/>
    <col min="10245" max="10245" width="13.5546875" customWidth="1"/>
    <col min="10246" max="10246" width="15.21875" customWidth="1"/>
    <col min="10247" max="10247" width="12.77734375" customWidth="1"/>
    <col min="10248" max="10248" width="13.77734375" customWidth="1"/>
    <col min="10249" max="10249" width="1.77734375" customWidth="1"/>
    <col min="10250" max="10250" width="13" customWidth="1"/>
    <col min="10491" max="10491" width="6" customWidth="1"/>
    <col min="10492" max="10492" width="1.44140625" customWidth="1"/>
    <col min="10493" max="10493" width="39.109375" customWidth="1"/>
    <col min="10494" max="10494" width="12" customWidth="1"/>
    <col min="10495" max="10495" width="14.44140625" customWidth="1"/>
    <col min="10496" max="10496" width="11.77734375" customWidth="1"/>
    <col min="10497" max="10497" width="14.109375" customWidth="1"/>
    <col min="10498" max="10498" width="13.77734375" customWidth="1"/>
    <col min="10499" max="10500" width="12.77734375" customWidth="1"/>
    <col min="10501" max="10501" width="13.5546875" customWidth="1"/>
    <col min="10502" max="10502" width="15.21875" customWidth="1"/>
    <col min="10503" max="10503" width="12.77734375" customWidth="1"/>
    <col min="10504" max="10504" width="13.77734375" customWidth="1"/>
    <col min="10505" max="10505" width="1.77734375" customWidth="1"/>
    <col min="10506" max="10506" width="13" customWidth="1"/>
    <col min="10747" max="10747" width="6" customWidth="1"/>
    <col min="10748" max="10748" width="1.44140625" customWidth="1"/>
    <col min="10749" max="10749" width="39.109375" customWidth="1"/>
    <col min="10750" max="10750" width="12" customWidth="1"/>
    <col min="10751" max="10751" width="14.44140625" customWidth="1"/>
    <col min="10752" max="10752" width="11.77734375" customWidth="1"/>
    <col min="10753" max="10753" width="14.109375" customWidth="1"/>
    <col min="10754" max="10754" width="13.77734375" customWidth="1"/>
    <col min="10755" max="10756" width="12.77734375" customWidth="1"/>
    <col min="10757" max="10757" width="13.5546875" customWidth="1"/>
    <col min="10758" max="10758" width="15.21875" customWidth="1"/>
    <col min="10759" max="10759" width="12.77734375" customWidth="1"/>
    <col min="10760" max="10760" width="13.77734375" customWidth="1"/>
    <col min="10761" max="10761" width="1.77734375" customWidth="1"/>
    <col min="10762" max="10762" width="13" customWidth="1"/>
    <col min="11003" max="11003" width="6" customWidth="1"/>
    <col min="11004" max="11004" width="1.44140625" customWidth="1"/>
    <col min="11005" max="11005" width="39.109375" customWidth="1"/>
    <col min="11006" max="11006" width="12" customWidth="1"/>
    <col min="11007" max="11007" width="14.44140625" customWidth="1"/>
    <col min="11008" max="11008" width="11.77734375" customWidth="1"/>
    <col min="11009" max="11009" width="14.109375" customWidth="1"/>
    <col min="11010" max="11010" width="13.77734375" customWidth="1"/>
    <col min="11011" max="11012" width="12.77734375" customWidth="1"/>
    <col min="11013" max="11013" width="13.5546875" customWidth="1"/>
    <col min="11014" max="11014" width="15.21875" customWidth="1"/>
    <col min="11015" max="11015" width="12.77734375" customWidth="1"/>
    <col min="11016" max="11016" width="13.77734375" customWidth="1"/>
    <col min="11017" max="11017" width="1.77734375" customWidth="1"/>
    <col min="11018" max="11018" width="13" customWidth="1"/>
    <col min="11259" max="11259" width="6" customWidth="1"/>
    <col min="11260" max="11260" width="1.44140625" customWidth="1"/>
    <col min="11261" max="11261" width="39.109375" customWidth="1"/>
    <col min="11262" max="11262" width="12" customWidth="1"/>
    <col min="11263" max="11263" width="14.44140625" customWidth="1"/>
    <col min="11264" max="11264" width="11.77734375" customWidth="1"/>
    <col min="11265" max="11265" width="14.109375" customWidth="1"/>
    <col min="11266" max="11266" width="13.77734375" customWidth="1"/>
    <col min="11267" max="11268" width="12.77734375" customWidth="1"/>
    <col min="11269" max="11269" width="13.5546875" customWidth="1"/>
    <col min="11270" max="11270" width="15.21875" customWidth="1"/>
    <col min="11271" max="11271" width="12.77734375" customWidth="1"/>
    <col min="11272" max="11272" width="13.77734375" customWidth="1"/>
    <col min="11273" max="11273" width="1.77734375" customWidth="1"/>
    <col min="11274" max="11274" width="13" customWidth="1"/>
    <col min="11515" max="11515" width="6" customWidth="1"/>
    <col min="11516" max="11516" width="1.44140625" customWidth="1"/>
    <col min="11517" max="11517" width="39.109375" customWidth="1"/>
    <col min="11518" max="11518" width="12" customWidth="1"/>
    <col min="11519" max="11519" width="14.44140625" customWidth="1"/>
    <col min="11520" max="11520" width="11.77734375" customWidth="1"/>
    <col min="11521" max="11521" width="14.109375" customWidth="1"/>
    <col min="11522" max="11522" width="13.77734375" customWidth="1"/>
    <col min="11523" max="11524" width="12.77734375" customWidth="1"/>
    <col min="11525" max="11525" width="13.5546875" customWidth="1"/>
    <col min="11526" max="11526" width="15.21875" customWidth="1"/>
    <col min="11527" max="11527" width="12.77734375" customWidth="1"/>
    <col min="11528" max="11528" width="13.77734375" customWidth="1"/>
    <col min="11529" max="11529" width="1.77734375" customWidth="1"/>
    <col min="11530" max="11530" width="13" customWidth="1"/>
    <col min="11771" max="11771" width="6" customWidth="1"/>
    <col min="11772" max="11772" width="1.44140625" customWidth="1"/>
    <col min="11773" max="11773" width="39.109375" customWidth="1"/>
    <col min="11774" max="11774" width="12" customWidth="1"/>
    <col min="11775" max="11775" width="14.44140625" customWidth="1"/>
    <col min="11776" max="11776" width="11.77734375" customWidth="1"/>
    <col min="11777" max="11777" width="14.109375" customWidth="1"/>
    <col min="11778" max="11778" width="13.77734375" customWidth="1"/>
    <col min="11779" max="11780" width="12.77734375" customWidth="1"/>
    <col min="11781" max="11781" width="13.5546875" customWidth="1"/>
    <col min="11782" max="11782" width="15.21875" customWidth="1"/>
    <col min="11783" max="11783" width="12.77734375" customWidth="1"/>
    <col min="11784" max="11784" width="13.77734375" customWidth="1"/>
    <col min="11785" max="11785" width="1.77734375" customWidth="1"/>
    <col min="11786" max="11786" width="13" customWidth="1"/>
    <col min="12027" max="12027" width="6" customWidth="1"/>
    <col min="12028" max="12028" width="1.44140625" customWidth="1"/>
    <col min="12029" max="12029" width="39.109375" customWidth="1"/>
    <col min="12030" max="12030" width="12" customWidth="1"/>
    <col min="12031" max="12031" width="14.44140625" customWidth="1"/>
    <col min="12032" max="12032" width="11.77734375" customWidth="1"/>
    <col min="12033" max="12033" width="14.109375" customWidth="1"/>
    <col min="12034" max="12034" width="13.77734375" customWidth="1"/>
    <col min="12035" max="12036" width="12.77734375" customWidth="1"/>
    <col min="12037" max="12037" width="13.5546875" customWidth="1"/>
    <col min="12038" max="12038" width="15.21875" customWidth="1"/>
    <col min="12039" max="12039" width="12.77734375" customWidth="1"/>
    <col min="12040" max="12040" width="13.77734375" customWidth="1"/>
    <col min="12041" max="12041" width="1.77734375" customWidth="1"/>
    <col min="12042" max="12042" width="13" customWidth="1"/>
    <col min="12283" max="12283" width="6" customWidth="1"/>
    <col min="12284" max="12284" width="1.44140625" customWidth="1"/>
    <col min="12285" max="12285" width="39.109375" customWidth="1"/>
    <col min="12286" max="12286" width="12" customWidth="1"/>
    <col min="12287" max="12287" width="14.44140625" customWidth="1"/>
    <col min="12288" max="12288" width="11.77734375" customWidth="1"/>
    <col min="12289" max="12289" width="14.109375" customWidth="1"/>
    <col min="12290" max="12290" width="13.77734375" customWidth="1"/>
    <col min="12291" max="12292" width="12.77734375" customWidth="1"/>
    <col min="12293" max="12293" width="13.5546875" customWidth="1"/>
    <col min="12294" max="12294" width="15.21875" customWidth="1"/>
    <col min="12295" max="12295" width="12.77734375" customWidth="1"/>
    <col min="12296" max="12296" width="13.77734375" customWidth="1"/>
    <col min="12297" max="12297" width="1.77734375" customWidth="1"/>
    <col min="12298" max="12298" width="13" customWidth="1"/>
    <col min="12539" max="12539" width="6" customWidth="1"/>
    <col min="12540" max="12540" width="1.44140625" customWidth="1"/>
    <col min="12541" max="12541" width="39.109375" customWidth="1"/>
    <col min="12542" max="12542" width="12" customWidth="1"/>
    <col min="12543" max="12543" width="14.44140625" customWidth="1"/>
    <col min="12544" max="12544" width="11.77734375" customWidth="1"/>
    <col min="12545" max="12545" width="14.109375" customWidth="1"/>
    <col min="12546" max="12546" width="13.77734375" customWidth="1"/>
    <col min="12547" max="12548" width="12.77734375" customWidth="1"/>
    <col min="12549" max="12549" width="13.5546875" customWidth="1"/>
    <col min="12550" max="12550" width="15.21875" customWidth="1"/>
    <col min="12551" max="12551" width="12.77734375" customWidth="1"/>
    <col min="12552" max="12552" width="13.77734375" customWidth="1"/>
    <col min="12553" max="12553" width="1.77734375" customWidth="1"/>
    <col min="12554" max="12554" width="13" customWidth="1"/>
    <col min="12795" max="12795" width="6" customWidth="1"/>
    <col min="12796" max="12796" width="1.44140625" customWidth="1"/>
    <col min="12797" max="12797" width="39.109375" customWidth="1"/>
    <col min="12798" max="12798" width="12" customWidth="1"/>
    <col min="12799" max="12799" width="14.44140625" customWidth="1"/>
    <col min="12800" max="12800" width="11.77734375" customWidth="1"/>
    <col min="12801" max="12801" width="14.109375" customWidth="1"/>
    <col min="12802" max="12802" width="13.77734375" customWidth="1"/>
    <col min="12803" max="12804" width="12.77734375" customWidth="1"/>
    <col min="12805" max="12805" width="13.5546875" customWidth="1"/>
    <col min="12806" max="12806" width="15.21875" customWidth="1"/>
    <col min="12807" max="12807" width="12.77734375" customWidth="1"/>
    <col min="12808" max="12808" width="13.77734375" customWidth="1"/>
    <col min="12809" max="12809" width="1.77734375" customWidth="1"/>
    <col min="12810" max="12810" width="13" customWidth="1"/>
    <col min="13051" max="13051" width="6" customWidth="1"/>
    <col min="13052" max="13052" width="1.44140625" customWidth="1"/>
    <col min="13053" max="13053" width="39.109375" customWidth="1"/>
    <col min="13054" max="13054" width="12" customWidth="1"/>
    <col min="13055" max="13055" width="14.44140625" customWidth="1"/>
    <col min="13056" max="13056" width="11.77734375" customWidth="1"/>
    <col min="13057" max="13057" width="14.109375" customWidth="1"/>
    <col min="13058" max="13058" width="13.77734375" customWidth="1"/>
    <col min="13059" max="13060" width="12.77734375" customWidth="1"/>
    <col min="13061" max="13061" width="13.5546875" customWidth="1"/>
    <col min="13062" max="13062" width="15.21875" customWidth="1"/>
    <col min="13063" max="13063" width="12.77734375" customWidth="1"/>
    <col min="13064" max="13064" width="13.77734375" customWidth="1"/>
    <col min="13065" max="13065" width="1.77734375" customWidth="1"/>
    <col min="13066" max="13066" width="13" customWidth="1"/>
    <col min="13307" max="13307" width="6" customWidth="1"/>
    <col min="13308" max="13308" width="1.44140625" customWidth="1"/>
    <col min="13309" max="13309" width="39.109375" customWidth="1"/>
    <col min="13310" max="13310" width="12" customWidth="1"/>
    <col min="13311" max="13311" width="14.44140625" customWidth="1"/>
    <col min="13312" max="13312" width="11.77734375" customWidth="1"/>
    <col min="13313" max="13313" width="14.109375" customWidth="1"/>
    <col min="13314" max="13314" width="13.77734375" customWidth="1"/>
    <col min="13315" max="13316" width="12.77734375" customWidth="1"/>
    <col min="13317" max="13317" width="13.5546875" customWidth="1"/>
    <col min="13318" max="13318" width="15.21875" customWidth="1"/>
    <col min="13319" max="13319" width="12.77734375" customWidth="1"/>
    <col min="13320" max="13320" width="13.77734375" customWidth="1"/>
    <col min="13321" max="13321" width="1.77734375" customWidth="1"/>
    <col min="13322" max="13322" width="13" customWidth="1"/>
    <col min="13563" max="13563" width="6" customWidth="1"/>
    <col min="13564" max="13564" width="1.44140625" customWidth="1"/>
    <col min="13565" max="13565" width="39.109375" customWidth="1"/>
    <col min="13566" max="13566" width="12" customWidth="1"/>
    <col min="13567" max="13567" width="14.44140625" customWidth="1"/>
    <col min="13568" max="13568" width="11.77734375" customWidth="1"/>
    <col min="13569" max="13569" width="14.109375" customWidth="1"/>
    <col min="13570" max="13570" width="13.77734375" customWidth="1"/>
    <col min="13571" max="13572" width="12.77734375" customWidth="1"/>
    <col min="13573" max="13573" width="13.5546875" customWidth="1"/>
    <col min="13574" max="13574" width="15.21875" customWidth="1"/>
    <col min="13575" max="13575" width="12.77734375" customWidth="1"/>
    <col min="13576" max="13576" width="13.77734375" customWidth="1"/>
    <col min="13577" max="13577" width="1.77734375" customWidth="1"/>
    <col min="13578" max="13578" width="13" customWidth="1"/>
    <col min="13819" max="13819" width="6" customWidth="1"/>
    <col min="13820" max="13820" width="1.44140625" customWidth="1"/>
    <col min="13821" max="13821" width="39.109375" customWidth="1"/>
    <col min="13822" max="13822" width="12" customWidth="1"/>
    <col min="13823" max="13823" width="14.44140625" customWidth="1"/>
    <col min="13824" max="13824" width="11.77734375" customWidth="1"/>
    <col min="13825" max="13825" width="14.109375" customWidth="1"/>
    <col min="13826" max="13826" width="13.77734375" customWidth="1"/>
    <col min="13827" max="13828" width="12.77734375" customWidth="1"/>
    <col min="13829" max="13829" width="13.5546875" customWidth="1"/>
    <col min="13830" max="13830" width="15.21875" customWidth="1"/>
    <col min="13831" max="13831" width="12.77734375" customWidth="1"/>
    <col min="13832" max="13832" width="13.77734375" customWidth="1"/>
    <col min="13833" max="13833" width="1.77734375" customWidth="1"/>
    <col min="13834" max="13834" width="13" customWidth="1"/>
    <col min="14075" max="14075" width="6" customWidth="1"/>
    <col min="14076" max="14076" width="1.44140625" customWidth="1"/>
    <col min="14077" max="14077" width="39.109375" customWidth="1"/>
    <col min="14078" max="14078" width="12" customWidth="1"/>
    <col min="14079" max="14079" width="14.44140625" customWidth="1"/>
    <col min="14080" max="14080" width="11.77734375" customWidth="1"/>
    <col min="14081" max="14081" width="14.109375" customWidth="1"/>
    <col min="14082" max="14082" width="13.77734375" customWidth="1"/>
    <col min="14083" max="14084" width="12.77734375" customWidth="1"/>
    <col min="14085" max="14085" width="13.5546875" customWidth="1"/>
    <col min="14086" max="14086" width="15.21875" customWidth="1"/>
    <col min="14087" max="14087" width="12.77734375" customWidth="1"/>
    <col min="14088" max="14088" width="13.77734375" customWidth="1"/>
    <col min="14089" max="14089" width="1.77734375" customWidth="1"/>
    <col min="14090" max="14090" width="13" customWidth="1"/>
    <col min="14331" max="14331" width="6" customWidth="1"/>
    <col min="14332" max="14332" width="1.44140625" customWidth="1"/>
    <col min="14333" max="14333" width="39.109375" customWidth="1"/>
    <col min="14334" max="14334" width="12" customWidth="1"/>
    <col min="14335" max="14335" width="14.44140625" customWidth="1"/>
    <col min="14336" max="14336" width="11.77734375" customWidth="1"/>
    <col min="14337" max="14337" width="14.109375" customWidth="1"/>
    <col min="14338" max="14338" width="13.77734375" customWidth="1"/>
    <col min="14339" max="14340" width="12.77734375" customWidth="1"/>
    <col min="14341" max="14341" width="13.5546875" customWidth="1"/>
    <col min="14342" max="14342" width="15.21875" customWidth="1"/>
    <col min="14343" max="14343" width="12.77734375" customWidth="1"/>
    <col min="14344" max="14344" width="13.77734375" customWidth="1"/>
    <col min="14345" max="14345" width="1.77734375" customWidth="1"/>
    <col min="14346" max="14346" width="13" customWidth="1"/>
    <col min="14587" max="14587" width="6" customWidth="1"/>
    <col min="14588" max="14588" width="1.44140625" customWidth="1"/>
    <col min="14589" max="14589" width="39.109375" customWidth="1"/>
    <col min="14590" max="14590" width="12" customWidth="1"/>
    <col min="14591" max="14591" width="14.44140625" customWidth="1"/>
    <col min="14592" max="14592" width="11.77734375" customWidth="1"/>
    <col min="14593" max="14593" width="14.109375" customWidth="1"/>
    <col min="14594" max="14594" width="13.77734375" customWidth="1"/>
    <col min="14595" max="14596" width="12.77734375" customWidth="1"/>
    <col min="14597" max="14597" width="13.5546875" customWidth="1"/>
    <col min="14598" max="14598" width="15.21875" customWidth="1"/>
    <col min="14599" max="14599" width="12.77734375" customWidth="1"/>
    <col min="14600" max="14600" width="13.77734375" customWidth="1"/>
    <col min="14601" max="14601" width="1.77734375" customWidth="1"/>
    <col min="14602" max="14602" width="13" customWidth="1"/>
    <col min="14843" max="14843" width="6" customWidth="1"/>
    <col min="14844" max="14844" width="1.44140625" customWidth="1"/>
    <col min="14845" max="14845" width="39.109375" customWidth="1"/>
    <col min="14846" max="14846" width="12" customWidth="1"/>
    <col min="14847" max="14847" width="14.44140625" customWidth="1"/>
    <col min="14848" max="14848" width="11.77734375" customWidth="1"/>
    <col min="14849" max="14849" width="14.109375" customWidth="1"/>
    <col min="14850" max="14850" width="13.77734375" customWidth="1"/>
    <col min="14851" max="14852" width="12.77734375" customWidth="1"/>
    <col min="14853" max="14853" width="13.5546875" customWidth="1"/>
    <col min="14854" max="14854" width="15.21875" customWidth="1"/>
    <col min="14855" max="14855" width="12.77734375" customWidth="1"/>
    <col min="14856" max="14856" width="13.77734375" customWidth="1"/>
    <col min="14857" max="14857" width="1.77734375" customWidth="1"/>
    <col min="14858" max="14858" width="13" customWidth="1"/>
    <col min="15099" max="15099" width="6" customWidth="1"/>
    <col min="15100" max="15100" width="1.44140625" customWidth="1"/>
    <col min="15101" max="15101" width="39.109375" customWidth="1"/>
    <col min="15102" max="15102" width="12" customWidth="1"/>
    <col min="15103" max="15103" width="14.44140625" customWidth="1"/>
    <col min="15104" max="15104" width="11.77734375" customWidth="1"/>
    <col min="15105" max="15105" width="14.109375" customWidth="1"/>
    <col min="15106" max="15106" width="13.77734375" customWidth="1"/>
    <col min="15107" max="15108" width="12.77734375" customWidth="1"/>
    <col min="15109" max="15109" width="13.5546875" customWidth="1"/>
    <col min="15110" max="15110" width="15.21875" customWidth="1"/>
    <col min="15111" max="15111" width="12.77734375" customWidth="1"/>
    <col min="15112" max="15112" width="13.77734375" customWidth="1"/>
    <col min="15113" max="15113" width="1.77734375" customWidth="1"/>
    <col min="15114" max="15114" width="13" customWidth="1"/>
    <col min="15355" max="15355" width="6" customWidth="1"/>
    <col min="15356" max="15356" width="1.44140625" customWidth="1"/>
    <col min="15357" max="15357" width="39.109375" customWidth="1"/>
    <col min="15358" max="15358" width="12" customWidth="1"/>
    <col min="15359" max="15359" width="14.44140625" customWidth="1"/>
    <col min="15360" max="15360" width="11.77734375" customWidth="1"/>
    <col min="15361" max="15361" width="14.109375" customWidth="1"/>
    <col min="15362" max="15362" width="13.77734375" customWidth="1"/>
    <col min="15363" max="15364" width="12.77734375" customWidth="1"/>
    <col min="15365" max="15365" width="13.5546875" customWidth="1"/>
    <col min="15366" max="15366" width="15.21875" customWidth="1"/>
    <col min="15367" max="15367" width="12.77734375" customWidth="1"/>
    <col min="15368" max="15368" width="13.77734375" customWidth="1"/>
    <col min="15369" max="15369" width="1.77734375" customWidth="1"/>
    <col min="15370" max="15370" width="13" customWidth="1"/>
    <col min="15611" max="15611" width="6" customWidth="1"/>
    <col min="15612" max="15612" width="1.44140625" customWidth="1"/>
    <col min="15613" max="15613" width="39.109375" customWidth="1"/>
    <col min="15614" max="15614" width="12" customWidth="1"/>
    <col min="15615" max="15615" width="14.44140625" customWidth="1"/>
    <col min="15616" max="15616" width="11.77734375" customWidth="1"/>
    <col min="15617" max="15617" width="14.109375" customWidth="1"/>
    <col min="15618" max="15618" width="13.77734375" customWidth="1"/>
    <col min="15619" max="15620" width="12.77734375" customWidth="1"/>
    <col min="15621" max="15621" width="13.5546875" customWidth="1"/>
    <col min="15622" max="15622" width="15.21875" customWidth="1"/>
    <col min="15623" max="15623" width="12.77734375" customWidth="1"/>
    <col min="15624" max="15624" width="13.77734375" customWidth="1"/>
    <col min="15625" max="15625" width="1.77734375" customWidth="1"/>
    <col min="15626" max="15626" width="13" customWidth="1"/>
    <col min="15867" max="15867" width="6" customWidth="1"/>
    <col min="15868" max="15868" width="1.44140625" customWidth="1"/>
    <col min="15869" max="15869" width="39.109375" customWidth="1"/>
    <col min="15870" max="15870" width="12" customWidth="1"/>
    <col min="15871" max="15871" width="14.44140625" customWidth="1"/>
    <col min="15872" max="15872" width="11.77734375" customWidth="1"/>
    <col min="15873" max="15873" width="14.109375" customWidth="1"/>
    <col min="15874" max="15874" width="13.77734375" customWidth="1"/>
    <col min="15875" max="15876" width="12.77734375" customWidth="1"/>
    <col min="15877" max="15877" width="13.5546875" customWidth="1"/>
    <col min="15878" max="15878" width="15.21875" customWidth="1"/>
    <col min="15879" max="15879" width="12.77734375" customWidth="1"/>
    <col min="15880" max="15880" width="13.77734375" customWidth="1"/>
    <col min="15881" max="15881" width="1.77734375" customWidth="1"/>
    <col min="15882" max="15882" width="13" customWidth="1"/>
    <col min="16123" max="16123" width="6" customWidth="1"/>
    <col min="16124" max="16124" width="1.44140625" customWidth="1"/>
    <col min="16125" max="16125" width="39.109375" customWidth="1"/>
    <col min="16126" max="16126" width="12" customWidth="1"/>
    <col min="16127" max="16127" width="14.44140625" customWidth="1"/>
    <col min="16128" max="16128" width="11.77734375" customWidth="1"/>
    <col min="16129" max="16129" width="14.109375" customWidth="1"/>
    <col min="16130" max="16130" width="13.77734375" customWidth="1"/>
    <col min="16131" max="16132" width="12.77734375" customWidth="1"/>
    <col min="16133" max="16133" width="13.5546875" customWidth="1"/>
    <col min="16134" max="16134" width="15.21875" customWidth="1"/>
    <col min="16135" max="16135" width="12.77734375" customWidth="1"/>
    <col min="16136" max="16136" width="13.77734375" customWidth="1"/>
    <col min="16137" max="16137" width="1.77734375" customWidth="1"/>
    <col min="16138" max="16138" width="13" customWidth="1"/>
    <col min="16379" max="16384" width="8.77734375" customWidth="1"/>
  </cols>
  <sheetData>
    <row r="1" spans="1:16">
      <c r="I1" s="50" t="s">
        <v>296</v>
      </c>
      <c r="P1" s="278"/>
    </row>
    <row r="2" spans="1:16">
      <c r="I2" s="50" t="s">
        <v>294</v>
      </c>
      <c r="M2" s="785"/>
      <c r="N2" s="785"/>
    </row>
    <row r="3" spans="1:16">
      <c r="I3" s="50" t="s">
        <v>192</v>
      </c>
    </row>
    <row r="4" spans="1:16">
      <c r="I4" s="61" t="str">
        <f>"For the 12 months ended: "&amp;TEXT(INPUT!B1,"mm/dd/yyyy")</f>
        <v>For the 12 months ended: 12/31/2021</v>
      </c>
    </row>
    <row r="5" spans="1:16">
      <c r="C5" s="24"/>
    </row>
    <row r="6" spans="1:16">
      <c r="A6" s="144" t="s">
        <v>255</v>
      </c>
      <c r="B6" s="174"/>
      <c r="C6" s="174"/>
      <c r="D6" s="144"/>
      <c r="E6" s="144"/>
      <c r="F6" s="144"/>
      <c r="G6" s="174"/>
      <c r="H6" s="144"/>
      <c r="I6" s="144"/>
      <c r="K6" s="85"/>
      <c r="L6" s="84"/>
    </row>
    <row r="7" spans="1:16">
      <c r="A7" s="145" t="s">
        <v>297</v>
      </c>
      <c r="B7" s="174"/>
      <c r="C7" s="174"/>
      <c r="D7" s="144"/>
      <c r="E7" s="144"/>
      <c r="F7" s="144"/>
      <c r="G7" s="174"/>
      <c r="H7" s="144"/>
      <c r="I7" s="144"/>
      <c r="K7" s="85"/>
      <c r="L7" s="84"/>
    </row>
    <row r="8" spans="1:16">
      <c r="A8" s="146"/>
      <c r="B8" s="174"/>
      <c r="C8" s="174"/>
      <c r="D8" s="146"/>
      <c r="E8" s="146"/>
      <c r="F8" s="146"/>
      <c r="G8" s="174"/>
      <c r="H8" s="146"/>
      <c r="I8" s="146"/>
      <c r="K8" s="85"/>
      <c r="L8" s="84"/>
    </row>
    <row r="9" spans="1:16">
      <c r="A9" s="258" t="str">
        <f>DEK!A11</f>
        <v>DUKE ENERGY KENTUCKY (DEK)</v>
      </c>
      <c r="B9" s="174"/>
      <c r="C9" s="174"/>
      <c r="D9" s="146"/>
      <c r="E9" s="146"/>
      <c r="F9" s="146"/>
      <c r="G9" s="174"/>
      <c r="H9" s="177"/>
      <c r="I9" s="146"/>
      <c r="K9" s="85"/>
      <c r="L9" s="84"/>
    </row>
    <row r="10" spans="1:16">
      <c r="A10" s="176" t="s">
        <v>597</v>
      </c>
      <c r="B10" s="174"/>
      <c r="C10" s="146"/>
      <c r="D10" s="146"/>
      <c r="E10" s="146"/>
      <c r="F10" s="146"/>
      <c r="G10" s="174"/>
      <c r="H10" s="177"/>
      <c r="I10" s="146"/>
      <c r="K10" s="85"/>
      <c r="L10" s="84"/>
    </row>
    <row r="11" spans="1:16">
      <c r="A11" s="250"/>
      <c r="B11" s="174"/>
      <c r="C11" s="146"/>
      <c r="D11" s="146"/>
      <c r="E11" s="146"/>
      <c r="F11" s="146"/>
      <c r="G11" s="177"/>
      <c r="H11" s="146"/>
      <c r="I11" s="146"/>
      <c r="K11" s="85"/>
      <c r="L11" s="84"/>
    </row>
    <row r="12" spans="1:16">
      <c r="A12" s="146" t="s">
        <v>785</v>
      </c>
      <c r="B12" s="174"/>
      <c r="C12" s="174"/>
      <c r="D12" s="146"/>
      <c r="E12" s="146"/>
      <c r="F12" s="146"/>
      <c r="G12" s="177"/>
      <c r="H12" s="146"/>
      <c r="I12" s="146"/>
      <c r="K12" s="85"/>
      <c r="L12" s="84"/>
    </row>
    <row r="13" spans="1:16">
      <c r="A13" s="86"/>
      <c r="C13" s="1"/>
      <c r="D13" s="1"/>
      <c r="E13" s="1"/>
      <c r="F13" s="1"/>
      <c r="G13" s="17"/>
      <c r="K13" s="84"/>
      <c r="L13" s="84"/>
    </row>
    <row r="14" spans="1:16">
      <c r="A14" s="86"/>
      <c r="C14" s="1"/>
      <c r="D14" s="1"/>
      <c r="E14" s="1"/>
      <c r="F14" s="1"/>
      <c r="G14" s="1"/>
      <c r="K14" s="84"/>
      <c r="L14" s="84"/>
    </row>
    <row r="15" spans="1:16">
      <c r="C15" s="3" t="s">
        <v>18</v>
      </c>
      <c r="D15" s="3"/>
      <c r="E15" s="3" t="s">
        <v>19</v>
      </c>
      <c r="F15" s="3"/>
      <c r="G15" s="3" t="s">
        <v>20</v>
      </c>
      <c r="I15" s="5" t="s">
        <v>21</v>
      </c>
      <c r="K15" s="87"/>
      <c r="L15" s="84"/>
    </row>
    <row r="16" spans="1:16">
      <c r="C16" s="1"/>
      <c r="D16" s="1"/>
      <c r="K16" s="89"/>
      <c r="L16" s="84"/>
    </row>
    <row r="17" spans="1:12">
      <c r="A17" s="26" t="s">
        <v>8</v>
      </c>
      <c r="C17" s="1"/>
      <c r="D17" s="1"/>
      <c r="E17" s="4" t="s">
        <v>296</v>
      </c>
      <c r="F17" s="4"/>
      <c r="G17" s="2"/>
      <c r="K17" s="89"/>
      <c r="L17" s="84"/>
    </row>
    <row r="18" spans="1:12">
      <c r="A18" s="180" t="s">
        <v>10</v>
      </c>
      <c r="B18" s="249"/>
      <c r="C18" s="184"/>
      <c r="D18" s="184"/>
      <c r="E18" s="238" t="s">
        <v>25</v>
      </c>
      <c r="F18" s="238"/>
      <c r="G18" s="180" t="s">
        <v>24</v>
      </c>
      <c r="H18" s="249"/>
      <c r="I18" s="180" t="s">
        <v>13</v>
      </c>
      <c r="K18" s="87"/>
      <c r="L18" s="84"/>
    </row>
    <row r="19" spans="1:12" ht="15.75">
      <c r="A19" s="90"/>
      <c r="C19" s="1" t="s">
        <v>335</v>
      </c>
      <c r="D19" s="1"/>
      <c r="E19" s="4"/>
      <c r="F19" s="2"/>
      <c r="G19" s="2"/>
      <c r="I19" s="2"/>
      <c r="K19" s="87"/>
      <c r="L19" s="84"/>
    </row>
    <row r="20" spans="1:12">
      <c r="A20" s="91">
        <v>1</v>
      </c>
      <c r="C20" s="1" t="s">
        <v>212</v>
      </c>
      <c r="D20" s="1"/>
      <c r="E20" s="4" t="str">
        <f>'Appx C - DEO(MTEP) Pg1'!E20</f>
        <v>Att. H-22A, p 2, line 2, col 5 (Note A)</v>
      </c>
      <c r="F20" s="4"/>
      <c r="G20" s="92">
        <f>DEK!J54</f>
        <v>78920247</v>
      </c>
      <c r="K20" s="87"/>
      <c r="L20" s="84"/>
    </row>
    <row r="21" spans="1:12">
      <c r="A21" s="91">
        <v>2</v>
      </c>
      <c r="C21" s="1" t="s">
        <v>213</v>
      </c>
      <c r="D21" s="1"/>
      <c r="E21" s="4" t="str">
        <f>'Appx C - DEO(MTEP) Pg1'!E21</f>
        <v>Att. H-22A, p 2, line 14, col 5 (Note B)</v>
      </c>
      <c r="F21" s="4"/>
      <c r="G21" s="92">
        <f>DEK!J70</f>
        <v>70381724</v>
      </c>
      <c r="K21" s="87"/>
      <c r="L21" s="84"/>
    </row>
    <row r="22" spans="1:12">
      <c r="A22" s="91"/>
      <c r="E22" s="4"/>
      <c r="F22" s="4"/>
      <c r="K22" s="87"/>
      <c r="L22" s="84"/>
    </row>
    <row r="23" spans="1:12">
      <c r="A23" s="91"/>
      <c r="C23" s="1" t="s">
        <v>193</v>
      </c>
      <c r="D23" s="1"/>
      <c r="E23" s="4"/>
      <c r="F23" s="4"/>
      <c r="G23" s="2"/>
      <c r="I23" s="2"/>
      <c r="K23" s="87"/>
      <c r="L23" s="84"/>
    </row>
    <row r="24" spans="1:12">
      <c r="A24" s="91">
        <v>3</v>
      </c>
      <c r="C24" s="1" t="s">
        <v>214</v>
      </c>
      <c r="D24" s="1"/>
      <c r="E24" s="4" t="str">
        <f>'Appx C - DEO(MTEP) Pg1'!E24</f>
        <v>Att. H-22A, p 3, line 8, col 5</v>
      </c>
      <c r="F24" s="4"/>
      <c r="G24" s="92">
        <f>DEK!J127</f>
        <v>1849327</v>
      </c>
      <c r="K24" s="87"/>
      <c r="L24" s="84"/>
    </row>
    <row r="25" spans="1:12">
      <c r="A25" s="91">
        <v>4</v>
      </c>
      <c r="C25" s="1" t="s">
        <v>215</v>
      </c>
      <c r="D25" s="1"/>
      <c r="E25" s="4" t="str">
        <f>'Appx C - DEO(MTEP) Pg1'!E25</f>
        <v>(line 3 divided by line 1, col 3)</v>
      </c>
      <c r="F25" s="4"/>
      <c r="G25" s="93">
        <f>ROUND(IF(G24=0,0,G24/G20),4)</f>
        <v>2.3400000000000001E-2</v>
      </c>
      <c r="I25" s="94">
        <f>G25</f>
        <v>2.3400000000000001E-2</v>
      </c>
      <c r="K25" s="87"/>
      <c r="L25" s="84"/>
    </row>
    <row r="26" spans="1:12">
      <c r="A26" s="91"/>
      <c r="E26" s="4"/>
      <c r="F26" s="4"/>
      <c r="K26" s="87"/>
      <c r="L26" s="84"/>
    </row>
    <row r="27" spans="1:12" ht="30">
      <c r="A27" s="91"/>
      <c r="C27" s="381" t="s">
        <v>569</v>
      </c>
      <c r="D27" s="1"/>
      <c r="E27" s="67"/>
      <c r="F27" s="4"/>
      <c r="K27" s="87"/>
      <c r="L27" s="84"/>
    </row>
    <row r="28" spans="1:12">
      <c r="A28" s="97" t="s">
        <v>216</v>
      </c>
      <c r="C28" s="1" t="s">
        <v>570</v>
      </c>
      <c r="D28" s="1"/>
      <c r="E28" s="4" t="str">
        <f>'Appx C - DEO(MTEP) Pg1'!E28</f>
        <v>Att. H-22A, p 3, lines 10 &amp; 11, col 5 (Note H)</v>
      </c>
      <c r="F28" s="4"/>
      <c r="G28" s="92">
        <f>DEK!J131+DEK!J132</f>
        <v>136471</v>
      </c>
      <c r="K28" s="87"/>
      <c r="L28" s="84"/>
    </row>
    <row r="29" spans="1:12" ht="30">
      <c r="A29" s="382" t="s">
        <v>217</v>
      </c>
      <c r="C29" s="381" t="s">
        <v>571</v>
      </c>
      <c r="D29" s="1"/>
      <c r="E29" s="383" t="str">
        <f>'Appx C - DEO(MTEP) Pg1'!E29</f>
        <v>(line 5 divided by line 1, col 3)</v>
      </c>
      <c r="F29" s="383"/>
      <c r="G29" s="384">
        <f>ROUND(IF(G28=0,0,G28/G20),4)</f>
        <v>1.6999999999999999E-3</v>
      </c>
      <c r="H29" s="385"/>
      <c r="I29" s="386">
        <f>G29</f>
        <v>1.6999999999999999E-3</v>
      </c>
      <c r="K29" s="87"/>
      <c r="L29" s="84"/>
    </row>
    <row r="30" spans="1:12">
      <c r="A30" s="91"/>
      <c r="E30" s="4"/>
      <c r="F30" s="4"/>
      <c r="K30" s="87"/>
      <c r="L30" s="84"/>
    </row>
    <row r="31" spans="1:12">
      <c r="A31" s="97"/>
      <c r="C31" s="1" t="s">
        <v>196</v>
      </c>
      <c r="D31" s="1"/>
      <c r="E31" s="67"/>
      <c r="F31" s="67"/>
      <c r="G31" s="2"/>
      <c r="I31" s="2"/>
      <c r="K31" s="87"/>
      <c r="L31" s="84"/>
    </row>
    <row r="32" spans="1:12">
      <c r="A32" s="97" t="s">
        <v>219</v>
      </c>
      <c r="C32" s="1" t="s">
        <v>198</v>
      </c>
      <c r="D32" s="1"/>
      <c r="E32" s="4" t="str">
        <f>'Appx C - DEO(MTEP) Pg1'!E32</f>
        <v>Att. H-22A, p 3, line 20, col 5</v>
      </c>
      <c r="F32" s="4"/>
      <c r="G32" s="92">
        <f>DEK!J144</f>
        <v>600808</v>
      </c>
      <c r="K32" s="89"/>
      <c r="L32" s="84"/>
    </row>
    <row r="33" spans="1:12">
      <c r="A33" s="97" t="s">
        <v>221</v>
      </c>
      <c r="C33" s="1" t="s">
        <v>218</v>
      </c>
      <c r="D33" s="1"/>
      <c r="E33" s="4" t="str">
        <f>'Appx C - DEO(MTEP) Pg1'!E33</f>
        <v>(line 7 divided by line 1, col 3)</v>
      </c>
      <c r="F33" s="4"/>
      <c r="G33" s="93">
        <f>ROUND(IF(G32=0,0,G32/G20),4)</f>
        <v>7.6E-3</v>
      </c>
      <c r="I33" s="94">
        <f>G33</f>
        <v>7.6E-3</v>
      </c>
      <c r="K33" s="89"/>
      <c r="L33" s="84"/>
    </row>
    <row r="34" spans="1:12">
      <c r="A34" s="97"/>
      <c r="C34" s="1"/>
      <c r="D34" s="1"/>
      <c r="E34" s="4"/>
      <c r="F34" s="4"/>
      <c r="G34" s="2"/>
      <c r="I34" s="2"/>
      <c r="K34" s="87"/>
      <c r="L34" s="84"/>
    </row>
    <row r="35" spans="1:12" ht="15.75">
      <c r="A35" s="98" t="s">
        <v>194</v>
      </c>
      <c r="B35" s="99"/>
      <c r="C35" s="10" t="s">
        <v>220</v>
      </c>
      <c r="D35" s="10"/>
      <c r="E35" s="88" t="s">
        <v>402</v>
      </c>
      <c r="F35" s="88"/>
      <c r="G35" s="100"/>
      <c r="I35" s="101">
        <f>I25+I29+I33</f>
        <v>3.27E-2</v>
      </c>
      <c r="K35" s="87"/>
      <c r="L35" s="84"/>
    </row>
    <row r="36" spans="1:12">
      <c r="A36" s="229"/>
      <c r="C36" s="1"/>
      <c r="D36" s="1"/>
      <c r="E36" s="4"/>
      <c r="F36" s="4"/>
      <c r="G36" s="2"/>
      <c r="I36" s="2"/>
      <c r="K36" s="87"/>
      <c r="L36" s="84"/>
    </row>
    <row r="37" spans="1:12">
      <c r="A37" s="97"/>
      <c r="B37" s="102"/>
      <c r="C37" s="2" t="s">
        <v>200</v>
      </c>
      <c r="D37" s="2"/>
      <c r="E37" s="4"/>
      <c r="F37" s="4"/>
      <c r="G37" s="2"/>
      <c r="I37" s="2"/>
      <c r="K37" s="89"/>
      <c r="L37" s="87" t="s">
        <v>7</v>
      </c>
    </row>
    <row r="38" spans="1:12">
      <c r="A38" s="97" t="s">
        <v>195</v>
      </c>
      <c r="B38" s="102"/>
      <c r="C38" s="2" t="s">
        <v>125</v>
      </c>
      <c r="D38" s="2"/>
      <c r="E38" s="4" t="str">
        <f>'Appx C - DEO(MTEP) Pg1'!E38</f>
        <v>Att. H-22A, p 3, line 29, col 5</v>
      </c>
      <c r="F38" s="4"/>
      <c r="G38" s="92">
        <f>DEK!J161</f>
        <v>846102</v>
      </c>
      <c r="I38" s="2"/>
      <c r="K38" s="89"/>
      <c r="L38" s="87"/>
    </row>
    <row r="39" spans="1:12">
      <c r="A39" s="97" t="s">
        <v>197</v>
      </c>
      <c r="B39" s="102"/>
      <c r="C39" s="2" t="s">
        <v>222</v>
      </c>
      <c r="D39" s="2"/>
      <c r="E39" s="4" t="str">
        <f>'Appx C - DEO(MTEP) Pg1'!E39</f>
        <v>(line 10 divided by line 2, col 3)</v>
      </c>
      <c r="F39" s="4"/>
      <c r="G39" s="93">
        <f>ROUND(IF(G38=0,0,G38/G21),4)</f>
        <v>1.2E-2</v>
      </c>
      <c r="I39" s="94">
        <f>G39</f>
        <v>1.2E-2</v>
      </c>
      <c r="K39" s="89"/>
      <c r="L39" s="87"/>
    </row>
    <row r="40" spans="1:12">
      <c r="A40" s="97"/>
      <c r="C40" s="2"/>
      <c r="D40" s="2"/>
      <c r="E40" s="4"/>
      <c r="F40" s="4"/>
      <c r="G40" s="2"/>
      <c r="I40" s="2"/>
      <c r="K40" s="84"/>
      <c r="L40" s="84"/>
    </row>
    <row r="41" spans="1:12">
      <c r="A41" s="97"/>
      <c r="C41" s="1" t="s">
        <v>59</v>
      </c>
      <c r="D41" s="1"/>
      <c r="E41" s="15"/>
      <c r="F41" s="15"/>
      <c r="K41" s="87"/>
      <c r="L41" s="84"/>
    </row>
    <row r="42" spans="1:12">
      <c r="A42" s="97" t="s">
        <v>199</v>
      </c>
      <c r="C42" s="1" t="s">
        <v>201</v>
      </c>
      <c r="D42" s="1"/>
      <c r="E42" s="4" t="str">
        <f>'Appx C - DEO(MTEP) Pg1'!E42</f>
        <v>Att. H-22A, p 3, line 30, col 5</v>
      </c>
      <c r="F42" s="4"/>
      <c r="G42" s="92">
        <f>DEK!J163</f>
        <v>4435772</v>
      </c>
      <c r="I42" s="2"/>
      <c r="K42" s="87"/>
      <c r="L42" s="84"/>
    </row>
    <row r="43" spans="1:12">
      <c r="A43" s="97" t="s">
        <v>260</v>
      </c>
      <c r="B43" s="102"/>
      <c r="C43" s="2" t="s">
        <v>223</v>
      </c>
      <c r="D43" s="2"/>
      <c r="E43" s="4" t="str">
        <f>'Appx C - DEO(MTEP) Pg1'!E43</f>
        <v>(line 12 divided by line 2, col 3)</v>
      </c>
      <c r="F43" s="4"/>
      <c r="G43" s="103">
        <f>ROUND(IF(G42=0,0,G42/G21),4)</f>
        <v>6.3E-2</v>
      </c>
      <c r="I43" s="94">
        <f>G43</f>
        <v>6.3E-2</v>
      </c>
      <c r="K43" s="89"/>
      <c r="L43" s="87"/>
    </row>
    <row r="44" spans="1:12">
      <c r="A44" s="97"/>
      <c r="C44" s="1"/>
      <c r="D44" s="1"/>
      <c r="E44" s="4"/>
      <c r="F44" s="4"/>
      <c r="G44" s="2"/>
      <c r="I44" s="2"/>
      <c r="K44" s="87"/>
      <c r="L44" s="84"/>
    </row>
    <row r="45" spans="1:12" ht="15.75">
      <c r="A45" s="98" t="s">
        <v>261</v>
      </c>
      <c r="B45" s="99"/>
      <c r="C45" s="10" t="s">
        <v>224</v>
      </c>
      <c r="D45" s="10"/>
      <c r="E45" s="88" t="s">
        <v>337</v>
      </c>
      <c r="F45" s="88"/>
      <c r="G45" s="100"/>
      <c r="I45" s="101">
        <f>I39+I43</f>
        <v>7.4999999999999997E-2</v>
      </c>
      <c r="K45" s="87"/>
      <c r="L45" s="84"/>
    </row>
    <row r="46" spans="1:12">
      <c r="K46" s="87"/>
      <c r="L46" s="84"/>
    </row>
    <row r="47" spans="1:12">
      <c r="A47" s="106"/>
      <c r="C47" s="97"/>
      <c r="D47" s="97"/>
      <c r="E47" s="67"/>
      <c r="F47" s="67"/>
      <c r="G47" s="2"/>
      <c r="H47" s="9"/>
      <c r="I47" s="9"/>
      <c r="J47" s="93"/>
      <c r="K47" s="91"/>
      <c r="L47" s="87"/>
    </row>
    <row r="48" spans="1:12">
      <c r="A48" s="86"/>
      <c r="C48" s="9"/>
      <c r="D48" s="9"/>
      <c r="E48" s="9"/>
      <c r="F48" s="9"/>
      <c r="G48" s="2"/>
      <c r="H48" s="9"/>
      <c r="I48" s="9"/>
      <c r="J48" s="9"/>
      <c r="K48" s="89"/>
      <c r="L48" s="87" t="s">
        <v>7</v>
      </c>
    </row>
    <row r="49" spans="11:24">
      <c r="X49" s="50" t="s">
        <v>296</v>
      </c>
    </row>
    <row r="50" spans="11:24">
      <c r="X50" s="50" t="s">
        <v>294</v>
      </c>
    </row>
    <row r="51" spans="11:24">
      <c r="X51" s="107" t="s">
        <v>202</v>
      </c>
    </row>
    <row r="52" spans="11:24">
      <c r="K52" s="86"/>
      <c r="M52" s="9"/>
      <c r="N52" s="9"/>
      <c r="O52" s="9"/>
      <c r="P52" s="9"/>
      <c r="Q52" s="2"/>
      <c r="R52" s="9"/>
      <c r="S52" s="9"/>
      <c r="T52" s="9"/>
      <c r="U52" s="9"/>
      <c r="W52" s="2"/>
      <c r="X52" s="107" t="str">
        <f>I4</f>
        <v>For the 12 months ended: 12/31/2021</v>
      </c>
    </row>
    <row r="53" spans="11:24">
      <c r="K53" s="86"/>
      <c r="M53" s="1"/>
      <c r="N53" s="9"/>
      <c r="O53" s="9"/>
      <c r="P53" s="9"/>
      <c r="Q53" s="2"/>
      <c r="R53" s="9"/>
      <c r="S53" s="9"/>
      <c r="T53" s="9"/>
      <c r="U53" s="9"/>
      <c r="W53" s="2"/>
    </row>
    <row r="54" spans="11:24">
      <c r="K54" s="70" t="str">
        <f>A6</f>
        <v>Rate Formula Template</v>
      </c>
      <c r="L54" s="174"/>
      <c r="M54" s="174"/>
      <c r="N54" s="146"/>
      <c r="O54" s="70"/>
      <c r="P54" s="70"/>
      <c r="Q54" s="174"/>
      <c r="R54" s="70"/>
      <c r="S54" s="70"/>
      <c r="T54" s="70"/>
      <c r="U54" s="70"/>
      <c r="V54" s="174"/>
      <c r="W54" s="145"/>
      <c r="X54" s="174"/>
    </row>
    <row r="55" spans="11:24">
      <c r="K55" s="70" t="str">
        <f>A7</f>
        <v>Utilizing Attachment H-22A Data</v>
      </c>
      <c r="L55" s="174"/>
      <c r="M55" s="146"/>
      <c r="N55" s="146"/>
      <c r="O55" s="70"/>
      <c r="P55" s="70"/>
      <c r="Q55" s="174"/>
      <c r="R55" s="70"/>
      <c r="S55" s="70"/>
      <c r="T55" s="70"/>
      <c r="U55" s="70"/>
      <c r="V55" s="145"/>
      <c r="W55" s="145"/>
      <c r="X55" s="174"/>
    </row>
    <row r="56" spans="11:24" ht="14.25" customHeight="1">
      <c r="K56" s="173"/>
      <c r="M56" s="9"/>
      <c r="N56" s="9"/>
      <c r="O56" s="9"/>
      <c r="P56" s="9"/>
      <c r="R56" s="70"/>
      <c r="S56" s="9"/>
      <c r="T56" s="9"/>
      <c r="U56" s="9"/>
      <c r="W56" s="2"/>
      <c r="X56" s="9"/>
    </row>
    <row r="57" spans="11:24">
      <c r="K57" s="70" t="str">
        <f>A9</f>
        <v>DUKE ENERGY KENTUCKY (DEK)</v>
      </c>
      <c r="L57" s="174"/>
      <c r="M57" s="174"/>
      <c r="N57" s="174"/>
      <c r="O57" s="70"/>
      <c r="P57" s="70"/>
      <c r="Q57" s="174"/>
      <c r="R57" s="70"/>
      <c r="S57" s="70"/>
      <c r="T57" s="70"/>
      <c r="U57" s="70"/>
      <c r="V57" s="70"/>
      <c r="W57" s="145"/>
      <c r="X57" s="145"/>
    </row>
    <row r="58" spans="11:24">
      <c r="K58" s="70" t="str">
        <f>A10</f>
        <v>MTEP - Transmission Enhancement Charges</v>
      </c>
      <c r="L58" s="174"/>
      <c r="M58" s="174"/>
      <c r="N58" s="174"/>
      <c r="O58" s="146"/>
      <c r="P58" s="146"/>
      <c r="Q58" s="146"/>
      <c r="R58" s="146"/>
      <c r="S58" s="146"/>
      <c r="T58" s="146"/>
      <c r="U58" s="146"/>
      <c r="V58" s="146"/>
      <c r="W58" s="146"/>
      <c r="X58" s="146"/>
    </row>
    <row r="59" spans="11:24">
      <c r="K59" s="86"/>
      <c r="O59" s="1"/>
      <c r="P59" s="1"/>
      <c r="Q59" s="1"/>
      <c r="R59" s="1"/>
      <c r="S59" s="1"/>
      <c r="T59" s="1"/>
      <c r="U59" s="1"/>
      <c r="V59" s="1"/>
      <c r="W59" s="1"/>
      <c r="X59" s="1"/>
    </row>
    <row r="60" spans="11:24" ht="15.75">
      <c r="K60" s="175" t="s">
        <v>269</v>
      </c>
      <c r="L60" s="174"/>
      <c r="M60" s="70"/>
      <c r="N60" s="70"/>
      <c r="O60" s="174"/>
      <c r="P60" s="175"/>
      <c r="Q60" s="174"/>
      <c r="R60" s="146"/>
      <c r="S60" s="146"/>
      <c r="T60" s="146"/>
      <c r="U60" s="146"/>
      <c r="V60" s="146"/>
      <c r="W60" s="145"/>
      <c r="X60" s="145"/>
    </row>
    <row r="61" spans="11:24" ht="15.75">
      <c r="K61" s="86"/>
      <c r="M61" s="9"/>
      <c r="N61" s="9"/>
      <c r="O61" s="10"/>
      <c r="P61" s="10"/>
      <c r="R61" s="1"/>
      <c r="S61" s="1"/>
      <c r="T61" s="1"/>
      <c r="U61" s="1"/>
      <c r="V61" s="1"/>
      <c r="W61" s="2"/>
      <c r="X61" s="2"/>
    </row>
    <row r="62" spans="11:24" ht="15.75">
      <c r="K62" s="86"/>
      <c r="M62" s="108">
        <v>-1</v>
      </c>
      <c r="N62" s="108">
        <v>-2</v>
      </c>
      <c r="O62" s="108">
        <v>-3</v>
      </c>
      <c r="P62" s="108">
        <v>-4</v>
      </c>
      <c r="Q62" s="108">
        <v>-5</v>
      </c>
      <c r="R62" s="108">
        <v>-6</v>
      </c>
      <c r="S62" s="108">
        <v>-7</v>
      </c>
      <c r="T62" s="108">
        <v>-8</v>
      </c>
      <c r="U62" s="108">
        <v>-9</v>
      </c>
      <c r="V62" s="108">
        <v>-10</v>
      </c>
      <c r="W62" s="108">
        <v>-11</v>
      </c>
      <c r="X62" s="108">
        <v>-12</v>
      </c>
    </row>
    <row r="63" spans="11:24" ht="63">
      <c r="K63" s="109" t="s">
        <v>225</v>
      </c>
      <c r="L63" s="110"/>
      <c r="M63" s="110" t="s">
        <v>206</v>
      </c>
      <c r="N63" s="111" t="s">
        <v>226</v>
      </c>
      <c r="O63" s="112" t="s">
        <v>227</v>
      </c>
      <c r="P63" s="112" t="s">
        <v>220</v>
      </c>
      <c r="Q63" s="113" t="s">
        <v>228</v>
      </c>
      <c r="R63" s="112" t="s">
        <v>229</v>
      </c>
      <c r="S63" s="112" t="s">
        <v>224</v>
      </c>
      <c r="T63" s="113" t="s">
        <v>230</v>
      </c>
      <c r="U63" s="112" t="s">
        <v>231</v>
      </c>
      <c r="V63" s="114" t="s">
        <v>232</v>
      </c>
      <c r="W63" s="115" t="s">
        <v>233</v>
      </c>
      <c r="X63" s="114" t="s">
        <v>234</v>
      </c>
    </row>
    <row r="64" spans="11:24" ht="46.5" customHeight="1">
      <c r="K64" s="116"/>
      <c r="L64" s="117"/>
      <c r="M64" s="117"/>
      <c r="N64" s="117"/>
      <c r="O64" s="118" t="s">
        <v>16</v>
      </c>
      <c r="P64" s="118" t="s">
        <v>694</v>
      </c>
      <c r="Q64" s="119" t="s">
        <v>235</v>
      </c>
      <c r="R64" s="118" t="s">
        <v>17</v>
      </c>
      <c r="S64" s="118" t="s">
        <v>695</v>
      </c>
      <c r="T64" s="119" t="s">
        <v>236</v>
      </c>
      <c r="U64" s="118" t="s">
        <v>237</v>
      </c>
      <c r="V64" s="119" t="s">
        <v>238</v>
      </c>
      <c r="W64" s="120" t="s">
        <v>203</v>
      </c>
      <c r="X64" s="121" t="s">
        <v>239</v>
      </c>
    </row>
    <row r="65" spans="11:24">
      <c r="K65" s="122"/>
      <c r="L65" s="1"/>
      <c r="M65" s="1"/>
      <c r="N65" s="1"/>
      <c r="O65" s="1"/>
      <c r="P65" s="1"/>
      <c r="Q65" s="123"/>
      <c r="R65" s="1"/>
      <c r="S65" s="1"/>
      <c r="T65" s="123"/>
      <c r="U65" s="1"/>
      <c r="V65" s="123"/>
      <c r="W65" s="2"/>
      <c r="X65" s="124"/>
    </row>
    <row r="66" spans="11:24">
      <c r="K66" s="610" t="s">
        <v>1</v>
      </c>
      <c r="L66" s="255"/>
      <c r="M66" s="255" t="s">
        <v>240</v>
      </c>
      <c r="N66" s="608" t="s">
        <v>241</v>
      </c>
      <c r="O66" s="160">
        <v>0</v>
      </c>
      <c r="P66" s="94">
        <f>$I$35</f>
        <v>3.27E-2</v>
      </c>
      <c r="Q66" s="565">
        <f>ROUND(O66*P66,0)</f>
        <v>0</v>
      </c>
      <c r="R66" s="126">
        <v>0</v>
      </c>
      <c r="S66" s="94">
        <f>$I$45</f>
        <v>7.4999999999999997E-2</v>
      </c>
      <c r="T66" s="565">
        <f>ROUND(R66*S66,0)</f>
        <v>0</v>
      </c>
      <c r="U66" s="566">
        <v>0</v>
      </c>
      <c r="V66" s="565">
        <f>Q66+T66+U66</f>
        <v>0</v>
      </c>
      <c r="W66" s="128">
        <v>0</v>
      </c>
      <c r="X66" s="565">
        <f>V66+W66</f>
        <v>0</v>
      </c>
    </row>
    <row r="67" spans="11:24">
      <c r="K67" s="610" t="s">
        <v>242</v>
      </c>
      <c r="L67" s="255"/>
      <c r="M67" s="255" t="s">
        <v>243</v>
      </c>
      <c r="N67" s="608" t="s">
        <v>244</v>
      </c>
      <c r="O67" s="160">
        <v>0</v>
      </c>
      <c r="P67" s="94">
        <f>$I$35</f>
        <v>3.27E-2</v>
      </c>
      <c r="Q67" s="565">
        <f t="shared" ref="Q67:Q68" si="0">ROUND(O67*P67,0)</f>
        <v>0</v>
      </c>
      <c r="R67" s="126">
        <v>0</v>
      </c>
      <c r="S67" s="94">
        <f>$I$45</f>
        <v>7.4999999999999997E-2</v>
      </c>
      <c r="T67" s="565">
        <f t="shared" ref="T67:T68" si="1">ROUND(R67*S67,0)</f>
        <v>0</v>
      </c>
      <c r="U67" s="566">
        <v>0</v>
      </c>
      <c r="V67" s="565">
        <f>Q67+T67+U67</f>
        <v>0</v>
      </c>
      <c r="W67" s="128">
        <v>0</v>
      </c>
      <c r="X67" s="565">
        <f>V67+W67</f>
        <v>0</v>
      </c>
    </row>
    <row r="68" spans="11:24">
      <c r="K68" s="611" t="s">
        <v>245</v>
      </c>
      <c r="L68" s="255"/>
      <c r="M68" s="255" t="s">
        <v>246</v>
      </c>
      <c r="N68" s="608" t="s">
        <v>247</v>
      </c>
      <c r="O68" s="160">
        <v>0</v>
      </c>
      <c r="P68" s="94">
        <f>$I$35</f>
        <v>3.27E-2</v>
      </c>
      <c r="Q68" s="565">
        <f t="shared" si="0"/>
        <v>0</v>
      </c>
      <c r="R68" s="126">
        <v>0</v>
      </c>
      <c r="S68" s="94">
        <f>$I$45</f>
        <v>7.4999999999999997E-2</v>
      </c>
      <c r="T68" s="565">
        <f t="shared" si="1"/>
        <v>0</v>
      </c>
      <c r="U68" s="566">
        <v>0</v>
      </c>
      <c r="V68" s="565">
        <f>Q68+T68+U68</f>
        <v>0</v>
      </c>
      <c r="W68" s="126">
        <v>0</v>
      </c>
      <c r="X68" s="565">
        <f>V68+W68</f>
        <v>0</v>
      </c>
    </row>
    <row r="69" spans="11:24">
      <c r="K69" s="125"/>
      <c r="Q69" s="127"/>
      <c r="T69" s="127"/>
      <c r="V69" s="127"/>
      <c r="X69" s="127"/>
    </row>
    <row r="70" spans="11:24">
      <c r="K70" s="125"/>
      <c r="Q70" s="127"/>
      <c r="T70" s="127"/>
      <c r="V70" s="127"/>
      <c r="X70" s="127"/>
    </row>
    <row r="71" spans="11:24">
      <c r="K71" s="125"/>
      <c r="Q71" s="127"/>
      <c r="T71" s="127"/>
      <c r="V71" s="127"/>
      <c r="X71" s="127"/>
    </row>
    <row r="72" spans="11:24">
      <c r="K72" s="125"/>
      <c r="Q72" s="127"/>
      <c r="T72" s="127"/>
      <c r="V72" s="127"/>
      <c r="X72" s="127"/>
    </row>
    <row r="73" spans="11:24">
      <c r="K73" s="125"/>
      <c r="Q73" s="127"/>
      <c r="T73" s="127"/>
      <c r="V73" s="127"/>
      <c r="X73" s="127"/>
    </row>
    <row r="74" spans="11:24">
      <c r="K74" s="125"/>
      <c r="M74" s="129"/>
      <c r="N74" s="129"/>
      <c r="O74" s="129"/>
      <c r="P74" s="129"/>
      <c r="Q74" s="130"/>
      <c r="R74" s="129"/>
      <c r="S74" s="129"/>
      <c r="T74" s="130"/>
      <c r="U74" s="129"/>
      <c r="V74" s="130"/>
      <c r="W74" s="129"/>
      <c r="X74" s="130"/>
    </row>
    <row r="75" spans="11:24">
      <c r="K75" s="125"/>
      <c r="M75" s="129"/>
      <c r="N75" s="129"/>
      <c r="O75" s="129"/>
      <c r="P75" s="129"/>
      <c r="Q75" s="130"/>
      <c r="R75" s="129"/>
      <c r="S75" s="129"/>
      <c r="T75" s="130"/>
      <c r="U75" s="129"/>
      <c r="V75" s="130"/>
      <c r="W75" s="129"/>
      <c r="X75" s="130"/>
    </row>
    <row r="76" spans="11:24">
      <c r="K76" s="125"/>
      <c r="M76" s="129"/>
      <c r="N76" s="129"/>
      <c r="O76" s="129"/>
      <c r="P76" s="129"/>
      <c r="Q76" s="130"/>
      <c r="R76" s="129"/>
      <c r="S76" s="129"/>
      <c r="T76" s="130"/>
      <c r="U76" s="129"/>
      <c r="V76" s="130"/>
      <c r="W76" s="129"/>
      <c r="X76" s="130"/>
    </row>
    <row r="77" spans="11:24">
      <c r="K77" s="125"/>
      <c r="M77" s="129"/>
      <c r="N77" s="129"/>
      <c r="O77" s="129"/>
      <c r="P77" s="129"/>
      <c r="Q77" s="130"/>
      <c r="R77" s="129"/>
      <c r="S77" s="129"/>
      <c r="T77" s="130"/>
      <c r="U77" s="129"/>
      <c r="V77" s="130"/>
      <c r="W77" s="129"/>
      <c r="X77" s="130"/>
    </row>
    <row r="78" spans="11:24">
      <c r="K78" s="125"/>
      <c r="M78" s="129"/>
      <c r="N78" s="129"/>
      <c r="O78" s="129"/>
      <c r="P78" s="129"/>
      <c r="Q78" s="130"/>
      <c r="R78" s="129"/>
      <c r="S78" s="129"/>
      <c r="T78" s="130"/>
      <c r="U78" s="129"/>
      <c r="V78" s="130"/>
      <c r="W78" s="129"/>
      <c r="X78" s="130"/>
    </row>
    <row r="79" spans="11:24">
      <c r="K79" s="125"/>
      <c r="M79" s="129"/>
      <c r="N79" s="129"/>
      <c r="O79" s="129"/>
      <c r="P79" s="129"/>
      <c r="Q79" s="130"/>
      <c r="R79" s="129"/>
      <c r="S79" s="129"/>
      <c r="T79" s="130"/>
      <c r="U79" s="129"/>
      <c r="V79" s="130"/>
      <c r="W79" s="129"/>
      <c r="X79" s="130"/>
    </row>
    <row r="80" spans="11:24">
      <c r="K80" s="125"/>
      <c r="M80" s="129"/>
      <c r="N80" s="129"/>
      <c r="O80" s="129"/>
      <c r="P80" s="129"/>
      <c r="Q80" s="130"/>
      <c r="R80" s="129"/>
      <c r="S80" s="129"/>
      <c r="T80" s="130"/>
      <c r="U80" s="129"/>
      <c r="V80" s="130"/>
      <c r="W80" s="129"/>
      <c r="X80" s="130"/>
    </row>
    <row r="81" spans="11:24">
      <c r="K81" s="125"/>
      <c r="M81" s="129"/>
      <c r="N81" s="129"/>
      <c r="O81" s="129"/>
      <c r="P81" s="129"/>
      <c r="Q81" s="130"/>
      <c r="R81" s="129"/>
      <c r="S81" s="129"/>
      <c r="T81" s="130"/>
      <c r="U81" s="129"/>
      <c r="V81" s="130"/>
      <c r="W81" s="129"/>
      <c r="X81" s="130"/>
    </row>
    <row r="82" spans="11:24">
      <c r="K82" s="125"/>
      <c r="M82" s="129"/>
      <c r="N82" s="129"/>
      <c r="O82" s="129"/>
      <c r="P82" s="129"/>
      <c r="Q82" s="130"/>
      <c r="R82" s="129"/>
      <c r="S82" s="129"/>
      <c r="T82" s="130"/>
      <c r="U82" s="129"/>
      <c r="V82" s="130"/>
      <c r="W82" s="129"/>
      <c r="X82" s="130"/>
    </row>
    <row r="83" spans="11:24">
      <c r="K83" s="125"/>
      <c r="M83" s="129"/>
      <c r="N83" s="129"/>
      <c r="O83" s="129"/>
      <c r="P83" s="129"/>
      <c r="Q83" s="130"/>
      <c r="R83" s="129"/>
      <c r="S83" s="129"/>
      <c r="T83" s="130"/>
      <c r="U83" s="129"/>
      <c r="V83" s="130"/>
      <c r="W83" s="129"/>
      <c r="X83" s="130"/>
    </row>
    <row r="84" spans="11:24">
      <c r="K84" s="125"/>
      <c r="M84" s="129"/>
      <c r="N84" s="129"/>
      <c r="O84" s="129"/>
      <c r="P84" s="129"/>
      <c r="Q84" s="130"/>
      <c r="R84" s="129"/>
      <c r="S84" s="129"/>
      <c r="T84" s="130"/>
      <c r="U84" s="129"/>
      <c r="V84" s="130"/>
      <c r="W84" s="129"/>
      <c r="X84" s="130"/>
    </row>
    <row r="85" spans="11:24">
      <c r="K85" s="131"/>
      <c r="L85" s="132"/>
      <c r="M85" s="133"/>
      <c r="N85" s="133"/>
      <c r="O85" s="133"/>
      <c r="P85" s="133"/>
      <c r="Q85" s="134"/>
      <c r="R85" s="133"/>
      <c r="S85" s="133"/>
      <c r="T85" s="134"/>
      <c r="U85" s="133"/>
      <c r="V85" s="134"/>
      <c r="W85" s="133"/>
      <c r="X85" s="134"/>
    </row>
    <row r="86" spans="11:24">
      <c r="K86" s="5" t="s">
        <v>248</v>
      </c>
      <c r="L86" s="102"/>
      <c r="M86" s="1" t="s">
        <v>249</v>
      </c>
      <c r="N86" s="1"/>
      <c r="O86" s="67"/>
      <c r="P86" s="67"/>
      <c r="Q86" s="2"/>
      <c r="R86" s="2"/>
      <c r="S86" s="2"/>
      <c r="T86" s="2"/>
      <c r="U86" s="2"/>
      <c r="V86" s="544">
        <f>SUM(V66:V85)</f>
        <v>0</v>
      </c>
      <c r="W86" s="544">
        <f>SUM(W66:W85)</f>
        <v>0</v>
      </c>
      <c r="X86" s="544">
        <f>SUM(X66:X85)</f>
        <v>0</v>
      </c>
    </row>
    <row r="87" spans="11:24">
      <c r="K87" s="52"/>
      <c r="L87" s="129"/>
      <c r="M87" s="129"/>
      <c r="N87" s="129"/>
      <c r="O87" s="129"/>
      <c r="P87" s="129"/>
      <c r="Q87" s="129"/>
      <c r="R87" s="129"/>
      <c r="S87" s="129"/>
      <c r="T87" s="129"/>
      <c r="U87" s="129"/>
      <c r="V87" s="564"/>
      <c r="W87" s="564"/>
      <c r="X87" s="564"/>
    </row>
    <row r="88" spans="11:24">
      <c r="K88" s="135">
        <v>3</v>
      </c>
      <c r="L88" s="129"/>
      <c r="M88" s="9" t="str">
        <f>'Appx C - DEOK(MTEP)'!D40</f>
        <v>MTEP Transmission Enhancement Charges</v>
      </c>
      <c r="N88" s="129"/>
      <c r="O88" s="129"/>
      <c r="P88" s="129"/>
      <c r="Q88" s="129"/>
      <c r="R88" s="129"/>
      <c r="S88" s="129"/>
      <c r="T88" s="129"/>
      <c r="U88" s="129"/>
      <c r="V88" s="544"/>
      <c r="W88" s="564"/>
      <c r="X88" s="544">
        <f>X86</f>
        <v>0</v>
      </c>
    </row>
    <row r="89" spans="11:24">
      <c r="K89" s="129"/>
      <c r="L89" s="129"/>
      <c r="M89" s="129"/>
      <c r="N89" s="129"/>
      <c r="O89" s="129"/>
      <c r="P89" s="129"/>
      <c r="Q89" s="129"/>
      <c r="R89" s="129"/>
      <c r="S89" s="129"/>
      <c r="T89" s="129"/>
      <c r="U89" s="129"/>
      <c r="V89" s="129"/>
      <c r="W89" s="129"/>
      <c r="X89" s="129"/>
    </row>
    <row r="90" spans="11:24">
      <c r="K90" s="129"/>
      <c r="L90" s="129"/>
      <c r="M90" s="129"/>
      <c r="N90" s="129"/>
      <c r="O90" s="129"/>
      <c r="P90" s="129"/>
      <c r="Q90" s="129"/>
      <c r="R90" s="129"/>
      <c r="S90" s="129"/>
      <c r="T90" s="129"/>
      <c r="U90" s="129"/>
      <c r="V90" s="129"/>
      <c r="W90" s="129"/>
      <c r="X90" s="129"/>
    </row>
    <row r="91" spans="11:24">
      <c r="K91" s="67" t="s">
        <v>94</v>
      </c>
      <c r="L91" s="129"/>
      <c r="M91" s="129"/>
      <c r="N91" s="129"/>
      <c r="O91" s="129"/>
      <c r="P91" s="129"/>
      <c r="Q91" s="129"/>
      <c r="R91" s="129"/>
      <c r="S91" s="129"/>
      <c r="T91" s="129"/>
      <c r="U91" s="129"/>
      <c r="V91" s="129"/>
      <c r="W91" s="129"/>
      <c r="X91" s="129"/>
    </row>
    <row r="92" spans="11:24" ht="15.75" thickBot="1">
      <c r="K92" s="492" t="s">
        <v>95</v>
      </c>
      <c r="L92" s="129"/>
      <c r="M92" s="129"/>
      <c r="N92" s="129"/>
      <c r="O92" s="129"/>
      <c r="P92" s="129"/>
      <c r="Q92" s="129"/>
      <c r="R92" s="129"/>
      <c r="S92" s="129"/>
      <c r="T92" s="129"/>
      <c r="U92" s="129"/>
      <c r="V92" s="129"/>
      <c r="W92" s="129"/>
      <c r="X92" s="129"/>
    </row>
    <row r="93" spans="11:24">
      <c r="K93" s="136" t="s">
        <v>96</v>
      </c>
      <c r="L93" s="66"/>
      <c r="M93" s="1033" t="s">
        <v>573</v>
      </c>
      <c r="N93" s="1034"/>
      <c r="O93" s="1034"/>
      <c r="P93" s="1034"/>
      <c r="Q93" s="1034"/>
      <c r="R93" s="1034"/>
      <c r="S93" s="1034"/>
      <c r="T93" s="1034"/>
      <c r="U93" s="1034"/>
      <c r="V93" s="1034"/>
      <c r="W93" s="1034"/>
      <c r="X93" s="1034"/>
    </row>
    <row r="94" spans="11:24">
      <c r="K94" s="136" t="s">
        <v>97</v>
      </c>
      <c r="L94" s="66"/>
      <c r="M94" s="1033" t="s">
        <v>574</v>
      </c>
      <c r="N94" s="1034"/>
      <c r="O94" s="1034"/>
      <c r="P94" s="1034"/>
      <c r="Q94" s="1034"/>
      <c r="R94" s="1034"/>
      <c r="S94" s="1034"/>
      <c r="T94" s="1034"/>
      <c r="U94" s="1034"/>
      <c r="V94" s="1034"/>
      <c r="W94" s="1034"/>
      <c r="X94" s="1034"/>
    </row>
    <row r="95" spans="11:24" ht="27.75" customHeight="1">
      <c r="K95" s="137" t="s">
        <v>98</v>
      </c>
      <c r="L95" s="66"/>
      <c r="M95" s="1035" t="s">
        <v>250</v>
      </c>
      <c r="N95" s="1035"/>
      <c r="O95" s="1035"/>
      <c r="P95" s="1035"/>
      <c r="Q95" s="1035"/>
      <c r="R95" s="1035"/>
      <c r="S95" s="1035"/>
      <c r="T95" s="1035"/>
      <c r="U95" s="1035"/>
      <c r="V95" s="1035"/>
      <c r="W95" s="1035"/>
      <c r="X95" s="1035"/>
    </row>
    <row r="96" spans="11:24" ht="15" customHeight="1">
      <c r="K96" s="137" t="s">
        <v>99</v>
      </c>
      <c r="L96" s="66"/>
      <c r="M96" s="1035" t="s">
        <v>251</v>
      </c>
      <c r="N96" s="1035"/>
      <c r="O96" s="1035"/>
      <c r="P96" s="1035"/>
      <c r="Q96" s="1035"/>
      <c r="R96" s="1035"/>
      <c r="S96" s="1035"/>
      <c r="T96" s="1035"/>
      <c r="U96" s="1035"/>
      <c r="V96" s="1035"/>
      <c r="W96" s="1035"/>
      <c r="X96" s="1035"/>
    </row>
    <row r="97" spans="11:24">
      <c r="K97" s="136" t="s">
        <v>100</v>
      </c>
      <c r="L97" s="66"/>
      <c r="M97" s="1034" t="s">
        <v>312</v>
      </c>
      <c r="N97" s="1034"/>
      <c r="O97" s="1034"/>
      <c r="P97" s="1034"/>
      <c r="Q97" s="1034"/>
      <c r="R97" s="1034"/>
      <c r="S97" s="1034"/>
      <c r="T97" s="1034"/>
      <c r="U97" s="1034"/>
      <c r="V97" s="1034"/>
      <c r="W97" s="1034"/>
      <c r="X97" s="1034"/>
    </row>
    <row r="98" spans="11:24">
      <c r="K98" s="136" t="s">
        <v>101</v>
      </c>
      <c r="L98" s="66"/>
      <c r="M98" s="1034" t="s">
        <v>252</v>
      </c>
      <c r="N98" s="1034"/>
      <c r="O98" s="1034"/>
      <c r="P98" s="1034"/>
      <c r="Q98" s="1034"/>
      <c r="R98" s="1034"/>
      <c r="S98" s="1034"/>
      <c r="T98" s="1034"/>
      <c r="U98" s="1034"/>
      <c r="V98" s="1034"/>
      <c r="W98" s="1034"/>
      <c r="X98" s="1034"/>
    </row>
    <row r="99" spans="11:24">
      <c r="K99" s="136" t="s">
        <v>102</v>
      </c>
      <c r="L99" s="66"/>
      <c r="M99" s="1034" t="s">
        <v>253</v>
      </c>
      <c r="N99" s="1034"/>
      <c r="O99" s="1034"/>
      <c r="P99" s="1034"/>
      <c r="Q99" s="1034"/>
      <c r="R99" s="1034"/>
      <c r="S99" s="1034"/>
      <c r="T99" s="1034"/>
      <c r="U99" s="1034"/>
      <c r="V99" s="1034"/>
      <c r="W99" s="1034"/>
      <c r="X99" s="1034"/>
    </row>
    <row r="100" spans="11:24">
      <c r="K100" s="248" t="s">
        <v>103</v>
      </c>
      <c r="M100" s="1033" t="s">
        <v>334</v>
      </c>
      <c r="N100" s="1033"/>
      <c r="O100" s="1033"/>
      <c r="P100" s="1033"/>
      <c r="Q100" s="1033"/>
      <c r="R100" s="1033"/>
      <c r="S100" s="1033"/>
      <c r="T100" s="1033"/>
      <c r="U100" s="1033"/>
      <c r="V100" s="1033"/>
      <c r="W100" s="1033"/>
      <c r="X100" s="1033"/>
    </row>
    <row r="101" spans="11:24" ht="15.75">
      <c r="K101" s="104"/>
      <c r="L101" s="138"/>
      <c r="M101" s="139"/>
      <c r="N101" s="97"/>
      <c r="O101" s="67"/>
      <c r="P101" s="67"/>
      <c r="Q101" s="2"/>
      <c r="R101" s="9"/>
      <c r="S101" s="9"/>
      <c r="T101" s="93"/>
      <c r="U101" s="9"/>
      <c r="W101" s="2"/>
      <c r="X101" s="105"/>
    </row>
    <row r="102" spans="11:24" ht="15.75">
      <c r="K102" s="104"/>
      <c r="L102" s="138"/>
      <c r="M102" s="139"/>
      <c r="N102" s="97"/>
      <c r="O102" s="67"/>
      <c r="P102" s="67"/>
      <c r="Q102" s="2"/>
      <c r="R102" s="9"/>
      <c r="S102" s="9"/>
      <c r="T102" s="93"/>
      <c r="U102" s="9"/>
      <c r="W102" s="2"/>
      <c r="X102" s="95"/>
    </row>
    <row r="103" spans="11:24">
      <c r="M103" s="129"/>
      <c r="N103" s="129"/>
      <c r="O103" s="129"/>
      <c r="P103" s="129"/>
      <c r="Q103" s="129"/>
      <c r="R103" s="129"/>
      <c r="S103" s="129"/>
      <c r="T103" s="129"/>
      <c r="U103" s="129"/>
      <c r="V103" s="129"/>
      <c r="W103" s="129"/>
      <c r="X103" s="129"/>
    </row>
    <row r="104" spans="11:24">
      <c r="M104" s="129"/>
      <c r="N104" s="129"/>
      <c r="O104" s="129"/>
      <c r="P104" s="129"/>
      <c r="Q104" s="129"/>
      <c r="R104" s="129"/>
      <c r="S104" s="129"/>
      <c r="T104" s="129"/>
      <c r="U104" s="129"/>
      <c r="V104" s="129"/>
      <c r="W104" s="129"/>
      <c r="X104" s="129"/>
    </row>
    <row r="105" spans="11:24">
      <c r="M105" s="129"/>
      <c r="N105" s="129"/>
      <c r="O105" s="129"/>
      <c r="P105" s="129"/>
      <c r="Q105" s="129"/>
      <c r="R105" s="129"/>
      <c r="S105" s="129"/>
      <c r="T105" s="129"/>
      <c r="U105" s="129"/>
      <c r="V105" s="129"/>
      <c r="W105" s="129"/>
      <c r="X105" s="129"/>
    </row>
    <row r="106" spans="11:24">
      <c r="M106" s="129"/>
      <c r="N106" s="129"/>
      <c r="O106" s="129"/>
      <c r="P106" s="129"/>
      <c r="Q106" s="129"/>
      <c r="R106" s="129"/>
      <c r="S106" s="129"/>
      <c r="T106" s="129"/>
      <c r="U106" s="129"/>
      <c r="V106" s="129"/>
      <c r="W106" s="129"/>
      <c r="X106" s="129"/>
    </row>
    <row r="107" spans="11:24">
      <c r="M107" s="129"/>
      <c r="N107" s="129"/>
      <c r="O107" s="129"/>
      <c r="P107" s="129"/>
      <c r="Q107" s="129"/>
      <c r="R107" s="129"/>
      <c r="S107" s="129"/>
      <c r="T107" s="129"/>
      <c r="U107" s="129"/>
      <c r="V107" s="129"/>
      <c r="W107" s="129"/>
      <c r="X107" s="129"/>
    </row>
    <row r="108" spans="11:24">
      <c r="M108" s="129"/>
      <c r="N108" s="129"/>
      <c r="O108" s="129"/>
      <c r="P108" s="129"/>
      <c r="Q108" s="129"/>
      <c r="R108" s="129"/>
      <c r="S108" s="129"/>
      <c r="T108" s="129"/>
      <c r="U108" s="129"/>
      <c r="V108" s="129"/>
      <c r="W108" s="129"/>
      <c r="X108" s="129"/>
    </row>
    <row r="109" spans="11:24">
      <c r="M109" s="129"/>
      <c r="N109" s="129"/>
      <c r="O109" s="129"/>
      <c r="P109" s="129"/>
      <c r="Q109" s="129"/>
      <c r="R109" s="129"/>
      <c r="S109" s="129"/>
      <c r="T109" s="129"/>
      <c r="U109" s="129"/>
      <c r="V109" s="129"/>
      <c r="W109" s="129"/>
      <c r="X109" s="129"/>
    </row>
    <row r="110" spans="11:24">
      <c r="M110" s="129"/>
      <c r="N110" s="129"/>
      <c r="O110" s="129"/>
      <c r="P110" s="129"/>
      <c r="Q110" s="129"/>
      <c r="R110" s="129"/>
      <c r="S110" s="129"/>
      <c r="T110" s="129"/>
      <c r="U110" s="129"/>
      <c r="V110" s="129"/>
      <c r="W110" s="129"/>
      <c r="X110" s="129"/>
    </row>
    <row r="111" spans="11:24">
      <c r="M111" s="129"/>
      <c r="N111" s="129"/>
      <c r="O111" s="129"/>
      <c r="P111" s="129"/>
      <c r="Q111" s="129"/>
      <c r="R111" s="129"/>
      <c r="S111" s="129"/>
      <c r="T111" s="129"/>
      <c r="U111" s="129"/>
      <c r="V111" s="129"/>
      <c r="W111" s="129"/>
      <c r="X111" s="129"/>
    </row>
    <row r="112" spans="11:24">
      <c r="M112" s="129"/>
      <c r="N112" s="129"/>
      <c r="O112" s="129"/>
      <c r="P112" s="129"/>
      <c r="Q112" s="129"/>
      <c r="R112" s="129"/>
      <c r="S112" s="129"/>
      <c r="T112" s="129"/>
      <c r="U112" s="129"/>
      <c r="V112" s="129"/>
      <c r="W112" s="129"/>
      <c r="X112" s="129"/>
    </row>
    <row r="113" spans="13:24">
      <c r="M113" s="129"/>
      <c r="N113" s="129"/>
      <c r="O113" s="129"/>
      <c r="P113" s="129"/>
      <c r="Q113" s="129"/>
      <c r="R113" s="129"/>
      <c r="S113" s="129"/>
      <c r="T113" s="129"/>
      <c r="U113" s="129"/>
      <c r="V113" s="129"/>
      <c r="W113" s="129"/>
      <c r="X113" s="129"/>
    </row>
    <row r="114" spans="13:24">
      <c r="M114" s="129"/>
      <c r="N114" s="129"/>
      <c r="O114" s="129"/>
      <c r="P114" s="129"/>
      <c r="Q114" s="129"/>
      <c r="R114" s="129"/>
      <c r="S114" s="129"/>
      <c r="T114" s="129"/>
      <c r="U114" s="129"/>
      <c r="V114" s="129"/>
      <c r="W114" s="129"/>
      <c r="X114" s="129"/>
    </row>
    <row r="115" spans="13:24">
      <c r="M115" s="129"/>
      <c r="N115" s="129"/>
      <c r="O115" s="129"/>
      <c r="P115" s="129"/>
      <c r="Q115" s="129"/>
      <c r="R115" s="129"/>
      <c r="S115" s="129"/>
      <c r="T115" s="129"/>
      <c r="U115" s="129"/>
      <c r="V115" s="129"/>
      <c r="W115" s="129"/>
      <c r="X115" s="129"/>
    </row>
    <row r="116" spans="13:24">
      <c r="M116" s="129"/>
      <c r="N116" s="129"/>
      <c r="O116" s="129"/>
      <c r="P116" s="129"/>
      <c r="Q116" s="129"/>
      <c r="R116" s="129"/>
      <c r="S116" s="129"/>
      <c r="T116" s="129"/>
      <c r="U116" s="129"/>
      <c r="V116" s="129"/>
      <c r="W116" s="129"/>
      <c r="X116" s="129"/>
    </row>
    <row r="117" spans="13:24">
      <c r="M117" s="129"/>
      <c r="N117" s="129"/>
      <c r="O117" s="129"/>
      <c r="P117" s="129"/>
      <c r="Q117" s="129"/>
      <c r="R117" s="129"/>
      <c r="S117" s="129"/>
      <c r="T117" s="129"/>
      <c r="U117" s="129"/>
      <c r="V117" s="129"/>
      <c r="W117" s="129"/>
      <c r="X117" s="129"/>
    </row>
    <row r="118" spans="13:24">
      <c r="M118" s="129"/>
      <c r="N118" s="129"/>
      <c r="O118" s="129"/>
      <c r="P118" s="129"/>
      <c r="Q118" s="129"/>
      <c r="R118" s="129"/>
      <c r="S118" s="129"/>
      <c r="T118" s="129"/>
      <c r="U118" s="129"/>
      <c r="V118" s="129"/>
      <c r="W118" s="129"/>
      <c r="X118" s="129"/>
    </row>
    <row r="119" spans="13:24">
      <c r="M119" s="129"/>
      <c r="N119" s="129"/>
      <c r="O119" s="129"/>
      <c r="P119" s="129"/>
      <c r="Q119" s="129"/>
      <c r="R119" s="129"/>
      <c r="S119" s="129"/>
      <c r="T119" s="129"/>
      <c r="U119" s="129"/>
      <c r="V119" s="129"/>
      <c r="W119" s="129"/>
      <c r="X119" s="129"/>
    </row>
    <row r="120" spans="13:24">
      <c r="M120" s="129"/>
      <c r="N120" s="129"/>
      <c r="O120" s="129"/>
      <c r="P120" s="129"/>
      <c r="Q120" s="129"/>
      <c r="R120" s="129"/>
      <c r="S120" s="129"/>
      <c r="T120" s="129"/>
      <c r="U120" s="129"/>
      <c r="V120" s="129"/>
      <c r="W120" s="129"/>
      <c r="X120" s="129"/>
    </row>
    <row r="121" spans="13:24">
      <c r="M121" s="129"/>
      <c r="N121" s="129"/>
      <c r="O121" s="129"/>
      <c r="P121" s="129"/>
      <c r="Q121" s="129"/>
      <c r="R121" s="129"/>
      <c r="S121" s="129"/>
      <c r="T121" s="129"/>
      <c r="U121" s="129"/>
      <c r="V121" s="129"/>
      <c r="W121" s="129"/>
      <c r="X121" s="129"/>
    </row>
    <row r="122" spans="13:24">
      <c r="M122" s="129"/>
      <c r="N122" s="129"/>
      <c r="O122" s="129"/>
      <c r="P122" s="129"/>
      <c r="Q122" s="129"/>
      <c r="R122" s="129"/>
      <c r="S122" s="129"/>
      <c r="T122" s="129"/>
      <c r="U122" s="129"/>
      <c r="V122" s="129"/>
      <c r="W122" s="129"/>
      <c r="X122" s="129"/>
    </row>
    <row r="123" spans="13:24">
      <c r="M123" s="129"/>
      <c r="N123" s="129"/>
      <c r="O123" s="129"/>
      <c r="P123" s="129"/>
      <c r="Q123" s="129"/>
      <c r="R123" s="129"/>
      <c r="S123" s="129"/>
      <c r="T123" s="129"/>
      <c r="U123" s="129"/>
      <c r="V123" s="129"/>
      <c r="W123" s="129"/>
      <c r="X123" s="129"/>
    </row>
    <row r="124" spans="13:24">
      <c r="M124" s="129"/>
      <c r="N124" s="129"/>
      <c r="O124" s="129"/>
      <c r="P124" s="129"/>
      <c r="Q124" s="129"/>
      <c r="R124" s="129"/>
      <c r="S124" s="129"/>
      <c r="T124" s="129"/>
      <c r="U124" s="129"/>
      <c r="V124" s="129"/>
      <c r="W124" s="129"/>
      <c r="X124" s="129"/>
    </row>
    <row r="125" spans="13:24">
      <c r="M125" s="129"/>
      <c r="N125" s="129"/>
      <c r="O125" s="129"/>
      <c r="P125" s="129"/>
      <c r="Q125" s="129"/>
      <c r="R125" s="129"/>
      <c r="S125" s="129"/>
      <c r="T125" s="129"/>
      <c r="U125" s="129"/>
      <c r="V125" s="129"/>
      <c r="W125" s="129"/>
      <c r="X125" s="129"/>
    </row>
    <row r="126" spans="13:24">
      <c r="M126" s="129"/>
      <c r="N126" s="129"/>
      <c r="O126" s="129"/>
      <c r="P126" s="129"/>
      <c r="Q126" s="129"/>
      <c r="R126" s="129"/>
      <c r="S126" s="129"/>
      <c r="T126" s="129"/>
      <c r="U126" s="129"/>
      <c r="V126" s="129"/>
      <c r="W126" s="129"/>
      <c r="X126" s="129"/>
    </row>
    <row r="127" spans="13:24">
      <c r="M127" s="129"/>
      <c r="N127" s="129"/>
      <c r="O127" s="129"/>
      <c r="P127" s="129"/>
      <c r="Q127" s="129"/>
      <c r="R127" s="129"/>
      <c r="S127" s="129"/>
      <c r="T127" s="129"/>
      <c r="U127" s="129"/>
      <c r="V127" s="129"/>
      <c r="W127" s="129"/>
      <c r="X127" s="129"/>
    </row>
    <row r="128" spans="13:24">
      <c r="M128" s="129"/>
      <c r="N128" s="129"/>
      <c r="O128" s="129"/>
      <c r="P128" s="129"/>
      <c r="Q128" s="129"/>
      <c r="R128" s="129"/>
      <c r="S128" s="129"/>
      <c r="T128" s="129"/>
      <c r="U128" s="129"/>
      <c r="V128" s="129"/>
      <c r="W128" s="129"/>
      <c r="X128" s="129"/>
    </row>
    <row r="129" spans="3:24">
      <c r="M129" s="129"/>
      <c r="N129" s="129"/>
      <c r="O129" s="129"/>
      <c r="P129" s="129"/>
      <c r="Q129" s="129"/>
      <c r="R129" s="129"/>
      <c r="S129" s="129"/>
      <c r="T129" s="129"/>
      <c r="U129" s="129"/>
      <c r="V129" s="129"/>
      <c r="W129" s="129"/>
      <c r="X129" s="129"/>
    </row>
    <row r="130" spans="3:24">
      <c r="C130" s="129"/>
      <c r="D130" s="129"/>
      <c r="E130" s="129"/>
      <c r="F130" s="129"/>
      <c r="G130" s="129"/>
      <c r="H130" s="129"/>
      <c r="I130" s="129"/>
      <c r="J130" s="129"/>
      <c r="K130" s="129"/>
      <c r="L130" s="129"/>
      <c r="M130" s="129"/>
      <c r="N130" s="129"/>
      <c r="O130" s="129"/>
    </row>
    <row r="131" spans="3:24">
      <c r="C131" s="129"/>
      <c r="D131" s="129"/>
      <c r="E131" s="129"/>
      <c r="F131" s="129"/>
      <c r="G131" s="129"/>
      <c r="H131" s="129"/>
      <c r="I131" s="129"/>
      <c r="J131" s="129"/>
      <c r="K131" s="129"/>
      <c r="L131" s="129"/>
      <c r="M131" s="129"/>
      <c r="N131" s="129"/>
      <c r="O131" s="129"/>
    </row>
    <row r="132" spans="3:24">
      <c r="C132" s="129"/>
      <c r="D132" s="129"/>
      <c r="E132" s="129"/>
      <c r="F132" s="129"/>
      <c r="G132" s="129"/>
      <c r="H132" s="129"/>
      <c r="I132" s="129"/>
      <c r="J132" s="129"/>
      <c r="K132" s="129"/>
      <c r="L132" s="129"/>
      <c r="M132" s="129"/>
      <c r="N132" s="129"/>
      <c r="O132" s="129"/>
    </row>
    <row r="133" spans="3:24">
      <c r="C133" s="129"/>
      <c r="D133" s="129"/>
      <c r="E133" s="129"/>
      <c r="F133" s="129"/>
      <c r="G133" s="129"/>
      <c r="H133" s="129"/>
      <c r="I133" s="129"/>
      <c r="J133" s="129"/>
      <c r="K133" s="129"/>
      <c r="L133" s="129"/>
      <c r="M133" s="129"/>
      <c r="N133" s="129"/>
      <c r="O133" s="129"/>
    </row>
    <row r="134" spans="3:24">
      <c r="C134" s="129"/>
      <c r="D134" s="129"/>
      <c r="E134" s="129"/>
      <c r="F134" s="129"/>
      <c r="G134" s="129"/>
      <c r="H134" s="129"/>
      <c r="I134" s="129"/>
      <c r="J134" s="129"/>
      <c r="K134" s="129"/>
      <c r="L134" s="129"/>
      <c r="M134" s="129"/>
      <c r="N134" s="129"/>
      <c r="O134" s="129"/>
    </row>
    <row r="135" spans="3:24">
      <c r="C135" s="129"/>
      <c r="D135" s="129"/>
      <c r="E135" s="129"/>
      <c r="F135" s="129"/>
      <c r="G135" s="129"/>
      <c r="H135" s="129"/>
      <c r="I135" s="129"/>
      <c r="J135" s="129"/>
      <c r="K135" s="129"/>
      <c r="L135" s="129"/>
      <c r="M135" s="129"/>
      <c r="N135" s="129"/>
      <c r="O135" s="129"/>
    </row>
    <row r="136" spans="3:24">
      <c r="C136" s="129"/>
      <c r="D136" s="129"/>
      <c r="E136" s="129"/>
      <c r="F136" s="129"/>
      <c r="G136" s="129"/>
      <c r="H136" s="129"/>
      <c r="I136" s="129"/>
      <c r="J136" s="129"/>
      <c r="K136" s="129"/>
      <c r="L136" s="129"/>
      <c r="M136" s="129"/>
      <c r="N136" s="129"/>
      <c r="O136" s="129"/>
    </row>
    <row r="137" spans="3:24">
      <c r="C137" s="129"/>
      <c r="D137" s="129"/>
      <c r="E137" s="129"/>
      <c r="F137" s="129"/>
      <c r="G137" s="129"/>
      <c r="H137" s="129"/>
      <c r="I137" s="129"/>
      <c r="J137" s="129"/>
      <c r="K137" s="129"/>
      <c r="L137" s="129"/>
      <c r="M137" s="129"/>
      <c r="N137" s="129"/>
      <c r="O137" s="129"/>
    </row>
    <row r="138" spans="3:24">
      <c r="C138" s="129"/>
      <c r="D138" s="129"/>
      <c r="E138" s="129"/>
      <c r="F138" s="129"/>
      <c r="G138" s="129"/>
      <c r="H138" s="129"/>
      <c r="I138" s="129"/>
      <c r="J138" s="129"/>
      <c r="K138" s="129"/>
      <c r="L138" s="129"/>
      <c r="M138" s="129"/>
      <c r="N138" s="129"/>
      <c r="O138" s="129"/>
    </row>
    <row r="139" spans="3:24">
      <c r="C139" s="129"/>
      <c r="D139" s="129"/>
      <c r="E139" s="129"/>
      <c r="F139" s="129"/>
      <c r="G139" s="129"/>
      <c r="H139" s="129"/>
      <c r="I139" s="129"/>
      <c r="J139" s="129"/>
      <c r="K139" s="129"/>
      <c r="L139" s="129"/>
      <c r="M139" s="129"/>
      <c r="N139" s="129"/>
      <c r="O139" s="129"/>
    </row>
    <row r="140" spans="3:24">
      <c r="C140" s="129"/>
      <c r="D140" s="129"/>
      <c r="E140" s="129"/>
      <c r="F140" s="129"/>
      <c r="G140" s="129"/>
      <c r="H140" s="129"/>
      <c r="I140" s="129"/>
      <c r="J140" s="129"/>
      <c r="K140" s="129"/>
      <c r="L140" s="129"/>
      <c r="M140" s="129"/>
      <c r="N140" s="129"/>
      <c r="O140" s="129"/>
    </row>
    <row r="141" spans="3:24">
      <c r="C141" s="129"/>
      <c r="D141" s="129"/>
      <c r="E141" s="129"/>
      <c r="F141" s="129"/>
      <c r="G141" s="129"/>
      <c r="H141" s="129"/>
      <c r="I141" s="129"/>
      <c r="J141" s="129"/>
      <c r="K141" s="129"/>
      <c r="L141" s="129"/>
      <c r="M141" s="129"/>
      <c r="N141" s="129"/>
      <c r="O141" s="129"/>
    </row>
    <row r="142" spans="3:24">
      <c r="C142" s="129"/>
      <c r="D142" s="129"/>
      <c r="E142" s="129"/>
      <c r="F142" s="129"/>
      <c r="G142" s="129"/>
      <c r="H142" s="129"/>
      <c r="I142" s="129"/>
      <c r="J142" s="129"/>
      <c r="K142" s="129"/>
      <c r="L142" s="129"/>
      <c r="M142" s="129"/>
      <c r="N142" s="129"/>
      <c r="O142" s="129"/>
    </row>
    <row r="143" spans="3:24">
      <c r="C143" s="129"/>
      <c r="D143" s="129"/>
      <c r="E143" s="129"/>
      <c r="F143" s="129"/>
      <c r="G143" s="129"/>
      <c r="H143" s="129"/>
      <c r="I143" s="129"/>
      <c r="J143" s="129"/>
      <c r="K143" s="129"/>
      <c r="L143" s="129"/>
      <c r="M143" s="129"/>
      <c r="N143" s="129"/>
      <c r="O143" s="129"/>
    </row>
    <row r="144" spans="3:24">
      <c r="C144" s="129"/>
      <c r="D144" s="129"/>
      <c r="E144" s="129"/>
      <c r="F144" s="129"/>
      <c r="G144" s="129"/>
      <c r="H144" s="129"/>
      <c r="I144" s="129"/>
      <c r="J144" s="129"/>
      <c r="K144" s="129"/>
      <c r="L144" s="129"/>
      <c r="M144" s="129"/>
      <c r="N144" s="129"/>
      <c r="O144" s="129"/>
    </row>
    <row r="145" spans="3:15">
      <c r="C145" s="129"/>
      <c r="D145" s="129"/>
      <c r="E145" s="129"/>
      <c r="F145" s="129"/>
      <c r="G145" s="129"/>
      <c r="H145" s="129"/>
      <c r="I145" s="129"/>
      <c r="J145" s="129"/>
      <c r="K145" s="129"/>
      <c r="L145" s="129"/>
      <c r="M145" s="129"/>
      <c r="N145" s="129"/>
      <c r="O145" s="129"/>
    </row>
    <row r="146" spans="3:15">
      <c r="C146" s="129"/>
      <c r="D146" s="129"/>
      <c r="E146" s="129"/>
      <c r="F146" s="129"/>
      <c r="G146" s="129"/>
      <c r="H146" s="129"/>
      <c r="I146" s="129"/>
      <c r="J146" s="129"/>
      <c r="K146" s="129"/>
      <c r="L146" s="129"/>
      <c r="M146" s="129"/>
      <c r="N146" s="129"/>
      <c r="O146" s="129"/>
    </row>
    <row r="147" spans="3:15">
      <c r="C147" s="129"/>
      <c r="D147" s="129"/>
      <c r="E147" s="129"/>
      <c r="F147" s="129"/>
      <c r="G147" s="129"/>
      <c r="H147" s="129"/>
      <c r="I147" s="129"/>
      <c r="J147" s="129"/>
      <c r="K147" s="129"/>
      <c r="L147" s="129"/>
      <c r="M147" s="129"/>
      <c r="N147" s="129"/>
      <c r="O147" s="129"/>
    </row>
    <row r="148" spans="3:15">
      <c r="C148" s="129"/>
      <c r="D148" s="129"/>
      <c r="E148" s="129"/>
      <c r="F148" s="129"/>
      <c r="G148" s="129"/>
      <c r="H148" s="129"/>
      <c r="I148" s="129"/>
      <c r="J148" s="129"/>
      <c r="K148" s="129"/>
      <c r="L148" s="129"/>
      <c r="M148" s="129"/>
      <c r="N148" s="129"/>
      <c r="O148" s="129"/>
    </row>
    <row r="149" spans="3:15">
      <c r="C149" s="129"/>
      <c r="D149" s="129"/>
      <c r="E149" s="129"/>
      <c r="F149" s="129"/>
      <c r="G149" s="129"/>
      <c r="H149" s="129"/>
      <c r="I149" s="129"/>
      <c r="J149" s="129"/>
      <c r="K149" s="129"/>
      <c r="L149" s="129"/>
      <c r="M149" s="129"/>
      <c r="N149" s="129"/>
      <c r="O149" s="129"/>
    </row>
    <row r="150" spans="3:15">
      <c r="C150" s="129"/>
      <c r="D150" s="129"/>
      <c r="E150" s="129"/>
      <c r="F150" s="129"/>
      <c r="G150" s="129"/>
      <c r="H150" s="129"/>
      <c r="I150" s="129"/>
      <c r="J150" s="129"/>
      <c r="K150" s="129"/>
      <c r="L150" s="129"/>
      <c r="M150" s="129"/>
      <c r="N150" s="129"/>
      <c r="O150" s="129"/>
    </row>
    <row r="151" spans="3:15">
      <c r="C151" s="129"/>
      <c r="D151" s="129"/>
      <c r="E151" s="129"/>
      <c r="F151" s="129"/>
      <c r="G151" s="129"/>
      <c r="H151" s="129"/>
      <c r="I151" s="129"/>
      <c r="J151" s="129"/>
      <c r="K151" s="129"/>
      <c r="L151" s="129"/>
      <c r="M151" s="129"/>
      <c r="N151" s="129"/>
      <c r="O151" s="129"/>
    </row>
    <row r="152" spans="3:15">
      <c r="C152" s="129"/>
      <c r="D152" s="129"/>
      <c r="E152" s="129"/>
      <c r="F152" s="129"/>
      <c r="G152" s="129"/>
      <c r="H152" s="129"/>
      <c r="I152" s="129"/>
      <c r="J152" s="129"/>
      <c r="K152" s="129"/>
      <c r="L152" s="129"/>
      <c r="M152" s="129"/>
      <c r="N152" s="129"/>
      <c r="O152" s="129"/>
    </row>
    <row r="153" spans="3:15">
      <c r="C153" s="129"/>
      <c r="D153" s="129"/>
      <c r="E153" s="129"/>
      <c r="F153" s="129"/>
      <c r="G153" s="129"/>
      <c r="H153" s="129"/>
      <c r="I153" s="129"/>
      <c r="J153" s="129"/>
      <c r="K153" s="129"/>
      <c r="L153" s="129"/>
      <c r="M153" s="129"/>
      <c r="N153" s="129"/>
      <c r="O153" s="129"/>
    </row>
    <row r="154" spans="3:15">
      <c r="C154" s="129"/>
      <c r="D154" s="129"/>
      <c r="E154" s="129"/>
      <c r="F154" s="129"/>
      <c r="G154" s="129"/>
      <c r="H154" s="129"/>
      <c r="I154" s="129"/>
      <c r="J154" s="129"/>
      <c r="K154" s="129"/>
      <c r="L154" s="129"/>
      <c r="M154" s="129"/>
      <c r="N154" s="129"/>
      <c r="O154" s="129"/>
    </row>
    <row r="155" spans="3:15">
      <c r="C155" s="129"/>
      <c r="D155" s="129"/>
      <c r="E155" s="129"/>
      <c r="F155" s="129"/>
      <c r="G155" s="129"/>
      <c r="H155" s="129"/>
      <c r="I155" s="129"/>
      <c r="J155" s="129"/>
      <c r="K155" s="129"/>
      <c r="L155" s="129"/>
      <c r="M155" s="129"/>
      <c r="N155" s="129"/>
      <c r="O155" s="129"/>
    </row>
    <row r="156" spans="3:15">
      <c r="C156" s="129"/>
      <c r="D156" s="129"/>
      <c r="E156" s="129"/>
      <c r="F156" s="129"/>
      <c r="G156" s="129"/>
      <c r="H156" s="129"/>
      <c r="I156" s="129"/>
      <c r="J156" s="129"/>
      <c r="K156" s="129"/>
      <c r="L156" s="129"/>
      <c r="M156" s="129"/>
      <c r="N156" s="129"/>
      <c r="O156" s="129"/>
    </row>
    <row r="157" spans="3:15">
      <c r="C157" s="129"/>
      <c r="D157" s="129"/>
      <c r="E157" s="129"/>
      <c r="F157" s="129"/>
      <c r="G157" s="129"/>
      <c r="H157" s="129"/>
      <c r="I157" s="129"/>
      <c r="J157" s="129"/>
      <c r="K157" s="129"/>
      <c r="L157" s="129"/>
      <c r="M157" s="129"/>
      <c r="N157" s="129"/>
      <c r="O157" s="129"/>
    </row>
    <row r="158" spans="3:15">
      <c r="C158" s="129"/>
      <c r="D158" s="129"/>
      <c r="E158" s="129"/>
      <c r="F158" s="129"/>
      <c r="G158" s="129"/>
      <c r="H158" s="129"/>
      <c r="I158" s="129"/>
      <c r="J158" s="129"/>
      <c r="K158" s="129"/>
      <c r="L158" s="129"/>
      <c r="M158" s="129"/>
      <c r="N158" s="129"/>
      <c r="O158" s="129"/>
    </row>
    <row r="159" spans="3:15">
      <c r="C159" s="129"/>
      <c r="D159" s="129"/>
      <c r="E159" s="129"/>
      <c r="F159" s="129"/>
      <c r="G159" s="129"/>
      <c r="H159" s="129"/>
      <c r="I159" s="129"/>
      <c r="J159" s="129"/>
      <c r="K159" s="129"/>
      <c r="L159" s="129"/>
      <c r="M159" s="129"/>
      <c r="N159" s="129"/>
      <c r="O159" s="129"/>
    </row>
    <row r="160" spans="3:15">
      <c r="C160" s="129"/>
      <c r="D160" s="129"/>
      <c r="E160" s="129"/>
      <c r="F160" s="129"/>
      <c r="G160" s="129"/>
      <c r="H160" s="129"/>
      <c r="I160" s="129"/>
      <c r="J160" s="129"/>
      <c r="K160" s="129"/>
      <c r="L160" s="129"/>
      <c r="M160" s="129"/>
      <c r="N160" s="129"/>
      <c r="O160" s="129"/>
    </row>
    <row r="161" spans="3:15">
      <c r="C161" s="129"/>
      <c r="D161" s="129"/>
      <c r="E161" s="129"/>
      <c r="F161" s="129"/>
      <c r="G161" s="129"/>
      <c r="H161" s="129"/>
      <c r="I161" s="129"/>
      <c r="J161" s="129"/>
      <c r="K161" s="129"/>
      <c r="L161" s="129"/>
      <c r="M161" s="129"/>
      <c r="N161" s="129"/>
      <c r="O161" s="129"/>
    </row>
    <row r="162" spans="3:15">
      <c r="C162" s="129"/>
      <c r="D162" s="129"/>
      <c r="E162" s="129"/>
      <c r="F162" s="129"/>
      <c r="G162" s="129"/>
      <c r="H162" s="129"/>
      <c r="I162" s="129"/>
      <c r="J162" s="129"/>
      <c r="K162" s="129"/>
      <c r="L162" s="129"/>
      <c r="M162" s="129"/>
      <c r="N162" s="129"/>
      <c r="O162" s="129"/>
    </row>
    <row r="163" spans="3:15">
      <c r="C163" s="129"/>
      <c r="D163" s="129"/>
      <c r="E163" s="129"/>
      <c r="F163" s="129"/>
      <c r="G163" s="129"/>
      <c r="H163" s="129"/>
      <c r="I163" s="129"/>
      <c r="J163" s="129"/>
      <c r="K163" s="129"/>
      <c r="L163" s="129"/>
      <c r="M163" s="129"/>
      <c r="N163" s="129"/>
      <c r="O163" s="129"/>
    </row>
    <row r="164" spans="3:15">
      <c r="C164" s="129"/>
      <c r="D164" s="129"/>
      <c r="E164" s="129"/>
      <c r="F164" s="129"/>
      <c r="G164" s="129"/>
      <c r="H164" s="129"/>
      <c r="I164" s="129"/>
      <c r="J164" s="129"/>
      <c r="K164" s="129"/>
      <c r="L164" s="129"/>
      <c r="M164" s="129"/>
      <c r="N164" s="129"/>
      <c r="O164" s="129"/>
    </row>
    <row r="165" spans="3:15">
      <c r="C165" s="129"/>
      <c r="D165" s="129"/>
      <c r="E165" s="129"/>
      <c r="F165" s="129"/>
      <c r="G165" s="129"/>
      <c r="H165" s="129"/>
      <c r="I165" s="129"/>
      <c r="J165" s="129"/>
      <c r="K165" s="129"/>
      <c r="L165" s="129"/>
      <c r="M165" s="129"/>
      <c r="N165" s="129"/>
      <c r="O165" s="129"/>
    </row>
    <row r="166" spans="3:15">
      <c r="C166" s="129"/>
      <c r="D166" s="129"/>
      <c r="E166" s="129"/>
      <c r="F166" s="129"/>
      <c r="G166" s="129"/>
      <c r="H166" s="129"/>
      <c r="I166" s="129"/>
      <c r="J166" s="129"/>
      <c r="K166" s="129"/>
      <c r="L166" s="129"/>
      <c r="M166" s="129"/>
      <c r="N166" s="129"/>
      <c r="O166" s="129"/>
    </row>
    <row r="167" spans="3:15">
      <c r="C167" s="129"/>
      <c r="D167" s="129"/>
      <c r="E167" s="129"/>
      <c r="F167" s="129"/>
      <c r="G167" s="129"/>
      <c r="H167" s="129"/>
      <c r="I167" s="129"/>
      <c r="J167" s="129"/>
      <c r="K167" s="129"/>
      <c r="L167" s="129"/>
      <c r="M167" s="129"/>
      <c r="N167" s="129"/>
      <c r="O167" s="129"/>
    </row>
    <row r="168" spans="3:15">
      <c r="C168" s="129"/>
      <c r="D168" s="129"/>
      <c r="E168" s="129"/>
      <c r="F168" s="129"/>
      <c r="G168" s="129"/>
      <c r="H168" s="129"/>
      <c r="I168" s="129"/>
      <c r="J168" s="129"/>
      <c r="K168" s="129"/>
      <c r="L168" s="129"/>
      <c r="M168" s="129"/>
      <c r="N168" s="129"/>
      <c r="O168" s="129"/>
    </row>
    <row r="169" spans="3:15">
      <c r="C169" s="129"/>
      <c r="D169" s="129"/>
      <c r="E169" s="129"/>
      <c r="F169" s="129"/>
      <c r="G169" s="129"/>
      <c r="H169" s="129"/>
      <c r="I169" s="129"/>
      <c r="J169" s="129"/>
      <c r="K169" s="129"/>
      <c r="L169" s="129"/>
      <c r="M169" s="129"/>
      <c r="N169" s="129"/>
      <c r="O169" s="129"/>
    </row>
    <row r="170" spans="3:15">
      <c r="C170" s="129"/>
      <c r="D170" s="129"/>
      <c r="E170" s="129"/>
      <c r="F170" s="129"/>
      <c r="G170" s="129"/>
      <c r="H170" s="129"/>
      <c r="I170" s="129"/>
      <c r="J170" s="129"/>
      <c r="K170" s="129"/>
      <c r="L170" s="129"/>
      <c r="M170" s="129"/>
      <c r="N170" s="129"/>
      <c r="O170" s="129"/>
    </row>
    <row r="171" spans="3:15">
      <c r="C171" s="129"/>
      <c r="D171" s="129"/>
      <c r="E171" s="129"/>
      <c r="F171" s="129"/>
      <c r="G171" s="129"/>
      <c r="H171" s="129"/>
      <c r="I171" s="129"/>
      <c r="J171" s="129"/>
      <c r="K171" s="129"/>
      <c r="L171" s="129"/>
      <c r="M171" s="129"/>
      <c r="N171" s="129"/>
      <c r="O171" s="129"/>
    </row>
    <row r="172" spans="3:15">
      <c r="C172" s="129"/>
      <c r="D172" s="129"/>
      <c r="E172" s="129"/>
      <c r="F172" s="129"/>
      <c r="G172" s="129"/>
      <c r="H172" s="129"/>
      <c r="I172" s="129"/>
      <c r="J172" s="129"/>
      <c r="K172" s="129"/>
      <c r="L172" s="129"/>
      <c r="M172" s="129"/>
      <c r="N172" s="129"/>
      <c r="O172" s="129"/>
    </row>
    <row r="173" spans="3:15">
      <c r="C173" s="129"/>
      <c r="D173" s="129"/>
      <c r="E173" s="129"/>
      <c r="F173" s="129"/>
      <c r="G173" s="129"/>
      <c r="H173" s="129"/>
      <c r="I173" s="129"/>
      <c r="J173" s="129"/>
      <c r="K173" s="129"/>
      <c r="L173" s="129"/>
      <c r="M173" s="129"/>
      <c r="N173" s="129"/>
      <c r="O173" s="129"/>
    </row>
    <row r="174" spans="3:15">
      <c r="C174" s="129"/>
      <c r="D174" s="129"/>
      <c r="E174" s="129"/>
      <c r="F174" s="129"/>
      <c r="G174" s="129"/>
      <c r="H174" s="129"/>
      <c r="I174" s="129"/>
      <c r="J174" s="129"/>
      <c r="K174" s="129"/>
      <c r="L174" s="129"/>
      <c r="M174" s="129"/>
      <c r="N174" s="129"/>
      <c r="O174" s="129"/>
    </row>
    <row r="175" spans="3:15">
      <c r="C175" s="129"/>
      <c r="D175" s="129"/>
      <c r="E175" s="129"/>
      <c r="F175" s="129"/>
      <c r="G175" s="129"/>
      <c r="H175" s="129"/>
      <c r="I175" s="129"/>
      <c r="J175" s="129"/>
      <c r="K175" s="129"/>
      <c r="L175" s="129"/>
      <c r="M175" s="129"/>
      <c r="N175" s="129"/>
      <c r="O175" s="129"/>
    </row>
    <row r="176" spans="3:15">
      <c r="C176" s="129"/>
      <c r="D176" s="129"/>
      <c r="E176" s="129"/>
      <c r="F176" s="129"/>
      <c r="G176" s="129"/>
      <c r="H176" s="129"/>
      <c r="I176" s="129"/>
      <c r="J176" s="129"/>
      <c r="K176" s="129"/>
      <c r="L176" s="129"/>
      <c r="M176" s="129"/>
      <c r="N176" s="129"/>
      <c r="O176" s="129"/>
    </row>
    <row r="177" spans="3:15">
      <c r="C177" s="129"/>
      <c r="D177" s="129"/>
      <c r="E177" s="129"/>
      <c r="F177" s="129"/>
      <c r="G177" s="129"/>
      <c r="H177" s="129"/>
      <c r="I177" s="129"/>
      <c r="J177" s="129"/>
      <c r="K177" s="129"/>
      <c r="L177" s="129"/>
      <c r="M177" s="129"/>
      <c r="N177" s="129"/>
      <c r="O177" s="129"/>
    </row>
    <row r="178" spans="3:15">
      <c r="C178" s="129"/>
      <c r="D178" s="129"/>
      <c r="E178" s="129"/>
      <c r="F178" s="129"/>
      <c r="G178" s="129"/>
      <c r="H178" s="129"/>
      <c r="I178" s="129"/>
      <c r="J178" s="129"/>
      <c r="K178" s="129"/>
      <c r="L178" s="129"/>
      <c r="M178" s="129"/>
      <c r="N178" s="129"/>
      <c r="O178" s="129"/>
    </row>
    <row r="179" spans="3:15">
      <c r="C179" s="129"/>
      <c r="D179" s="129"/>
      <c r="E179" s="129"/>
      <c r="F179" s="129"/>
      <c r="G179" s="129"/>
      <c r="H179" s="129"/>
      <c r="I179" s="129"/>
      <c r="J179" s="129"/>
      <c r="K179" s="129"/>
      <c r="L179" s="129"/>
      <c r="M179" s="129"/>
      <c r="N179" s="129"/>
      <c r="O179" s="129"/>
    </row>
    <row r="180" spans="3:15">
      <c r="C180" s="129"/>
      <c r="D180" s="129"/>
      <c r="E180" s="129"/>
      <c r="F180" s="129"/>
      <c r="G180" s="129"/>
      <c r="H180" s="129"/>
      <c r="I180" s="129"/>
      <c r="J180" s="129"/>
      <c r="K180" s="129"/>
      <c r="L180" s="129"/>
      <c r="M180" s="129"/>
      <c r="N180" s="129"/>
      <c r="O180" s="129"/>
    </row>
    <row r="181" spans="3:15">
      <c r="C181" s="129"/>
      <c r="D181" s="129"/>
      <c r="E181" s="129"/>
      <c r="F181" s="129"/>
      <c r="G181" s="129"/>
      <c r="H181" s="129"/>
      <c r="I181" s="129"/>
      <c r="J181" s="129"/>
      <c r="K181" s="129"/>
      <c r="L181" s="129"/>
      <c r="M181" s="129"/>
      <c r="N181" s="129"/>
      <c r="O181" s="129"/>
    </row>
    <row r="182" spans="3:15">
      <c r="C182" s="129"/>
      <c r="D182" s="129"/>
      <c r="E182" s="129"/>
      <c r="F182" s="129"/>
      <c r="G182" s="129"/>
      <c r="H182" s="129"/>
      <c r="I182" s="129"/>
      <c r="J182" s="129"/>
      <c r="K182" s="129"/>
      <c r="L182" s="129"/>
      <c r="M182" s="129"/>
      <c r="N182" s="129"/>
      <c r="O182" s="129"/>
    </row>
    <row r="183" spans="3:15">
      <c r="C183" s="129"/>
      <c r="D183" s="129"/>
      <c r="E183" s="129"/>
      <c r="F183" s="129"/>
      <c r="G183" s="129"/>
      <c r="H183" s="129"/>
      <c r="I183" s="129"/>
      <c r="J183" s="129"/>
      <c r="K183" s="129"/>
      <c r="L183" s="129"/>
      <c r="M183" s="129"/>
      <c r="N183" s="129"/>
      <c r="O183" s="129"/>
    </row>
    <row r="184" spans="3:15">
      <c r="C184" s="129"/>
      <c r="D184" s="129"/>
      <c r="E184" s="129"/>
      <c r="F184" s="129"/>
      <c r="G184" s="129"/>
      <c r="H184" s="129"/>
      <c r="I184" s="129"/>
      <c r="J184" s="129"/>
      <c r="K184" s="129"/>
      <c r="L184" s="129"/>
      <c r="M184" s="129"/>
      <c r="N184" s="129"/>
      <c r="O184" s="129"/>
    </row>
    <row r="185" spans="3:15">
      <c r="C185" s="129"/>
      <c r="D185" s="129"/>
      <c r="E185" s="129"/>
      <c r="F185" s="129"/>
      <c r="G185" s="129"/>
      <c r="H185" s="129"/>
      <c r="I185" s="129"/>
      <c r="J185" s="129"/>
      <c r="K185" s="129"/>
      <c r="L185" s="129"/>
      <c r="M185" s="129"/>
      <c r="N185" s="129"/>
      <c r="O185" s="129"/>
    </row>
    <row r="186" spans="3:15">
      <c r="C186" s="129"/>
      <c r="D186" s="129"/>
      <c r="E186" s="129"/>
      <c r="F186" s="129"/>
      <c r="G186" s="129"/>
      <c r="H186" s="129"/>
      <c r="I186" s="129"/>
      <c r="J186" s="129"/>
      <c r="K186" s="129"/>
      <c r="L186" s="129"/>
      <c r="M186" s="129"/>
      <c r="N186" s="129"/>
      <c r="O186" s="129"/>
    </row>
    <row r="187" spans="3:15">
      <c r="C187" s="129"/>
      <c r="D187" s="129"/>
      <c r="E187" s="129"/>
      <c r="F187" s="129"/>
      <c r="G187" s="129"/>
      <c r="H187" s="129"/>
      <c r="I187" s="129"/>
      <c r="J187" s="129"/>
      <c r="K187" s="129"/>
      <c r="L187" s="129"/>
      <c r="M187" s="129"/>
      <c r="N187" s="129"/>
      <c r="O187" s="129"/>
    </row>
    <row r="188" spans="3:15">
      <c r="C188" s="129"/>
      <c r="D188" s="129"/>
      <c r="E188" s="129"/>
      <c r="F188" s="129"/>
      <c r="G188" s="129"/>
      <c r="H188" s="129"/>
      <c r="I188" s="129"/>
      <c r="J188" s="129"/>
      <c r="K188" s="129"/>
      <c r="L188" s="129"/>
      <c r="M188" s="129"/>
      <c r="N188" s="129"/>
      <c r="O188" s="129"/>
    </row>
    <row r="189" spans="3:15">
      <c r="C189" s="129"/>
      <c r="D189" s="129"/>
      <c r="E189" s="129"/>
      <c r="F189" s="129"/>
      <c r="G189" s="129"/>
      <c r="H189" s="129"/>
      <c r="I189" s="129"/>
      <c r="J189" s="129"/>
      <c r="K189" s="129"/>
      <c r="L189" s="129"/>
      <c r="M189" s="129"/>
      <c r="N189" s="129"/>
      <c r="O189" s="129"/>
    </row>
    <row r="190" spans="3:15">
      <c r="C190" s="129"/>
      <c r="D190" s="129"/>
      <c r="E190" s="129"/>
      <c r="F190" s="129"/>
      <c r="G190" s="129"/>
      <c r="H190" s="129"/>
      <c r="I190" s="129"/>
      <c r="J190" s="129"/>
      <c r="K190" s="129"/>
      <c r="L190" s="129"/>
      <c r="M190" s="129"/>
      <c r="N190" s="129"/>
      <c r="O190" s="129"/>
    </row>
    <row r="191" spans="3:15">
      <c r="C191" s="129"/>
      <c r="D191" s="129"/>
      <c r="E191" s="129"/>
      <c r="F191" s="129"/>
      <c r="G191" s="129"/>
      <c r="H191" s="129"/>
      <c r="I191" s="129"/>
      <c r="J191" s="129"/>
      <c r="K191" s="129"/>
      <c r="L191" s="129"/>
      <c r="M191" s="129"/>
      <c r="N191" s="129"/>
      <c r="O191" s="129"/>
    </row>
    <row r="192" spans="3:15">
      <c r="C192" s="129"/>
      <c r="D192" s="129"/>
      <c r="E192" s="129"/>
      <c r="F192" s="129"/>
      <c r="G192" s="129"/>
      <c r="H192" s="129"/>
      <c r="I192" s="129"/>
      <c r="J192" s="129"/>
      <c r="K192" s="129"/>
      <c r="L192" s="129"/>
      <c r="M192" s="129"/>
      <c r="N192" s="129"/>
      <c r="O192" s="129"/>
    </row>
    <row r="193" spans="3:15">
      <c r="C193" s="129"/>
      <c r="D193" s="129"/>
      <c r="E193" s="129"/>
      <c r="F193" s="129"/>
      <c r="G193" s="129"/>
      <c r="H193" s="129"/>
      <c r="I193" s="129"/>
      <c r="J193" s="129"/>
      <c r="K193" s="129"/>
      <c r="L193" s="129"/>
      <c r="M193" s="129"/>
      <c r="N193" s="129"/>
      <c r="O193" s="129"/>
    </row>
    <row r="194" spans="3:15">
      <c r="C194" s="129"/>
      <c r="D194" s="129"/>
      <c r="E194" s="129"/>
      <c r="F194" s="129"/>
      <c r="G194" s="129"/>
      <c r="H194" s="129"/>
      <c r="I194" s="129"/>
      <c r="J194" s="129"/>
      <c r="K194" s="129"/>
      <c r="L194" s="129"/>
      <c r="M194" s="129"/>
      <c r="N194" s="129"/>
      <c r="O194" s="129"/>
    </row>
    <row r="195" spans="3:15">
      <c r="C195" s="129"/>
      <c r="D195" s="129"/>
      <c r="E195" s="129"/>
      <c r="F195" s="129"/>
      <c r="G195" s="129"/>
      <c r="H195" s="129"/>
      <c r="I195" s="129"/>
      <c r="J195" s="129"/>
      <c r="K195" s="129"/>
      <c r="L195" s="129"/>
      <c r="M195" s="129"/>
      <c r="N195" s="129"/>
      <c r="O195" s="129"/>
    </row>
    <row r="196" spans="3:15">
      <c r="C196" s="129"/>
      <c r="D196" s="129"/>
      <c r="E196" s="129"/>
      <c r="F196" s="129"/>
      <c r="G196" s="129"/>
      <c r="H196" s="129"/>
      <c r="I196" s="129"/>
      <c r="J196" s="129"/>
      <c r="K196" s="129"/>
      <c r="L196" s="129"/>
      <c r="M196" s="129"/>
      <c r="N196" s="129"/>
      <c r="O196" s="129"/>
    </row>
    <row r="197" spans="3:15">
      <c r="C197" s="129"/>
      <c r="D197" s="129"/>
      <c r="E197" s="129"/>
      <c r="F197" s="129"/>
      <c r="G197" s="129"/>
      <c r="H197" s="129"/>
      <c r="I197" s="129"/>
      <c r="J197" s="129"/>
      <c r="K197" s="129"/>
      <c r="L197" s="129"/>
      <c r="M197" s="129"/>
      <c r="N197" s="129"/>
      <c r="O197" s="129"/>
    </row>
    <row r="198" spans="3:15">
      <c r="C198" s="129"/>
      <c r="D198" s="129"/>
      <c r="E198" s="129"/>
      <c r="F198" s="129"/>
      <c r="G198" s="129"/>
      <c r="H198" s="129"/>
      <c r="I198" s="129"/>
      <c r="J198" s="129"/>
      <c r="K198" s="129"/>
      <c r="L198" s="129"/>
      <c r="M198" s="129"/>
      <c r="N198" s="129"/>
      <c r="O198" s="129"/>
    </row>
    <row r="199" spans="3:15">
      <c r="C199" s="129"/>
      <c r="D199" s="129"/>
      <c r="E199" s="129"/>
      <c r="F199" s="129"/>
      <c r="G199" s="129"/>
      <c r="H199" s="129"/>
      <c r="I199" s="129"/>
      <c r="J199" s="129"/>
      <c r="K199" s="129"/>
      <c r="L199" s="129"/>
      <c r="M199" s="129"/>
      <c r="N199" s="129"/>
      <c r="O199" s="129"/>
    </row>
    <row r="200" spans="3:15">
      <c r="C200" s="129"/>
      <c r="D200" s="129"/>
      <c r="E200" s="129"/>
      <c r="F200" s="129"/>
      <c r="G200" s="129"/>
      <c r="H200" s="129"/>
      <c r="I200" s="129"/>
      <c r="J200" s="129"/>
      <c r="K200" s="129"/>
      <c r="L200" s="129"/>
      <c r="M200" s="129"/>
      <c r="N200" s="129"/>
      <c r="O200" s="129"/>
    </row>
    <row r="201" spans="3:15">
      <c r="C201" s="129"/>
      <c r="D201" s="129"/>
      <c r="E201" s="129"/>
      <c r="F201" s="129"/>
      <c r="G201" s="129"/>
      <c r="H201" s="129"/>
      <c r="I201" s="129"/>
      <c r="J201" s="129"/>
      <c r="K201" s="129"/>
      <c r="L201" s="129"/>
      <c r="M201" s="129"/>
      <c r="N201" s="129"/>
      <c r="O201" s="129"/>
    </row>
    <row r="202" spans="3:15">
      <c r="C202" s="129"/>
      <c r="D202" s="129"/>
      <c r="E202" s="129"/>
      <c r="F202" s="129"/>
      <c r="G202" s="129"/>
      <c r="H202" s="129"/>
      <c r="I202" s="129"/>
      <c r="J202" s="129"/>
      <c r="K202" s="129"/>
      <c r="L202" s="129"/>
      <c r="M202" s="129"/>
      <c r="N202" s="129"/>
      <c r="O202" s="129"/>
    </row>
    <row r="203" spans="3:15">
      <c r="C203" s="129"/>
      <c r="D203" s="129"/>
      <c r="E203" s="129"/>
      <c r="F203" s="129"/>
      <c r="G203" s="129"/>
      <c r="H203" s="129"/>
      <c r="I203" s="129"/>
      <c r="J203" s="129"/>
      <c r="K203" s="129"/>
      <c r="L203" s="129"/>
      <c r="M203" s="129"/>
      <c r="N203" s="129"/>
      <c r="O203" s="129"/>
    </row>
    <row r="204" spans="3:15">
      <c r="C204" s="129"/>
      <c r="D204" s="129"/>
      <c r="E204" s="129"/>
      <c r="F204" s="129"/>
      <c r="G204" s="129"/>
      <c r="H204" s="129"/>
      <c r="I204" s="129"/>
      <c r="J204" s="129"/>
      <c r="K204" s="129"/>
      <c r="L204" s="129"/>
      <c r="M204" s="129"/>
      <c r="N204" s="129"/>
      <c r="O204" s="129"/>
    </row>
    <row r="205" spans="3:15">
      <c r="C205" s="129"/>
      <c r="D205" s="129"/>
      <c r="E205" s="129"/>
      <c r="F205" s="129"/>
      <c r="G205" s="129"/>
      <c r="H205" s="129"/>
      <c r="I205" s="129"/>
      <c r="J205" s="129"/>
      <c r="K205" s="129"/>
      <c r="L205" s="129"/>
      <c r="M205" s="129"/>
      <c r="N205" s="129"/>
      <c r="O205" s="129"/>
    </row>
    <row r="206" spans="3:15">
      <c r="C206" s="129"/>
      <c r="D206" s="129"/>
      <c r="E206" s="129"/>
      <c r="F206" s="129"/>
      <c r="G206" s="129"/>
      <c r="H206" s="129"/>
      <c r="I206" s="129"/>
      <c r="J206" s="129"/>
      <c r="K206" s="129"/>
      <c r="L206" s="129"/>
      <c r="M206" s="129"/>
      <c r="N206" s="129"/>
      <c r="O206" s="129"/>
    </row>
    <row r="207" spans="3:15">
      <c r="C207" s="129"/>
      <c r="D207" s="129"/>
      <c r="E207" s="129"/>
      <c r="F207" s="129"/>
      <c r="G207" s="129"/>
      <c r="H207" s="129"/>
      <c r="I207" s="129"/>
      <c r="J207" s="129"/>
      <c r="K207" s="129"/>
      <c r="L207" s="129"/>
      <c r="M207" s="129"/>
      <c r="N207" s="129"/>
      <c r="O207" s="129"/>
    </row>
    <row r="208" spans="3:15">
      <c r="C208" s="129"/>
      <c r="D208" s="129"/>
      <c r="E208" s="129"/>
      <c r="F208" s="129"/>
      <c r="G208" s="129"/>
      <c r="H208" s="129"/>
      <c r="I208" s="129"/>
      <c r="J208" s="129"/>
      <c r="K208" s="129"/>
      <c r="L208" s="129"/>
      <c r="M208" s="129"/>
      <c r="N208" s="129"/>
      <c r="O208" s="129"/>
    </row>
    <row r="209" spans="3:15">
      <c r="C209" s="129"/>
      <c r="D209" s="129"/>
      <c r="E209" s="129"/>
      <c r="F209" s="129"/>
      <c r="G209" s="129"/>
      <c r="H209" s="129"/>
      <c r="I209" s="129"/>
      <c r="J209" s="129"/>
      <c r="K209" s="129"/>
      <c r="L209" s="129"/>
      <c r="M209" s="129"/>
      <c r="N209" s="129"/>
      <c r="O209" s="129"/>
    </row>
    <row r="210" spans="3:15">
      <c r="C210" s="129"/>
      <c r="D210" s="129"/>
      <c r="E210" s="129"/>
      <c r="F210" s="129"/>
      <c r="G210" s="129"/>
      <c r="H210" s="129"/>
      <c r="I210" s="129"/>
      <c r="J210" s="129"/>
      <c r="K210" s="129"/>
      <c r="L210" s="129"/>
      <c r="M210" s="129"/>
      <c r="N210" s="129"/>
      <c r="O210" s="129"/>
    </row>
    <row r="211" spans="3:15">
      <c r="C211" s="129"/>
      <c r="D211" s="129"/>
      <c r="E211" s="129"/>
      <c r="F211" s="129"/>
      <c r="G211" s="129"/>
      <c r="H211" s="129"/>
      <c r="I211" s="129"/>
      <c r="J211" s="129"/>
      <c r="K211" s="129"/>
      <c r="L211" s="129"/>
      <c r="M211" s="129"/>
      <c r="N211" s="129"/>
      <c r="O211" s="129"/>
    </row>
    <row r="212" spans="3:15">
      <c r="C212" s="129"/>
      <c r="D212" s="129"/>
      <c r="E212" s="129"/>
      <c r="F212" s="129"/>
      <c r="G212" s="129"/>
      <c r="H212" s="129"/>
      <c r="I212" s="129"/>
      <c r="J212" s="129"/>
      <c r="K212" s="129"/>
      <c r="L212" s="129"/>
      <c r="M212" s="129"/>
      <c r="N212" s="129"/>
      <c r="O212" s="129"/>
    </row>
    <row r="213" spans="3:15">
      <c r="C213" s="129"/>
      <c r="D213" s="129"/>
      <c r="E213" s="129"/>
      <c r="F213" s="129"/>
      <c r="G213" s="129"/>
      <c r="H213" s="129"/>
      <c r="I213" s="129"/>
      <c r="J213" s="129"/>
      <c r="K213" s="129"/>
      <c r="L213" s="129"/>
      <c r="M213" s="129"/>
      <c r="N213" s="129"/>
      <c r="O213" s="129"/>
    </row>
    <row r="214" spans="3:15">
      <c r="C214" s="129"/>
      <c r="D214" s="129"/>
      <c r="E214" s="129"/>
      <c r="F214" s="129"/>
      <c r="G214" s="129"/>
      <c r="H214" s="129"/>
      <c r="I214" s="129"/>
      <c r="J214" s="129"/>
      <c r="K214" s="129"/>
      <c r="L214" s="129"/>
      <c r="M214" s="129"/>
      <c r="N214" s="129"/>
      <c r="O214" s="129"/>
    </row>
    <row r="215" spans="3:15">
      <c r="C215" s="129"/>
      <c r="D215" s="129"/>
      <c r="E215" s="129"/>
      <c r="F215" s="129"/>
      <c r="G215" s="129"/>
      <c r="H215" s="129"/>
      <c r="I215" s="129"/>
      <c r="J215" s="129"/>
      <c r="K215" s="129"/>
      <c r="L215" s="129"/>
      <c r="M215" s="129"/>
      <c r="N215" s="129"/>
      <c r="O215" s="129"/>
    </row>
    <row r="216" spans="3:15">
      <c r="C216" s="129"/>
      <c r="D216" s="129"/>
      <c r="E216" s="129"/>
      <c r="F216" s="129"/>
      <c r="G216" s="129"/>
      <c r="H216" s="129"/>
      <c r="I216" s="129"/>
      <c r="J216" s="129"/>
      <c r="K216" s="129"/>
      <c r="L216" s="129"/>
      <c r="M216" s="129"/>
      <c r="N216" s="129"/>
      <c r="O216" s="129"/>
    </row>
    <row r="217" spans="3:15">
      <c r="C217" s="129"/>
      <c r="D217" s="129"/>
      <c r="E217" s="129"/>
      <c r="F217" s="129"/>
      <c r="G217" s="129"/>
      <c r="H217" s="129"/>
      <c r="I217" s="129"/>
      <c r="J217" s="129"/>
      <c r="K217" s="129"/>
      <c r="L217" s="129"/>
      <c r="M217" s="129"/>
      <c r="N217" s="129"/>
      <c r="O217" s="129"/>
    </row>
    <row r="218" spans="3:15">
      <c r="C218" s="129"/>
      <c r="D218" s="129"/>
      <c r="E218" s="129"/>
      <c r="F218" s="129"/>
      <c r="G218" s="129"/>
      <c r="H218" s="129"/>
      <c r="I218" s="129"/>
      <c r="J218" s="129"/>
      <c r="K218" s="129"/>
      <c r="L218" s="129"/>
      <c r="M218" s="129"/>
      <c r="N218" s="129"/>
      <c r="O218" s="129"/>
    </row>
    <row r="219" spans="3:15">
      <c r="C219" s="129"/>
      <c r="D219" s="129"/>
      <c r="E219" s="129"/>
      <c r="F219" s="129"/>
      <c r="G219" s="129"/>
      <c r="H219" s="129"/>
      <c r="I219" s="129"/>
      <c r="J219" s="129"/>
      <c r="K219" s="129"/>
      <c r="L219" s="129"/>
      <c r="M219" s="129"/>
      <c r="N219" s="129"/>
      <c r="O219" s="129"/>
    </row>
    <row r="220" spans="3:15">
      <c r="C220" s="129"/>
      <c r="D220" s="129"/>
      <c r="E220" s="129"/>
      <c r="F220" s="129"/>
      <c r="G220" s="129"/>
      <c r="H220" s="129"/>
      <c r="I220" s="129"/>
      <c r="J220" s="129"/>
      <c r="K220" s="129"/>
      <c r="L220" s="129"/>
      <c r="M220" s="129"/>
      <c r="N220" s="129"/>
      <c r="O220" s="129"/>
    </row>
    <row r="221" spans="3:15">
      <c r="C221" s="129"/>
      <c r="D221" s="129"/>
      <c r="E221" s="129"/>
      <c r="F221" s="129"/>
      <c r="G221" s="129"/>
      <c r="H221" s="129"/>
      <c r="I221" s="129"/>
      <c r="J221" s="129"/>
      <c r="K221" s="129"/>
      <c r="L221" s="129"/>
      <c r="M221" s="129"/>
      <c r="N221" s="129"/>
      <c r="O221" s="129"/>
    </row>
    <row r="222" spans="3:15">
      <c r="C222" s="129"/>
      <c r="D222" s="129"/>
      <c r="E222" s="129"/>
      <c r="F222" s="129"/>
      <c r="G222" s="129"/>
      <c r="H222" s="129"/>
      <c r="I222" s="129"/>
      <c r="J222" s="129"/>
      <c r="K222" s="129"/>
      <c r="L222" s="129"/>
      <c r="M222" s="129"/>
      <c r="N222" s="129"/>
      <c r="O222" s="129"/>
    </row>
    <row r="223" spans="3:15">
      <c r="C223" s="129"/>
      <c r="D223" s="129"/>
      <c r="E223" s="129"/>
      <c r="F223" s="129"/>
      <c r="G223" s="129"/>
      <c r="H223" s="129"/>
      <c r="I223" s="129"/>
      <c r="J223" s="129"/>
      <c r="K223" s="129"/>
      <c r="L223" s="129"/>
      <c r="M223" s="129"/>
      <c r="N223" s="129"/>
      <c r="O223" s="129"/>
    </row>
    <row r="224" spans="3:15">
      <c r="C224" s="129"/>
      <c r="D224" s="129"/>
      <c r="E224" s="129"/>
      <c r="F224" s="129"/>
      <c r="G224" s="129"/>
      <c r="H224" s="129"/>
      <c r="I224" s="129"/>
      <c r="J224" s="129"/>
      <c r="K224" s="129"/>
      <c r="L224" s="129"/>
      <c r="M224" s="129"/>
      <c r="N224" s="129"/>
      <c r="O224" s="129"/>
    </row>
    <row r="225" spans="3:15">
      <c r="C225" s="129"/>
      <c r="D225" s="129"/>
      <c r="E225" s="129"/>
      <c r="F225" s="129"/>
      <c r="G225" s="129"/>
      <c r="H225" s="129"/>
      <c r="I225" s="129"/>
      <c r="J225" s="129"/>
      <c r="K225" s="129"/>
      <c r="L225" s="129"/>
      <c r="M225" s="129"/>
      <c r="N225" s="129"/>
      <c r="O225" s="129"/>
    </row>
    <row r="226" spans="3:15">
      <c r="C226" s="129"/>
      <c r="D226" s="129"/>
      <c r="E226" s="129"/>
      <c r="F226" s="129"/>
      <c r="G226" s="129"/>
      <c r="H226" s="129"/>
      <c r="I226" s="129"/>
      <c r="J226" s="129"/>
      <c r="K226" s="129"/>
      <c r="L226" s="129"/>
      <c r="M226" s="129"/>
      <c r="N226" s="129"/>
      <c r="O226" s="129"/>
    </row>
    <row r="227" spans="3:15">
      <c r="C227" s="129"/>
      <c r="D227" s="129"/>
      <c r="E227" s="129"/>
      <c r="F227" s="129"/>
      <c r="G227" s="129"/>
      <c r="H227" s="129"/>
      <c r="I227" s="129"/>
      <c r="J227" s="129"/>
      <c r="K227" s="129"/>
      <c r="L227" s="129"/>
      <c r="M227" s="129"/>
      <c r="N227" s="129"/>
      <c r="O227" s="129"/>
    </row>
    <row r="228" spans="3:15">
      <c r="C228" s="129"/>
      <c r="D228" s="129"/>
      <c r="E228" s="129"/>
      <c r="F228" s="129"/>
      <c r="G228" s="129"/>
      <c r="H228" s="129"/>
      <c r="I228" s="129"/>
      <c r="J228" s="129"/>
      <c r="K228" s="129"/>
      <c r="L228" s="129"/>
      <c r="M228" s="129"/>
      <c r="N228" s="129"/>
      <c r="O228" s="129"/>
    </row>
    <row r="229" spans="3:15">
      <c r="C229" s="129"/>
      <c r="D229" s="129"/>
      <c r="E229" s="129"/>
      <c r="F229" s="129"/>
      <c r="G229" s="129"/>
      <c r="H229" s="129"/>
      <c r="I229" s="129"/>
      <c r="J229" s="129"/>
      <c r="K229" s="129"/>
      <c r="L229" s="129"/>
      <c r="M229" s="129"/>
      <c r="N229" s="129"/>
      <c r="O229" s="129"/>
    </row>
    <row r="230" spans="3:15">
      <c r="C230" s="129"/>
      <c r="D230" s="129"/>
      <c r="E230" s="129"/>
      <c r="F230" s="129"/>
      <c r="G230" s="129"/>
      <c r="H230" s="129"/>
      <c r="I230" s="129"/>
      <c r="J230" s="129"/>
      <c r="K230" s="129"/>
      <c r="L230" s="129"/>
      <c r="M230" s="129"/>
      <c r="N230" s="129"/>
      <c r="O230" s="129"/>
    </row>
    <row r="231" spans="3:15">
      <c r="C231" s="129"/>
      <c r="D231" s="129"/>
      <c r="E231" s="129"/>
      <c r="F231" s="129"/>
      <c r="G231" s="129"/>
      <c r="H231" s="129"/>
      <c r="I231" s="129"/>
      <c r="J231" s="129"/>
      <c r="K231" s="129"/>
      <c r="L231" s="129"/>
      <c r="M231" s="129"/>
      <c r="N231" s="129"/>
      <c r="O231" s="129"/>
    </row>
    <row r="232" spans="3:15">
      <c r="C232" s="129"/>
      <c r="D232" s="129"/>
      <c r="E232" s="129"/>
      <c r="F232" s="129"/>
      <c r="G232" s="129"/>
      <c r="H232" s="129"/>
      <c r="I232" s="129"/>
      <c r="J232" s="129"/>
      <c r="K232" s="129"/>
      <c r="L232" s="129"/>
      <c r="M232" s="129"/>
      <c r="N232" s="129"/>
      <c r="O232" s="129"/>
    </row>
    <row r="233" spans="3:15">
      <c r="C233" s="129"/>
      <c r="D233" s="129"/>
      <c r="E233" s="129"/>
      <c r="F233" s="129"/>
      <c r="G233" s="129"/>
      <c r="H233" s="129"/>
      <c r="I233" s="129"/>
      <c r="J233" s="129"/>
      <c r="K233" s="129"/>
      <c r="L233" s="129"/>
      <c r="M233" s="129"/>
      <c r="N233" s="129"/>
      <c r="O233" s="129"/>
    </row>
    <row r="234" spans="3:15">
      <c r="C234" s="129"/>
      <c r="D234" s="129"/>
      <c r="E234" s="129"/>
      <c r="F234" s="129"/>
      <c r="G234" s="129"/>
      <c r="H234" s="129"/>
      <c r="I234" s="129"/>
      <c r="J234" s="129"/>
      <c r="K234" s="129"/>
      <c r="L234" s="129"/>
      <c r="M234" s="129"/>
      <c r="N234" s="129"/>
      <c r="O234" s="129"/>
    </row>
    <row r="235" spans="3:15">
      <c r="C235" s="129"/>
      <c r="D235" s="129"/>
      <c r="E235" s="129"/>
      <c r="F235" s="129"/>
      <c r="G235" s="129"/>
      <c r="H235" s="129"/>
      <c r="I235" s="129"/>
      <c r="J235" s="129"/>
      <c r="K235" s="129"/>
      <c r="L235" s="129"/>
      <c r="M235" s="129"/>
      <c r="N235" s="129"/>
      <c r="O235" s="129"/>
    </row>
    <row r="236" spans="3:15">
      <c r="C236" s="129"/>
      <c r="D236" s="129"/>
      <c r="E236" s="129"/>
      <c r="F236" s="129"/>
      <c r="G236" s="129"/>
      <c r="H236" s="129"/>
      <c r="I236" s="129"/>
      <c r="J236" s="129"/>
      <c r="K236" s="129"/>
      <c r="L236" s="129"/>
      <c r="M236" s="129"/>
      <c r="N236" s="129"/>
      <c r="O236" s="129"/>
    </row>
    <row r="237" spans="3:15">
      <c r="C237" s="129"/>
      <c r="D237" s="129"/>
      <c r="E237" s="129"/>
      <c r="F237" s="129"/>
      <c r="G237" s="129"/>
      <c r="H237" s="129"/>
      <c r="I237" s="129"/>
      <c r="J237" s="129"/>
      <c r="K237" s="129"/>
      <c r="L237" s="129"/>
      <c r="M237" s="129"/>
      <c r="N237" s="129"/>
      <c r="O237" s="129"/>
    </row>
    <row r="238" spans="3:15">
      <c r="C238" s="129"/>
      <c r="D238" s="129"/>
      <c r="E238" s="129"/>
      <c r="F238" s="129"/>
      <c r="G238" s="129"/>
      <c r="H238" s="129"/>
      <c r="I238" s="129"/>
      <c r="J238" s="129"/>
      <c r="K238" s="129"/>
      <c r="L238" s="129"/>
      <c r="M238" s="129"/>
      <c r="N238" s="129"/>
      <c r="O238" s="129"/>
    </row>
    <row r="239" spans="3:15">
      <c r="C239" s="129"/>
      <c r="D239" s="129"/>
      <c r="E239" s="129"/>
      <c r="F239" s="129"/>
      <c r="G239" s="129"/>
      <c r="H239" s="129"/>
      <c r="I239" s="129"/>
      <c r="J239" s="129"/>
      <c r="K239" s="129"/>
      <c r="L239" s="129"/>
      <c r="M239" s="129"/>
      <c r="N239" s="129"/>
      <c r="O239" s="129"/>
    </row>
    <row r="240" spans="3:15">
      <c r="C240" s="129"/>
      <c r="D240" s="129"/>
      <c r="E240" s="129"/>
      <c r="F240" s="129"/>
      <c r="G240" s="129"/>
      <c r="H240" s="129"/>
      <c r="I240" s="129"/>
      <c r="J240" s="129"/>
      <c r="K240" s="129"/>
      <c r="L240" s="129"/>
      <c r="M240" s="129"/>
      <c r="N240" s="129"/>
      <c r="O240" s="129"/>
    </row>
    <row r="241" spans="3:15">
      <c r="C241" s="129"/>
      <c r="D241" s="129"/>
      <c r="E241" s="129"/>
      <c r="F241" s="129"/>
      <c r="G241" s="129"/>
      <c r="H241" s="129"/>
      <c r="I241" s="129"/>
      <c r="J241" s="129"/>
      <c r="K241" s="129"/>
      <c r="L241" s="129"/>
      <c r="M241" s="129"/>
      <c r="N241" s="129"/>
      <c r="O241" s="129"/>
    </row>
    <row r="242" spans="3:15">
      <c r="C242" s="129"/>
      <c r="D242" s="129"/>
      <c r="E242" s="129"/>
      <c r="F242" s="129"/>
      <c r="G242" s="129"/>
      <c r="H242" s="129"/>
      <c r="I242" s="129"/>
      <c r="J242" s="129"/>
      <c r="K242" s="129"/>
      <c r="L242" s="129"/>
      <c r="M242" s="129"/>
      <c r="N242" s="129"/>
      <c r="O242" s="129"/>
    </row>
    <row r="243" spans="3:15">
      <c r="C243" s="129"/>
      <c r="D243" s="129"/>
      <c r="E243" s="129"/>
      <c r="F243" s="129"/>
      <c r="G243" s="129"/>
      <c r="H243" s="129"/>
      <c r="I243" s="129"/>
      <c r="J243" s="129"/>
      <c r="K243" s="129"/>
      <c r="L243" s="129"/>
      <c r="M243" s="129"/>
      <c r="N243" s="129"/>
      <c r="O243" s="129"/>
    </row>
    <row r="244" spans="3:15">
      <c r="C244" s="129"/>
      <c r="D244" s="129"/>
      <c r="E244" s="129"/>
      <c r="F244" s="129"/>
      <c r="G244" s="129"/>
      <c r="H244" s="129"/>
      <c r="I244" s="129"/>
      <c r="J244" s="129"/>
      <c r="K244" s="129"/>
      <c r="L244" s="129"/>
      <c r="M244" s="129"/>
      <c r="N244" s="129"/>
      <c r="O244" s="129"/>
    </row>
    <row r="245" spans="3:15">
      <c r="C245" s="129"/>
      <c r="D245" s="129"/>
      <c r="E245" s="129"/>
      <c r="F245" s="129"/>
      <c r="G245" s="129"/>
      <c r="H245" s="129"/>
      <c r="I245" s="129"/>
      <c r="J245" s="129"/>
      <c r="K245" s="129"/>
      <c r="L245" s="129"/>
      <c r="M245" s="129"/>
      <c r="N245" s="129"/>
      <c r="O245" s="129"/>
    </row>
    <row r="246" spans="3:15">
      <c r="C246" s="129"/>
      <c r="D246" s="129"/>
      <c r="E246" s="129"/>
      <c r="F246" s="129"/>
      <c r="G246" s="129"/>
      <c r="H246" s="129"/>
      <c r="I246" s="129"/>
      <c r="J246" s="129"/>
      <c r="K246" s="129"/>
      <c r="L246" s="129"/>
      <c r="M246" s="129"/>
      <c r="N246" s="129"/>
      <c r="O246" s="129"/>
    </row>
    <row r="247" spans="3:15">
      <c r="C247" s="129"/>
      <c r="D247" s="129"/>
      <c r="E247" s="129"/>
      <c r="F247" s="129"/>
      <c r="G247" s="129"/>
      <c r="H247" s="129"/>
      <c r="I247" s="129"/>
      <c r="J247" s="129"/>
      <c r="K247" s="129"/>
      <c r="L247" s="129"/>
      <c r="M247" s="129"/>
      <c r="N247" s="129"/>
      <c r="O247" s="129"/>
    </row>
    <row r="248" spans="3:15">
      <c r="C248" s="129"/>
      <c r="D248" s="129"/>
      <c r="E248" s="129"/>
      <c r="F248" s="129"/>
      <c r="G248" s="129"/>
      <c r="H248" s="129"/>
      <c r="I248" s="129"/>
      <c r="J248" s="129"/>
      <c r="K248" s="129"/>
      <c r="L248" s="129"/>
      <c r="M248" s="129"/>
      <c r="N248" s="129"/>
      <c r="O248" s="129"/>
    </row>
    <row r="249" spans="3:15">
      <c r="C249" s="129"/>
      <c r="D249" s="129"/>
      <c r="E249" s="129"/>
      <c r="F249" s="129"/>
      <c r="G249" s="129"/>
      <c r="H249" s="129"/>
      <c r="I249" s="129"/>
      <c r="J249" s="129"/>
      <c r="K249" s="129"/>
      <c r="L249" s="129"/>
      <c r="M249" s="129"/>
      <c r="N249" s="129"/>
      <c r="O249" s="129"/>
    </row>
    <row r="250" spans="3:15">
      <c r="C250" s="129"/>
      <c r="D250" s="129"/>
      <c r="E250" s="129"/>
      <c r="F250" s="129"/>
      <c r="G250" s="129"/>
      <c r="H250" s="129"/>
      <c r="I250" s="129"/>
      <c r="J250" s="129"/>
      <c r="K250" s="129"/>
      <c r="L250" s="129"/>
      <c r="M250" s="129"/>
      <c r="N250" s="129"/>
      <c r="O250" s="129"/>
    </row>
    <row r="251" spans="3:15">
      <c r="C251" s="129"/>
      <c r="D251" s="129"/>
      <c r="E251" s="129"/>
      <c r="F251" s="129"/>
      <c r="G251" s="129"/>
      <c r="H251" s="129"/>
      <c r="I251" s="129"/>
      <c r="J251" s="129"/>
      <c r="K251" s="129"/>
      <c r="L251" s="129"/>
      <c r="M251" s="129"/>
      <c r="N251" s="129"/>
      <c r="O251" s="129"/>
    </row>
    <row r="252" spans="3:15">
      <c r="C252" s="129"/>
      <c r="D252" s="129"/>
      <c r="E252" s="129"/>
      <c r="F252" s="129"/>
      <c r="G252" s="129"/>
      <c r="H252" s="129"/>
      <c r="I252" s="129"/>
      <c r="J252" s="129"/>
      <c r="K252" s="129"/>
      <c r="L252" s="129"/>
      <c r="M252" s="129"/>
      <c r="N252" s="129"/>
      <c r="O252" s="129"/>
    </row>
    <row r="253" spans="3:15">
      <c r="C253" s="129"/>
      <c r="D253" s="129"/>
      <c r="E253" s="129"/>
      <c r="F253" s="129"/>
      <c r="G253" s="129"/>
      <c r="H253" s="129"/>
      <c r="I253" s="129"/>
      <c r="J253" s="129"/>
      <c r="K253" s="129"/>
      <c r="L253" s="129"/>
      <c r="M253" s="129"/>
      <c r="N253" s="129"/>
      <c r="O253" s="129"/>
    </row>
    <row r="254" spans="3:15">
      <c r="C254" s="129"/>
      <c r="D254" s="129"/>
      <c r="E254" s="129"/>
      <c r="F254" s="129"/>
      <c r="G254" s="129"/>
      <c r="H254" s="129"/>
      <c r="I254" s="129"/>
      <c r="J254" s="129"/>
      <c r="K254" s="129"/>
      <c r="L254" s="129"/>
      <c r="M254" s="129"/>
      <c r="N254" s="129"/>
      <c r="O254" s="129"/>
    </row>
    <row r="255" spans="3:15">
      <c r="C255" s="129"/>
      <c r="D255" s="129"/>
      <c r="E255" s="129"/>
      <c r="F255" s="129"/>
      <c r="G255" s="129"/>
      <c r="H255" s="129"/>
      <c r="I255" s="129"/>
      <c r="J255" s="129"/>
      <c r="K255" s="129"/>
      <c r="L255" s="129"/>
      <c r="M255" s="129"/>
      <c r="N255" s="129"/>
      <c r="O255" s="129"/>
    </row>
    <row r="256" spans="3:15">
      <c r="C256" s="129"/>
      <c r="D256" s="129"/>
      <c r="E256" s="129"/>
      <c r="F256" s="129"/>
      <c r="G256" s="129"/>
      <c r="H256" s="129"/>
      <c r="I256" s="129"/>
      <c r="J256" s="129"/>
      <c r="K256" s="129"/>
      <c r="L256" s="129"/>
      <c r="M256" s="129"/>
      <c r="N256" s="129"/>
      <c r="O256" s="129"/>
    </row>
    <row r="257" spans="3:15">
      <c r="C257" s="129"/>
      <c r="D257" s="129"/>
      <c r="E257" s="129"/>
      <c r="F257" s="129"/>
      <c r="G257" s="129"/>
      <c r="H257" s="129"/>
      <c r="I257" s="129"/>
      <c r="J257" s="129"/>
      <c r="K257" s="129"/>
      <c r="L257" s="129"/>
      <c r="M257" s="129"/>
      <c r="N257" s="129"/>
      <c r="O257" s="129"/>
    </row>
    <row r="258" spans="3:15">
      <c r="C258" s="129"/>
      <c r="D258" s="129"/>
      <c r="E258" s="129"/>
      <c r="F258" s="129"/>
      <c r="G258" s="129"/>
      <c r="H258" s="129"/>
      <c r="I258" s="129"/>
      <c r="J258" s="129"/>
      <c r="K258" s="129"/>
      <c r="L258" s="129"/>
      <c r="M258" s="129"/>
      <c r="N258" s="129"/>
      <c r="O258" s="129"/>
    </row>
    <row r="259" spans="3:15">
      <c r="C259" s="129"/>
      <c r="D259" s="129"/>
      <c r="E259" s="129"/>
      <c r="F259" s="129"/>
      <c r="G259" s="129"/>
      <c r="H259" s="129"/>
      <c r="I259" s="129"/>
      <c r="J259" s="129"/>
      <c r="K259" s="129"/>
      <c r="L259" s="129"/>
      <c r="M259" s="129"/>
      <c r="N259" s="129"/>
      <c r="O259" s="129"/>
    </row>
    <row r="260" spans="3:15">
      <c r="C260" s="129"/>
      <c r="D260" s="129"/>
      <c r="E260" s="129"/>
      <c r="F260" s="129"/>
      <c r="G260" s="129"/>
      <c r="H260" s="129"/>
      <c r="I260" s="129"/>
      <c r="J260" s="129"/>
      <c r="K260" s="129"/>
      <c r="L260" s="129"/>
      <c r="M260" s="129"/>
      <c r="N260" s="129"/>
      <c r="O260" s="129"/>
    </row>
    <row r="261" spans="3:15">
      <c r="C261" s="129"/>
      <c r="D261" s="129"/>
      <c r="E261" s="129"/>
      <c r="F261" s="129"/>
      <c r="G261" s="129"/>
      <c r="H261" s="129"/>
      <c r="I261" s="129"/>
      <c r="J261" s="129"/>
      <c r="K261" s="129"/>
      <c r="L261" s="129"/>
      <c r="M261" s="129"/>
      <c r="N261" s="129"/>
      <c r="O261" s="129"/>
    </row>
    <row r="262" spans="3:15">
      <c r="C262" s="129"/>
      <c r="D262" s="129"/>
      <c r="E262" s="129"/>
      <c r="F262" s="129"/>
      <c r="G262" s="129"/>
      <c r="H262" s="129"/>
      <c r="I262" s="129"/>
      <c r="J262" s="129"/>
      <c r="K262" s="129"/>
      <c r="L262" s="129"/>
      <c r="M262" s="129"/>
      <c r="N262" s="129"/>
      <c r="O262" s="129"/>
    </row>
    <row r="263" spans="3:15">
      <c r="C263" s="129"/>
      <c r="D263" s="129"/>
      <c r="E263" s="129"/>
      <c r="F263" s="129"/>
      <c r="G263" s="129"/>
      <c r="H263" s="129"/>
      <c r="I263" s="129"/>
      <c r="J263" s="129"/>
      <c r="K263" s="129"/>
      <c r="L263" s="129"/>
      <c r="M263" s="129"/>
      <c r="N263" s="129"/>
      <c r="O263" s="129"/>
    </row>
    <row r="264" spans="3:15">
      <c r="C264" s="129"/>
      <c r="D264" s="129"/>
      <c r="E264" s="129"/>
      <c r="F264" s="129"/>
      <c r="G264" s="129"/>
      <c r="H264" s="129"/>
      <c r="I264" s="129"/>
      <c r="J264" s="129"/>
      <c r="K264" s="129"/>
      <c r="L264" s="129"/>
      <c r="M264" s="129"/>
      <c r="N264" s="129"/>
      <c r="O264" s="129"/>
    </row>
    <row r="265" spans="3:15">
      <c r="C265" s="129"/>
      <c r="D265" s="129"/>
      <c r="E265" s="129"/>
      <c r="F265" s="129"/>
      <c r="G265" s="129"/>
      <c r="H265" s="129"/>
      <c r="I265" s="129"/>
      <c r="J265" s="129"/>
      <c r="K265" s="129"/>
      <c r="L265" s="129"/>
      <c r="M265" s="129"/>
      <c r="N265" s="129"/>
      <c r="O265" s="129"/>
    </row>
    <row r="266" spans="3:15">
      <c r="C266" s="129"/>
      <c r="D266" s="129"/>
      <c r="E266" s="129"/>
      <c r="F266" s="129"/>
      <c r="G266" s="129"/>
      <c r="H266" s="129"/>
      <c r="I266" s="129"/>
      <c r="J266" s="129"/>
      <c r="K266" s="129"/>
      <c r="L266" s="129"/>
      <c r="M266" s="129"/>
      <c r="N266" s="129"/>
      <c r="O266" s="129"/>
    </row>
    <row r="267" spans="3:15">
      <c r="C267" s="129"/>
      <c r="D267" s="129"/>
      <c r="E267" s="129"/>
      <c r="F267" s="129"/>
      <c r="G267" s="129"/>
      <c r="H267" s="129"/>
      <c r="I267" s="129"/>
      <c r="J267" s="129"/>
      <c r="K267" s="129"/>
      <c r="L267" s="129"/>
      <c r="M267" s="129"/>
      <c r="N267" s="129"/>
      <c r="O267" s="129"/>
    </row>
    <row r="268" spans="3:15">
      <c r="C268" s="129"/>
      <c r="D268" s="129"/>
      <c r="E268" s="129"/>
      <c r="F268" s="129"/>
      <c r="G268" s="129"/>
      <c r="H268" s="129"/>
      <c r="I268" s="129"/>
      <c r="J268" s="129"/>
      <c r="K268" s="129"/>
      <c r="L268" s="129"/>
      <c r="M268" s="129"/>
      <c r="N268" s="129"/>
      <c r="O268" s="129"/>
    </row>
    <row r="269" spans="3:15">
      <c r="C269" s="129"/>
      <c r="D269" s="129"/>
      <c r="E269" s="129"/>
      <c r="F269" s="129"/>
      <c r="G269" s="129"/>
      <c r="H269" s="129"/>
      <c r="I269" s="129"/>
      <c r="J269" s="129"/>
      <c r="K269" s="129"/>
      <c r="L269" s="129"/>
      <c r="M269" s="129"/>
      <c r="N269" s="129"/>
      <c r="O269" s="129"/>
    </row>
    <row r="270" spans="3:15">
      <c r="C270" s="129"/>
      <c r="D270" s="129"/>
      <c r="E270" s="129"/>
      <c r="F270" s="129"/>
      <c r="G270" s="129"/>
      <c r="H270" s="129"/>
      <c r="I270" s="129"/>
      <c r="J270" s="129"/>
      <c r="K270" s="129"/>
      <c r="L270" s="129"/>
      <c r="M270" s="129"/>
      <c r="N270" s="129"/>
      <c r="O270" s="129"/>
    </row>
    <row r="271" spans="3:15">
      <c r="C271" s="129"/>
      <c r="D271" s="129"/>
      <c r="E271" s="129"/>
      <c r="F271" s="129"/>
      <c r="G271" s="129"/>
      <c r="H271" s="129"/>
      <c r="I271" s="129"/>
      <c r="J271" s="129"/>
      <c r="K271" s="129"/>
      <c r="L271" s="129"/>
      <c r="M271" s="129"/>
      <c r="N271" s="129"/>
      <c r="O271" s="129"/>
    </row>
    <row r="272" spans="3:15">
      <c r="C272" s="129"/>
      <c r="D272" s="129"/>
      <c r="E272" s="129"/>
      <c r="F272" s="129"/>
      <c r="G272" s="129"/>
      <c r="H272" s="129"/>
      <c r="I272" s="129"/>
      <c r="J272" s="129"/>
      <c r="K272" s="129"/>
      <c r="L272" s="129"/>
      <c r="M272" s="129"/>
      <c r="N272" s="129"/>
      <c r="O272" s="129"/>
    </row>
    <row r="273" spans="3:15">
      <c r="C273" s="129"/>
      <c r="D273" s="129"/>
      <c r="E273" s="129"/>
      <c r="F273" s="129"/>
      <c r="G273" s="129"/>
      <c r="H273" s="129"/>
      <c r="I273" s="129"/>
      <c r="J273" s="129"/>
      <c r="K273" s="129"/>
      <c r="L273" s="129"/>
      <c r="M273" s="129"/>
      <c r="N273" s="129"/>
      <c r="O273" s="129"/>
    </row>
    <row r="274" spans="3:15">
      <c r="C274" s="129"/>
      <c r="D274" s="129"/>
      <c r="E274" s="129"/>
      <c r="F274" s="129"/>
      <c r="G274" s="129"/>
      <c r="H274" s="129"/>
      <c r="I274" s="129"/>
      <c r="J274" s="129"/>
      <c r="K274" s="129"/>
      <c r="L274" s="129"/>
      <c r="M274" s="129"/>
      <c r="N274" s="129"/>
      <c r="O274" s="129"/>
    </row>
    <row r="275" spans="3:15">
      <c r="C275" s="129"/>
      <c r="D275" s="129"/>
      <c r="E275" s="129"/>
      <c r="F275" s="129"/>
      <c r="G275" s="129"/>
      <c r="H275" s="129"/>
      <c r="I275" s="129"/>
      <c r="J275" s="129"/>
      <c r="K275" s="129"/>
      <c r="L275" s="129"/>
      <c r="M275" s="129"/>
      <c r="N275" s="129"/>
      <c r="O275" s="129"/>
    </row>
    <row r="276" spans="3:15">
      <c r="C276" s="129"/>
      <c r="D276" s="129"/>
      <c r="E276" s="129"/>
      <c r="F276" s="129"/>
      <c r="G276" s="129"/>
      <c r="H276" s="129"/>
      <c r="I276" s="129"/>
      <c r="J276" s="129"/>
      <c r="K276" s="129"/>
      <c r="L276" s="129"/>
      <c r="M276" s="129"/>
      <c r="N276" s="129"/>
      <c r="O276" s="129"/>
    </row>
    <row r="277" spans="3:15">
      <c r="C277" s="129"/>
      <c r="D277" s="129"/>
      <c r="E277" s="129"/>
      <c r="F277" s="129"/>
      <c r="G277" s="129"/>
      <c r="H277" s="129"/>
      <c r="I277" s="129"/>
      <c r="J277" s="129"/>
      <c r="K277" s="129"/>
      <c r="L277" s="129"/>
      <c r="M277" s="129"/>
      <c r="N277" s="129"/>
      <c r="O277" s="129"/>
    </row>
    <row r="278" spans="3:15">
      <c r="C278" s="129"/>
      <c r="D278" s="129"/>
      <c r="E278" s="129"/>
      <c r="F278" s="129"/>
      <c r="G278" s="129"/>
      <c r="H278" s="129"/>
      <c r="I278" s="129"/>
      <c r="J278" s="129"/>
      <c r="K278" s="129"/>
      <c r="L278" s="129"/>
      <c r="M278" s="129"/>
      <c r="N278" s="129"/>
      <c r="O278" s="129"/>
    </row>
    <row r="279" spans="3:15">
      <c r="C279" s="129"/>
      <c r="D279" s="129"/>
      <c r="E279" s="129"/>
      <c r="F279" s="129"/>
      <c r="G279" s="129"/>
      <c r="H279" s="129"/>
      <c r="I279" s="129"/>
      <c r="J279" s="129"/>
      <c r="K279" s="129"/>
      <c r="L279" s="129"/>
      <c r="M279" s="129"/>
      <c r="N279" s="129"/>
      <c r="O279" s="129"/>
    </row>
    <row r="280" spans="3:15">
      <c r="C280" s="129"/>
      <c r="D280" s="129"/>
      <c r="E280" s="129"/>
      <c r="F280" s="129"/>
      <c r="G280" s="129"/>
      <c r="H280" s="129"/>
      <c r="I280" s="129"/>
      <c r="J280" s="129"/>
      <c r="K280" s="129"/>
      <c r="L280" s="129"/>
      <c r="M280" s="129"/>
      <c r="N280" s="129"/>
      <c r="O280" s="129"/>
    </row>
    <row r="281" spans="3:15">
      <c r="C281" s="129"/>
      <c r="D281" s="129"/>
      <c r="E281" s="129"/>
      <c r="F281" s="129"/>
      <c r="G281" s="129"/>
      <c r="H281" s="129"/>
      <c r="I281" s="129"/>
      <c r="J281" s="129"/>
      <c r="K281" s="129"/>
      <c r="L281" s="129"/>
      <c r="M281" s="129"/>
      <c r="N281" s="129"/>
      <c r="O281" s="129"/>
    </row>
    <row r="282" spans="3:15">
      <c r="C282" s="129"/>
      <c r="D282" s="129"/>
      <c r="E282" s="129"/>
      <c r="F282" s="129"/>
      <c r="G282" s="129"/>
      <c r="H282" s="129"/>
      <c r="I282" s="129"/>
      <c r="J282" s="129"/>
      <c r="K282" s="129"/>
      <c r="L282" s="129"/>
      <c r="M282" s="129"/>
      <c r="N282" s="129"/>
      <c r="O282" s="129"/>
    </row>
    <row r="283" spans="3:15">
      <c r="C283" s="129"/>
      <c r="D283" s="129"/>
      <c r="E283" s="129"/>
      <c r="F283" s="129"/>
      <c r="G283" s="129"/>
      <c r="H283" s="129"/>
      <c r="I283" s="129"/>
      <c r="J283" s="129"/>
      <c r="K283" s="129"/>
      <c r="L283" s="129"/>
      <c r="M283" s="129"/>
      <c r="N283" s="129"/>
      <c r="O283" s="129"/>
    </row>
    <row r="284" spans="3:15">
      <c r="C284" s="129"/>
      <c r="D284" s="129"/>
      <c r="E284" s="129"/>
      <c r="F284" s="129"/>
      <c r="G284" s="129"/>
      <c r="H284" s="129"/>
      <c r="I284" s="129"/>
      <c r="J284" s="129"/>
      <c r="K284" s="129"/>
      <c r="L284" s="129"/>
      <c r="M284" s="129"/>
      <c r="N284" s="129"/>
      <c r="O284" s="129"/>
    </row>
    <row r="285" spans="3:15">
      <c r="C285" s="129"/>
      <c r="D285" s="129"/>
      <c r="E285" s="129"/>
      <c r="F285" s="129"/>
      <c r="G285" s="129"/>
      <c r="H285" s="129"/>
      <c r="I285" s="129"/>
      <c r="J285" s="129"/>
      <c r="K285" s="129"/>
      <c r="L285" s="129"/>
      <c r="M285" s="129"/>
      <c r="N285" s="129"/>
      <c r="O285" s="129"/>
    </row>
    <row r="286" spans="3:15">
      <c r="C286" s="129"/>
      <c r="D286" s="129"/>
      <c r="E286" s="129"/>
      <c r="F286" s="129"/>
      <c r="G286" s="129"/>
      <c r="H286" s="129"/>
      <c r="I286" s="129"/>
      <c r="J286" s="129"/>
      <c r="K286" s="129"/>
      <c r="L286" s="129"/>
      <c r="M286" s="129"/>
      <c r="N286" s="129"/>
      <c r="O286" s="129"/>
    </row>
    <row r="287" spans="3:15">
      <c r="C287" s="129"/>
      <c r="D287" s="129"/>
      <c r="E287" s="129"/>
      <c r="F287" s="129"/>
      <c r="G287" s="129"/>
      <c r="H287" s="129"/>
      <c r="I287" s="129"/>
      <c r="J287" s="129"/>
      <c r="K287" s="129"/>
      <c r="L287" s="129"/>
      <c r="M287" s="129"/>
      <c r="N287" s="129"/>
      <c r="O287" s="129"/>
    </row>
    <row r="288" spans="3:15">
      <c r="C288" s="129"/>
      <c r="D288" s="129"/>
      <c r="E288" s="129"/>
      <c r="F288" s="129"/>
      <c r="G288" s="129"/>
      <c r="H288" s="129"/>
      <c r="I288" s="129"/>
      <c r="J288" s="129"/>
      <c r="K288" s="129"/>
      <c r="L288" s="129"/>
      <c r="M288" s="129"/>
      <c r="N288" s="129"/>
      <c r="O288" s="129"/>
    </row>
    <row r="289" spans="3:15">
      <c r="C289" s="129"/>
      <c r="D289" s="129"/>
      <c r="E289" s="129"/>
      <c r="F289" s="129"/>
      <c r="G289" s="129"/>
      <c r="H289" s="129"/>
      <c r="I289" s="129"/>
      <c r="J289" s="129"/>
      <c r="K289" s="129"/>
      <c r="L289" s="129"/>
      <c r="M289" s="129"/>
      <c r="N289" s="129"/>
      <c r="O289" s="129"/>
    </row>
    <row r="290" spans="3:15">
      <c r="C290" s="129"/>
      <c r="D290" s="129"/>
      <c r="E290" s="129"/>
      <c r="F290" s="129"/>
      <c r="G290" s="129"/>
      <c r="H290" s="129"/>
      <c r="I290" s="129"/>
      <c r="J290" s="129"/>
      <c r="K290" s="129"/>
      <c r="L290" s="129"/>
      <c r="M290" s="129"/>
      <c r="N290" s="129"/>
      <c r="O290" s="129"/>
    </row>
    <row r="291" spans="3:15">
      <c r="C291" s="129"/>
      <c r="D291" s="129"/>
      <c r="E291" s="129"/>
      <c r="F291" s="129"/>
      <c r="G291" s="129"/>
      <c r="H291" s="129"/>
      <c r="I291" s="129"/>
      <c r="J291" s="129"/>
    </row>
    <row r="292" spans="3:15">
      <c r="C292" s="129"/>
      <c r="D292" s="129"/>
      <c r="E292" s="129"/>
      <c r="F292" s="129"/>
      <c r="G292" s="129"/>
      <c r="H292" s="129"/>
      <c r="I292" s="129"/>
      <c r="J292" s="129"/>
    </row>
    <row r="293" spans="3:15">
      <c r="C293" s="129"/>
      <c r="D293" s="129"/>
      <c r="E293" s="129"/>
      <c r="F293" s="129"/>
      <c r="G293" s="129"/>
      <c r="H293" s="129"/>
      <c r="I293" s="129"/>
      <c r="J293" s="129"/>
    </row>
    <row r="294" spans="3:15">
      <c r="C294" s="129"/>
      <c r="D294" s="129"/>
      <c r="E294" s="129"/>
      <c r="F294" s="129"/>
      <c r="G294" s="129"/>
      <c r="H294" s="129"/>
      <c r="I294" s="129"/>
      <c r="J294" s="129"/>
    </row>
    <row r="295" spans="3:15">
      <c r="C295" s="129"/>
      <c r="D295" s="129"/>
      <c r="E295" s="129"/>
      <c r="F295" s="129"/>
      <c r="G295" s="129"/>
      <c r="H295" s="129"/>
      <c r="I295" s="129"/>
      <c r="J295" s="129"/>
    </row>
    <row r="296" spans="3:15">
      <c r="C296" s="129"/>
      <c r="D296" s="129"/>
      <c r="E296" s="129"/>
      <c r="F296" s="129"/>
      <c r="G296" s="129"/>
      <c r="H296" s="129"/>
      <c r="I296" s="129"/>
      <c r="J296" s="129"/>
    </row>
    <row r="297" spans="3:15">
      <c r="C297" s="129"/>
      <c r="D297" s="129"/>
      <c r="E297" s="129"/>
      <c r="F297" s="129"/>
      <c r="G297" s="129"/>
      <c r="H297" s="129"/>
      <c r="I297" s="129"/>
      <c r="J297" s="129"/>
    </row>
    <row r="298" spans="3:15">
      <c r="C298" s="129"/>
      <c r="D298" s="129"/>
      <c r="E298" s="129"/>
      <c r="F298" s="129"/>
      <c r="G298" s="129"/>
      <c r="H298" s="129"/>
      <c r="I298" s="129"/>
      <c r="J298" s="129"/>
    </row>
  </sheetData>
  <mergeCells count="8">
    <mergeCell ref="M99:X99"/>
    <mergeCell ref="M100:X100"/>
    <mergeCell ref="M93:X93"/>
    <mergeCell ref="M94:X94"/>
    <mergeCell ref="M95:X95"/>
    <mergeCell ref="M96:X96"/>
    <mergeCell ref="M97:X97"/>
    <mergeCell ref="M98:X98"/>
  </mergeCells>
  <printOptions horizontalCentered="1"/>
  <pageMargins left="0.75" right="0.75" top="0.75" bottom="0.5" header="0.5" footer="0.5"/>
  <pageSetup scale="57" orientation="landscape" horizontalDpi="300" verticalDpi="300" r:id="rId1"/>
  <headerFooter alignWithMargins="0"/>
  <rowBreaks count="1" manualBreakCount="1">
    <brk id="48" min="10" max="2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1" tint="4.9989318521683403E-2"/>
    <pageSetUpPr fitToPage="1"/>
  </sheetPr>
  <dimension ref="A1:AB51"/>
  <sheetViews>
    <sheetView view="pageBreakPreview" zoomScale="80" zoomScaleNormal="80" zoomScaleSheetLayoutView="80" workbookViewId="0"/>
  </sheetViews>
  <sheetFormatPr defaultColWidth="16.21875" defaultRowHeight="12.75"/>
  <cols>
    <col min="1" max="1" width="7.21875" style="52" customWidth="1"/>
    <col min="2" max="3" width="2.109375" style="52" customWidth="1"/>
    <col min="4" max="4" width="45.77734375" style="52" customWidth="1"/>
    <col min="5" max="5" width="2" style="52" customWidth="1"/>
    <col min="6" max="6" width="16.5546875" style="52" bestFit="1" customWidth="1"/>
    <col min="7" max="7" width="16.33203125" style="52" bestFit="1" customWidth="1"/>
    <col min="8" max="8" width="3.44140625" style="52" customWidth="1"/>
    <col min="9" max="9" width="6.21875" style="52" customWidth="1"/>
    <col min="10" max="11" width="16.21875" style="52"/>
    <col min="12" max="12" width="36.77734375" style="52" customWidth="1"/>
    <col min="13" max="14" width="10.6640625" style="52" customWidth="1"/>
    <col min="15" max="16384" width="16.21875" style="52"/>
  </cols>
  <sheetData>
    <row r="1" spans="1:28" s="64" customFormat="1" ht="18">
      <c r="A1" s="69" t="s">
        <v>389</v>
      </c>
      <c r="B1" s="583"/>
      <c r="C1" s="583"/>
      <c r="D1" s="79"/>
      <c r="E1" s="79"/>
      <c r="F1" s="65"/>
      <c r="G1" s="65"/>
      <c r="H1" s="61"/>
      <c r="J1" s="305"/>
      <c r="K1" s="305"/>
      <c r="O1" s="186"/>
    </row>
    <row r="2" spans="1:28" s="64" customFormat="1" ht="18">
      <c r="C2" s="79"/>
      <c r="D2" s="79"/>
      <c r="E2" s="79"/>
      <c r="F2" s="65"/>
      <c r="G2" s="65"/>
      <c r="H2" s="61"/>
      <c r="J2" s="186"/>
      <c r="K2" s="186"/>
      <c r="O2" s="186"/>
    </row>
    <row r="3" spans="1:28" s="64" customFormat="1" ht="18">
      <c r="C3" s="79"/>
      <c r="D3" s="79"/>
      <c r="E3" s="79"/>
      <c r="F3" s="65"/>
      <c r="G3" s="61" t="s">
        <v>393</v>
      </c>
      <c r="H3" s="61"/>
      <c r="K3" s="787"/>
      <c r="L3" s="278"/>
      <c r="V3" s="186"/>
      <c r="AB3" s="186" t="s">
        <v>531</v>
      </c>
    </row>
    <row r="4" spans="1:28" s="64" customFormat="1" ht="15.75">
      <c r="C4" s="69"/>
      <c r="D4" s="69"/>
      <c r="E4" s="69"/>
      <c r="F4" s="70"/>
      <c r="G4" s="61" t="str">
        <f>"Page 1 of "&amp;Workpaper</f>
        <v>Page 1 of 19</v>
      </c>
      <c r="H4" s="61"/>
      <c r="J4" s="186"/>
    </row>
    <row r="5" spans="1:28" s="64" customFormat="1" ht="15.75">
      <c r="C5" s="69"/>
      <c r="D5" s="69"/>
      <c r="E5" s="69"/>
      <c r="F5" s="70"/>
      <c r="G5" s="61" t="str">
        <f>"For the 12 months ended: "&amp;TEXT(INPUT!$B$1,"mm/dd/yyyy")</f>
        <v>For the 12 months ended: 12/31/2021</v>
      </c>
      <c r="H5" s="61"/>
      <c r="L5" s="186"/>
      <c r="M5" s="186"/>
    </row>
    <row r="6" spans="1:28" s="64" customFormat="1" ht="17.25">
      <c r="C6" s="69"/>
      <c r="D6" s="69"/>
      <c r="E6" s="69"/>
      <c r="F6" s="70"/>
      <c r="H6" s="61"/>
      <c r="L6" s="532"/>
      <c r="M6" s="532"/>
    </row>
    <row r="7" spans="1:28" s="64" customFormat="1" ht="15.75">
      <c r="A7" s="69" t="s">
        <v>500</v>
      </c>
      <c r="B7" s="583"/>
      <c r="C7" s="583"/>
      <c r="D7" s="69"/>
      <c r="E7" s="69"/>
      <c r="F7" s="70"/>
      <c r="G7" s="70"/>
      <c r="H7" s="61"/>
      <c r="I7" s="186"/>
      <c r="K7" s="186"/>
      <c r="L7" s="667"/>
      <c r="M7" s="667"/>
      <c r="N7" s="186"/>
    </row>
    <row r="8" spans="1:28" s="64" customFormat="1" ht="15.75">
      <c r="A8" s="69" t="s">
        <v>757</v>
      </c>
      <c r="B8" s="583"/>
      <c r="C8" s="583"/>
      <c r="D8" s="69"/>
      <c r="E8" s="69"/>
      <c r="F8" s="70"/>
      <c r="G8" s="70"/>
      <c r="H8" s="61"/>
      <c r="K8" s="186"/>
      <c r="L8" s="667"/>
      <c r="M8" s="667"/>
      <c r="N8" s="186"/>
    </row>
    <row r="9" spans="1:28" s="64" customFormat="1" ht="15">
      <c r="C9" s="9"/>
      <c r="D9" s="9"/>
      <c r="E9" s="9"/>
      <c r="F9" s="9"/>
      <c r="G9" s="9"/>
      <c r="H9" s="61"/>
      <c r="K9" s="186"/>
      <c r="L9" s="667"/>
      <c r="M9" s="667"/>
      <c r="N9" s="186"/>
    </row>
    <row r="10" spans="1:28" s="64" customFormat="1" ht="16.5" thickBot="1">
      <c r="A10" s="436" t="s">
        <v>8</v>
      </c>
      <c r="C10" s="72"/>
      <c r="D10" s="72"/>
      <c r="E10" s="72"/>
      <c r="F10" s="821"/>
      <c r="G10" s="821"/>
      <c r="H10" s="71"/>
    </row>
    <row r="11" spans="1:28" s="64" customFormat="1" ht="21" thickBot="1">
      <c r="A11" s="387" t="s">
        <v>10</v>
      </c>
      <c r="D11" s="338" t="s">
        <v>210</v>
      </c>
      <c r="E11" s="141"/>
      <c r="F11" s="74" t="s">
        <v>180</v>
      </c>
      <c r="G11" s="74" t="s">
        <v>181</v>
      </c>
      <c r="H11" s="74"/>
      <c r="I11" s="669"/>
    </row>
    <row r="12" spans="1:28" s="64" customFormat="1" ht="20.25">
      <c r="C12" s="71"/>
      <c r="D12" s="71"/>
      <c r="E12" s="71"/>
      <c r="F12" s="323"/>
      <c r="G12" s="74"/>
      <c r="H12" s="74"/>
      <c r="N12" s="186"/>
    </row>
    <row r="13" spans="1:28" s="64" customFormat="1" ht="18" customHeight="1">
      <c r="A13" s="573">
        <v>1</v>
      </c>
      <c r="C13" s="356" t="s">
        <v>501</v>
      </c>
      <c r="D13" s="984"/>
      <c r="F13" s="324">
        <v>93793906</v>
      </c>
      <c r="G13" s="324">
        <f>53751239</f>
        <v>53751239</v>
      </c>
      <c r="H13" s="143"/>
      <c r="I13" s="186"/>
    </row>
    <row r="14" spans="1:28" s="64" customFormat="1" ht="15">
      <c r="A14" s="573">
        <v>2</v>
      </c>
      <c r="C14" s="76"/>
      <c r="D14" s="76"/>
      <c r="E14" s="76"/>
      <c r="F14" s="985"/>
      <c r="G14" s="985"/>
      <c r="H14" s="283"/>
    </row>
    <row r="15" spans="1:28" s="64" customFormat="1" ht="15.75">
      <c r="A15" s="573">
        <v>3</v>
      </c>
      <c r="C15" s="76" t="s">
        <v>488</v>
      </c>
      <c r="D15" s="76"/>
      <c r="E15" s="76"/>
      <c r="F15" s="985"/>
      <c r="G15" s="370"/>
      <c r="H15" s="283"/>
      <c r="M15" s="186"/>
      <c r="N15" s="186"/>
    </row>
    <row r="16" spans="1:28" s="64" customFormat="1" ht="15">
      <c r="A16" s="573">
        <v>4</v>
      </c>
      <c r="C16" s="76"/>
      <c r="D16" s="76" t="s">
        <v>1007</v>
      </c>
      <c r="E16" s="76"/>
      <c r="F16" s="370">
        <v>2263254</v>
      </c>
      <c r="G16" s="370">
        <v>467764</v>
      </c>
      <c r="H16" s="283"/>
      <c r="M16" s="186"/>
      <c r="N16" s="186"/>
    </row>
    <row r="17" spans="1:14" s="64" customFormat="1" ht="15">
      <c r="A17" s="573">
        <v>5</v>
      </c>
      <c r="C17" s="76"/>
      <c r="D17" s="76" t="s">
        <v>1008</v>
      </c>
      <c r="E17" s="76"/>
      <c r="F17" s="370">
        <v>32795</v>
      </c>
      <c r="G17" s="370">
        <v>1074197</v>
      </c>
      <c r="H17" s="283"/>
      <c r="I17" s="186"/>
      <c r="J17" s="186"/>
      <c r="K17" s="52"/>
      <c r="L17" s="52"/>
      <c r="M17" s="881"/>
      <c r="N17" s="881"/>
    </row>
    <row r="18" spans="1:14" s="64" customFormat="1" ht="15">
      <c r="A18" s="573">
        <v>6</v>
      </c>
      <c r="C18" s="76"/>
      <c r="D18" s="76" t="s">
        <v>990</v>
      </c>
      <c r="E18" s="76"/>
      <c r="F18" s="370">
        <v>0</v>
      </c>
      <c r="G18" s="370">
        <v>3235578</v>
      </c>
      <c r="H18" s="283"/>
      <c r="I18" s="186"/>
      <c r="J18" s="186"/>
      <c r="M18" s="881"/>
      <c r="N18" s="881"/>
    </row>
    <row r="19" spans="1:14" s="64" customFormat="1" ht="15">
      <c r="A19" s="573">
        <v>7</v>
      </c>
      <c r="C19" s="76"/>
      <c r="D19" s="76" t="s">
        <v>1009</v>
      </c>
      <c r="E19" s="76"/>
      <c r="F19" s="370">
        <f>70402132-4553771</f>
        <v>65848361</v>
      </c>
      <c r="G19" s="370">
        <f>21059305-861754</f>
        <v>20197551</v>
      </c>
      <c r="H19" s="283"/>
      <c r="I19" s="186"/>
      <c r="J19" s="186"/>
      <c r="K19" s="52"/>
      <c r="L19" s="52"/>
      <c r="M19" s="881"/>
      <c r="N19" s="881"/>
    </row>
    <row r="20" spans="1:14" s="64" customFormat="1" ht="15">
      <c r="A20" s="573">
        <v>8</v>
      </c>
      <c r="C20" s="76"/>
      <c r="D20" s="76" t="s">
        <v>1010</v>
      </c>
      <c r="E20" s="76"/>
      <c r="F20" s="370">
        <v>0</v>
      </c>
      <c r="G20" s="370">
        <f>441430-(3672*20)+4</f>
        <v>367994</v>
      </c>
      <c r="H20" s="283"/>
      <c r="I20" s="186"/>
      <c r="J20" s="186"/>
      <c r="L20" s="186"/>
      <c r="M20" s="881"/>
      <c r="N20" s="881"/>
    </row>
    <row r="21" spans="1:14" s="64" customFormat="1" ht="17.25">
      <c r="A21" s="573">
        <v>9</v>
      </c>
      <c r="C21" s="76"/>
      <c r="D21" s="76" t="s">
        <v>899</v>
      </c>
      <c r="E21" s="141"/>
      <c r="F21" s="332">
        <v>638830</v>
      </c>
      <c r="G21" s="332">
        <v>-249155</v>
      </c>
      <c r="H21" s="283"/>
      <c r="I21" s="186"/>
      <c r="J21" s="186"/>
      <c r="M21" s="881"/>
      <c r="N21" s="881"/>
    </row>
    <row r="22" spans="1:14" s="64" customFormat="1" ht="15.75">
      <c r="A22" s="573">
        <v>10</v>
      </c>
      <c r="C22" s="76"/>
      <c r="D22" s="76" t="s">
        <v>629</v>
      </c>
      <c r="E22" s="141"/>
      <c r="F22" s="986">
        <f>SUM(F16:F21)</f>
        <v>68783240</v>
      </c>
      <c r="G22" s="986">
        <f>SUM(G16:G21)</f>
        <v>25093929</v>
      </c>
      <c r="H22" s="283"/>
      <c r="J22" s="186"/>
    </row>
    <row r="23" spans="1:14" s="64" customFormat="1" ht="17.25">
      <c r="A23" s="573">
        <v>11</v>
      </c>
      <c r="C23" s="76"/>
      <c r="D23" s="76"/>
      <c r="E23" s="141"/>
      <c r="F23" s="370"/>
      <c r="G23" s="370"/>
      <c r="H23" s="283"/>
      <c r="I23" s="332"/>
    </row>
    <row r="24" spans="1:14" s="64" customFormat="1" ht="17.25">
      <c r="A24" s="573">
        <v>12</v>
      </c>
      <c r="C24" s="357" t="s">
        <v>523</v>
      </c>
      <c r="D24" s="987"/>
      <c r="E24" s="987"/>
      <c r="F24" s="945">
        <f>F13-F22</f>
        <v>25010666</v>
      </c>
      <c r="G24" s="945">
        <f>G13-G22</f>
        <v>28657310</v>
      </c>
      <c r="H24" s="945"/>
      <c r="J24" s="988"/>
      <c r="K24" s="988"/>
      <c r="N24" s="186"/>
    </row>
    <row r="25" spans="1:14" s="64" customFormat="1" ht="19.5" customHeight="1">
      <c r="A25" s="573">
        <v>13</v>
      </c>
      <c r="C25" s="989"/>
      <c r="D25" s="989"/>
      <c r="E25" s="989"/>
      <c r="F25" s="990"/>
      <c r="G25" s="990"/>
      <c r="H25" s="990"/>
      <c r="J25" s="991"/>
      <c r="N25" s="186"/>
    </row>
    <row r="26" spans="1:14" s="64" customFormat="1" ht="15.75" thickBot="1">
      <c r="A26" s="573">
        <v>14</v>
      </c>
      <c r="C26" s="52"/>
      <c r="D26" s="52"/>
      <c r="E26" s="52"/>
      <c r="F26" s="992"/>
      <c r="G26" s="992"/>
      <c r="H26" s="52"/>
      <c r="I26" s="52"/>
      <c r="J26" s="52"/>
      <c r="K26" s="52"/>
      <c r="L26" s="52"/>
    </row>
    <row r="27" spans="1:14" ht="21" thickBot="1">
      <c r="A27" s="573">
        <v>15</v>
      </c>
      <c r="C27" s="64"/>
      <c r="D27" s="338" t="s">
        <v>209</v>
      </c>
      <c r="E27" s="141"/>
      <c r="F27" s="74" t="s">
        <v>180</v>
      </c>
      <c r="G27" s="74" t="s">
        <v>181</v>
      </c>
      <c r="H27" s="74"/>
      <c r="I27" s="64"/>
      <c r="J27" s="64"/>
      <c r="K27" s="64"/>
      <c r="L27" s="64"/>
    </row>
    <row r="28" spans="1:14" s="64" customFormat="1" ht="20.25">
      <c r="A28" s="573">
        <v>16</v>
      </c>
      <c r="C28" s="71"/>
      <c r="D28" s="71"/>
      <c r="E28" s="71"/>
      <c r="F28" s="323"/>
      <c r="G28" s="74"/>
      <c r="H28" s="74"/>
      <c r="N28" s="186"/>
    </row>
    <row r="29" spans="1:14" s="64" customFormat="1" ht="15">
      <c r="A29" s="573">
        <v>17</v>
      </c>
      <c r="C29" s="75" t="s">
        <v>991</v>
      </c>
      <c r="D29" s="75"/>
      <c r="F29" s="993">
        <f>606180200+3679749</f>
        <v>609859949</v>
      </c>
      <c r="G29" s="993">
        <f>227752649</f>
        <v>227752649</v>
      </c>
      <c r="H29" s="143"/>
      <c r="I29" s="186"/>
      <c r="K29" s="186"/>
    </row>
    <row r="30" spans="1:14" s="64" customFormat="1" ht="15">
      <c r="A30" s="573">
        <v>18</v>
      </c>
      <c r="C30" s="76"/>
      <c r="D30" s="76"/>
      <c r="E30" s="76"/>
      <c r="F30" s="985"/>
      <c r="G30" s="985"/>
      <c r="H30" s="283"/>
    </row>
    <row r="31" spans="1:14" s="64" customFormat="1" ht="15.75">
      <c r="A31" s="573">
        <v>19</v>
      </c>
      <c r="C31" s="76" t="s">
        <v>489</v>
      </c>
      <c r="D31" s="76"/>
      <c r="E31" s="76"/>
      <c r="F31" s="985"/>
      <c r="G31" s="985"/>
      <c r="H31" s="283"/>
    </row>
    <row r="32" spans="1:14" s="64" customFormat="1" ht="15">
      <c r="A32" s="573">
        <v>20</v>
      </c>
      <c r="C32" s="76"/>
      <c r="D32" s="668" t="s">
        <v>993</v>
      </c>
      <c r="E32" s="76"/>
      <c r="F32" s="994">
        <v>27187734</v>
      </c>
      <c r="G32" s="994">
        <v>3488064</v>
      </c>
      <c r="H32" s="283"/>
      <c r="I32" s="186"/>
      <c r="J32" s="186"/>
      <c r="K32" s="52"/>
      <c r="L32" s="52"/>
    </row>
    <row r="33" spans="1:14" s="64" customFormat="1" ht="15.75">
      <c r="A33" s="573">
        <v>21</v>
      </c>
      <c r="C33" s="995"/>
      <c r="D33" s="542" t="s">
        <v>992</v>
      </c>
      <c r="E33" s="76"/>
      <c r="F33" s="370">
        <v>-3840317</v>
      </c>
      <c r="G33" s="996">
        <v>-458021</v>
      </c>
      <c r="H33" s="283"/>
      <c r="I33" s="186"/>
      <c r="J33" s="186"/>
      <c r="K33" s="52"/>
      <c r="L33" s="52"/>
    </row>
    <row r="34" spans="1:14" s="64" customFormat="1" ht="17.25">
      <c r="A34" s="573">
        <v>22</v>
      </c>
      <c r="C34" s="76"/>
      <c r="D34" s="76" t="s">
        <v>899</v>
      </c>
      <c r="E34" s="76"/>
      <c r="F34" s="332">
        <f>3679749</f>
        <v>3679749</v>
      </c>
      <c r="G34" s="332">
        <v>23829637</v>
      </c>
      <c r="H34" s="283"/>
      <c r="I34" s="186"/>
      <c r="J34" s="186"/>
      <c r="N34" s="186"/>
    </row>
    <row r="35" spans="1:14" s="64" customFormat="1" ht="15">
      <c r="A35" s="573">
        <v>23</v>
      </c>
      <c r="C35" s="76"/>
      <c r="D35" s="76" t="s">
        <v>630</v>
      </c>
      <c r="E35" s="76"/>
      <c r="F35" s="986">
        <f>SUM(F32:F34)</f>
        <v>27027166</v>
      </c>
      <c r="G35" s="986">
        <f>SUM(G32:G34)</f>
        <v>26859680</v>
      </c>
      <c r="H35" s="283"/>
      <c r="I35" s="186"/>
      <c r="N35" s="186"/>
    </row>
    <row r="36" spans="1:14" s="64" customFormat="1" ht="15">
      <c r="A36" s="573">
        <v>24</v>
      </c>
      <c r="C36" s="76"/>
      <c r="D36" s="76"/>
      <c r="E36" s="76"/>
      <c r="F36" s="370"/>
      <c r="G36" s="370"/>
      <c r="H36" s="283"/>
      <c r="J36"/>
    </row>
    <row r="37" spans="1:14" s="64" customFormat="1" ht="17.25">
      <c r="A37" s="573">
        <v>25</v>
      </c>
      <c r="C37" s="357" t="s">
        <v>524</v>
      </c>
      <c r="D37" s="987"/>
      <c r="E37" s="987"/>
      <c r="F37" s="945">
        <f>F29-F35</f>
        <v>582832783</v>
      </c>
      <c r="G37" s="945">
        <f>G29-G35</f>
        <v>200892969</v>
      </c>
      <c r="H37" s="945"/>
      <c r="N37" s="186"/>
    </row>
    <row r="38" spans="1:14" s="64" customFormat="1" ht="19.5" customHeight="1">
      <c r="A38" s="573">
        <v>26</v>
      </c>
      <c r="C38" s="52"/>
      <c r="D38" s="52"/>
      <c r="E38" s="52"/>
      <c r="F38" s="52"/>
      <c r="G38" s="52"/>
      <c r="H38" s="52"/>
      <c r="I38" s="52"/>
      <c r="J38" s="52"/>
      <c r="K38" s="52"/>
      <c r="L38" s="52"/>
      <c r="N38" s="186"/>
    </row>
    <row r="39" spans="1:14" ht="15.75" thickBot="1">
      <c r="A39" s="573">
        <v>27</v>
      </c>
      <c r="F39" s="992"/>
      <c r="G39" s="992"/>
    </row>
    <row r="40" spans="1:14" ht="21" thickBot="1">
      <c r="A40" s="573">
        <v>28</v>
      </c>
      <c r="C40" s="64"/>
      <c r="D40" s="338" t="s">
        <v>531</v>
      </c>
      <c r="E40" s="141"/>
      <c r="F40" s="74" t="s">
        <v>180</v>
      </c>
      <c r="G40" s="74" t="s">
        <v>181</v>
      </c>
    </row>
    <row r="41" spans="1:14" ht="20.25">
      <c r="A41" s="573">
        <v>29</v>
      </c>
      <c r="C41" s="71"/>
      <c r="D41" s="71"/>
      <c r="E41" s="71"/>
      <c r="F41" s="323"/>
      <c r="G41" s="74"/>
    </row>
    <row r="42" spans="1:14" ht="15">
      <c r="A42" s="573">
        <v>30</v>
      </c>
      <c r="C42" s="75" t="s">
        <v>994</v>
      </c>
      <c r="D42" s="75"/>
      <c r="E42" s="64"/>
      <c r="F42" s="993">
        <f>40282474</f>
        <v>40282474</v>
      </c>
      <c r="G42" s="993">
        <v>31279405.46456768</v>
      </c>
      <c r="I42" s="186"/>
      <c r="J42" s="64"/>
      <c r="K42" s="186"/>
      <c r="L42" s="64"/>
    </row>
    <row r="43" spans="1:14" ht="15">
      <c r="A43" s="573">
        <v>31</v>
      </c>
      <c r="C43" s="76"/>
      <c r="D43" s="76"/>
      <c r="E43" s="76"/>
      <c r="F43" s="985"/>
      <c r="G43" s="985"/>
    </row>
    <row r="44" spans="1:14" ht="15.75">
      <c r="A44" s="573">
        <v>32</v>
      </c>
      <c r="C44" s="76" t="s">
        <v>489</v>
      </c>
      <c r="D44" s="76"/>
      <c r="E44" s="76"/>
      <c r="F44" s="985"/>
      <c r="G44" s="985"/>
    </row>
    <row r="45" spans="1:14" ht="15">
      <c r="A45" s="573">
        <v>33</v>
      </c>
      <c r="C45" s="76"/>
      <c r="D45" s="76" t="s">
        <v>1007</v>
      </c>
      <c r="E45" s="76"/>
      <c r="F45" s="370">
        <v>-48666</v>
      </c>
      <c r="G45" s="370">
        <v>-929353</v>
      </c>
      <c r="J45" s="186"/>
      <c r="K45" s="64"/>
      <c r="L45" s="64"/>
    </row>
    <row r="46" spans="1:14" ht="15">
      <c r="A46" s="573">
        <v>34</v>
      </c>
      <c r="C46" s="76"/>
      <c r="D46" s="668" t="s">
        <v>1011</v>
      </c>
      <c r="E46" s="76"/>
      <c r="F46" s="370">
        <v>6352934</v>
      </c>
      <c r="G46" s="370">
        <v>1140485</v>
      </c>
      <c r="J46" s="186"/>
    </row>
    <row r="47" spans="1:14" ht="17.25">
      <c r="A47" s="573">
        <v>35</v>
      </c>
      <c r="C47" s="76"/>
      <c r="D47" s="76" t="s">
        <v>899</v>
      </c>
      <c r="E47" s="76"/>
      <c r="F47" s="332">
        <v>-63386</v>
      </c>
      <c r="G47" s="332">
        <v>0</v>
      </c>
      <c r="J47" s="186"/>
    </row>
    <row r="48" spans="1:14" ht="15">
      <c r="A48" s="573">
        <v>36</v>
      </c>
      <c r="C48" s="76"/>
      <c r="D48" s="76" t="s">
        <v>631</v>
      </c>
      <c r="E48" s="76"/>
      <c r="F48" s="986">
        <f>SUM(F45:F47)</f>
        <v>6240882</v>
      </c>
      <c r="G48" s="986">
        <f>SUM(G45:G47)</f>
        <v>211132</v>
      </c>
    </row>
    <row r="49" spans="1:10" ht="15">
      <c r="A49" s="573">
        <v>37</v>
      </c>
      <c r="C49" s="76"/>
      <c r="D49" s="76"/>
      <c r="E49" s="76"/>
      <c r="F49" s="370"/>
      <c r="G49" s="370"/>
    </row>
    <row r="50" spans="1:10" ht="17.25">
      <c r="A50" s="573">
        <v>38</v>
      </c>
      <c r="C50" s="357" t="s">
        <v>690</v>
      </c>
      <c r="D50" s="987"/>
      <c r="E50" s="987"/>
      <c r="F50" s="945">
        <f>F42-F48</f>
        <v>34041592</v>
      </c>
      <c r="G50" s="945">
        <f>G42-G48</f>
        <v>31068273.46456768</v>
      </c>
      <c r="J50" s="655"/>
    </row>
    <row r="51" spans="1:10" ht="19.5" customHeight="1">
      <c r="A51" s="573"/>
    </row>
  </sheetData>
  <phoneticPr fontId="0" type="noConversion"/>
  <pageMargins left="1" right="0.75" top="1" bottom="0.5" header="0.25" footer="0.25"/>
  <pageSetup scale="78" orientation="portrait" blackAndWhite="1" r:id="rId1"/>
  <headerFooter alignWithMargins="0"/>
  <ignoredErrors>
    <ignoredError sqref="F29" unlockedFormula="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theme="1"/>
    <pageSetUpPr fitToPage="1"/>
  </sheetPr>
  <dimension ref="A1:R278"/>
  <sheetViews>
    <sheetView view="pageBreakPreview" zoomScale="80" zoomScaleNormal="80" zoomScaleSheetLayoutView="80" workbookViewId="0"/>
  </sheetViews>
  <sheetFormatPr defaultColWidth="7.109375" defaultRowHeight="12.75"/>
  <cols>
    <col min="1" max="1" width="7.109375" style="56"/>
    <col min="2" max="2" width="1.21875" style="56" customWidth="1"/>
    <col min="3" max="3" width="18.44140625" style="56" customWidth="1"/>
    <col min="4" max="4" width="12.21875" style="56" customWidth="1"/>
    <col min="5" max="5" width="15.77734375" style="56" customWidth="1"/>
    <col min="6" max="6" width="12.21875" style="56" customWidth="1"/>
    <col min="7" max="7" width="1.44140625" style="56" customWidth="1"/>
    <col min="8" max="8" width="11.77734375" style="56" customWidth="1"/>
    <col min="9" max="9" width="1.109375" style="56" customWidth="1"/>
    <col min="10" max="10" width="14.44140625" style="56" customWidth="1"/>
    <col min="11" max="11" width="0.77734375" style="56" customWidth="1"/>
    <col min="12" max="12" width="13.77734375" style="56" customWidth="1"/>
    <col min="13" max="13" width="3.77734375" style="56" customWidth="1"/>
    <col min="14" max="16" width="7.109375" style="56"/>
    <col min="17" max="17" width="9.21875" style="56" customWidth="1"/>
    <col min="18" max="18" width="22.77734375" style="56" customWidth="1"/>
    <col min="19" max="16384" width="7.109375" style="56"/>
  </cols>
  <sheetData>
    <row r="1" spans="1:18" ht="15.75">
      <c r="A1" s="337" t="str">
        <f>'P1 ADIT'!A1</f>
        <v>Duke Energy Ohio and Duke Energy Kentucky</v>
      </c>
      <c r="B1" s="584"/>
      <c r="C1" s="584"/>
      <c r="D1" s="546"/>
      <c r="E1" s="546"/>
      <c r="F1" s="546"/>
      <c r="G1" s="546"/>
      <c r="H1" s="546"/>
      <c r="I1" s="546"/>
      <c r="J1" s="546"/>
      <c r="K1" s="546"/>
      <c r="L1" s="546"/>
      <c r="M1" s="456"/>
      <c r="N1" s="456"/>
      <c r="Q1" s="305"/>
      <c r="R1" s="305"/>
    </row>
    <row r="2" spans="1:18" ht="15.75">
      <c r="C2" s="337"/>
      <c r="D2" s="546"/>
      <c r="E2" s="546"/>
      <c r="F2" s="546"/>
      <c r="G2" s="546"/>
      <c r="H2" s="546"/>
      <c r="I2" s="546"/>
      <c r="J2" s="546"/>
      <c r="K2" s="456"/>
      <c r="L2" s="456"/>
      <c r="M2" s="456"/>
      <c r="N2" s="456"/>
    </row>
    <row r="3" spans="1:18" ht="15">
      <c r="C3" s="456"/>
      <c r="D3" s="456"/>
      <c r="E3" s="456"/>
      <c r="F3" s="456"/>
      <c r="G3" s="456"/>
      <c r="H3" s="553"/>
      <c r="I3" s="553"/>
      <c r="J3" s="670"/>
      <c r="K3" s="553"/>
      <c r="L3" s="670" t="s">
        <v>393</v>
      </c>
      <c r="M3" s="456"/>
      <c r="N3" s="456"/>
      <c r="O3" s="787"/>
      <c r="P3" s="278"/>
    </row>
    <row r="4" spans="1:18" ht="15">
      <c r="C4" s="456"/>
      <c r="D4" s="456"/>
      <c r="E4" s="456"/>
      <c r="F4" s="456"/>
      <c r="G4" s="456"/>
      <c r="H4" s="553"/>
      <c r="I4" s="553"/>
      <c r="J4" s="670"/>
      <c r="K4" s="553"/>
      <c r="L4" s="671" t="str">
        <f>"Page 2 of "&amp;Workpaper</f>
        <v>Page 2 of 19</v>
      </c>
      <c r="M4" s="456"/>
      <c r="N4" s="456"/>
    </row>
    <row r="5" spans="1:18" ht="15">
      <c r="C5" s="456"/>
      <c r="D5" s="456"/>
      <c r="E5" s="456"/>
      <c r="F5" s="456"/>
      <c r="G5" s="456"/>
      <c r="H5" s="553"/>
      <c r="I5" s="553"/>
      <c r="J5" s="670"/>
      <c r="K5" s="553"/>
      <c r="L5" s="549" t="str">
        <f>"For the 12 months ended: "&amp;TEXT(INPUT!$B$1,"mm/dd/yyyy")</f>
        <v>For the 12 months ended: 12/31/2021</v>
      </c>
      <c r="M5" s="456"/>
      <c r="N5" s="456"/>
    </row>
    <row r="6" spans="1:18" ht="15">
      <c r="C6" s="456"/>
      <c r="D6" s="456"/>
      <c r="E6" s="456"/>
      <c r="F6" s="456"/>
      <c r="G6" s="456"/>
      <c r="H6" s="456"/>
      <c r="I6" s="456"/>
      <c r="J6" s="260"/>
      <c r="K6" s="456"/>
      <c r="L6" s="260"/>
      <c r="M6" s="456"/>
      <c r="N6" s="456"/>
    </row>
    <row r="7" spans="1:18" ht="15.75">
      <c r="A7" s="516" t="s">
        <v>256</v>
      </c>
      <c r="B7" s="584"/>
      <c r="C7" s="584"/>
      <c r="D7" s="546"/>
      <c r="E7" s="546"/>
      <c r="F7" s="546"/>
      <c r="G7" s="546"/>
      <c r="H7" s="546"/>
      <c r="I7" s="546"/>
      <c r="J7" s="546"/>
      <c r="K7" s="546"/>
      <c r="L7" s="546"/>
      <c r="M7" s="456"/>
      <c r="N7" s="456"/>
    </row>
    <row r="8" spans="1:18" ht="15.75">
      <c r="A8" s="516" t="s">
        <v>319</v>
      </c>
      <c r="B8" s="584"/>
      <c r="C8" s="584"/>
      <c r="D8" s="546"/>
      <c r="E8" s="546"/>
      <c r="F8" s="546"/>
      <c r="G8" s="546"/>
      <c r="H8" s="546"/>
      <c r="I8" s="546"/>
      <c r="J8" s="546"/>
      <c r="K8" s="546"/>
      <c r="L8" s="546"/>
      <c r="M8" s="456"/>
      <c r="N8" s="456"/>
    </row>
    <row r="9" spans="1:18" ht="15.75">
      <c r="C9" s="516"/>
      <c r="D9" s="546"/>
      <c r="E9" s="546"/>
      <c r="F9" s="546"/>
      <c r="G9" s="546"/>
      <c r="H9" s="546"/>
      <c r="I9" s="546"/>
      <c r="J9" s="546"/>
      <c r="K9" s="456"/>
      <c r="L9" s="456"/>
      <c r="M9" s="456"/>
      <c r="N9" s="456"/>
    </row>
    <row r="10" spans="1:18" ht="15.75">
      <c r="C10" s="672"/>
      <c r="D10" s="456"/>
      <c r="E10" s="456"/>
      <c r="F10" s="456"/>
      <c r="G10" s="456"/>
      <c r="H10" s="673"/>
      <c r="I10" s="673"/>
      <c r="J10" s="456"/>
      <c r="K10" s="456"/>
      <c r="L10" s="456"/>
      <c r="M10" s="456"/>
      <c r="N10" s="456"/>
    </row>
    <row r="11" spans="1:18" ht="15">
      <c r="D11" s="456"/>
      <c r="E11" s="456"/>
      <c r="F11" s="456"/>
      <c r="G11" s="456"/>
      <c r="H11" s="674"/>
      <c r="I11" s="674"/>
      <c r="J11" s="260"/>
      <c r="K11" s="456"/>
      <c r="L11" s="456"/>
      <c r="M11" s="456"/>
      <c r="N11" s="456"/>
    </row>
    <row r="12" spans="1:18" ht="12.6" customHeight="1">
      <c r="A12" s="436"/>
      <c r="B12" s="64"/>
      <c r="C12" s="71"/>
      <c r="D12" s="456"/>
      <c r="E12" s="456"/>
      <c r="F12" s="456"/>
      <c r="G12" s="456"/>
      <c r="H12" s="456"/>
      <c r="I12" s="456"/>
      <c r="J12" s="456"/>
      <c r="K12" s="456"/>
      <c r="L12" s="456"/>
      <c r="M12" s="456"/>
      <c r="N12" s="456"/>
    </row>
    <row r="13" spans="1:18" ht="54" customHeight="1">
      <c r="A13" s="582" t="s">
        <v>225</v>
      </c>
      <c r="B13" s="64"/>
      <c r="C13" s="675" t="s">
        <v>416</v>
      </c>
      <c r="D13" s="576" t="s">
        <v>774</v>
      </c>
      <c r="E13" s="577" t="s">
        <v>775</v>
      </c>
      <c r="F13" s="576" t="s">
        <v>257</v>
      </c>
      <c r="G13" s="576"/>
      <c r="H13" s="576" t="s">
        <v>496</v>
      </c>
      <c r="I13" s="576"/>
      <c r="J13" s="578" t="s">
        <v>776</v>
      </c>
      <c r="K13" s="676"/>
      <c r="L13" s="576" t="s">
        <v>777</v>
      </c>
      <c r="M13" s="456"/>
      <c r="N13" s="456"/>
    </row>
    <row r="14" spans="1:18" ht="10.15" customHeight="1">
      <c r="A14" s="579"/>
      <c r="B14" s="64"/>
      <c r="C14" s="361"/>
      <c r="D14" s="576"/>
      <c r="E14" s="577"/>
      <c r="F14" s="576"/>
      <c r="G14" s="576"/>
      <c r="H14" s="576"/>
      <c r="I14" s="576"/>
      <c r="J14" s="578"/>
      <c r="K14" s="676"/>
      <c r="L14" s="578"/>
      <c r="M14" s="456"/>
      <c r="N14" s="456"/>
    </row>
    <row r="15" spans="1:18" ht="20.25">
      <c r="A15" s="580">
        <v>1</v>
      </c>
      <c r="B15" s="64"/>
      <c r="C15" s="677" t="s">
        <v>176</v>
      </c>
      <c r="D15" s="576"/>
      <c r="E15" s="577"/>
      <c r="F15" s="576"/>
      <c r="G15" s="576"/>
      <c r="H15" s="576"/>
      <c r="I15" s="576"/>
      <c r="J15" s="578"/>
      <c r="K15" s="676"/>
      <c r="L15" s="578"/>
      <c r="M15" s="456"/>
      <c r="N15" s="456"/>
    </row>
    <row r="16" spans="1:18" ht="14.65" customHeight="1">
      <c r="A16" s="580">
        <v>2</v>
      </c>
      <c r="B16" s="64"/>
      <c r="C16" s="677"/>
      <c r="D16" s="576"/>
      <c r="E16" s="577"/>
      <c r="F16" s="576"/>
      <c r="G16" s="576"/>
      <c r="H16" s="576"/>
      <c r="I16" s="576"/>
      <c r="J16" s="578"/>
      <c r="K16" s="676"/>
      <c r="L16" s="578"/>
      <c r="M16" s="456"/>
      <c r="N16" s="456"/>
    </row>
    <row r="17" spans="1:18" ht="15">
      <c r="A17" s="580">
        <v>3</v>
      </c>
      <c r="C17" s="553" t="s">
        <v>189</v>
      </c>
      <c r="D17" s="948">
        <v>0</v>
      </c>
      <c r="E17" s="948">
        <v>0</v>
      </c>
      <c r="F17" s="949">
        <f>SUM(D17:E17)</f>
        <v>0</v>
      </c>
      <c r="G17" s="950"/>
      <c r="H17" s="951">
        <f>F17/F21</f>
        <v>0</v>
      </c>
      <c r="I17" s="952"/>
      <c r="J17" s="953">
        <f>ROUND(H17*$J$21,0)</f>
        <v>0</v>
      </c>
      <c r="K17" s="954"/>
      <c r="L17" s="955"/>
      <c r="M17" s="547"/>
      <c r="N17" s="456"/>
    </row>
    <row r="18" spans="1:18" ht="17.25">
      <c r="A18" s="580">
        <v>4</v>
      </c>
      <c r="C18" s="553" t="s">
        <v>24</v>
      </c>
      <c r="D18" s="956">
        <v>1142296</v>
      </c>
      <c r="E18" s="956">
        <v>14682788</v>
      </c>
      <c r="F18" s="957">
        <f t="shared" ref="F18:F20" si="0">SUM(D18:E18)</f>
        <v>15825084</v>
      </c>
      <c r="G18" s="958"/>
      <c r="H18" s="951">
        <f>F18/$F$21</f>
        <v>0.26887012250524256</v>
      </c>
      <c r="I18" s="959"/>
      <c r="J18" s="782">
        <f>ROUND(H18*$J$21,0)</f>
        <v>1057186</v>
      </c>
      <c r="K18" s="958"/>
      <c r="L18" s="960">
        <f>J18+F18</f>
        <v>16882270</v>
      </c>
      <c r="M18" s="456"/>
      <c r="N18" s="456"/>
      <c r="R18" s="596"/>
    </row>
    <row r="19" spans="1:18" ht="15">
      <c r="A19" s="580">
        <v>5</v>
      </c>
      <c r="C19" s="553" t="s">
        <v>190</v>
      </c>
      <c r="D19" s="956">
        <v>3904895</v>
      </c>
      <c r="E19" s="956">
        <v>33194466</v>
      </c>
      <c r="F19" s="957">
        <f t="shared" si="0"/>
        <v>37099361</v>
      </c>
      <c r="G19" s="958"/>
      <c r="H19" s="951">
        <f t="shared" ref="H19:H20" si="1">F19/$F$21</f>
        <v>0.63032270393864687</v>
      </c>
      <c r="I19" s="961"/>
      <c r="J19" s="782">
        <f>ROUND(H19*$J$21,0)</f>
        <v>2478403</v>
      </c>
      <c r="K19" s="958"/>
      <c r="L19" s="958"/>
      <c r="M19" s="456"/>
      <c r="N19" s="456"/>
      <c r="R19" s="596"/>
    </row>
    <row r="20" spans="1:18" ht="17.25">
      <c r="A20" s="580">
        <v>6</v>
      </c>
      <c r="C20" s="553" t="s">
        <v>752</v>
      </c>
      <c r="D20" s="962">
        <v>0</v>
      </c>
      <c r="E20" s="962">
        <v>5933281</v>
      </c>
      <c r="F20" s="963">
        <f t="shared" si="0"/>
        <v>5933281</v>
      </c>
      <c r="G20" s="958"/>
      <c r="H20" s="964">
        <f t="shared" si="1"/>
        <v>0.10080717355611055</v>
      </c>
      <c r="I20" s="965"/>
      <c r="J20" s="966">
        <f>ROUND(H20*$J$21,0)</f>
        <v>396370</v>
      </c>
      <c r="K20" s="958"/>
      <c r="L20" s="958"/>
      <c r="M20" s="456"/>
      <c r="N20" s="456"/>
      <c r="R20" s="596"/>
    </row>
    <row r="21" spans="1:18" ht="17.25">
      <c r="A21" s="580">
        <v>7</v>
      </c>
      <c r="C21" s="553" t="s">
        <v>257</v>
      </c>
      <c r="D21" s="967">
        <f>SUM(D17:D20)</f>
        <v>5047191</v>
      </c>
      <c r="E21" s="967">
        <f>SUM(E17:E20)</f>
        <v>53810535</v>
      </c>
      <c r="F21" s="967">
        <f>SUM(F17:F20)</f>
        <v>58857726</v>
      </c>
      <c r="G21" s="958"/>
      <c r="H21" s="968">
        <f>SUM(H17:H20)</f>
        <v>1</v>
      </c>
      <c r="I21" s="969"/>
      <c r="J21" s="970">
        <v>3931959</v>
      </c>
      <c r="K21" s="958"/>
      <c r="L21" s="958"/>
      <c r="M21" s="456"/>
      <c r="N21" s="456"/>
    </row>
    <row r="22" spans="1:18" ht="15">
      <c r="A22" s="580">
        <v>8</v>
      </c>
      <c r="C22" s="553"/>
      <c r="D22" s="971"/>
      <c r="E22" s="958"/>
      <c r="F22" s="958"/>
      <c r="G22" s="958"/>
      <c r="H22" s="971"/>
      <c r="I22" s="972"/>
      <c r="J22" s="958"/>
      <c r="K22" s="958"/>
      <c r="L22" s="958"/>
      <c r="M22" s="456"/>
      <c r="N22" s="456"/>
    </row>
    <row r="23" spans="1:18" ht="15">
      <c r="A23" s="580">
        <v>9</v>
      </c>
      <c r="D23" s="973"/>
      <c r="E23" s="958"/>
      <c r="F23" s="958"/>
      <c r="G23" s="958"/>
      <c r="H23" s="974"/>
      <c r="I23" s="553"/>
      <c r="J23" s="958"/>
      <c r="K23" s="958"/>
      <c r="L23" s="958"/>
      <c r="M23" s="456"/>
      <c r="N23" s="456"/>
    </row>
    <row r="24" spans="1:18" ht="17.25">
      <c r="A24" s="580">
        <v>10</v>
      </c>
      <c r="C24" s="677" t="s">
        <v>177</v>
      </c>
      <c r="D24" s="958"/>
      <c r="E24" s="958"/>
      <c r="F24" s="958"/>
      <c r="G24" s="958"/>
      <c r="H24" s="971"/>
      <c r="I24" s="975"/>
      <c r="J24" s="958"/>
      <c r="K24" s="958"/>
      <c r="L24" s="958"/>
      <c r="M24" s="456"/>
      <c r="N24" s="456"/>
    </row>
    <row r="25" spans="1:18" ht="15" customHeight="1">
      <c r="A25" s="580">
        <v>11</v>
      </c>
      <c r="C25" s="677"/>
      <c r="D25" s="958"/>
      <c r="E25" s="958"/>
      <c r="F25" s="958"/>
      <c r="G25" s="958"/>
      <c r="H25" s="971"/>
      <c r="I25" s="975"/>
      <c r="J25" s="958"/>
      <c r="K25" s="958"/>
      <c r="L25" s="958"/>
      <c r="M25" s="456"/>
      <c r="N25" s="456"/>
    </row>
    <row r="26" spans="1:18" ht="15">
      <c r="A26" s="580">
        <v>12</v>
      </c>
      <c r="C26" s="553" t="s">
        <v>189</v>
      </c>
      <c r="D26" s="948">
        <v>10094202</v>
      </c>
      <c r="E26" s="948">
        <v>5817184</v>
      </c>
      <c r="F26" s="949">
        <f>SUM(D26:E26)</f>
        <v>15911386</v>
      </c>
      <c r="G26" s="958"/>
      <c r="H26" s="951">
        <f>F26/F29</f>
        <v>0.95236033409792842</v>
      </c>
      <c r="I26" s="952"/>
      <c r="J26" s="953">
        <f>ROUND($J$29*H26,0)</f>
        <v>-21449</v>
      </c>
      <c r="K26" s="958"/>
      <c r="L26" s="958"/>
      <c r="M26" s="547"/>
      <c r="N26" s="456"/>
    </row>
    <row r="27" spans="1:18" ht="17.25">
      <c r="A27" s="580">
        <v>13</v>
      </c>
      <c r="C27" s="553" t="s">
        <v>24</v>
      </c>
      <c r="D27" s="956">
        <v>101</v>
      </c>
      <c r="E27" s="956">
        <v>302</v>
      </c>
      <c r="F27" s="957">
        <f t="shared" ref="F27:F28" si="2">SUM(D27:E27)</f>
        <v>403</v>
      </c>
      <c r="G27" s="954"/>
      <c r="H27" s="976">
        <f>F27/F29</f>
        <v>2.4121167988851831E-5</v>
      </c>
      <c r="I27" s="959"/>
      <c r="J27" s="782">
        <f t="shared" ref="J27:J28" si="3">ROUND($J$29*H27,0)</f>
        <v>-1</v>
      </c>
      <c r="K27" s="954"/>
      <c r="L27" s="960">
        <f>J27+F27</f>
        <v>402</v>
      </c>
      <c r="M27" s="456"/>
      <c r="N27" s="456"/>
    </row>
    <row r="28" spans="1:18" ht="17.25">
      <c r="A28" s="580">
        <v>14</v>
      </c>
      <c r="C28" s="553" t="s">
        <v>190</v>
      </c>
      <c r="D28" s="962">
        <v>213994</v>
      </c>
      <c r="E28" s="962">
        <v>581534</v>
      </c>
      <c r="F28" s="963">
        <f t="shared" si="2"/>
        <v>795528</v>
      </c>
      <c r="G28" s="977"/>
      <c r="H28" s="978">
        <f>F28/F29</f>
        <v>4.7615544734082679E-2</v>
      </c>
      <c r="I28" s="965"/>
      <c r="J28" s="966">
        <f t="shared" si="3"/>
        <v>-1072</v>
      </c>
      <c r="K28" s="958"/>
      <c r="L28" s="979"/>
      <c r="M28" s="456"/>
      <c r="N28" s="456"/>
    </row>
    <row r="29" spans="1:18" ht="17.25">
      <c r="A29" s="580">
        <v>15</v>
      </c>
      <c r="C29" s="553" t="s">
        <v>257</v>
      </c>
      <c r="D29" s="967">
        <f>SUM(D26:D28)</f>
        <v>10308297</v>
      </c>
      <c r="E29" s="967">
        <f t="shared" ref="E29:F29" si="4">SUM(E26:E28)</f>
        <v>6399020</v>
      </c>
      <c r="F29" s="967">
        <f t="shared" si="4"/>
        <v>16707317</v>
      </c>
      <c r="G29" s="980"/>
      <c r="H29" s="968">
        <f>SUM(H26:H28)</f>
        <v>1</v>
      </c>
      <c r="I29" s="553"/>
      <c r="J29" s="970">
        <v>-22522</v>
      </c>
      <c r="K29" s="958"/>
      <c r="L29" s="979"/>
      <c r="M29" s="456"/>
      <c r="N29" s="456"/>
    </row>
    <row r="30" spans="1:18" ht="15">
      <c r="C30" s="456"/>
      <c r="D30" s="744"/>
      <c r="E30" s="456"/>
      <c r="F30" s="456"/>
      <c r="G30" s="456"/>
      <c r="H30" s="456"/>
      <c r="I30" s="456"/>
      <c r="J30" s="456"/>
      <c r="K30" s="456"/>
      <c r="L30" s="456"/>
      <c r="M30" s="456"/>
      <c r="N30" s="456"/>
    </row>
    <row r="31" spans="1:18" ht="15">
      <c r="C31" s="456"/>
      <c r="D31" s="744"/>
      <c r="E31" s="456"/>
      <c r="F31" s="456"/>
      <c r="G31" s="456"/>
      <c r="H31" s="745"/>
      <c r="I31" s="456"/>
      <c r="J31" s="782"/>
      <c r="K31" s="456"/>
      <c r="L31" s="456"/>
      <c r="M31" s="456"/>
      <c r="N31" s="456"/>
    </row>
    <row r="32" spans="1:18" ht="15">
      <c r="C32" s="456"/>
      <c r="D32" s="744"/>
      <c r="E32" s="456"/>
      <c r="F32" s="456"/>
      <c r="G32" s="456"/>
      <c r="H32" s="746"/>
      <c r="I32" s="456"/>
      <c r="J32" s="743"/>
      <c r="K32" s="456"/>
      <c r="L32" s="456"/>
      <c r="M32" s="456"/>
      <c r="N32" s="456"/>
    </row>
    <row r="33" spans="3:14" ht="18">
      <c r="C33" s="553" t="s">
        <v>804</v>
      </c>
      <c r="D33" s="981"/>
      <c r="E33" s="982"/>
      <c r="F33" s="678"/>
      <c r="G33" s="678"/>
      <c r="H33" s="747"/>
      <c r="I33" s="678"/>
      <c r="J33" s="743"/>
      <c r="K33" s="456"/>
      <c r="L33" s="456"/>
      <c r="M33" s="456"/>
      <c r="N33" s="456"/>
    </row>
    <row r="34" spans="3:14" ht="18">
      <c r="C34" s="958" t="s">
        <v>753</v>
      </c>
      <c r="D34" s="982"/>
      <c r="E34" s="982"/>
      <c r="F34" s="678"/>
      <c r="G34" s="678"/>
      <c r="H34" s="747"/>
      <c r="I34" s="678"/>
      <c r="J34" s="743"/>
      <c r="K34" s="456"/>
      <c r="L34" s="456"/>
      <c r="M34" s="456"/>
      <c r="N34" s="456"/>
    </row>
    <row r="35" spans="3:14" ht="18">
      <c r="C35" s="958" t="s">
        <v>750</v>
      </c>
      <c r="D35" s="782"/>
      <c r="E35" s="782"/>
      <c r="F35" s="679"/>
      <c r="G35" s="679"/>
      <c r="H35" s="679"/>
      <c r="I35" s="548"/>
      <c r="J35" s="456"/>
      <c r="K35" s="456"/>
      <c r="L35" s="456"/>
      <c r="M35" s="456"/>
      <c r="N35" s="456"/>
    </row>
    <row r="36" spans="3:14" ht="18">
      <c r="C36" s="958" t="s">
        <v>751</v>
      </c>
      <c r="D36" s="983"/>
      <c r="E36" s="983"/>
      <c r="F36" s="548"/>
      <c r="G36" s="548"/>
      <c r="H36" s="548"/>
      <c r="I36" s="548"/>
      <c r="J36" s="456"/>
      <c r="K36" s="456"/>
      <c r="L36" s="456"/>
      <c r="M36" s="456"/>
      <c r="N36" s="456"/>
    </row>
    <row r="37" spans="3:14" ht="15">
      <c r="C37" s="456"/>
      <c r="D37" s="456"/>
      <c r="E37" s="456"/>
      <c r="F37" s="456"/>
      <c r="G37" s="456"/>
      <c r="H37" s="456"/>
      <c r="I37" s="456"/>
      <c r="J37" s="456"/>
      <c r="K37" s="456"/>
      <c r="L37" s="456"/>
      <c r="M37" s="456"/>
      <c r="N37" s="456"/>
    </row>
    <row r="38" spans="3:14" ht="15">
      <c r="C38" s="456"/>
      <c r="D38" s="678"/>
      <c r="E38" s="678"/>
      <c r="F38" s="678"/>
      <c r="G38" s="678"/>
      <c r="H38" s="678"/>
      <c r="I38" s="678"/>
      <c r="J38" s="456"/>
      <c r="K38" s="456"/>
      <c r="L38" s="456"/>
      <c r="M38" s="456"/>
      <c r="N38" s="456"/>
    </row>
    <row r="39" spans="3:14" ht="15">
      <c r="C39" s="456"/>
      <c r="D39" s="548"/>
      <c r="E39" s="548"/>
      <c r="F39" s="548"/>
      <c r="G39" s="548"/>
      <c r="H39" s="548"/>
      <c r="I39" s="548"/>
      <c r="J39" s="456"/>
      <c r="K39" s="456"/>
      <c r="L39" s="456"/>
      <c r="M39" s="456"/>
      <c r="N39" s="456"/>
    </row>
    <row r="40" spans="3:14" ht="15">
      <c r="C40" s="456"/>
      <c r="D40" s="548"/>
      <c r="E40" s="548"/>
      <c r="F40" s="548"/>
      <c r="G40" s="548"/>
      <c r="H40" s="548"/>
      <c r="I40" s="548"/>
      <c r="J40" s="456"/>
      <c r="K40" s="456"/>
      <c r="L40" s="456"/>
      <c r="M40" s="456"/>
      <c r="N40" s="456"/>
    </row>
    <row r="41" spans="3:14" ht="15">
      <c r="C41" s="456"/>
      <c r="D41" s="548"/>
      <c r="E41" s="548"/>
      <c r="F41" s="548"/>
      <c r="G41" s="548"/>
      <c r="H41" s="548"/>
      <c r="I41" s="548"/>
      <c r="J41" s="456"/>
      <c r="K41" s="456"/>
      <c r="L41" s="456"/>
      <c r="M41" s="456"/>
      <c r="N41" s="456"/>
    </row>
    <row r="42" spans="3:14" ht="15">
      <c r="C42" s="456"/>
      <c r="D42" s="548"/>
      <c r="E42" s="548"/>
      <c r="F42" s="548"/>
      <c r="G42" s="548"/>
      <c r="H42" s="548"/>
      <c r="I42" s="548"/>
      <c r="J42" s="456"/>
      <c r="K42" s="456"/>
      <c r="L42" s="456"/>
      <c r="M42" s="456"/>
      <c r="N42" s="456"/>
    </row>
    <row r="43" spans="3:14" ht="15">
      <c r="C43" s="456"/>
      <c r="D43" s="548"/>
      <c r="E43" s="548"/>
      <c r="F43" s="548"/>
      <c r="G43" s="548"/>
      <c r="H43" s="548"/>
      <c r="I43" s="548"/>
      <c r="J43" s="456"/>
      <c r="K43" s="456"/>
      <c r="L43" s="456"/>
      <c r="M43" s="456"/>
      <c r="N43" s="456"/>
    </row>
    <row r="44" spans="3:14" ht="15">
      <c r="C44" s="456"/>
      <c r="D44" s="548"/>
      <c r="E44" s="548"/>
      <c r="F44" s="548"/>
      <c r="G44" s="548"/>
      <c r="H44" s="548"/>
      <c r="I44" s="548"/>
      <c r="J44" s="456"/>
      <c r="K44" s="456"/>
      <c r="L44" s="456"/>
      <c r="M44" s="456"/>
      <c r="N44" s="456"/>
    </row>
    <row r="45" spans="3:14">
      <c r="D45" s="162"/>
      <c r="E45" s="162"/>
      <c r="F45" s="162"/>
      <c r="G45" s="162"/>
      <c r="H45" s="162"/>
      <c r="I45" s="162"/>
    </row>
    <row r="52" spans="4:10" ht="20.100000000000001" customHeight="1">
      <c r="D52" s="163"/>
      <c r="E52" s="163"/>
      <c r="F52" s="163"/>
      <c r="G52" s="163"/>
      <c r="H52" s="163"/>
      <c r="I52" s="163"/>
    </row>
    <row r="57" spans="4:10" ht="15">
      <c r="D57" s="164"/>
      <c r="E57" s="164"/>
      <c r="F57" s="164"/>
      <c r="G57" s="164"/>
      <c r="H57" s="164"/>
      <c r="I57" s="164"/>
    </row>
    <row r="58" spans="4:10">
      <c r="D58" s="162"/>
      <c r="E58" s="162"/>
      <c r="F58" s="162"/>
      <c r="G58" s="162"/>
      <c r="H58" s="162"/>
      <c r="I58" s="162"/>
      <c r="J58" s="162"/>
    </row>
    <row r="59" spans="4:10" ht="20.100000000000001" customHeight="1">
      <c r="D59" s="162"/>
      <c r="E59" s="162"/>
      <c r="F59" s="162"/>
      <c r="G59" s="162"/>
      <c r="H59" s="162"/>
      <c r="I59" s="162"/>
      <c r="J59" s="162"/>
    </row>
    <row r="60" spans="4:10" ht="15">
      <c r="D60" s="165"/>
      <c r="E60" s="165"/>
      <c r="F60" s="165"/>
      <c r="G60" s="165"/>
      <c r="H60" s="165"/>
      <c r="I60" s="165"/>
      <c r="J60" s="162"/>
    </row>
    <row r="61" spans="4:10" ht="15">
      <c r="D61" s="166"/>
      <c r="E61" s="166"/>
      <c r="F61" s="166"/>
      <c r="G61" s="166"/>
      <c r="H61" s="166"/>
      <c r="I61" s="166"/>
      <c r="J61" s="166"/>
    </row>
    <row r="62" spans="4:10">
      <c r="D62" s="167"/>
      <c r="E62" s="167"/>
      <c r="F62" s="167"/>
      <c r="G62" s="167"/>
      <c r="H62" s="167"/>
      <c r="I62" s="167"/>
    </row>
    <row r="63" spans="4:10">
      <c r="D63" s="168"/>
      <c r="E63" s="168"/>
      <c r="F63" s="168"/>
      <c r="G63" s="168"/>
      <c r="H63" s="168"/>
      <c r="I63" s="168"/>
    </row>
    <row r="67" spans="4:10" ht="15">
      <c r="D67" s="164"/>
      <c r="E67" s="164"/>
      <c r="F67" s="164"/>
      <c r="G67" s="164"/>
      <c r="H67" s="164"/>
      <c r="I67" s="164"/>
    </row>
    <row r="68" spans="4:10">
      <c r="D68" s="162"/>
      <c r="E68" s="162"/>
      <c r="F68" s="162"/>
      <c r="G68" s="162"/>
      <c r="H68" s="162"/>
      <c r="I68" s="162"/>
      <c r="J68" s="162"/>
    </row>
    <row r="69" spans="4:10">
      <c r="D69" s="162"/>
      <c r="E69" s="162"/>
      <c r="F69" s="162"/>
      <c r="G69" s="162"/>
      <c r="H69" s="162"/>
      <c r="I69" s="162"/>
      <c r="J69" s="162"/>
    </row>
    <row r="70" spans="4:10" ht="15">
      <c r="D70" s="166"/>
      <c r="E70" s="166"/>
      <c r="F70" s="166"/>
      <c r="G70" s="166"/>
      <c r="H70" s="166"/>
      <c r="I70" s="166"/>
      <c r="J70" s="166"/>
    </row>
    <row r="71" spans="4:10">
      <c r="D71" s="167"/>
      <c r="E71" s="167"/>
      <c r="F71" s="167"/>
      <c r="G71" s="167"/>
      <c r="H71" s="167"/>
      <c r="I71" s="167"/>
    </row>
    <row r="72" spans="4:10">
      <c r="D72" s="168"/>
      <c r="E72" s="168"/>
      <c r="F72" s="168"/>
      <c r="G72" s="168"/>
      <c r="H72" s="168"/>
      <c r="I72" s="168"/>
    </row>
    <row r="77" spans="4:10">
      <c r="D77" s="169"/>
      <c r="E77" s="169"/>
      <c r="F77" s="169"/>
      <c r="G77" s="169"/>
      <c r="H77" s="169"/>
      <c r="I77" s="169"/>
    </row>
    <row r="78" spans="4:10">
      <c r="D78" s="162"/>
      <c r="E78" s="162"/>
      <c r="F78" s="162"/>
      <c r="G78" s="162"/>
      <c r="H78" s="162"/>
      <c r="I78" s="162"/>
    </row>
    <row r="79" spans="4:10">
      <c r="D79" s="162"/>
      <c r="E79" s="162"/>
      <c r="F79" s="162"/>
      <c r="G79" s="162"/>
      <c r="H79" s="162"/>
      <c r="I79" s="162"/>
    </row>
    <row r="81" spans="4:9">
      <c r="D81" s="169"/>
      <c r="E81" s="169"/>
      <c r="F81" s="169"/>
      <c r="G81" s="169"/>
      <c r="H81" s="169"/>
      <c r="I81" s="169"/>
    </row>
    <row r="82" spans="4:9">
      <c r="D82" s="162"/>
      <c r="E82" s="162"/>
      <c r="F82" s="162"/>
      <c r="G82" s="162"/>
      <c r="H82" s="162"/>
      <c r="I82" s="162"/>
    </row>
    <row r="83" spans="4:9">
      <c r="D83" s="162"/>
      <c r="E83" s="162"/>
      <c r="F83" s="162"/>
      <c r="G83" s="162"/>
      <c r="H83" s="162"/>
      <c r="I83" s="162"/>
    </row>
    <row r="84" spans="4:9">
      <c r="D84" s="162"/>
      <c r="E84" s="162"/>
      <c r="F84" s="162"/>
      <c r="G84" s="162"/>
      <c r="H84" s="162"/>
      <c r="I84" s="162"/>
    </row>
    <row r="85" spans="4:9">
      <c r="D85" s="162"/>
      <c r="E85" s="162"/>
      <c r="F85" s="162"/>
      <c r="G85" s="162"/>
      <c r="H85" s="162"/>
      <c r="I85" s="162"/>
    </row>
    <row r="86" spans="4:9">
      <c r="D86" s="162"/>
      <c r="E86" s="162"/>
      <c r="F86" s="162"/>
      <c r="G86" s="162"/>
      <c r="H86" s="162"/>
      <c r="I86" s="162"/>
    </row>
    <row r="87" spans="4:9">
      <c r="D87" s="162"/>
      <c r="E87" s="162"/>
      <c r="F87" s="162"/>
      <c r="G87" s="162"/>
      <c r="H87" s="162"/>
      <c r="I87" s="162"/>
    </row>
    <row r="88" spans="4:9">
      <c r="D88" s="162"/>
      <c r="E88" s="162"/>
      <c r="F88" s="162"/>
      <c r="G88" s="162"/>
      <c r="H88" s="162"/>
      <c r="I88" s="162"/>
    </row>
    <row r="97" s="56" customFormat="1"/>
    <row r="98" s="56" customFormat="1"/>
    <row r="99" s="56" customFormat="1"/>
    <row r="100" s="56" customFormat="1"/>
    <row r="101" s="56" customFormat="1"/>
    <row r="102" s="56" customFormat="1"/>
    <row r="103" s="56" customFormat="1"/>
    <row r="104" s="56" customFormat="1"/>
    <row r="105" s="56" customFormat="1"/>
    <row r="106" s="56" customFormat="1"/>
    <row r="107" s="56" customFormat="1"/>
    <row r="108" s="56" customFormat="1"/>
    <row r="109" s="56" customFormat="1"/>
    <row r="110" s="56" customFormat="1"/>
    <row r="111" s="56" customFormat="1"/>
    <row r="112" s="56" customFormat="1"/>
    <row r="113" s="56" customFormat="1"/>
    <row r="114" s="56" customFormat="1"/>
    <row r="115" s="56" customFormat="1"/>
    <row r="116" s="56" customFormat="1"/>
    <row r="117" s="56" customFormat="1"/>
    <row r="118" s="56" customFormat="1"/>
    <row r="119" s="56" customFormat="1"/>
    <row r="120" s="56" customFormat="1"/>
    <row r="121" s="56" customFormat="1"/>
    <row r="122" s="56" customFormat="1"/>
    <row r="123" s="56" customFormat="1"/>
    <row r="124" s="56" customFormat="1"/>
    <row r="125" s="56" customFormat="1"/>
    <row r="126" s="56" customFormat="1"/>
    <row r="127" s="56" customFormat="1"/>
    <row r="128" s="56" customFormat="1"/>
    <row r="129" s="56" customFormat="1"/>
    <row r="130" s="56" customFormat="1"/>
    <row r="131" s="56" customFormat="1"/>
    <row r="132" s="56" customFormat="1"/>
    <row r="133" s="56" customFormat="1"/>
    <row r="134" s="56" customFormat="1"/>
    <row r="135" s="56" customFormat="1"/>
    <row r="136" s="56" customFormat="1"/>
    <row r="137" s="56" customFormat="1"/>
    <row r="138" s="56" customFormat="1"/>
    <row r="139" s="56" customFormat="1"/>
    <row r="140" s="56" customFormat="1"/>
    <row r="141" s="56" customFormat="1"/>
    <row r="142" s="56" customFormat="1"/>
    <row r="143" s="56" customFormat="1"/>
    <row r="144" s="56" customFormat="1"/>
    <row r="145" s="56" customFormat="1"/>
    <row r="146" s="56" customFormat="1"/>
    <row r="147" s="56" customFormat="1"/>
    <row r="148" s="56" customFormat="1"/>
    <row r="149" s="56" customFormat="1"/>
    <row r="150" s="56" customFormat="1"/>
    <row r="151" s="56" customFormat="1"/>
    <row r="152" s="56" customFormat="1"/>
    <row r="153" s="56" customFormat="1"/>
    <row r="154" s="56" customFormat="1"/>
    <row r="155" s="56" customFormat="1"/>
    <row r="156" s="56" customFormat="1"/>
    <row r="157" s="56" customFormat="1"/>
    <row r="158" s="56" customFormat="1"/>
    <row r="159" s="56" customFormat="1"/>
    <row r="160" s="56" customFormat="1"/>
    <row r="161" s="56" customFormat="1"/>
    <row r="162" s="56" customFormat="1"/>
    <row r="163" s="56" customFormat="1"/>
    <row r="164" s="56" customFormat="1"/>
    <row r="165" s="56" customFormat="1"/>
    <row r="166" s="56" customFormat="1"/>
    <row r="167" s="56" customFormat="1"/>
    <row r="168" s="56" customFormat="1"/>
    <row r="169" s="56" customFormat="1"/>
    <row r="170" s="56" customFormat="1"/>
    <row r="171" s="56" customFormat="1"/>
    <row r="172" s="56" customFormat="1"/>
    <row r="173" s="56" customFormat="1"/>
    <row r="174" s="56" customFormat="1"/>
    <row r="175" s="56" customFormat="1"/>
    <row r="176" s="56" customFormat="1"/>
    <row r="177" s="56" customFormat="1"/>
    <row r="178" s="56" customFormat="1"/>
    <row r="179" s="56" customFormat="1"/>
    <row r="180" s="56" customFormat="1"/>
    <row r="181" s="56" customFormat="1"/>
    <row r="182" s="56" customFormat="1"/>
    <row r="183" s="56" customFormat="1"/>
    <row r="184" s="56" customFormat="1"/>
    <row r="185" s="56" customFormat="1"/>
    <row r="186" s="56" customFormat="1"/>
    <row r="187" s="56" customFormat="1"/>
    <row r="188" s="56" customFormat="1"/>
    <row r="189" s="56" customFormat="1"/>
    <row r="190" s="56" customFormat="1"/>
    <row r="191" s="56" customFormat="1"/>
    <row r="192" s="56" customFormat="1"/>
    <row r="193" s="56" customFormat="1"/>
    <row r="194" s="56" customFormat="1"/>
    <row r="195" s="56" customFormat="1"/>
    <row r="196" s="56" customFormat="1"/>
    <row r="197" s="56" customFormat="1"/>
    <row r="198" s="56" customFormat="1"/>
    <row r="199" s="56" customFormat="1"/>
    <row r="200" s="56" customFormat="1"/>
    <row r="201" s="56" customFormat="1"/>
    <row r="202" s="56" customFormat="1"/>
    <row r="203" s="56" customFormat="1"/>
    <row r="204" s="56" customFormat="1"/>
    <row r="205" s="56" customFormat="1"/>
    <row r="206" s="56" customFormat="1"/>
    <row r="207" s="56" customFormat="1"/>
    <row r="208" s="56" customFormat="1"/>
    <row r="209" s="56" customFormat="1"/>
    <row r="210" s="56" customFormat="1"/>
    <row r="211" s="56" customFormat="1"/>
    <row r="212" s="56" customFormat="1"/>
    <row r="213" s="56" customFormat="1"/>
    <row r="214" s="56" customFormat="1"/>
    <row r="215" s="56" customFormat="1"/>
    <row r="216" s="56" customFormat="1"/>
    <row r="217" s="56" customFormat="1"/>
    <row r="218" s="56" customFormat="1"/>
    <row r="219" s="56" customFormat="1"/>
    <row r="220" s="56" customFormat="1"/>
    <row r="221" s="56" customFormat="1"/>
    <row r="222" s="56" customFormat="1"/>
    <row r="223" s="56" customFormat="1"/>
    <row r="224" s="56" customFormat="1"/>
    <row r="225" s="56" customFormat="1"/>
    <row r="226" s="56" customFormat="1"/>
    <row r="227" s="56" customFormat="1"/>
    <row r="228" s="56" customFormat="1"/>
    <row r="229" s="56" customFormat="1"/>
    <row r="230" s="56" customFormat="1"/>
    <row r="231" s="56" customFormat="1"/>
    <row r="232" s="56" customFormat="1"/>
    <row r="233" s="56" customFormat="1"/>
    <row r="234" s="56" customFormat="1"/>
    <row r="235" s="56" customFormat="1"/>
    <row r="236" s="56" customFormat="1"/>
    <row r="237" s="56" customFormat="1"/>
    <row r="238" s="56" customFormat="1"/>
    <row r="239" s="56" customFormat="1"/>
    <row r="240" s="56" customFormat="1"/>
    <row r="241" s="56" customFormat="1"/>
    <row r="242" s="56" customFormat="1"/>
    <row r="243" s="56" customFormat="1"/>
    <row r="244" s="56" customFormat="1"/>
    <row r="245" s="56" customFormat="1"/>
    <row r="246" s="56" customFormat="1"/>
    <row r="247" s="56" customFormat="1"/>
    <row r="248" s="56" customFormat="1"/>
    <row r="249" s="56" customFormat="1"/>
    <row r="250" s="56" customFormat="1"/>
    <row r="251" s="56" customFormat="1"/>
    <row r="252" s="56" customFormat="1"/>
    <row r="253" s="56" customFormat="1"/>
    <row r="254" s="56" customFormat="1"/>
    <row r="255" s="56" customFormat="1"/>
    <row r="256" s="56" customFormat="1"/>
    <row r="257" s="56" customFormat="1"/>
    <row r="258" s="56" customFormat="1"/>
    <row r="259" s="56" customFormat="1"/>
    <row r="260" s="56" customFormat="1"/>
    <row r="261" s="56" customFormat="1"/>
    <row r="262" s="56" customFormat="1"/>
    <row r="263" s="56" customFormat="1"/>
    <row r="264" s="56" customFormat="1"/>
    <row r="265" s="56" customFormat="1"/>
    <row r="266" s="56" customFormat="1"/>
    <row r="267" s="56" customFormat="1"/>
    <row r="268" s="56" customFormat="1"/>
    <row r="269" s="56" customFormat="1"/>
    <row r="270" s="56" customFormat="1"/>
    <row r="271" s="56" customFormat="1"/>
    <row r="272" s="56" customFormat="1"/>
    <row r="273" s="56" customFormat="1"/>
    <row r="274" s="56" customFormat="1"/>
    <row r="275" s="56" customFormat="1"/>
    <row r="276" s="56" customFormat="1"/>
    <row r="277" s="56" customFormat="1"/>
    <row r="278" s="56" customFormat="1"/>
  </sheetData>
  <phoneticPr fontId="50" type="noConversion"/>
  <pageMargins left="1" right="1" top="1" bottom="0.5" header="1" footer="0.25"/>
  <pageSetup scale="62" fitToHeight="2" orientation="portrait" blackAndWhite="1"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theme="1"/>
    <pageSetUpPr fitToPage="1"/>
  </sheetPr>
  <dimension ref="A1:J25"/>
  <sheetViews>
    <sheetView view="pageBreakPreview" zoomScale="80" zoomScaleNormal="90" zoomScaleSheetLayoutView="80" workbookViewId="0"/>
  </sheetViews>
  <sheetFormatPr defaultColWidth="8.77734375" defaultRowHeight="15"/>
  <cols>
    <col min="1" max="1" width="6" style="9" customWidth="1"/>
    <col min="2" max="2" width="1.77734375" style="9" customWidth="1"/>
    <col min="3" max="3" width="27.77734375" style="9" customWidth="1"/>
    <col min="4" max="4" width="16.109375" style="9" customWidth="1"/>
    <col min="5" max="5" width="17.77734375" style="9" customWidth="1"/>
    <col min="6" max="6" width="19.21875" style="9" customWidth="1"/>
    <col min="7" max="7" width="12.21875" style="9" bestFit="1" customWidth="1"/>
    <col min="8" max="16384" width="8.77734375" style="9"/>
  </cols>
  <sheetData>
    <row r="1" spans="1:10" ht="15.75">
      <c r="A1" s="337" t="str">
        <f>'P1 ADIT'!A1</f>
        <v>Duke Energy Ohio and Duke Energy Kentucky</v>
      </c>
      <c r="B1" s="70"/>
      <c r="C1" s="70"/>
      <c r="D1" s="336"/>
      <c r="E1" s="336"/>
      <c r="F1" s="336"/>
      <c r="H1" s="305"/>
      <c r="I1" s="305"/>
    </row>
    <row r="2" spans="1:10" ht="18">
      <c r="C2" s="334"/>
      <c r="D2" s="336"/>
      <c r="E2" s="336"/>
      <c r="F2" s="336"/>
      <c r="H2" s="787"/>
      <c r="I2" s="278"/>
      <c r="J2" s="56"/>
    </row>
    <row r="3" spans="1:10" ht="18">
      <c r="C3" s="334"/>
      <c r="D3" s="336"/>
      <c r="E3" s="336"/>
      <c r="F3" s="260" t="s">
        <v>393</v>
      </c>
      <c r="H3" s="305"/>
      <c r="I3" s="305"/>
    </row>
    <row r="4" spans="1:10">
      <c r="C4" s="152"/>
      <c r="D4" s="152"/>
      <c r="E4" s="152"/>
      <c r="F4" s="335" t="str">
        <f>"Page 3 of "&amp;Workpaper</f>
        <v>Page 3 of 19</v>
      </c>
      <c r="H4" s="305"/>
      <c r="I4" s="305"/>
    </row>
    <row r="5" spans="1:10">
      <c r="C5" s="152"/>
      <c r="D5" s="152"/>
      <c r="E5" s="152"/>
      <c r="F5" s="61" t="str">
        <f>"For the 12 months ended: "&amp;TEXT(INPUT!$B$1,"mm/dd/yyyy")</f>
        <v>For the 12 months ended: 12/31/2021</v>
      </c>
    </row>
    <row r="6" spans="1:10">
      <c r="C6" s="152"/>
      <c r="D6" s="152"/>
      <c r="E6" s="152"/>
      <c r="F6" s="260"/>
    </row>
    <row r="7" spans="1:10" ht="15.75">
      <c r="A7" s="337" t="s">
        <v>204</v>
      </c>
      <c r="B7" s="70"/>
      <c r="C7" s="70"/>
      <c r="D7" s="336"/>
      <c r="E7" s="336"/>
      <c r="F7" s="336"/>
    </row>
    <row r="8" spans="1:10">
      <c r="C8" s="152"/>
      <c r="D8" s="152"/>
      <c r="E8" s="152"/>
      <c r="F8" s="152"/>
    </row>
    <row r="9" spans="1:10">
      <c r="D9" s="67"/>
      <c r="E9" s="67"/>
    </row>
    <row r="10" spans="1:10" ht="15.75">
      <c r="A10" s="436" t="s">
        <v>8</v>
      </c>
      <c r="B10" s="64"/>
      <c r="C10" s="71"/>
      <c r="D10" s="436" t="s">
        <v>24</v>
      </c>
      <c r="E10" s="436" t="s">
        <v>691</v>
      </c>
      <c r="F10" s="436" t="s">
        <v>783</v>
      </c>
    </row>
    <row r="11" spans="1:10" ht="29.65" customHeight="1">
      <c r="A11" s="387" t="s">
        <v>10</v>
      </c>
      <c r="B11" s="64"/>
      <c r="C11" s="361" t="s">
        <v>416</v>
      </c>
      <c r="D11" s="574" t="s">
        <v>773</v>
      </c>
      <c r="E11" s="575" t="s">
        <v>782</v>
      </c>
      <c r="F11" s="574" t="s">
        <v>632</v>
      </c>
    </row>
    <row r="12" spans="1:10">
      <c r="D12" s="67"/>
      <c r="E12" s="67"/>
      <c r="F12" s="67"/>
    </row>
    <row r="13" spans="1:10" ht="18.75">
      <c r="A13" s="428">
        <v>1</v>
      </c>
      <c r="C13" s="680" t="s">
        <v>651</v>
      </c>
      <c r="D13" s="231"/>
      <c r="E13" s="231"/>
      <c r="F13" s="231"/>
    </row>
    <row r="14" spans="1:10">
      <c r="A14" s="428"/>
      <c r="D14" s="231"/>
      <c r="E14" s="231"/>
      <c r="F14" s="231"/>
    </row>
    <row r="15" spans="1:10" ht="17.25">
      <c r="A15" s="428">
        <v>2</v>
      </c>
      <c r="C15" s="9" t="s">
        <v>205</v>
      </c>
      <c r="D15" s="946">
        <v>22132</v>
      </c>
      <c r="E15" s="946">
        <v>3114407</v>
      </c>
      <c r="F15" s="947">
        <f>SUM(D15:E15)</f>
        <v>3136539</v>
      </c>
    </row>
    <row r="16" spans="1:10">
      <c r="A16" s="428"/>
    </row>
    <row r="17" spans="1:6">
      <c r="A17" s="428"/>
    </row>
    <row r="18" spans="1:6" ht="18.75">
      <c r="A18" s="428">
        <v>3</v>
      </c>
      <c r="C18" s="680" t="s">
        <v>650</v>
      </c>
      <c r="D18" s="231"/>
      <c r="E18" s="231"/>
      <c r="F18" s="231"/>
    </row>
    <row r="19" spans="1:6">
      <c r="A19" s="428"/>
      <c r="C19" s="67"/>
      <c r="D19" s="231"/>
      <c r="E19" s="231"/>
      <c r="F19" s="231"/>
    </row>
    <row r="20" spans="1:6" ht="17.25">
      <c r="A20" s="428">
        <v>4</v>
      </c>
      <c r="C20" s="9" t="s">
        <v>205</v>
      </c>
      <c r="D20" s="946">
        <v>0</v>
      </c>
      <c r="E20" s="946">
        <v>0</v>
      </c>
      <c r="F20" s="947">
        <f>SUM(D20:E20)</f>
        <v>0</v>
      </c>
    </row>
    <row r="24" spans="1:6" ht="18">
      <c r="C24" s="9" t="s">
        <v>652</v>
      </c>
    </row>
    <row r="25" spans="1:6" ht="18">
      <c r="C25" s="456" t="s">
        <v>803</v>
      </c>
    </row>
  </sheetData>
  <pageMargins left="1" right="1" top="1" bottom="0.5" header="0.25" footer="0.25"/>
  <pageSetup scale="7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tabColor theme="1"/>
    <pageSetUpPr fitToPage="1"/>
  </sheetPr>
  <dimension ref="A1:X49"/>
  <sheetViews>
    <sheetView view="pageBreakPreview" zoomScale="80" zoomScaleNormal="80" zoomScaleSheetLayoutView="80" workbookViewId="0"/>
  </sheetViews>
  <sheetFormatPr defaultColWidth="7.109375" defaultRowHeight="12.75"/>
  <cols>
    <col min="1" max="1" width="7.109375" style="64"/>
    <col min="2" max="2" width="1.21875" style="64" customWidth="1"/>
    <col min="3" max="3" width="53.21875" style="64" bestFit="1" customWidth="1"/>
    <col min="4" max="4" width="22.109375" style="64" customWidth="1"/>
    <col min="5" max="5" width="15.21875" style="64" customWidth="1"/>
    <col min="6" max="6" width="13.5546875" style="64" customWidth="1"/>
    <col min="7" max="7" width="3.77734375" style="371" customWidth="1"/>
    <col min="8" max="8" width="13" style="64" customWidth="1"/>
    <col min="9" max="17" width="16.21875" style="64" bestFit="1" customWidth="1"/>
    <col min="18" max="18" width="16.77734375" style="64" bestFit="1" customWidth="1"/>
    <col min="19" max="19" width="7.77734375" style="64" bestFit="1" customWidth="1"/>
    <col min="20" max="20" width="8.21875" style="64" bestFit="1" customWidth="1"/>
    <col min="21" max="21" width="9.77734375" style="64" bestFit="1" customWidth="1"/>
    <col min="22" max="22" width="6.21875" style="64" customWidth="1"/>
    <col min="23" max="23" width="9.77734375" style="64" bestFit="1" customWidth="1"/>
    <col min="24" max="24" width="6.21875" style="64" customWidth="1"/>
    <col min="25" max="25" width="9.77734375" style="64" bestFit="1" customWidth="1"/>
    <col min="26" max="27" width="6.21875" style="64" customWidth="1"/>
    <col min="28" max="28" width="9.77734375" style="64" bestFit="1" customWidth="1"/>
    <col min="29" max="29" width="6.21875" style="64" customWidth="1"/>
    <col min="30" max="30" width="9.77734375" style="64" bestFit="1" customWidth="1"/>
    <col min="31" max="31" width="6.21875" style="64" customWidth="1"/>
    <col min="32" max="32" width="9.77734375" style="64" bestFit="1" customWidth="1"/>
    <col min="33" max="33" width="6.21875" style="64" customWidth="1"/>
    <col min="34" max="34" width="9.77734375" style="64" bestFit="1" customWidth="1"/>
    <col min="35" max="35" width="8.21875" style="64" bestFit="1" customWidth="1"/>
    <col min="36" max="16384" width="7.109375" style="64"/>
  </cols>
  <sheetData>
    <row r="1" spans="1:11" ht="18">
      <c r="A1" s="337" t="str">
        <f>'P1 ADIT'!A1</f>
        <v>Duke Energy Ohio and Duke Energy Kentucky</v>
      </c>
      <c r="B1" s="583"/>
      <c r="C1" s="583"/>
      <c r="D1" s="334"/>
      <c r="E1" s="336"/>
      <c r="F1" s="336"/>
      <c r="H1" s="186"/>
      <c r="I1" s="305"/>
      <c r="J1" s="305"/>
      <c r="K1" s="9"/>
    </row>
    <row r="2" spans="1:11" ht="18">
      <c r="C2" s="334"/>
      <c r="D2" s="334"/>
      <c r="E2" s="336"/>
      <c r="F2" s="336"/>
      <c r="H2" s="186"/>
      <c r="I2" s="787"/>
      <c r="J2" s="305"/>
      <c r="K2" s="305"/>
    </row>
    <row r="3" spans="1:11" ht="15.6" customHeight="1">
      <c r="C3" s="337"/>
      <c r="D3" s="337"/>
      <c r="E3" s="336"/>
      <c r="F3" s="260" t="s">
        <v>393</v>
      </c>
      <c r="J3" s="186"/>
    </row>
    <row r="4" spans="1:11" ht="15.6" customHeight="1">
      <c r="C4" s="337"/>
      <c r="D4" s="337"/>
      <c r="E4" s="336"/>
      <c r="F4" s="335" t="str">
        <f>"Page 4 of "&amp;Workpaper</f>
        <v>Page 4 of 19</v>
      </c>
      <c r="I4" s="186"/>
      <c r="J4" s="186"/>
    </row>
    <row r="5" spans="1:11" ht="15.6" customHeight="1">
      <c r="C5" s="337"/>
      <c r="D5" s="337"/>
      <c r="E5" s="336"/>
      <c r="F5" s="61" t="str">
        <f>"For the 12 months ended: "&amp;TEXT(INPUT!$B$1,"mm/dd/yyyy")</f>
        <v>For the 12 months ended: 12/31/2021</v>
      </c>
      <c r="I5" s="684"/>
      <c r="J5" s="445"/>
    </row>
    <row r="6" spans="1:11" ht="15.6" customHeight="1">
      <c r="C6" s="337"/>
      <c r="D6" s="337"/>
      <c r="E6" s="336"/>
      <c r="F6" s="260"/>
    </row>
    <row r="7" spans="1:11" ht="15.6" customHeight="1">
      <c r="A7" s="69" t="s">
        <v>504</v>
      </c>
      <c r="B7" s="583"/>
      <c r="C7" s="583"/>
      <c r="D7" s="337"/>
      <c r="E7" s="336"/>
      <c r="F7" s="336"/>
    </row>
    <row r="8" spans="1:11" ht="15.6" customHeight="1">
      <c r="C8" s="337"/>
      <c r="D8" s="337"/>
      <c r="E8" s="336"/>
      <c r="F8" s="336"/>
    </row>
    <row r="9" spans="1:11" ht="15.6" customHeight="1">
      <c r="C9" s="9"/>
      <c r="D9" s="9"/>
      <c r="E9" s="9"/>
      <c r="F9" s="9"/>
    </row>
    <row r="10" spans="1:11" ht="15.6" customHeight="1">
      <c r="C10" s="72"/>
      <c r="D10" s="72"/>
      <c r="E10" s="71"/>
      <c r="F10" s="71"/>
    </row>
    <row r="11" spans="1:11" ht="19.899999999999999" customHeight="1">
      <c r="A11" s="436" t="s">
        <v>8</v>
      </c>
      <c r="C11" s="71"/>
      <c r="D11" s="681"/>
      <c r="E11" s="142"/>
      <c r="F11" s="73"/>
    </row>
    <row r="12" spans="1:11" ht="22.15" customHeight="1">
      <c r="A12" s="387" t="s">
        <v>10</v>
      </c>
      <c r="C12" s="361" t="s">
        <v>416</v>
      </c>
      <c r="D12" s="361" t="s">
        <v>291</v>
      </c>
      <c r="E12" s="74" t="s">
        <v>180</v>
      </c>
      <c r="F12" s="74" t="s">
        <v>181</v>
      </c>
      <c r="I12" s="186"/>
    </row>
    <row r="13" spans="1:11" ht="15.6" customHeight="1">
      <c r="C13" s="71"/>
      <c r="D13" s="71"/>
      <c r="E13" s="74"/>
      <c r="F13" s="74"/>
    </row>
    <row r="14" spans="1:11" ht="17.100000000000001" customHeight="1">
      <c r="A14" s="573">
        <v>1</v>
      </c>
      <c r="C14" s="356" t="s">
        <v>305</v>
      </c>
      <c r="D14" s="359" t="s">
        <v>697</v>
      </c>
      <c r="E14" s="942">
        <v>409675</v>
      </c>
      <c r="F14" s="942">
        <v>59365</v>
      </c>
      <c r="H14" s="186"/>
    </row>
    <row r="15" spans="1:11" ht="17.100000000000001" customHeight="1">
      <c r="A15" s="573">
        <v>2</v>
      </c>
      <c r="C15" s="357" t="s">
        <v>394</v>
      </c>
      <c r="D15" s="359" t="s">
        <v>1018</v>
      </c>
      <c r="E15" s="682">
        <v>1758116</v>
      </c>
      <c r="F15" s="682">
        <v>686710</v>
      </c>
    </row>
    <row r="16" spans="1:11" ht="17.100000000000001" customHeight="1">
      <c r="A16" s="573">
        <v>3</v>
      </c>
      <c r="C16" s="357" t="s">
        <v>502</v>
      </c>
      <c r="D16" s="359" t="s">
        <v>1018</v>
      </c>
      <c r="E16" s="682">
        <v>232323</v>
      </c>
      <c r="F16" s="370">
        <v>0</v>
      </c>
    </row>
    <row r="17" spans="1:24" ht="17.100000000000001" customHeight="1">
      <c r="A17" s="573">
        <v>4</v>
      </c>
      <c r="C17" s="357" t="s">
        <v>503</v>
      </c>
      <c r="D17" s="359" t="s">
        <v>1018</v>
      </c>
      <c r="E17" s="682">
        <v>111645</v>
      </c>
      <c r="F17" s="370">
        <v>0</v>
      </c>
      <c r="W17" s="359"/>
      <c r="X17" s="370"/>
    </row>
    <row r="18" spans="1:24" ht="17.100000000000001" customHeight="1">
      <c r="A18" s="573">
        <v>5</v>
      </c>
      <c r="C18" s="357" t="s">
        <v>538</v>
      </c>
      <c r="D18" s="359" t="s">
        <v>1018</v>
      </c>
      <c r="E18" s="370">
        <f>60286-446</f>
        <v>59840</v>
      </c>
      <c r="F18" s="370">
        <f>85465+67834-143</f>
        <v>153156</v>
      </c>
      <c r="H18" s="186"/>
    </row>
    <row r="19" spans="1:24" ht="17.100000000000001" customHeight="1">
      <c r="A19" s="573">
        <v>6</v>
      </c>
      <c r="C19" s="357"/>
      <c r="D19" s="359"/>
      <c r="E19" s="682"/>
      <c r="F19" s="682"/>
    </row>
    <row r="20" spans="1:24" ht="17.100000000000001" customHeight="1">
      <c r="A20" s="573">
        <v>7</v>
      </c>
      <c r="C20" s="357" t="s">
        <v>395</v>
      </c>
      <c r="D20" s="359" t="s">
        <v>840</v>
      </c>
      <c r="E20" s="324">
        <v>127219</v>
      </c>
      <c r="F20" s="324">
        <v>109955</v>
      </c>
      <c r="G20" s="324"/>
      <c r="H20" s="750"/>
      <c r="I20" s="750"/>
    </row>
    <row r="21" spans="1:24" ht="17.100000000000001" customHeight="1">
      <c r="A21" s="573">
        <v>8</v>
      </c>
      <c r="C21" s="357" t="s">
        <v>539</v>
      </c>
      <c r="D21" s="359" t="s">
        <v>540</v>
      </c>
      <c r="E21" s="370">
        <v>88543</v>
      </c>
      <c r="F21" s="370">
        <v>11225</v>
      </c>
      <c r="G21" s="683" t="s">
        <v>18</v>
      </c>
      <c r="H21" s="370"/>
      <c r="I21" s="370"/>
    </row>
    <row r="22" spans="1:24" ht="17.100000000000001" customHeight="1">
      <c r="A22" s="573">
        <v>9</v>
      </c>
      <c r="C22" s="357" t="s">
        <v>505</v>
      </c>
      <c r="D22" s="359" t="s">
        <v>506</v>
      </c>
      <c r="E22" s="370">
        <v>0</v>
      </c>
      <c r="F22" s="370">
        <v>20971</v>
      </c>
      <c r="H22" s="370"/>
      <c r="I22" s="370"/>
    </row>
    <row r="23" spans="1:24" ht="17.100000000000001" customHeight="1">
      <c r="A23" s="573">
        <v>10</v>
      </c>
      <c r="C23" s="357" t="s">
        <v>505</v>
      </c>
      <c r="D23" s="359" t="s">
        <v>1005</v>
      </c>
      <c r="E23" s="332">
        <v>0</v>
      </c>
      <c r="F23" s="332">
        <v>300</v>
      </c>
      <c r="H23" s="370"/>
      <c r="I23" s="370"/>
    </row>
    <row r="24" spans="1:24" ht="16.5" customHeight="1">
      <c r="A24" s="573">
        <v>11</v>
      </c>
      <c r="C24" s="357" t="s">
        <v>507</v>
      </c>
      <c r="D24" s="359"/>
      <c r="E24" s="795">
        <f>E20-SUM(E21:E23)</f>
        <v>38676</v>
      </c>
      <c r="F24" s="795">
        <f>F20-SUM(F21:F23)</f>
        <v>77459</v>
      </c>
    </row>
    <row r="25" spans="1:24" ht="17.100000000000001" customHeight="1">
      <c r="A25" s="573">
        <v>12</v>
      </c>
      <c r="C25" s="76"/>
      <c r="D25" s="76"/>
      <c r="E25" s="71"/>
      <c r="F25" s="71"/>
    </row>
    <row r="26" spans="1:24" ht="17.100000000000001" customHeight="1">
      <c r="A26" s="573">
        <v>13</v>
      </c>
      <c r="C26" s="346" t="s">
        <v>396</v>
      </c>
      <c r="D26" s="76"/>
      <c r="E26" s="143">
        <f>SUM(E14:E18)+E24</f>
        <v>2610275</v>
      </c>
      <c r="F26" s="143">
        <f>SUM(F14:F18)+F24</f>
        <v>976690</v>
      </c>
    </row>
    <row r="27" spans="1:24" ht="17.100000000000001" customHeight="1">
      <c r="A27" s="573">
        <v>14</v>
      </c>
      <c r="C27" s="943"/>
      <c r="D27" s="76"/>
      <c r="E27" s="71"/>
      <c r="F27" s="71"/>
    </row>
    <row r="28" spans="1:24" ht="17.100000000000001" customHeight="1">
      <c r="A28" s="573">
        <v>15</v>
      </c>
      <c r="C28" s="943" t="s">
        <v>749</v>
      </c>
      <c r="D28" s="76"/>
      <c r="E28" s="332">
        <v>0</v>
      </c>
      <c r="F28" s="332">
        <v>0</v>
      </c>
    </row>
    <row r="29" spans="1:24" ht="17.100000000000001" customHeight="1">
      <c r="A29" s="573">
        <v>16</v>
      </c>
      <c r="C29" s="943"/>
      <c r="D29" s="76"/>
      <c r="E29" s="71"/>
      <c r="F29" s="71"/>
      <c r="G29" s="944"/>
    </row>
    <row r="30" spans="1:24" ht="18.75" customHeight="1">
      <c r="A30" s="573">
        <v>17</v>
      </c>
      <c r="C30" s="357" t="s">
        <v>522</v>
      </c>
      <c r="D30" s="71"/>
      <c r="E30" s="945">
        <f>E26-E28</f>
        <v>2610275</v>
      </c>
      <c r="F30" s="945">
        <f>F26-F28</f>
        <v>976690</v>
      </c>
    </row>
    <row r="31" spans="1:24" ht="17.100000000000001" customHeight="1"/>
    <row r="32" spans="1:24" ht="17.100000000000001" customHeight="1"/>
    <row r="33" spans="3:3" ht="17.100000000000001" customHeight="1">
      <c r="C33" s="545" t="s">
        <v>544</v>
      </c>
    </row>
    <row r="49" spans="3:4">
      <c r="C49" s="186"/>
      <c r="D49" s="186"/>
    </row>
  </sheetData>
  <phoneticPr fontId="58" type="noConversion"/>
  <pageMargins left="1" right="1" top="1" bottom="0.5" header="0.5" footer="0.5"/>
  <pageSetup scale="59" orientation="portrait" blackAndWhite="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tabColor theme="1"/>
    <pageSetUpPr fitToPage="1"/>
  </sheetPr>
  <dimension ref="A1:BC69"/>
  <sheetViews>
    <sheetView view="pageBreakPreview" zoomScale="80" zoomScaleNormal="80" zoomScaleSheetLayoutView="80" workbookViewId="0"/>
  </sheetViews>
  <sheetFormatPr defaultColWidth="8.77734375" defaultRowHeight="15"/>
  <cols>
    <col min="1" max="1" width="6.109375" style="9" customWidth="1"/>
    <col min="2" max="2" width="1.21875" style="9" customWidth="1"/>
    <col min="3" max="3" width="43.21875" style="9" customWidth="1"/>
    <col min="4" max="4" width="2.109375" style="9" customWidth="1"/>
    <col min="5" max="5" width="15.5546875" style="9" bestFit="1" customWidth="1"/>
    <col min="6" max="6" width="19.21875" style="9" bestFit="1" customWidth="1"/>
    <col min="7" max="7" width="3" style="9" customWidth="1"/>
    <col min="8" max="8" width="8.77734375" style="9"/>
    <col min="9" max="9" width="21.5546875" style="9" customWidth="1"/>
    <col min="10" max="10" width="11.21875" style="9" bestFit="1" customWidth="1"/>
    <col min="11" max="11" width="10.44140625" style="9" customWidth="1"/>
    <col min="12" max="12" width="16.21875" style="9" customWidth="1"/>
    <col min="13" max="13" width="10" style="9" customWidth="1"/>
    <col min="14" max="14" width="8.77734375" style="9"/>
    <col min="15" max="15" width="2.77734375" style="9" customWidth="1"/>
    <col min="16" max="17" width="8.77734375" style="9"/>
    <col min="18" max="18" width="2.5546875" style="9" customWidth="1"/>
    <col min="19" max="19" width="19.77734375" style="9" customWidth="1"/>
    <col min="20" max="22" width="8.77734375" style="9"/>
    <col min="23" max="23" width="10.44140625" style="9" customWidth="1"/>
    <col min="24" max="51" width="8.77734375" style="9"/>
    <col min="52" max="52" width="9.6640625" style="9" bestFit="1" customWidth="1"/>
    <col min="53" max="54" width="8.77734375" style="9"/>
    <col min="55" max="55" width="11.6640625" style="9" customWidth="1"/>
    <col min="56" max="16384" width="8.77734375" style="9"/>
  </cols>
  <sheetData>
    <row r="1" spans="1:55" ht="15.75">
      <c r="A1" s="337" t="str">
        <f>'P1 ADIT'!A1</f>
        <v>Duke Energy Ohio and Duke Energy Kentucky</v>
      </c>
      <c r="B1" s="70"/>
      <c r="C1" s="70"/>
      <c r="D1" s="336"/>
      <c r="E1" s="336"/>
      <c r="F1" s="336"/>
    </row>
    <row r="2" spans="1:55" ht="18">
      <c r="C2" s="334"/>
      <c r="D2" s="336"/>
      <c r="E2" s="336"/>
      <c r="F2" s="336"/>
      <c r="I2" s="785"/>
      <c r="J2" s="278"/>
    </row>
    <row r="3" spans="1:55" ht="15.75">
      <c r="C3" s="337"/>
      <c r="D3" s="336"/>
      <c r="E3" s="336"/>
      <c r="F3" s="260" t="s">
        <v>393</v>
      </c>
    </row>
    <row r="4" spans="1:55" ht="15.75">
      <c r="C4" s="337"/>
      <c r="D4" s="336"/>
      <c r="E4" s="336"/>
      <c r="F4" s="335" t="str">
        <f>"Page 5 of "&amp;Workpaper</f>
        <v>Page 5 of 19</v>
      </c>
    </row>
    <row r="5" spans="1:55" ht="15.75">
      <c r="C5" s="337"/>
      <c r="D5" s="336"/>
      <c r="E5" s="336"/>
      <c r="F5" s="61" t="str">
        <f>"For the 12 months ended: "&amp;TEXT(INPUT!$B$1,"mm/dd/yyyy")</f>
        <v>For the 12 months ended: 12/31/2021</v>
      </c>
    </row>
    <row r="6" spans="1:55" ht="15.75">
      <c r="C6" s="337"/>
      <c r="D6" s="336"/>
      <c r="E6" s="336"/>
      <c r="F6" s="61"/>
    </row>
    <row r="7" spans="1:55" ht="15.75">
      <c r="A7" s="337" t="s">
        <v>208</v>
      </c>
      <c r="B7" s="70"/>
      <c r="C7" s="70"/>
      <c r="D7" s="336"/>
      <c r="E7" s="336"/>
      <c r="F7" s="336"/>
    </row>
    <row r="8" spans="1:55" ht="15.75">
      <c r="C8" s="337"/>
      <c r="D8" s="336"/>
      <c r="E8" s="336"/>
      <c r="F8" s="336"/>
    </row>
    <row r="9" spans="1:55" ht="15.75">
      <c r="C9" s="72"/>
      <c r="D9" s="71"/>
      <c r="E9" s="71"/>
      <c r="F9" s="71"/>
    </row>
    <row r="10" spans="1:55" ht="20.25">
      <c r="A10" s="436" t="s">
        <v>8</v>
      </c>
      <c r="C10" s="71"/>
      <c r="D10" s="142"/>
      <c r="E10" s="73"/>
      <c r="F10" s="73"/>
    </row>
    <row r="11" spans="1:55" ht="20.25">
      <c r="A11" s="387" t="s">
        <v>10</v>
      </c>
      <c r="C11" s="361" t="s">
        <v>416</v>
      </c>
      <c r="D11" s="74"/>
      <c r="E11" s="74" t="s">
        <v>180</v>
      </c>
      <c r="F11" s="74" t="s">
        <v>181</v>
      </c>
    </row>
    <row r="12" spans="1:55" ht="20.25">
      <c r="C12" s="561"/>
      <c r="D12" s="74"/>
      <c r="E12" s="74"/>
      <c r="F12" s="74"/>
    </row>
    <row r="13" spans="1:55" ht="20.100000000000001" customHeight="1">
      <c r="A13" s="428">
        <v>1</v>
      </c>
      <c r="C13" s="536" t="s">
        <v>207</v>
      </c>
      <c r="D13" s="143"/>
      <c r="E13" s="898">
        <v>58901555</v>
      </c>
      <c r="F13" s="898">
        <v>22907236</v>
      </c>
      <c r="I13" s="436"/>
      <c r="J13" s="420"/>
      <c r="K13" s="70"/>
      <c r="R13" s="70"/>
      <c r="AZ13" s="760"/>
      <c r="BA13" s="761"/>
      <c r="BB13" s="762"/>
      <c r="BC13" s="760"/>
    </row>
    <row r="14" spans="1:55" ht="20.65" customHeight="1">
      <c r="A14" s="428"/>
      <c r="C14" s="78"/>
      <c r="D14" s="71"/>
      <c r="E14" s="71"/>
      <c r="F14" s="71"/>
      <c r="J14" s="387"/>
      <c r="K14" s="387"/>
      <c r="R14" s="387"/>
    </row>
    <row r="15" spans="1:55" ht="20.100000000000001" customHeight="1">
      <c r="A15" s="428">
        <v>2</v>
      </c>
      <c r="C15" s="542" t="s">
        <v>867</v>
      </c>
      <c r="D15" s="77"/>
      <c r="E15" s="941">
        <v>-369465</v>
      </c>
      <c r="F15" s="941">
        <v>-118352</v>
      </c>
      <c r="J15" s="543"/>
      <c r="K15" s="543"/>
      <c r="R15" s="543"/>
    </row>
    <row r="16" spans="1:55" ht="20.100000000000001" customHeight="1">
      <c r="A16" s="428">
        <v>3</v>
      </c>
      <c r="C16" s="542" t="s">
        <v>864</v>
      </c>
      <c r="D16" s="77"/>
      <c r="E16" s="941">
        <f>1500+1247</f>
        <v>2747</v>
      </c>
      <c r="F16" s="941">
        <v>0</v>
      </c>
      <c r="J16" s="543"/>
      <c r="K16" s="543"/>
      <c r="R16" s="543"/>
    </row>
    <row r="17" spans="1:22" ht="20.100000000000001" customHeight="1">
      <c r="A17" s="428">
        <v>4</v>
      </c>
      <c r="C17" s="542" t="s">
        <v>900</v>
      </c>
      <c r="D17" s="77"/>
      <c r="E17" s="332">
        <f>721</f>
        <v>721</v>
      </c>
      <c r="F17" s="332">
        <f>721+221</f>
        <v>942</v>
      </c>
      <c r="J17" s="543"/>
      <c r="K17" s="543"/>
      <c r="R17" s="543"/>
    </row>
    <row r="18" spans="1:22" ht="34.9" customHeight="1">
      <c r="A18" s="428">
        <v>5</v>
      </c>
      <c r="C18" s="346" t="s">
        <v>396</v>
      </c>
      <c r="D18" s="71"/>
      <c r="E18" s="759">
        <f>SUM(E15:E17)</f>
        <v>-365997</v>
      </c>
      <c r="F18" s="759">
        <f>SUM(F15:F17)</f>
        <v>-117410</v>
      </c>
      <c r="J18" s="543"/>
      <c r="K18" s="543"/>
      <c r="R18" s="543"/>
    </row>
    <row r="19" spans="1:22" ht="20.100000000000001" customHeight="1">
      <c r="A19" s="428"/>
      <c r="C19" s="346"/>
      <c r="D19" s="71"/>
      <c r="E19" s="71"/>
      <c r="F19" s="71"/>
      <c r="I19" s="595"/>
      <c r="J19" s="543"/>
      <c r="K19" s="543"/>
      <c r="R19" s="543"/>
    </row>
    <row r="20" spans="1:22" ht="20.100000000000001" customHeight="1">
      <c r="A20" s="428">
        <v>6</v>
      </c>
      <c r="C20" s="78" t="s">
        <v>397</v>
      </c>
      <c r="D20" s="83"/>
      <c r="E20" s="83">
        <f>E13-E18</f>
        <v>59267552</v>
      </c>
      <c r="F20" s="83">
        <f>F13-F18</f>
        <v>23024646</v>
      </c>
      <c r="I20" s="595"/>
      <c r="J20" s="543"/>
      <c r="K20" s="543"/>
      <c r="R20" s="543"/>
    </row>
    <row r="21" spans="1:22" ht="20.100000000000001" customHeight="1">
      <c r="C21" s="78"/>
      <c r="D21" s="83"/>
      <c r="E21" s="83"/>
      <c r="F21" s="83"/>
      <c r="J21" s="544"/>
      <c r="K21" s="544"/>
      <c r="R21" s="544"/>
    </row>
    <row r="22" spans="1:22" ht="20.100000000000001" customHeight="1">
      <c r="C22" s="78"/>
      <c r="D22" s="83"/>
      <c r="E22" s="83"/>
      <c r="F22" s="83"/>
    </row>
    <row r="23" spans="1:22" ht="20.100000000000001" customHeight="1">
      <c r="A23"/>
      <c r="C23" s="76"/>
      <c r="D23" s="71"/>
      <c r="E23" s="71"/>
      <c r="F23" s="71"/>
    </row>
    <row r="24" spans="1:22" ht="20.100000000000001" customHeight="1">
      <c r="C24" s="541"/>
      <c r="D24" s="71"/>
      <c r="E24" s="370"/>
      <c r="F24" s="370"/>
    </row>
    <row r="25" spans="1:22" ht="14.25" customHeight="1">
      <c r="C25" s="76"/>
      <c r="D25" s="143"/>
      <c r="E25" s="143"/>
      <c r="F25" s="143"/>
    </row>
    <row r="26" spans="1:22" ht="10.5" customHeight="1">
      <c r="D26" s="71"/>
      <c r="E26" s="71"/>
      <c r="F26" s="71"/>
    </row>
    <row r="27" spans="1:22" ht="17.25">
      <c r="C27" s="76"/>
      <c r="D27" s="80"/>
      <c r="E27" s="332"/>
      <c r="F27" s="332"/>
    </row>
    <row r="28" spans="1:22">
      <c r="C28" s="76"/>
      <c r="D28" s="71"/>
      <c r="E28" s="71"/>
      <c r="F28" s="71"/>
    </row>
    <row r="29" spans="1:22" ht="21" customHeight="1">
      <c r="C29" s="76"/>
      <c r="D29" s="83"/>
      <c r="E29" s="83"/>
      <c r="F29" s="83"/>
    </row>
    <row r="30" spans="1:22" ht="17.25">
      <c r="C30" s="76"/>
      <c r="D30" s="83"/>
      <c r="E30" s="83"/>
      <c r="F30" s="83"/>
    </row>
    <row r="31" spans="1:22" ht="54" customHeight="1">
      <c r="C31" s="76"/>
      <c r="D31" s="83"/>
      <c r="E31" s="83"/>
      <c r="F31" s="83"/>
      <c r="V31"/>
    </row>
    <row r="32" spans="1:22">
      <c r="C32" s="76"/>
      <c r="D32" s="71"/>
      <c r="E32" s="71"/>
      <c r="F32" s="71"/>
    </row>
    <row r="33" spans="3:39" ht="27" customHeight="1">
      <c r="C33" s="76"/>
      <c r="D33" s="71"/>
      <c r="E33" s="71"/>
      <c r="F33" s="71"/>
    </row>
    <row r="34" spans="3:39" ht="14.25" customHeight="1">
      <c r="C34" s="76"/>
      <c r="D34" s="143"/>
      <c r="E34" s="501"/>
      <c r="F34" s="501"/>
    </row>
    <row r="35" spans="3:39" ht="10.5" customHeight="1">
      <c r="C35" s="76"/>
      <c r="D35" s="71"/>
      <c r="E35" s="71"/>
      <c r="F35" s="71"/>
    </row>
    <row r="36" spans="3:39" ht="17.25">
      <c r="C36" s="76"/>
      <c r="D36" s="80"/>
      <c r="E36" s="332"/>
      <c r="F36" s="332"/>
    </row>
    <row r="37" spans="3:39">
      <c r="C37" s="76"/>
      <c r="D37" s="71"/>
      <c r="E37" s="71"/>
      <c r="F37" s="71"/>
    </row>
    <row r="38" spans="3:39" ht="33.6" customHeight="1">
      <c r="C38" s="76"/>
      <c r="D38" s="83"/>
      <c r="E38" s="83"/>
      <c r="F38" s="83"/>
    </row>
    <row r="39" spans="3:39">
      <c r="C39" s="76"/>
      <c r="D39" s="71"/>
      <c r="E39" s="71"/>
      <c r="F39" s="71"/>
    </row>
    <row r="40" spans="3:39">
      <c r="C40" s="76"/>
      <c r="D40" s="71"/>
      <c r="E40" s="71"/>
      <c r="F40" s="71"/>
    </row>
    <row r="41" spans="3:39">
      <c r="C41" s="1037"/>
      <c r="D41" s="1037"/>
      <c r="E41" s="1037"/>
      <c r="F41" s="1037"/>
    </row>
    <row r="42" spans="3:39" ht="27" customHeight="1"/>
    <row r="45" spans="3:39" ht="39.75" customHeight="1"/>
    <row r="48" spans="3:39">
      <c r="W48"/>
      <c r="X48"/>
      <c r="Y48"/>
      <c r="Z48"/>
      <c r="AA48"/>
      <c r="AB48"/>
      <c r="AC48"/>
      <c r="AD48"/>
      <c r="AE48"/>
      <c r="AF48"/>
      <c r="AG48"/>
      <c r="AH48"/>
      <c r="AI48"/>
      <c r="AJ48"/>
      <c r="AK48"/>
      <c r="AL48"/>
      <c r="AM48"/>
    </row>
    <row r="60" spans="9:20">
      <c r="T60"/>
    </row>
    <row r="63" spans="9:20">
      <c r="I63" s="76"/>
    </row>
    <row r="69" spans="19:19">
      <c r="S69"/>
    </row>
  </sheetData>
  <mergeCells count="1">
    <mergeCell ref="C41:F41"/>
  </mergeCells>
  <phoneticPr fontId="0" type="noConversion"/>
  <pageMargins left="1" right="0.5" top="1" bottom="0.5" header="0.25" footer="0.25"/>
  <pageSetup scale="85" orientation="portrait" blackAndWhite="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theme="1"/>
    <pageSetUpPr fitToPage="1"/>
  </sheetPr>
  <dimension ref="A1:L44"/>
  <sheetViews>
    <sheetView view="pageBreakPreview" zoomScale="80" zoomScaleNormal="90" zoomScaleSheetLayoutView="80" workbookViewId="0"/>
  </sheetViews>
  <sheetFormatPr defaultColWidth="8.77734375" defaultRowHeight="15"/>
  <cols>
    <col min="1" max="1" width="6.77734375" style="9" customWidth="1"/>
    <col min="2" max="2" width="1" style="9" customWidth="1"/>
    <col min="3" max="3" width="21.5546875" style="9" bestFit="1" customWidth="1"/>
    <col min="4" max="4" width="15.44140625" style="9" customWidth="1"/>
    <col min="5" max="5" width="17.77734375" style="9" customWidth="1"/>
    <col min="6" max="6" width="17.21875" style="9" customWidth="1"/>
    <col min="7" max="16384" width="8.77734375" style="9"/>
  </cols>
  <sheetData>
    <row r="1" spans="1:12" ht="15.75">
      <c r="A1" s="69" t="str">
        <f>'P1 ADIT'!A1</f>
        <v>Duke Energy Ohio and Duke Energy Kentucky</v>
      </c>
      <c r="B1" s="70"/>
      <c r="C1" s="70"/>
      <c r="D1" s="70"/>
      <c r="E1" s="70"/>
      <c r="F1" s="70"/>
      <c r="I1"/>
      <c r="J1"/>
      <c r="K1"/>
      <c r="L1"/>
    </row>
    <row r="2" spans="1:12" ht="18">
      <c r="C2" s="79"/>
      <c r="D2" s="70"/>
      <c r="E2" s="70"/>
    </row>
    <row r="3" spans="1:12" ht="18">
      <c r="C3" s="79"/>
      <c r="D3" s="70"/>
      <c r="F3" s="260" t="s">
        <v>393</v>
      </c>
      <c r="I3" s="684"/>
      <c r="J3" s="445"/>
    </row>
    <row r="4" spans="1:12">
      <c r="F4" s="335" t="str">
        <f>"Page 6 of "&amp;Workpaper</f>
        <v>Page 6 of 19</v>
      </c>
    </row>
    <row r="5" spans="1:12">
      <c r="F5" s="61" t="str">
        <f>"For the 12 months ended: "&amp;TEXT(INPUT!$B$1,"mm/dd/yyyy")</f>
        <v>For the 12 months ended: 12/31/2021</v>
      </c>
      <c r="I5" s="186"/>
    </row>
    <row r="7" spans="1:12" ht="15.75">
      <c r="A7" s="69" t="s">
        <v>314</v>
      </c>
      <c r="B7" s="70"/>
      <c r="C7" s="70"/>
      <c r="D7" s="70"/>
      <c r="E7" s="70"/>
      <c r="F7" s="70"/>
    </row>
    <row r="9" spans="1:12">
      <c r="D9" s="67"/>
      <c r="E9" s="67"/>
    </row>
    <row r="10" spans="1:12" ht="15.75">
      <c r="A10" s="436" t="s">
        <v>8</v>
      </c>
      <c r="B10" s="71"/>
      <c r="C10" s="71"/>
      <c r="D10" s="67"/>
      <c r="E10" s="67"/>
    </row>
    <row r="11" spans="1:12" ht="20.25">
      <c r="A11" s="387" t="s">
        <v>10</v>
      </c>
      <c r="B11" s="71"/>
      <c r="C11" s="571" t="s">
        <v>416</v>
      </c>
      <c r="D11" s="74" t="s">
        <v>180</v>
      </c>
      <c r="E11" s="74" t="s">
        <v>181</v>
      </c>
      <c r="F11" s="238"/>
    </row>
    <row r="12" spans="1:12" ht="20.25" customHeight="1">
      <c r="A12" s="428">
        <v>1</v>
      </c>
      <c r="C12" s="9" t="s">
        <v>315</v>
      </c>
      <c r="D12" s="30">
        <f>DEO!J15</f>
        <v>190694584</v>
      </c>
      <c r="E12" s="30">
        <f>DEK!J15</f>
        <v>9480966</v>
      </c>
      <c r="F12" s="494"/>
    </row>
    <row r="13" spans="1:12" ht="20.25" customHeight="1">
      <c r="A13" s="428">
        <v>2</v>
      </c>
      <c r="C13" s="9" t="s">
        <v>316</v>
      </c>
      <c r="D13" s="940">
        <v>0</v>
      </c>
      <c r="E13" s="940">
        <v>0.05</v>
      </c>
      <c r="F13" s="495"/>
    </row>
    <row r="14" spans="1:12" ht="6" customHeight="1">
      <c r="A14" s="428"/>
      <c r="D14" s="495" t="s">
        <v>7</v>
      </c>
      <c r="E14" s="495" t="s">
        <v>7</v>
      </c>
      <c r="F14" s="495"/>
    </row>
    <row r="15" spans="1:12" ht="17.25" customHeight="1">
      <c r="A15" s="428">
        <v>3</v>
      </c>
      <c r="C15" s="9" t="s">
        <v>317</v>
      </c>
      <c r="D15" s="30">
        <f>ROUND(D13*D12,0)</f>
        <v>0</v>
      </c>
      <c r="E15" s="30">
        <f>ROUND(E13*E12,0)</f>
        <v>474048</v>
      </c>
      <c r="F15" s="494"/>
    </row>
    <row r="16" spans="1:12">
      <c r="A16" s="428"/>
    </row>
    <row r="17" spans="1:6">
      <c r="A17" s="428">
        <v>4</v>
      </c>
      <c r="C17" s="9" t="s">
        <v>318</v>
      </c>
      <c r="D17" s="93">
        <f>ROUND(D15/D12,4)</f>
        <v>0</v>
      </c>
      <c r="E17" s="93">
        <f>ROUND(E15/E12,4)</f>
        <v>0.05</v>
      </c>
      <c r="F17" s="93"/>
    </row>
    <row r="44" spans="3:3">
      <c r="C44" s="52"/>
    </row>
  </sheetData>
  <phoneticPr fontId="0" type="noConversion"/>
  <pageMargins left="1" right="0.75" top="1" bottom="0.5" header="1" footer="0.25"/>
  <pageSetup scale="9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tabColor theme="1"/>
    <pageSetUpPr fitToPage="1"/>
  </sheetPr>
  <dimension ref="A1:J89"/>
  <sheetViews>
    <sheetView view="pageBreakPreview" zoomScale="80" zoomScaleNormal="80" zoomScaleSheetLayoutView="80" workbookViewId="0"/>
  </sheetViews>
  <sheetFormatPr defaultColWidth="7.109375" defaultRowHeight="15"/>
  <cols>
    <col min="1" max="1" width="7.109375" style="82"/>
    <col min="2" max="2" width="1.21875" style="82" customWidth="1"/>
    <col min="3" max="3" width="44" style="82" customWidth="1"/>
    <col min="4" max="5" width="14.77734375" style="82" customWidth="1"/>
    <col min="6" max="6" width="11.77734375" style="82" customWidth="1"/>
    <col min="7" max="12" width="16.21875" style="82" bestFit="1" customWidth="1"/>
    <col min="13" max="13" width="16.77734375" style="82" bestFit="1" customWidth="1"/>
    <col min="14" max="14" width="7.77734375" style="82" bestFit="1" customWidth="1"/>
    <col min="15" max="15" width="8.21875" style="82" bestFit="1" customWidth="1"/>
    <col min="16" max="16" width="9.77734375" style="82" bestFit="1" customWidth="1"/>
    <col min="17" max="17" width="6.21875" style="82" customWidth="1"/>
    <col min="18" max="18" width="9.77734375" style="82" bestFit="1" customWidth="1"/>
    <col min="19" max="19" width="6.21875" style="82" customWidth="1"/>
    <col min="20" max="20" width="9.77734375" style="82" bestFit="1" customWidth="1"/>
    <col min="21" max="22" width="6.21875" style="82" customWidth="1"/>
    <col min="23" max="23" width="9.77734375" style="82" bestFit="1" customWidth="1"/>
    <col min="24" max="24" width="6.21875" style="82" customWidth="1"/>
    <col min="25" max="25" width="9.77734375" style="82" bestFit="1" customWidth="1"/>
    <col min="26" max="26" width="6.21875" style="82" customWidth="1"/>
    <col min="27" max="27" width="9.77734375" style="82" bestFit="1" customWidth="1"/>
    <col min="28" max="28" width="6.21875" style="82" customWidth="1"/>
    <col min="29" max="29" width="9.77734375" style="82" bestFit="1" customWidth="1"/>
    <col min="30" max="30" width="8.21875" style="82" bestFit="1" customWidth="1"/>
    <col min="31" max="16384" width="7.109375" style="82"/>
  </cols>
  <sheetData>
    <row r="1" spans="1:10" ht="15.75">
      <c r="A1" s="69" t="str">
        <f>'P1 ADIT'!A1</f>
        <v>Duke Energy Ohio and Duke Energy Kentucky</v>
      </c>
      <c r="B1" s="585"/>
      <c r="C1" s="585"/>
      <c r="D1" s="70"/>
      <c r="E1" s="70"/>
      <c r="I1" s="272"/>
      <c r="J1" s="272"/>
    </row>
    <row r="2" spans="1:10" ht="18">
      <c r="C2" s="79"/>
      <c r="D2" s="70"/>
      <c r="E2" s="70"/>
      <c r="G2" s="785"/>
      <c r="H2" s="278"/>
    </row>
    <row r="3" spans="1:10" ht="18">
      <c r="C3" s="79"/>
      <c r="D3" s="70"/>
      <c r="E3" s="260" t="s">
        <v>393</v>
      </c>
    </row>
    <row r="4" spans="1:10" ht="15.75">
      <c r="C4" s="69"/>
      <c r="D4" s="70"/>
      <c r="E4" s="335" t="str">
        <f>"Page 7 of "&amp;Workpaper</f>
        <v>Page 7 of 19</v>
      </c>
      <c r="I4" s="9"/>
    </row>
    <row r="5" spans="1:10" ht="15.75">
      <c r="C5" s="69"/>
      <c r="D5" s="70"/>
      <c r="E5" s="61" t="str">
        <f>"For the 12 months ended: "&amp;TEXT(INPUT!$B$1,"mm/dd/yyyy")</f>
        <v>For the 12 months ended: 12/31/2021</v>
      </c>
    </row>
    <row r="6" spans="1:10" ht="15.75">
      <c r="C6" s="69"/>
      <c r="D6" s="70"/>
      <c r="E6" s="70"/>
    </row>
    <row r="7" spans="1:10" ht="15.75">
      <c r="A7" s="69" t="s">
        <v>313</v>
      </c>
      <c r="B7" s="585"/>
      <c r="C7" s="585"/>
      <c r="D7" s="70"/>
      <c r="E7" s="70"/>
    </row>
    <row r="8" spans="1:10" ht="15.75">
      <c r="C8" s="69"/>
      <c r="D8" s="70"/>
      <c r="E8" s="70"/>
    </row>
    <row r="9" spans="1:10">
      <c r="C9" s="9"/>
      <c r="D9" s="9"/>
      <c r="E9" s="9"/>
    </row>
    <row r="10" spans="1:10" ht="15.75">
      <c r="A10" s="436" t="s">
        <v>8</v>
      </c>
      <c r="B10" s="71"/>
      <c r="C10" s="71"/>
      <c r="D10" s="73"/>
      <c r="E10" s="73"/>
    </row>
    <row r="11" spans="1:10" ht="20.25">
      <c r="A11" s="686" t="s">
        <v>10</v>
      </c>
      <c r="B11" s="535"/>
      <c r="C11" s="687" t="s">
        <v>416</v>
      </c>
      <c r="D11" s="688" t="s">
        <v>180</v>
      </c>
      <c r="E11" s="688" t="s">
        <v>181</v>
      </c>
    </row>
    <row r="12" spans="1:10" ht="20.25">
      <c r="C12" s="71"/>
      <c r="D12" s="74"/>
      <c r="E12" s="74"/>
    </row>
    <row r="13" spans="1:10">
      <c r="A13" s="573">
        <v>1</v>
      </c>
      <c r="C13" s="82" t="s">
        <v>491</v>
      </c>
      <c r="D13" s="898">
        <v>0</v>
      </c>
      <c r="E13" s="898">
        <f>6453325+10592322</f>
        <v>17045647</v>
      </c>
    </row>
    <row r="14" spans="1:10" ht="17.25">
      <c r="A14" s="573">
        <v>2</v>
      </c>
      <c r="C14" s="75" t="s">
        <v>211</v>
      </c>
      <c r="D14" s="332">
        <v>0</v>
      </c>
      <c r="E14" s="332">
        <v>0</v>
      </c>
    </row>
    <row r="15" spans="1:10" ht="33.6" customHeight="1">
      <c r="A15" s="685">
        <v>3</v>
      </c>
      <c r="C15" s="938" t="s">
        <v>758</v>
      </c>
      <c r="D15" s="939">
        <f>SUM(D13:D14)</f>
        <v>0</v>
      </c>
      <c r="E15" s="939">
        <f>SUM(E13:E14)</f>
        <v>17045647</v>
      </c>
      <c r="F15" s="81"/>
    </row>
    <row r="16" spans="1:10">
      <c r="C16" s="71"/>
      <c r="D16" s="237"/>
      <c r="E16" s="237"/>
    </row>
    <row r="45" spans="5:5">
      <c r="E45" s="739"/>
    </row>
    <row r="46" spans="5:5">
      <c r="E46" s="739"/>
    </row>
    <row r="54" spans="4:5">
      <c r="D54" s="331"/>
      <c r="E54" s="331"/>
    </row>
    <row r="55" spans="4:5">
      <c r="D55" s="331"/>
      <c r="E55" s="331"/>
    </row>
    <row r="56" spans="4:5">
      <c r="D56" s="331"/>
      <c r="E56" s="331"/>
    </row>
    <row r="57" spans="4:5">
      <c r="D57" s="331"/>
      <c r="E57" s="331"/>
    </row>
    <row r="58" spans="4:5">
      <c r="D58" s="331"/>
      <c r="E58" s="331"/>
    </row>
    <row r="59" spans="4:5">
      <c r="D59" s="331"/>
      <c r="E59" s="331"/>
    </row>
    <row r="60" spans="4:5">
      <c r="D60" s="331"/>
      <c r="E60" s="331"/>
    </row>
    <row r="61" spans="4:5">
      <c r="D61" s="331"/>
      <c r="E61" s="331"/>
    </row>
    <row r="62" spans="4:5">
      <c r="D62" s="331"/>
      <c r="E62" s="331"/>
    </row>
    <row r="63" spans="4:5">
      <c r="D63" s="331"/>
      <c r="E63" s="331"/>
    </row>
    <row r="64" spans="4:5">
      <c r="D64" s="331"/>
      <c r="E64" s="331"/>
    </row>
    <row r="65" spans="4:5">
      <c r="D65" s="331"/>
      <c r="E65" s="331"/>
    </row>
    <row r="66" spans="4:5">
      <c r="D66" s="331"/>
      <c r="E66" s="331"/>
    </row>
    <row r="67" spans="4:5">
      <c r="D67" s="331"/>
      <c r="E67" s="331"/>
    </row>
    <row r="68" spans="4:5">
      <c r="D68" s="331"/>
      <c r="E68" s="331"/>
    </row>
    <row r="69" spans="4:5">
      <c r="D69" s="331"/>
      <c r="E69" s="331"/>
    </row>
    <row r="70" spans="4:5">
      <c r="D70" s="331"/>
      <c r="E70" s="331"/>
    </row>
    <row r="71" spans="4:5">
      <c r="D71" s="331"/>
      <c r="E71" s="331"/>
    </row>
    <row r="72" spans="4:5">
      <c r="D72" s="331"/>
      <c r="E72" s="331"/>
    </row>
    <row r="73" spans="4:5">
      <c r="D73" s="331"/>
      <c r="E73" s="331"/>
    </row>
    <row r="74" spans="4:5">
      <c r="D74" s="331"/>
      <c r="E74" s="331"/>
    </row>
    <row r="75" spans="4:5">
      <c r="D75" s="331"/>
      <c r="E75" s="330"/>
    </row>
    <row r="76" spans="4:5">
      <c r="D76" s="331"/>
      <c r="E76" s="330"/>
    </row>
    <row r="77" spans="4:5">
      <c r="D77" s="331"/>
      <c r="E77" s="330"/>
    </row>
    <row r="78" spans="4:5">
      <c r="D78" s="331"/>
      <c r="E78" s="330"/>
    </row>
    <row r="79" spans="4:5">
      <c r="D79" s="331"/>
      <c r="E79" s="330"/>
    </row>
    <row r="80" spans="4:5">
      <c r="D80" s="331"/>
      <c r="E80" s="330"/>
    </row>
    <row r="81" spans="4:5">
      <c r="D81" s="331"/>
      <c r="E81" s="330"/>
    </row>
    <row r="82" spans="4:5">
      <c r="D82" s="331"/>
      <c r="E82" s="330"/>
    </row>
    <row r="83" spans="4:5">
      <c r="D83" s="331"/>
      <c r="E83" s="330"/>
    </row>
    <row r="84" spans="4:5">
      <c r="D84" s="331"/>
      <c r="E84" s="330"/>
    </row>
    <row r="85" spans="4:5">
      <c r="D85" s="331"/>
      <c r="E85" s="330"/>
    </row>
    <row r="86" spans="4:5">
      <c r="D86" s="330"/>
      <c r="E86" s="330"/>
    </row>
    <row r="87" spans="4:5">
      <c r="D87" s="330"/>
      <c r="E87" s="330"/>
    </row>
    <row r="88" spans="4:5">
      <c r="D88" s="330"/>
      <c r="E88" s="330"/>
    </row>
    <row r="89" spans="4:5">
      <c r="D89" s="330"/>
      <c r="E89" s="330"/>
    </row>
  </sheetData>
  <pageMargins left="1" right="1" top="1" bottom="0.5" header="0.5" footer="0.5"/>
  <pageSetup scale="84"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2">
    <tabColor rgb="FF663300"/>
    <pageSetUpPr fitToPage="1"/>
  </sheetPr>
  <dimension ref="A1:Q101"/>
  <sheetViews>
    <sheetView view="pageBreakPreview" zoomScale="80" zoomScaleNormal="75" zoomScaleSheetLayoutView="80" workbookViewId="0"/>
  </sheetViews>
  <sheetFormatPr defaultColWidth="9.21875" defaultRowHeight="15"/>
  <cols>
    <col min="1" max="1" width="4" style="187" customWidth="1"/>
    <col min="2" max="2" width="4.77734375" style="188" bestFit="1" customWidth="1"/>
    <col min="3" max="3" width="1.77734375" style="187" customWidth="1"/>
    <col min="4" max="4" width="64.109375" style="187" customWidth="1"/>
    <col min="5" max="5" width="28.5546875" style="187" customWidth="1"/>
    <col min="6" max="6" width="2.109375" style="187" customWidth="1"/>
    <col min="7" max="7" width="16" style="187" bestFit="1" customWidth="1"/>
    <col min="8" max="8" width="6.5546875" style="187" customWidth="1"/>
    <col min="9" max="10" width="2.21875" style="187" customWidth="1"/>
    <col min="11" max="11" width="9.21875" style="187"/>
    <col min="12" max="12" width="13.5546875" style="187" bestFit="1" customWidth="1"/>
    <col min="13" max="13" width="12.5546875" style="187" customWidth="1"/>
    <col min="14" max="14" width="10.77734375" style="187" customWidth="1"/>
    <col min="15" max="16" width="9.21875" style="187"/>
    <col min="17" max="17" width="11.21875" style="187" bestFit="1" customWidth="1"/>
    <col min="18" max="16384" width="9.21875" style="187"/>
  </cols>
  <sheetData>
    <row r="1" spans="1:17">
      <c r="G1" s="187" t="s">
        <v>296</v>
      </c>
    </row>
    <row r="2" spans="1:17">
      <c r="G2" s="187" t="s">
        <v>283</v>
      </c>
      <c r="L2" s="785"/>
      <c r="M2" s="785"/>
    </row>
    <row r="3" spans="1:17">
      <c r="A3" s="191"/>
      <c r="B3" s="191"/>
      <c r="C3" s="191"/>
      <c r="D3" s="191"/>
      <c r="E3" s="191"/>
      <c r="F3" s="191"/>
      <c r="G3" s="187" t="s">
        <v>284</v>
      </c>
      <c r="H3" s="195"/>
      <c r="J3" s="220"/>
    </row>
    <row r="4" spans="1:17">
      <c r="A4" s="191"/>
      <c r="B4" s="191"/>
      <c r="C4" s="191"/>
      <c r="D4" s="191"/>
      <c r="E4" s="191"/>
      <c r="F4" s="191"/>
      <c r="H4" s="195"/>
      <c r="J4" s="220"/>
    </row>
    <row r="5" spans="1:17">
      <c r="A5" s="191"/>
      <c r="B5" s="191"/>
      <c r="C5" s="191"/>
      <c r="D5" s="191"/>
      <c r="E5" s="191"/>
      <c r="F5" s="191"/>
      <c r="G5" s="61" t="str">
        <f>"For the 12 months ended: "&amp;TEXT(INPUT!B1,"mm/dd/yyyy")</f>
        <v>For the 12 months ended: 12/31/2021</v>
      </c>
      <c r="H5" s="195"/>
      <c r="J5" s="220"/>
    </row>
    <row r="6" spans="1:17" ht="15.75">
      <c r="A6" s="217" t="str">
        <f>DEOK!A11</f>
        <v>DUKE ENERGY OHIO AND DUKE ENERGY KENTUCKY (DEOK)</v>
      </c>
      <c r="B6" s="217"/>
      <c r="C6" s="217"/>
      <c r="D6" s="217"/>
      <c r="E6" s="217"/>
      <c r="F6" s="217"/>
      <c r="G6" s="217"/>
      <c r="H6" s="211"/>
      <c r="I6" s="216"/>
    </row>
    <row r="7" spans="1:17" ht="15.75">
      <c r="A7" s="217" t="s">
        <v>281</v>
      </c>
      <c r="B7" s="217"/>
      <c r="C7" s="217"/>
      <c r="D7" s="217"/>
      <c r="E7" s="217"/>
      <c r="F7" s="217"/>
      <c r="G7" s="217"/>
      <c r="H7" s="211"/>
      <c r="I7" s="216"/>
    </row>
    <row r="8" spans="1:17" ht="15.75">
      <c r="A8" s="219" t="s">
        <v>267</v>
      </c>
      <c r="B8" s="219"/>
      <c r="C8" s="219"/>
      <c r="D8" s="219"/>
      <c r="E8" s="219"/>
      <c r="F8" s="219"/>
      <c r="G8" s="219"/>
      <c r="H8" s="211"/>
      <c r="I8" s="218"/>
    </row>
    <row r="9" spans="1:17" ht="15.75">
      <c r="A9" s="217" t="str">
        <f>"For Rates Effective "&amp;TEXT(INPUT!B2,"mmmm d, yyyy")</f>
        <v>For Rates Effective June 1, 2022</v>
      </c>
      <c r="B9" s="217"/>
      <c r="C9" s="217"/>
      <c r="D9" s="217"/>
      <c r="E9" s="217"/>
      <c r="F9" s="217"/>
      <c r="G9" s="217"/>
      <c r="H9" s="211"/>
      <c r="I9" s="216"/>
    </row>
    <row r="10" spans="1:17" ht="15.75">
      <c r="B10" s="196"/>
      <c r="C10" s="202"/>
      <c r="D10" s="192"/>
      <c r="H10" s="211"/>
    </row>
    <row r="11" spans="1:17" ht="15.75">
      <c r="A11" s="215" t="s">
        <v>293</v>
      </c>
      <c r="B11" s="215"/>
      <c r="C11" s="215"/>
      <c r="D11" s="215"/>
      <c r="E11" s="215"/>
      <c r="F11" s="215"/>
      <c r="G11" s="215"/>
      <c r="H11" s="211"/>
      <c r="I11" s="214"/>
    </row>
    <row r="12" spans="1:17" ht="15.75">
      <c r="A12" s="213"/>
      <c r="B12" s="196"/>
      <c r="C12" s="202"/>
      <c r="D12" s="192"/>
      <c r="H12" s="211"/>
    </row>
    <row r="13" spans="1:17" ht="15.75">
      <c r="B13" s="196"/>
      <c r="C13" s="202"/>
      <c r="D13" s="192"/>
      <c r="E13" s="192"/>
      <c r="F13" s="212"/>
      <c r="G13" s="203"/>
      <c r="H13" s="211"/>
      <c r="L13" s="9"/>
    </row>
    <row r="14" spans="1:17" ht="15.75">
      <c r="B14" s="196" t="s">
        <v>8</v>
      </c>
      <c r="C14" s="202"/>
      <c r="D14" s="192"/>
      <c r="E14" s="192"/>
      <c r="F14" s="192"/>
      <c r="G14" s="225" t="s">
        <v>280</v>
      </c>
      <c r="H14" s="211"/>
      <c r="L14" s="1001"/>
      <c r="M14" s="1002"/>
      <c r="N14" s="1002"/>
      <c r="Q14" s="1001"/>
    </row>
    <row r="15" spans="1:17" ht="15.75">
      <c r="B15" s="247" t="s">
        <v>10</v>
      </c>
      <c r="C15" s="202"/>
      <c r="D15" s="192"/>
      <c r="E15" s="247" t="s">
        <v>291</v>
      </c>
      <c r="F15" s="192"/>
      <c r="G15" s="247" t="s">
        <v>279</v>
      </c>
      <c r="H15" s="211"/>
      <c r="L15" s="998"/>
      <c r="M15" s="998"/>
      <c r="N15" s="998"/>
      <c r="Q15" s="998"/>
    </row>
    <row r="16" spans="1:17">
      <c r="B16" s="196"/>
      <c r="C16" s="202"/>
      <c r="D16" s="194"/>
      <c r="E16" s="202"/>
      <c r="F16" s="192"/>
      <c r="H16" s="192"/>
    </row>
    <row r="17" spans="1:17">
      <c r="A17" s="225" t="s">
        <v>278</v>
      </c>
      <c r="B17" s="246" t="s">
        <v>282</v>
      </c>
      <c r="C17" s="202"/>
      <c r="D17" s="192"/>
      <c r="E17" s="202"/>
      <c r="F17" s="192"/>
      <c r="H17" s="192"/>
    </row>
    <row r="18" spans="1:17">
      <c r="B18" s="434">
        <v>1</v>
      </c>
      <c r="C18" s="202"/>
      <c r="D18" s="194" t="s">
        <v>277</v>
      </c>
      <c r="E18" s="225" t="s">
        <v>285</v>
      </c>
      <c r="F18" s="201"/>
      <c r="G18" s="205">
        <f>DEO!J195+DEK!J195</f>
        <v>4378244</v>
      </c>
      <c r="H18" s="205"/>
      <c r="L18" s="1003"/>
      <c r="M18" s="205"/>
      <c r="N18" s="1004"/>
      <c r="Q18" s="1003"/>
    </row>
    <row r="19" spans="1:17">
      <c r="B19" s="434"/>
      <c r="C19" s="202"/>
      <c r="D19" s="194"/>
      <c r="E19" s="202"/>
      <c r="F19" s="201"/>
      <c r="G19" s="205"/>
      <c r="H19" s="205"/>
      <c r="L19" s="1003"/>
      <c r="M19" s="205"/>
      <c r="Q19" s="1003"/>
    </row>
    <row r="20" spans="1:17">
      <c r="B20" s="434">
        <v>2</v>
      </c>
      <c r="C20" s="202"/>
      <c r="D20" s="194" t="s">
        <v>286</v>
      </c>
      <c r="E20" s="201"/>
      <c r="F20" s="195"/>
      <c r="G20" s="441">
        <f>-'P14 Sch 1A Rev Cr'!F28</f>
        <v>140910.37000000002</v>
      </c>
      <c r="H20" s="205"/>
      <c r="L20" s="1003"/>
      <c r="M20" s="205"/>
      <c r="N20" s="1004"/>
      <c r="Q20" s="1003"/>
    </row>
    <row r="21" spans="1:17" ht="15.75" thickBot="1">
      <c r="B21" s="434"/>
      <c r="C21" s="202"/>
      <c r="D21" s="194"/>
      <c r="E21" s="192"/>
      <c r="F21" s="201"/>
      <c r="G21" s="210"/>
      <c r="H21" s="205"/>
      <c r="L21" s="210"/>
      <c r="M21" s="210"/>
      <c r="Q21" s="210"/>
    </row>
    <row r="22" spans="1:17" ht="15.75" thickBot="1">
      <c r="B22" s="434">
        <v>3</v>
      </c>
      <c r="C22" s="202"/>
      <c r="D22" s="209" t="s">
        <v>276</v>
      </c>
      <c r="E22" s="208"/>
      <c r="F22" s="207"/>
      <c r="G22" s="206">
        <f>G18-G20</f>
        <v>4237333.63</v>
      </c>
      <c r="H22" s="205"/>
      <c r="L22" s="205"/>
      <c r="M22" s="205"/>
      <c r="N22" s="1004"/>
      <c r="Q22" s="205"/>
    </row>
    <row r="23" spans="1:17">
      <c r="B23" s="434"/>
      <c r="C23" s="202"/>
      <c r="D23" s="194"/>
      <c r="E23" s="192"/>
      <c r="F23" s="201"/>
      <c r="G23" s="204"/>
      <c r="H23" s="205"/>
      <c r="L23" s="204"/>
      <c r="M23" s="204"/>
      <c r="Q23" s="204"/>
    </row>
    <row r="24" spans="1:17">
      <c r="A24" s="225" t="s">
        <v>275</v>
      </c>
      <c r="B24" s="435" t="s">
        <v>274</v>
      </c>
      <c r="C24" s="202"/>
      <c r="D24" s="192"/>
      <c r="E24" s="202"/>
      <c r="F24" s="192"/>
      <c r="G24" s="515"/>
      <c r="H24" s="192"/>
    </row>
    <row r="25" spans="1:17">
      <c r="B25" s="434">
        <f>+B22+1</f>
        <v>4</v>
      </c>
      <c r="C25" s="202"/>
      <c r="D25" s="194" t="str">
        <f>TEXT(INPUT!B1,"yyyy")&amp;" Annual MWh - Note B"</f>
        <v>2021 Annual MWh - Note B</v>
      </c>
      <c r="E25" s="202" t="s">
        <v>568</v>
      </c>
      <c r="F25" s="201"/>
      <c r="G25" s="514">
        <f>-'P13 Sch 1A Denominator'!E42</f>
        <v>26394347.818848029</v>
      </c>
      <c r="H25" s="192" t="s">
        <v>273</v>
      </c>
      <c r="L25" s="999"/>
      <c r="M25" s="999"/>
      <c r="N25" s="1004"/>
      <c r="Q25" s="999"/>
    </row>
    <row r="26" spans="1:17">
      <c r="B26" s="434"/>
      <c r="C26" s="202"/>
      <c r="D26" s="194"/>
      <c r="E26" s="192"/>
      <c r="F26" s="201"/>
      <c r="G26" s="200"/>
      <c r="H26" s="192"/>
      <c r="L26" s="1000"/>
      <c r="M26" s="1000"/>
      <c r="Q26" s="1000"/>
    </row>
    <row r="27" spans="1:17">
      <c r="B27" s="434">
        <f>+B25+1</f>
        <v>5</v>
      </c>
      <c r="C27" s="194"/>
      <c r="D27" s="194" t="s">
        <v>689</v>
      </c>
      <c r="E27" s="199" t="str">
        <f>"(Line "&amp;B22&amp;" / Line "&amp;B25&amp;")"</f>
        <v>(Line 3 / Line 4)</v>
      </c>
      <c r="F27" s="194"/>
      <c r="G27" s="197">
        <f>+G22/G25</f>
        <v>0.16053943287714606</v>
      </c>
      <c r="H27" s="198" t="s">
        <v>272</v>
      </c>
      <c r="L27" s="197"/>
      <c r="M27" s="197"/>
      <c r="N27" s="1004"/>
      <c r="Q27" s="197"/>
    </row>
    <row r="28" spans="1:17">
      <c r="B28" s="434"/>
      <c r="C28" s="194"/>
      <c r="D28" s="194"/>
      <c r="E28" s="194"/>
      <c r="F28" s="194"/>
      <c r="H28" s="194"/>
    </row>
    <row r="29" spans="1:17">
      <c r="B29" s="196"/>
      <c r="C29" s="194"/>
      <c r="D29" s="194"/>
      <c r="E29" s="194"/>
      <c r="F29" s="194"/>
      <c r="H29" s="194"/>
      <c r="K29" s="305"/>
    </row>
    <row r="30" spans="1:17">
      <c r="B30" s="196"/>
      <c r="C30" s="194"/>
      <c r="D30" s="194"/>
      <c r="E30" s="194"/>
      <c r="F30" s="194"/>
      <c r="H30" s="194"/>
      <c r="I30" s="189"/>
      <c r="J30" s="189"/>
      <c r="K30" s="515"/>
    </row>
    <row r="31" spans="1:17">
      <c r="B31" s="222" t="s">
        <v>287</v>
      </c>
      <c r="C31" s="194"/>
      <c r="D31" s="194"/>
      <c r="E31" s="194"/>
      <c r="F31" s="194"/>
      <c r="H31" s="194"/>
      <c r="I31" s="189"/>
      <c r="J31" s="189"/>
    </row>
    <row r="32" spans="1:17">
      <c r="B32" s="223" t="s">
        <v>96</v>
      </c>
      <c r="C32" s="194"/>
      <c r="D32" s="194" t="s">
        <v>333</v>
      </c>
      <c r="E32" s="194"/>
      <c r="F32" s="194"/>
      <c r="G32" s="189"/>
      <c r="H32" s="194"/>
      <c r="I32" s="189"/>
      <c r="J32" s="189"/>
    </row>
    <row r="33" spans="1:10">
      <c r="B33" s="224"/>
      <c r="C33" s="194"/>
      <c r="D33" s="194" t="s">
        <v>390</v>
      </c>
      <c r="E33" s="194"/>
      <c r="F33" s="194"/>
      <c r="G33" s="189"/>
      <c r="H33" s="194"/>
      <c r="I33" s="189"/>
      <c r="J33" s="189"/>
    </row>
    <row r="34" spans="1:10">
      <c r="B34" s="224"/>
      <c r="C34" s="194"/>
      <c r="D34" s="194" t="s">
        <v>288</v>
      </c>
      <c r="E34" s="194"/>
      <c r="F34" s="194"/>
      <c r="G34" s="189"/>
      <c r="H34" s="194"/>
      <c r="I34" s="189"/>
      <c r="J34" s="189"/>
    </row>
    <row r="35" spans="1:10">
      <c r="B35" s="196"/>
      <c r="C35" s="192"/>
      <c r="D35" s="191"/>
      <c r="E35" s="191"/>
      <c r="F35" s="191"/>
      <c r="G35" s="191" t="s">
        <v>7</v>
      </c>
      <c r="I35" s="191"/>
      <c r="J35" s="189"/>
    </row>
    <row r="36" spans="1:10">
      <c r="B36" s="221" t="s">
        <v>97</v>
      </c>
      <c r="C36" s="192"/>
      <c r="D36" s="194" t="s">
        <v>596</v>
      </c>
      <c r="E36" s="191"/>
      <c r="F36" s="191"/>
      <c r="G36" s="191"/>
      <c r="H36" s="191"/>
      <c r="I36" s="191"/>
      <c r="J36" s="189"/>
    </row>
    <row r="37" spans="1:10">
      <c r="B37" s="196"/>
      <c r="C37" s="192"/>
      <c r="D37" s="194"/>
      <c r="E37" s="191"/>
      <c r="F37" s="191"/>
      <c r="G37" s="191"/>
      <c r="H37" s="191"/>
      <c r="I37" s="191"/>
      <c r="J37" s="189"/>
    </row>
    <row r="38" spans="1:10">
      <c r="B38" s="196"/>
      <c r="C38" s="192"/>
      <c r="D38" s="194"/>
      <c r="E38" s="191"/>
      <c r="F38" s="191"/>
      <c r="G38" s="191"/>
      <c r="H38" s="191"/>
      <c r="I38" s="191"/>
      <c r="J38" s="189"/>
    </row>
    <row r="39" spans="1:10">
      <c r="A39" s="230"/>
      <c r="B39" s="196"/>
      <c r="C39" s="192"/>
      <c r="D39" s="194"/>
      <c r="E39" s="191"/>
      <c r="F39" s="191"/>
      <c r="G39" s="191"/>
      <c r="H39" s="191"/>
      <c r="I39" s="191"/>
      <c r="J39" s="189"/>
    </row>
    <row r="40" spans="1:10">
      <c r="B40" s="193"/>
      <c r="C40" s="192"/>
      <c r="D40" s="194"/>
      <c r="E40" s="191"/>
      <c r="F40" s="191"/>
      <c r="G40" s="191"/>
      <c r="H40" s="191"/>
      <c r="I40" s="191"/>
      <c r="J40" s="189"/>
    </row>
    <row r="41" spans="1:10">
      <c r="B41" s="193"/>
      <c r="C41" s="192"/>
      <c r="D41" s="191"/>
      <c r="E41" s="191"/>
      <c r="F41" s="191"/>
      <c r="G41" s="191"/>
      <c r="H41" s="191"/>
      <c r="I41" s="191"/>
      <c r="J41" s="189"/>
    </row>
    <row r="42" spans="1:10">
      <c r="B42" s="190"/>
      <c r="C42" s="189"/>
      <c r="D42" s="191"/>
      <c r="E42" s="191"/>
      <c r="F42" s="191"/>
      <c r="G42" s="191"/>
      <c r="H42" s="191"/>
      <c r="I42" s="191"/>
      <c r="J42" s="189"/>
    </row>
    <row r="43" spans="1:10">
      <c r="B43" s="190"/>
      <c r="C43" s="189"/>
      <c r="D43" s="191"/>
      <c r="E43" s="191"/>
      <c r="F43" s="191"/>
      <c r="G43" s="191"/>
      <c r="H43" s="191"/>
      <c r="I43" s="191"/>
      <c r="J43" s="189"/>
    </row>
    <row r="44" spans="1:10">
      <c r="B44" s="190"/>
      <c r="C44" s="189"/>
      <c r="D44" s="191"/>
      <c r="E44" s="191"/>
      <c r="F44" s="191"/>
      <c r="G44" s="191"/>
      <c r="H44" s="191"/>
      <c r="I44" s="191"/>
      <c r="J44" s="189"/>
    </row>
    <row r="45" spans="1:10">
      <c r="B45" s="190"/>
      <c r="C45" s="189"/>
      <c r="D45" s="191"/>
      <c r="E45" s="191"/>
      <c r="F45" s="191"/>
      <c r="G45" s="191"/>
      <c r="H45" s="191"/>
      <c r="I45" s="191"/>
      <c r="J45" s="189"/>
    </row>
    <row r="46" spans="1:10">
      <c r="B46" s="190"/>
      <c r="C46" s="189"/>
      <c r="D46" s="191"/>
      <c r="E46" s="191"/>
      <c r="F46" s="191"/>
      <c r="G46" s="191"/>
      <c r="H46" s="191"/>
      <c r="I46" s="191"/>
      <c r="J46" s="189"/>
    </row>
    <row r="47" spans="1:10">
      <c r="B47" s="190"/>
      <c r="C47" s="189"/>
      <c r="D47" s="191"/>
      <c r="E47" s="191"/>
      <c r="F47" s="191"/>
      <c r="G47" s="191"/>
      <c r="H47" s="191"/>
      <c r="I47" s="191"/>
      <c r="J47" s="189"/>
    </row>
    <row r="48" spans="1:10">
      <c r="B48" s="190"/>
      <c r="C48" s="189"/>
      <c r="D48" s="191"/>
      <c r="E48" s="191"/>
      <c r="F48" s="191"/>
      <c r="G48" s="191"/>
      <c r="H48" s="191"/>
      <c r="I48" s="191"/>
      <c r="J48" s="189"/>
    </row>
    <row r="49" spans="2:10">
      <c r="B49" s="190"/>
      <c r="C49" s="189"/>
      <c r="D49" s="191"/>
      <c r="E49" s="191"/>
      <c r="F49" s="191"/>
      <c r="G49" s="191"/>
      <c r="H49" s="191"/>
      <c r="I49" s="191"/>
      <c r="J49" s="189"/>
    </row>
    <row r="50" spans="2:10">
      <c r="B50" s="190"/>
      <c r="C50" s="189"/>
      <c r="D50" s="191"/>
      <c r="E50" s="191"/>
      <c r="F50" s="191"/>
      <c r="G50" s="191"/>
      <c r="H50" s="191"/>
      <c r="I50" s="191"/>
      <c r="J50" s="189"/>
    </row>
    <row r="51" spans="2:10">
      <c r="B51" s="190"/>
      <c r="C51" s="189"/>
      <c r="D51" s="191"/>
      <c r="E51" s="191"/>
      <c r="F51" s="191"/>
      <c r="G51" s="191"/>
      <c r="H51" s="191"/>
      <c r="I51" s="191"/>
      <c r="J51" s="189"/>
    </row>
    <row r="52" spans="2:10">
      <c r="B52" s="190"/>
      <c r="C52" s="189"/>
      <c r="D52" s="189"/>
      <c r="E52" s="189"/>
      <c r="F52" s="189"/>
      <c r="G52" s="189"/>
      <c r="H52" s="189"/>
      <c r="I52" s="189"/>
      <c r="J52" s="189"/>
    </row>
    <row r="53" spans="2:10">
      <c r="B53" s="190"/>
      <c r="C53" s="189"/>
      <c r="D53" s="189"/>
      <c r="E53" s="189"/>
      <c r="F53" s="189"/>
      <c r="G53" s="189"/>
      <c r="H53" s="189"/>
      <c r="I53" s="189"/>
      <c r="J53" s="189"/>
    </row>
    <row r="54" spans="2:10">
      <c r="B54" s="190"/>
      <c r="C54" s="189"/>
      <c r="D54" s="189"/>
      <c r="E54" s="189"/>
      <c r="F54" s="189"/>
      <c r="G54" s="189"/>
      <c r="H54" s="189"/>
      <c r="I54" s="189"/>
      <c r="J54" s="189"/>
    </row>
    <row r="55" spans="2:10">
      <c r="B55" s="190"/>
      <c r="C55" s="189"/>
      <c r="D55" s="189"/>
      <c r="E55" s="189"/>
      <c r="F55" s="189"/>
      <c r="G55" s="189"/>
      <c r="H55" s="189"/>
      <c r="I55" s="189"/>
      <c r="J55" s="189"/>
    </row>
    <row r="56" spans="2:10">
      <c r="B56" s="190"/>
      <c r="C56" s="189"/>
      <c r="D56" s="189"/>
      <c r="E56" s="189"/>
      <c r="F56" s="189"/>
      <c r="G56" s="189"/>
      <c r="H56" s="189"/>
      <c r="I56" s="189"/>
      <c r="J56" s="189"/>
    </row>
    <row r="57" spans="2:10">
      <c r="B57" s="190"/>
      <c r="C57" s="189"/>
      <c r="D57" s="189"/>
      <c r="E57" s="189"/>
      <c r="F57" s="189"/>
      <c r="G57" s="189"/>
      <c r="H57" s="189"/>
      <c r="I57" s="189"/>
      <c r="J57" s="189"/>
    </row>
    <row r="58" spans="2:10">
      <c r="B58" s="190"/>
      <c r="C58" s="189"/>
      <c r="D58" s="189"/>
      <c r="E58" s="189"/>
      <c r="F58" s="189"/>
      <c r="G58" s="189"/>
      <c r="H58" s="189"/>
      <c r="I58" s="189"/>
      <c r="J58" s="189"/>
    </row>
    <row r="59" spans="2:10">
      <c r="B59" s="190"/>
      <c r="C59" s="189"/>
      <c r="D59" s="189"/>
      <c r="E59" s="189"/>
      <c r="F59" s="189"/>
      <c r="G59" s="189"/>
      <c r="H59" s="189"/>
      <c r="I59" s="189"/>
      <c r="J59" s="189"/>
    </row>
    <row r="60" spans="2:10">
      <c r="B60" s="190"/>
      <c r="C60" s="189"/>
      <c r="D60" s="189"/>
      <c r="E60" s="189"/>
      <c r="F60" s="189"/>
      <c r="G60" s="189"/>
      <c r="H60" s="189"/>
      <c r="I60" s="189"/>
      <c r="J60" s="189"/>
    </row>
    <row r="61" spans="2:10">
      <c r="B61" s="190"/>
      <c r="C61" s="189"/>
      <c r="D61" s="189"/>
      <c r="E61" s="189"/>
      <c r="F61" s="189"/>
      <c r="G61" s="189"/>
      <c r="H61" s="189"/>
      <c r="I61" s="189"/>
      <c r="J61" s="189"/>
    </row>
    <row r="62" spans="2:10">
      <c r="B62" s="190"/>
      <c r="C62" s="189"/>
      <c r="D62" s="189"/>
      <c r="E62" s="189"/>
      <c r="F62" s="189"/>
      <c r="G62" s="189"/>
      <c r="H62" s="189"/>
      <c r="I62" s="189"/>
      <c r="J62" s="189"/>
    </row>
    <row r="63" spans="2:10">
      <c r="B63" s="190"/>
      <c r="C63" s="189"/>
      <c r="D63" s="189"/>
      <c r="E63" s="189"/>
      <c r="F63" s="189"/>
      <c r="G63" s="189"/>
      <c r="H63" s="189"/>
      <c r="I63" s="189"/>
      <c r="J63" s="189"/>
    </row>
    <row r="64" spans="2:10">
      <c r="B64" s="190"/>
      <c r="C64" s="189"/>
      <c r="D64" s="189"/>
      <c r="E64" s="189"/>
      <c r="F64" s="189"/>
      <c r="G64" s="189"/>
      <c r="H64" s="189"/>
      <c r="I64" s="189"/>
      <c r="J64" s="189"/>
    </row>
    <row r="65" spans="2:10">
      <c r="B65" s="190"/>
      <c r="C65" s="189"/>
      <c r="D65" s="189"/>
      <c r="E65" s="189"/>
      <c r="F65" s="189"/>
      <c r="G65" s="189"/>
      <c r="H65" s="189"/>
      <c r="I65" s="189"/>
      <c r="J65" s="189"/>
    </row>
    <row r="66" spans="2:10">
      <c r="B66" s="190"/>
      <c r="C66" s="189"/>
      <c r="D66" s="189"/>
      <c r="E66" s="189"/>
      <c r="F66" s="189"/>
      <c r="G66" s="189"/>
      <c r="H66" s="189"/>
      <c r="I66" s="189"/>
      <c r="J66" s="189"/>
    </row>
    <row r="67" spans="2:10">
      <c r="B67" s="190"/>
      <c r="C67" s="189"/>
      <c r="D67" s="189"/>
      <c r="E67" s="189"/>
      <c r="F67" s="189"/>
      <c r="G67" s="189"/>
      <c r="H67" s="189"/>
      <c r="I67" s="189"/>
      <c r="J67" s="189"/>
    </row>
    <row r="68" spans="2:10">
      <c r="B68" s="190"/>
      <c r="C68" s="189"/>
      <c r="D68" s="189"/>
      <c r="E68" s="189"/>
      <c r="F68" s="189"/>
      <c r="G68" s="189"/>
      <c r="H68" s="189"/>
      <c r="I68" s="189"/>
      <c r="J68" s="189"/>
    </row>
    <row r="69" spans="2:10">
      <c r="B69" s="190"/>
      <c r="C69" s="189"/>
      <c r="D69" s="189"/>
      <c r="E69" s="189"/>
      <c r="F69" s="189"/>
      <c r="G69" s="189"/>
      <c r="H69" s="189"/>
      <c r="I69" s="189"/>
      <c r="J69" s="189"/>
    </row>
    <row r="70" spans="2:10">
      <c r="B70" s="190"/>
      <c r="C70" s="189"/>
      <c r="D70" s="189"/>
      <c r="E70" s="189"/>
      <c r="F70" s="189"/>
      <c r="G70" s="189"/>
      <c r="H70" s="189"/>
      <c r="I70" s="189"/>
      <c r="J70" s="189"/>
    </row>
    <row r="71" spans="2:10">
      <c r="B71" s="190"/>
      <c r="C71" s="189"/>
      <c r="D71" s="189"/>
      <c r="E71" s="189"/>
      <c r="F71" s="189"/>
      <c r="G71" s="189"/>
      <c r="H71" s="189"/>
      <c r="I71" s="189"/>
      <c r="J71" s="189"/>
    </row>
    <row r="72" spans="2:10">
      <c r="B72" s="190"/>
      <c r="C72" s="189"/>
      <c r="D72" s="189"/>
      <c r="E72" s="189"/>
      <c r="F72" s="189"/>
      <c r="G72" s="189"/>
      <c r="H72" s="189"/>
      <c r="I72" s="189"/>
      <c r="J72" s="189"/>
    </row>
    <row r="73" spans="2:10">
      <c r="B73" s="190"/>
      <c r="C73" s="189"/>
      <c r="D73" s="189"/>
      <c r="E73" s="189"/>
      <c r="F73" s="189"/>
      <c r="G73" s="189"/>
      <c r="H73" s="189"/>
      <c r="I73" s="189"/>
      <c r="J73" s="189"/>
    </row>
    <row r="74" spans="2:10">
      <c r="B74" s="190"/>
      <c r="C74" s="189"/>
      <c r="D74" s="189"/>
      <c r="E74" s="189"/>
      <c r="F74" s="189"/>
      <c r="G74" s="189"/>
      <c r="H74" s="189"/>
      <c r="I74" s="189"/>
      <c r="J74" s="189"/>
    </row>
    <row r="75" spans="2:10">
      <c r="B75" s="190"/>
      <c r="C75" s="189"/>
      <c r="D75" s="189"/>
      <c r="E75" s="189"/>
      <c r="F75" s="189"/>
      <c r="G75" s="189"/>
      <c r="H75" s="189"/>
      <c r="I75" s="189"/>
      <c r="J75" s="189"/>
    </row>
    <row r="76" spans="2:10">
      <c r="B76" s="190"/>
      <c r="C76" s="189"/>
      <c r="D76" s="189"/>
      <c r="E76" s="189"/>
      <c r="F76" s="189"/>
      <c r="G76" s="189"/>
      <c r="H76" s="189"/>
      <c r="I76" s="189"/>
      <c r="J76" s="189"/>
    </row>
    <row r="77" spans="2:10">
      <c r="B77" s="190"/>
      <c r="C77" s="189"/>
      <c r="D77" s="189"/>
      <c r="E77" s="189"/>
      <c r="F77" s="189"/>
      <c r="G77" s="189"/>
      <c r="H77" s="189"/>
      <c r="I77" s="189"/>
      <c r="J77" s="189"/>
    </row>
    <row r="78" spans="2:10">
      <c r="B78" s="190"/>
      <c r="C78" s="189"/>
      <c r="D78" s="189"/>
      <c r="E78" s="189"/>
      <c r="F78" s="189"/>
      <c r="G78" s="189"/>
      <c r="H78" s="189"/>
      <c r="I78" s="189"/>
      <c r="J78" s="189"/>
    </row>
    <row r="79" spans="2:10">
      <c r="B79" s="190"/>
      <c r="C79" s="189"/>
      <c r="D79" s="189"/>
      <c r="E79" s="189"/>
      <c r="F79" s="189"/>
      <c r="G79" s="189"/>
      <c r="H79" s="189"/>
      <c r="I79" s="189"/>
      <c r="J79" s="189"/>
    </row>
    <row r="80" spans="2:10">
      <c r="B80" s="190"/>
      <c r="C80" s="189"/>
      <c r="D80" s="189"/>
      <c r="E80" s="189"/>
      <c r="F80" s="189"/>
      <c r="G80" s="189"/>
      <c r="H80" s="189"/>
      <c r="I80" s="189"/>
      <c r="J80" s="189"/>
    </row>
    <row r="81" spans="2:10">
      <c r="B81" s="190"/>
      <c r="C81" s="189"/>
      <c r="D81" s="189"/>
      <c r="E81" s="189"/>
      <c r="F81" s="189"/>
      <c r="G81" s="189"/>
      <c r="H81" s="189"/>
      <c r="I81" s="189"/>
      <c r="J81" s="189"/>
    </row>
    <row r="82" spans="2:10">
      <c r="B82" s="190"/>
      <c r="C82" s="189"/>
      <c r="D82" s="189"/>
      <c r="E82" s="189"/>
      <c r="F82" s="189"/>
      <c r="G82" s="189"/>
      <c r="H82" s="189"/>
      <c r="I82" s="189"/>
      <c r="J82" s="189"/>
    </row>
    <row r="83" spans="2:10">
      <c r="B83" s="190"/>
      <c r="C83" s="189"/>
      <c r="D83" s="189"/>
      <c r="E83" s="189"/>
      <c r="F83" s="189"/>
      <c r="G83" s="189"/>
      <c r="H83" s="189"/>
      <c r="I83" s="189"/>
      <c r="J83" s="189"/>
    </row>
    <row r="84" spans="2:10">
      <c r="B84" s="190"/>
      <c r="C84" s="189"/>
      <c r="D84" s="189"/>
      <c r="E84" s="189"/>
      <c r="F84" s="189"/>
      <c r="G84" s="189"/>
      <c r="H84" s="189"/>
      <c r="I84" s="189"/>
      <c r="J84" s="189"/>
    </row>
    <row r="85" spans="2:10">
      <c r="B85" s="190"/>
      <c r="C85" s="189"/>
      <c r="D85" s="189"/>
      <c r="E85" s="189"/>
      <c r="F85" s="189"/>
      <c r="G85" s="189"/>
      <c r="H85" s="189"/>
      <c r="I85" s="189"/>
      <c r="J85" s="189"/>
    </row>
    <row r="86" spans="2:10">
      <c r="B86" s="190"/>
      <c r="C86" s="189"/>
      <c r="D86" s="189"/>
      <c r="E86" s="189"/>
      <c r="F86" s="189"/>
      <c r="G86" s="189"/>
      <c r="H86" s="189"/>
      <c r="I86" s="189"/>
      <c r="J86" s="189"/>
    </row>
    <row r="87" spans="2:10">
      <c r="B87" s="190"/>
      <c r="C87" s="189"/>
      <c r="D87" s="189"/>
      <c r="E87" s="189"/>
      <c r="F87" s="189"/>
      <c r="G87" s="189"/>
      <c r="H87" s="189"/>
      <c r="I87" s="189"/>
      <c r="J87" s="189"/>
    </row>
    <row r="88" spans="2:10">
      <c r="B88" s="190"/>
      <c r="C88" s="189"/>
      <c r="D88" s="189"/>
      <c r="E88" s="189"/>
      <c r="F88" s="189"/>
      <c r="G88" s="189"/>
      <c r="H88" s="189"/>
      <c r="I88" s="189"/>
      <c r="J88" s="189"/>
    </row>
    <row r="89" spans="2:10">
      <c r="B89" s="190"/>
      <c r="C89" s="189"/>
      <c r="D89" s="189"/>
      <c r="E89" s="189"/>
      <c r="F89" s="189"/>
      <c r="G89" s="189"/>
      <c r="H89" s="189"/>
      <c r="I89" s="189"/>
      <c r="J89" s="189"/>
    </row>
    <row r="90" spans="2:10">
      <c r="B90" s="190"/>
      <c r="C90" s="189"/>
      <c r="D90" s="189"/>
      <c r="E90" s="189"/>
      <c r="F90" s="189"/>
      <c r="G90" s="189"/>
      <c r="H90" s="189"/>
      <c r="I90" s="189"/>
      <c r="J90" s="189"/>
    </row>
    <row r="91" spans="2:10">
      <c r="B91" s="190"/>
      <c r="C91" s="189"/>
      <c r="D91" s="189"/>
      <c r="E91" s="189"/>
      <c r="F91" s="189"/>
      <c r="G91" s="189"/>
      <c r="H91" s="189"/>
      <c r="I91" s="189"/>
      <c r="J91" s="189"/>
    </row>
    <row r="92" spans="2:10">
      <c r="B92" s="190"/>
      <c r="C92" s="189"/>
      <c r="D92" s="189"/>
      <c r="E92" s="189"/>
      <c r="F92" s="189"/>
      <c r="G92" s="189"/>
      <c r="H92" s="189"/>
      <c r="I92" s="189"/>
      <c r="J92" s="189"/>
    </row>
    <row r="93" spans="2:10">
      <c r="B93" s="190"/>
      <c r="C93" s="189"/>
      <c r="D93" s="189"/>
      <c r="E93" s="189"/>
      <c r="F93" s="189"/>
      <c r="G93" s="189"/>
      <c r="H93" s="189"/>
      <c r="I93" s="189"/>
      <c r="J93" s="189"/>
    </row>
    <row r="94" spans="2:10">
      <c r="B94" s="190"/>
      <c r="C94" s="189"/>
      <c r="D94" s="189"/>
      <c r="E94" s="189"/>
      <c r="F94" s="189"/>
      <c r="G94" s="189"/>
      <c r="H94" s="189"/>
      <c r="I94" s="189"/>
      <c r="J94" s="189"/>
    </row>
    <row r="95" spans="2:10">
      <c r="B95" s="190"/>
      <c r="C95" s="189"/>
      <c r="D95" s="189"/>
      <c r="E95" s="189"/>
      <c r="F95" s="189"/>
      <c r="G95" s="189"/>
      <c r="H95" s="189"/>
      <c r="I95" s="189"/>
      <c r="J95" s="189"/>
    </row>
    <row r="96" spans="2:10">
      <c r="B96" s="190"/>
      <c r="C96" s="189"/>
      <c r="D96" s="189"/>
      <c r="E96" s="189"/>
      <c r="F96" s="189"/>
      <c r="G96" s="189"/>
      <c r="H96" s="189"/>
      <c r="I96" s="189"/>
      <c r="J96" s="189"/>
    </row>
    <row r="97" spans="2:10">
      <c r="B97" s="190"/>
      <c r="C97" s="189"/>
      <c r="D97" s="189"/>
      <c r="E97" s="189"/>
      <c r="F97" s="189"/>
      <c r="G97" s="189"/>
      <c r="H97" s="189"/>
      <c r="I97" s="189"/>
      <c r="J97" s="189"/>
    </row>
    <row r="98" spans="2:10">
      <c r="B98" s="190"/>
      <c r="C98" s="189"/>
      <c r="D98" s="189"/>
      <c r="E98" s="189"/>
      <c r="F98" s="189"/>
      <c r="G98" s="189"/>
      <c r="H98" s="189"/>
      <c r="I98" s="189"/>
      <c r="J98" s="189"/>
    </row>
    <row r="99" spans="2:10">
      <c r="B99" s="190"/>
      <c r="C99" s="189"/>
      <c r="D99" s="189"/>
      <c r="E99" s="189"/>
      <c r="F99" s="189"/>
      <c r="G99" s="189"/>
      <c r="H99" s="189"/>
      <c r="I99" s="189"/>
      <c r="J99" s="189"/>
    </row>
    <row r="100" spans="2:10">
      <c r="B100" s="190"/>
      <c r="C100" s="189"/>
      <c r="D100" s="189"/>
      <c r="E100" s="189"/>
      <c r="F100" s="189"/>
      <c r="G100" s="189"/>
      <c r="H100" s="189"/>
      <c r="I100" s="189"/>
      <c r="J100" s="189"/>
    </row>
    <row r="101" spans="2:10">
      <c r="B101" s="190"/>
      <c r="C101" s="189"/>
      <c r="D101" s="189"/>
      <c r="E101" s="189"/>
      <c r="F101" s="189"/>
      <c r="G101" s="189"/>
      <c r="H101" s="189"/>
      <c r="I101" s="189"/>
      <c r="J101" s="189"/>
    </row>
  </sheetData>
  <printOptions horizontalCentered="1"/>
  <pageMargins left="0.75" right="0.75" top="0.75" bottom="0.5" header="0.25" footer="0.25"/>
  <pageSetup scale="59" orientation="portrait" horizontalDpi="1200" verticalDpi="1200" r:id="rId1"/>
  <headerFooter alignWithMargins="0">
    <oddFooter xml:space="preserve">&amp;C &amp;R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tabColor theme="1"/>
    <pageSetUpPr fitToPage="1"/>
  </sheetPr>
  <dimension ref="A1:AO88"/>
  <sheetViews>
    <sheetView view="pageBreakPreview" zoomScale="80" zoomScaleNormal="80" zoomScaleSheetLayoutView="80" workbookViewId="0"/>
  </sheetViews>
  <sheetFormatPr defaultColWidth="7.109375" defaultRowHeight="15"/>
  <cols>
    <col min="1" max="1" width="7.109375" style="71"/>
    <col min="2" max="2" width="0.77734375" style="71" customWidth="1"/>
    <col min="3" max="3" width="58.21875" style="71" customWidth="1"/>
    <col min="4" max="4" width="1.77734375" style="71" customWidth="1"/>
    <col min="5" max="5" width="14.5546875" style="71" customWidth="1"/>
    <col min="6" max="6" width="2" style="71" customWidth="1"/>
    <col min="7" max="7" width="15.109375" style="71" customWidth="1"/>
    <col min="8" max="8" width="2" style="71" customWidth="1"/>
    <col min="9" max="10" width="3.44140625" style="71" customWidth="1"/>
    <col min="11" max="11" width="11.77734375" style="71" customWidth="1"/>
    <col min="12" max="12" width="16.77734375" style="71" customWidth="1"/>
    <col min="13" max="13" width="12.109375" style="71" customWidth="1"/>
    <col min="14" max="14" width="4.5546875" style="71" customWidth="1"/>
    <col min="15" max="32" width="7.109375" style="71"/>
    <col min="33" max="33" width="15.44140625" style="71" bestFit="1" customWidth="1"/>
    <col min="34" max="34" width="13.21875" style="71" customWidth="1"/>
    <col min="35" max="35" width="14.5546875" style="71" bestFit="1" customWidth="1"/>
    <col min="36" max="36" width="13.5546875" style="71" bestFit="1" customWidth="1"/>
    <col min="37" max="16384" width="7.109375" style="71"/>
  </cols>
  <sheetData>
    <row r="1" spans="1:14" s="9" customFormat="1" ht="15.75">
      <c r="A1" s="69" t="str">
        <f>'P1 ADIT'!A1</f>
        <v>Duke Energy Ohio and Duke Energy Kentucky</v>
      </c>
      <c r="B1" s="70"/>
      <c r="C1" s="70"/>
      <c r="D1" s="69"/>
      <c r="E1" s="70"/>
      <c r="F1" s="70"/>
      <c r="G1" s="70"/>
      <c r="H1" s="71"/>
      <c r="I1" s="61"/>
      <c r="L1" s="18"/>
      <c r="M1" s="18"/>
    </row>
    <row r="2" spans="1:14" s="9" customFormat="1" ht="15.75">
      <c r="C2" s="69"/>
      <c r="D2" s="69"/>
      <c r="E2" s="70"/>
      <c r="F2" s="70"/>
      <c r="G2" s="70"/>
      <c r="H2" s="71"/>
      <c r="I2" s="61"/>
      <c r="K2" s="56"/>
      <c r="L2" s="56"/>
      <c r="M2" s="56"/>
      <c r="N2" s="56"/>
    </row>
    <row r="3" spans="1:14" s="9" customFormat="1" ht="15.75">
      <c r="C3" s="69"/>
      <c r="D3" s="69"/>
      <c r="E3" s="70"/>
      <c r="F3" s="70"/>
      <c r="G3" s="260" t="s">
        <v>393</v>
      </c>
      <c r="H3" s="71"/>
      <c r="K3" s="785"/>
      <c r="L3" s="278"/>
      <c r="M3" s="18"/>
    </row>
    <row r="4" spans="1:14" s="9" customFormat="1" ht="15.75">
      <c r="C4" s="69"/>
      <c r="D4" s="69"/>
      <c r="E4" s="70"/>
      <c r="F4" s="70"/>
      <c r="G4" s="335" t="str">
        <f>"Page 8 of "&amp;Workpaper</f>
        <v>Page 8 of 19</v>
      </c>
      <c r="H4" s="71"/>
      <c r="L4" s="18"/>
      <c r="M4" s="18"/>
    </row>
    <row r="5" spans="1:14" s="9" customFormat="1" ht="15.75">
      <c r="C5" s="69"/>
      <c r="D5" s="69"/>
      <c r="E5" s="70"/>
      <c r="F5" s="70"/>
      <c r="G5" s="61" t="str">
        <f>"For the 12 months ended: "&amp;TEXT(INPUT!$B$1,"mm/dd/yyyy")</f>
        <v>For the 12 months ended: 12/31/2021</v>
      </c>
      <c r="H5" s="71"/>
      <c r="L5" s="18"/>
      <c r="M5" s="18"/>
    </row>
    <row r="6" spans="1:14" s="9" customFormat="1" ht="15.75">
      <c r="C6" s="69"/>
      <c r="D6" s="69"/>
      <c r="E6" s="70"/>
      <c r="F6" s="70"/>
      <c r="G6" s="70"/>
      <c r="H6" s="71"/>
      <c r="L6" s="18"/>
      <c r="M6" s="18"/>
    </row>
    <row r="7" spans="1:14" s="9" customFormat="1" ht="15.75">
      <c r="A7" s="69" t="s">
        <v>756</v>
      </c>
      <c r="B7" s="70"/>
      <c r="C7" s="70"/>
      <c r="D7" s="69"/>
      <c r="E7" s="70"/>
      <c r="F7" s="70"/>
      <c r="G7" s="70"/>
      <c r="H7" s="71"/>
      <c r="L7" s="18"/>
      <c r="M7" s="18"/>
    </row>
    <row r="8" spans="1:14" s="9" customFormat="1" ht="15.75">
      <c r="C8" s="69"/>
      <c r="D8" s="69"/>
      <c r="E8" s="70"/>
      <c r="F8" s="70"/>
      <c r="G8" s="70"/>
      <c r="H8" s="71"/>
      <c r="L8" s="18"/>
      <c r="M8" s="18"/>
    </row>
    <row r="9" spans="1:14" s="9" customFormat="1">
      <c r="H9" s="71"/>
      <c r="L9" s="18"/>
      <c r="M9" s="18"/>
    </row>
    <row r="10" spans="1:14">
      <c r="K10" s="9"/>
      <c r="L10" s="18"/>
      <c r="M10" s="754"/>
    </row>
    <row r="11" spans="1:14" ht="20.25">
      <c r="C11" s="72"/>
      <c r="D11" s="72"/>
      <c r="H11" s="74"/>
      <c r="K11" s="9"/>
      <c r="L11" s="18"/>
      <c r="M11" s="754"/>
    </row>
    <row r="12" spans="1:14" ht="20.25">
      <c r="A12" s="436" t="s">
        <v>8</v>
      </c>
      <c r="E12" s="142" t="s">
        <v>116</v>
      </c>
      <c r="F12" s="142"/>
      <c r="G12" s="142"/>
      <c r="H12" s="74"/>
      <c r="I12" s="232"/>
      <c r="K12" s="9"/>
      <c r="L12" s="18"/>
      <c r="M12" s="754"/>
    </row>
    <row r="13" spans="1:14" ht="20.25">
      <c r="A13" s="387" t="s">
        <v>10</v>
      </c>
      <c r="C13" s="571" t="s">
        <v>416</v>
      </c>
      <c r="E13" s="74" t="s">
        <v>180</v>
      </c>
      <c r="F13" s="74"/>
      <c r="G13" s="74" t="s">
        <v>181</v>
      </c>
      <c r="H13" s="74"/>
      <c r="I13" s="233"/>
      <c r="K13" s="9"/>
      <c r="L13" s="9"/>
    </row>
    <row r="14" spans="1:14">
      <c r="A14" s="572">
        <v>1</v>
      </c>
      <c r="C14" s="536" t="s">
        <v>759</v>
      </c>
      <c r="D14" s="234"/>
      <c r="E14" s="324">
        <v>12916002</v>
      </c>
      <c r="F14" s="324"/>
      <c r="G14" s="324">
        <v>1521736</v>
      </c>
      <c r="H14" s="325"/>
      <c r="K14" s="489"/>
      <c r="L14" s="489"/>
    </row>
    <row r="15" spans="1:14">
      <c r="A15" s="572">
        <v>2</v>
      </c>
      <c r="C15" s="535"/>
      <c r="E15" s="326"/>
      <c r="F15" s="326"/>
      <c r="G15" s="326"/>
      <c r="H15" s="326"/>
      <c r="K15" s="535"/>
      <c r="L15" s="535"/>
    </row>
    <row r="16" spans="1:14">
      <c r="A16" s="572">
        <v>3</v>
      </c>
      <c r="C16" s="535" t="s">
        <v>818</v>
      </c>
      <c r="E16" s="935">
        <f>7685460+2022224-E22</f>
        <v>9687012</v>
      </c>
      <c r="F16" s="326"/>
      <c r="G16" s="935">
        <f>1045896-G22</f>
        <v>957367</v>
      </c>
      <c r="H16" s="326"/>
      <c r="K16" s="535"/>
      <c r="L16" s="535"/>
    </row>
    <row r="17" spans="1:41">
      <c r="A17" s="572">
        <v>4</v>
      </c>
      <c r="C17" s="535"/>
      <c r="E17" s="757"/>
      <c r="F17" s="326"/>
      <c r="G17" s="757"/>
      <c r="H17" s="326"/>
      <c r="K17" s="535"/>
      <c r="L17" s="535"/>
    </row>
    <row r="18" spans="1:41">
      <c r="A18" s="572">
        <v>5</v>
      </c>
      <c r="C18" s="535" t="s">
        <v>814</v>
      </c>
      <c r="E18" s="667">
        <f>E14-E16</f>
        <v>3228990</v>
      </c>
      <c r="F18" s="326"/>
      <c r="G18" s="667">
        <f>G14-G16</f>
        <v>564369</v>
      </c>
      <c r="H18" s="326"/>
      <c r="K18" s="535"/>
      <c r="L18" s="535"/>
    </row>
    <row r="19" spans="1:41">
      <c r="A19" s="572">
        <v>6</v>
      </c>
      <c r="C19" s="535"/>
      <c r="E19" s="326"/>
      <c r="F19" s="326"/>
      <c r="G19" s="326"/>
      <c r="H19" s="326"/>
      <c r="K19" s="535"/>
      <c r="L19" s="535"/>
    </row>
    <row r="20" spans="1:41">
      <c r="A20" s="572">
        <v>7</v>
      </c>
      <c r="C20" s="535" t="s">
        <v>816</v>
      </c>
      <c r="E20" s="324">
        <v>95295</v>
      </c>
      <c r="F20" s="326"/>
      <c r="G20" s="324">
        <v>13251</v>
      </c>
      <c r="H20" s="360"/>
      <c r="K20" s="535"/>
      <c r="L20" s="535"/>
    </row>
    <row r="21" spans="1:41">
      <c r="A21" s="572">
        <v>8</v>
      </c>
      <c r="C21" s="535"/>
      <c r="E21" s="326"/>
      <c r="F21" s="326"/>
      <c r="G21" s="326"/>
      <c r="H21" s="326"/>
      <c r="K21" s="535"/>
      <c r="L21" s="535"/>
    </row>
    <row r="22" spans="1:41">
      <c r="A22" s="572">
        <v>9</v>
      </c>
      <c r="C22" s="535" t="s">
        <v>875</v>
      </c>
      <c r="E22" s="324">
        <v>20672</v>
      </c>
      <c r="F22" s="326"/>
      <c r="G22" s="324">
        <v>88529</v>
      </c>
      <c r="H22" s="360"/>
      <c r="K22" s="535"/>
      <c r="L22" s="535"/>
    </row>
    <row r="23" spans="1:41">
      <c r="A23" s="572">
        <v>10</v>
      </c>
      <c r="C23" s="535"/>
      <c r="E23" s="326"/>
      <c r="F23" s="326"/>
      <c r="G23" s="326"/>
      <c r="H23" s="326"/>
      <c r="K23" s="535"/>
      <c r="L23" s="535"/>
    </row>
    <row r="24" spans="1:41">
      <c r="A24" s="572">
        <v>11</v>
      </c>
      <c r="C24" s="535" t="s">
        <v>817</v>
      </c>
      <c r="E24" s="667">
        <f>E18-E20-E22</f>
        <v>3113023</v>
      </c>
      <c r="F24" s="326"/>
      <c r="G24" s="667">
        <f>G18-G20-G22</f>
        <v>462589</v>
      </c>
      <c r="H24" s="327"/>
      <c r="K24" s="535"/>
      <c r="L24" s="535"/>
    </row>
    <row r="25" spans="1:41" ht="17.25">
      <c r="A25" s="572">
        <v>12</v>
      </c>
      <c r="C25" s="535" t="s">
        <v>754</v>
      </c>
      <c r="E25" s="758">
        <f>'P15 Pole Counts'!E19</f>
        <v>5.8900000000000001E-2</v>
      </c>
      <c r="F25" s="758"/>
      <c r="G25" s="758">
        <f>'P15 Pole Counts'!I19</f>
        <v>6.7699999999999996E-2</v>
      </c>
      <c r="H25" s="447"/>
      <c r="K25" s="535"/>
      <c r="L25" s="535"/>
      <c r="AI25" s="755"/>
      <c r="AJ25" s="755"/>
      <c r="AK25" s="755"/>
      <c r="AL25" s="755"/>
      <c r="AM25" s="755"/>
      <c r="AN25" s="755"/>
      <c r="AO25" s="755"/>
    </row>
    <row r="26" spans="1:41" ht="17.25">
      <c r="A26" s="572">
        <v>13</v>
      </c>
      <c r="C26" s="78" t="s">
        <v>692</v>
      </c>
      <c r="D26" s="235"/>
      <c r="E26" s="936">
        <f>ROUND(E24*E25,0)</f>
        <v>183357</v>
      </c>
      <c r="F26" s="143"/>
      <c r="G26" s="936">
        <f>ROUND(G24*G25,0)</f>
        <v>31317</v>
      </c>
      <c r="H26" s="236"/>
      <c r="K26" s="535"/>
      <c r="L26" s="535"/>
      <c r="AI26" s="756"/>
      <c r="AJ26" s="756"/>
      <c r="AK26" s="755"/>
      <c r="AL26" s="755"/>
      <c r="AM26" s="755"/>
      <c r="AN26" s="755"/>
      <c r="AO26" s="755"/>
    </row>
    <row r="27" spans="1:41" ht="17.25">
      <c r="A27" s="572">
        <v>14</v>
      </c>
      <c r="C27" s="78"/>
      <c r="D27" s="235"/>
      <c r="E27" s="236"/>
      <c r="F27" s="236"/>
      <c r="G27" s="236"/>
      <c r="H27" s="236"/>
      <c r="K27" s="535"/>
      <c r="L27" s="535"/>
      <c r="AI27" s="756"/>
      <c r="AJ27" s="756"/>
      <c r="AK27" s="755"/>
      <c r="AL27" s="755"/>
      <c r="AM27" s="755"/>
      <c r="AN27" s="755"/>
      <c r="AO27" s="755"/>
    </row>
    <row r="28" spans="1:41" ht="17.25">
      <c r="A28" s="572">
        <v>15</v>
      </c>
      <c r="C28" s="536" t="s">
        <v>516</v>
      </c>
      <c r="D28" s="235"/>
      <c r="E28" s="236">
        <f>E26+E20+E22</f>
        <v>299324</v>
      </c>
      <c r="F28" s="236"/>
      <c r="G28" s="236">
        <f>G26+G20+G22</f>
        <v>133097</v>
      </c>
      <c r="H28" s="236"/>
      <c r="K28" s="78"/>
      <c r="L28" s="535"/>
      <c r="AI28" s="756"/>
      <c r="AJ28" s="756"/>
      <c r="AK28" s="755"/>
      <c r="AL28" s="755"/>
      <c r="AM28" s="755"/>
      <c r="AN28" s="755"/>
      <c r="AO28" s="755"/>
    </row>
    <row r="29" spans="1:41">
      <c r="A29" s="572">
        <v>16</v>
      </c>
      <c r="C29" s="535"/>
      <c r="E29" s="237"/>
      <c r="F29" s="237"/>
      <c r="G29" s="237"/>
      <c r="H29" s="237"/>
      <c r="K29" s="535"/>
      <c r="L29" s="535"/>
      <c r="AI29" s="756"/>
      <c r="AJ29" s="756"/>
      <c r="AK29" s="755"/>
      <c r="AL29" s="755"/>
      <c r="AM29" s="755"/>
      <c r="AN29" s="755"/>
      <c r="AO29" s="755"/>
    </row>
    <row r="30" spans="1:41" ht="15.75">
      <c r="A30" s="572">
        <v>17</v>
      </c>
      <c r="C30" s="537"/>
      <c r="D30" s="72"/>
      <c r="K30" s="535"/>
      <c r="L30" s="535"/>
      <c r="AI30" s="756"/>
      <c r="AJ30" s="756"/>
      <c r="AK30" s="755"/>
      <c r="AL30" s="755"/>
      <c r="AM30" s="755"/>
      <c r="AN30" s="755"/>
      <c r="AO30" s="755"/>
    </row>
    <row r="31" spans="1:41" ht="20.25">
      <c r="A31" s="572">
        <v>18</v>
      </c>
      <c r="C31" s="535"/>
      <c r="E31" s="142" t="s">
        <v>755</v>
      </c>
      <c r="F31" s="142"/>
      <c r="G31" s="73"/>
      <c r="H31" s="74"/>
      <c r="I31" s="232"/>
      <c r="K31" s="535"/>
      <c r="L31" s="535"/>
      <c r="AI31" s="756"/>
      <c r="AJ31" s="756"/>
      <c r="AK31" s="755"/>
      <c r="AL31" s="755"/>
      <c r="AM31" s="755"/>
      <c r="AN31" s="755"/>
      <c r="AO31" s="755"/>
    </row>
    <row r="32" spans="1:41" ht="20.25">
      <c r="A32" s="572">
        <v>19</v>
      </c>
      <c r="C32" s="535"/>
      <c r="E32" s="74" t="s">
        <v>180</v>
      </c>
      <c r="F32" s="74"/>
      <c r="G32" s="74" t="s">
        <v>181</v>
      </c>
      <c r="H32" s="74"/>
      <c r="I32" s="597"/>
      <c r="J32" s="598"/>
      <c r="K32" s="599"/>
      <c r="L32" s="599"/>
      <c r="AI32" s="756"/>
      <c r="AJ32" s="756"/>
      <c r="AK32" s="755"/>
      <c r="AL32" s="755"/>
      <c r="AM32" s="755"/>
      <c r="AN32" s="755"/>
      <c r="AO32" s="755"/>
    </row>
    <row r="33" spans="1:41">
      <c r="A33" s="572">
        <v>20</v>
      </c>
      <c r="C33" s="356" t="s">
        <v>760</v>
      </c>
      <c r="D33" s="75"/>
      <c r="E33" s="324">
        <v>32082399</v>
      </c>
      <c r="F33" s="324"/>
      <c r="G33" s="324">
        <v>2894440</v>
      </c>
      <c r="H33" s="324"/>
      <c r="I33" s="324"/>
      <c r="K33" s="535"/>
      <c r="L33" s="535"/>
      <c r="AI33" s="756"/>
      <c r="AJ33" s="756"/>
      <c r="AK33" s="755"/>
      <c r="AL33" s="755"/>
      <c r="AM33" s="755"/>
      <c r="AN33" s="755"/>
      <c r="AO33" s="755"/>
    </row>
    <row r="34" spans="1:41" ht="17.25">
      <c r="A34" s="572">
        <v>21</v>
      </c>
      <c r="C34" s="356"/>
      <c r="D34" s="75"/>
      <c r="E34" s="236"/>
      <c r="F34" s="236"/>
      <c r="G34" s="236"/>
      <c r="H34" s="236"/>
      <c r="K34" s="535"/>
      <c r="L34" s="535"/>
      <c r="AI34" s="756"/>
      <c r="AJ34" s="756"/>
      <c r="AK34" s="755"/>
      <c r="AL34" s="755"/>
      <c r="AM34" s="755"/>
      <c r="AN34" s="755"/>
      <c r="AO34" s="755"/>
    </row>
    <row r="35" spans="1:41">
      <c r="A35" s="572">
        <v>22</v>
      </c>
      <c r="C35" s="539" t="s">
        <v>1012</v>
      </c>
      <c r="D35" s="234"/>
      <c r="E35" s="327"/>
      <c r="F35" s="327"/>
      <c r="G35" s="327"/>
      <c r="H35" s="327"/>
      <c r="K35" s="540"/>
      <c r="L35" s="540"/>
      <c r="AI35" s="756"/>
      <c r="AJ35" s="756"/>
      <c r="AK35" s="755"/>
      <c r="AL35" s="755"/>
      <c r="AM35" s="755"/>
      <c r="AN35" s="755"/>
      <c r="AO35" s="755"/>
    </row>
    <row r="36" spans="1:41">
      <c r="A36" s="572">
        <v>23</v>
      </c>
      <c r="C36" s="357" t="s">
        <v>508</v>
      </c>
      <c r="D36" s="234"/>
      <c r="E36" s="324">
        <v>-19118</v>
      </c>
      <c r="F36" s="324"/>
      <c r="G36" s="324">
        <v>0</v>
      </c>
      <c r="H36" s="360"/>
      <c r="I36" s="554"/>
      <c r="J36" s="554"/>
      <c r="K36" s="535"/>
      <c r="L36" s="535"/>
      <c r="AI36" s="756"/>
      <c r="AJ36" s="756"/>
      <c r="AK36" s="755"/>
      <c r="AL36" s="755"/>
      <c r="AM36" s="755"/>
      <c r="AN36" s="755"/>
      <c r="AO36" s="755"/>
    </row>
    <row r="37" spans="1:41">
      <c r="A37" s="572">
        <v>24</v>
      </c>
      <c r="C37" s="357" t="s">
        <v>509</v>
      </c>
      <c r="E37" s="554">
        <v>-7546</v>
      </c>
      <c r="F37" s="554"/>
      <c r="G37" s="554">
        <v>0</v>
      </c>
      <c r="H37" s="360"/>
      <c r="I37" s="554"/>
      <c r="J37" s="554"/>
      <c r="K37" s="535"/>
      <c r="L37" s="535"/>
      <c r="AI37" s="756"/>
      <c r="AJ37" s="756"/>
      <c r="AK37" s="755"/>
      <c r="AL37" s="755"/>
      <c r="AM37" s="755"/>
      <c r="AN37" s="755"/>
      <c r="AO37" s="755"/>
    </row>
    <row r="38" spans="1:41" ht="15.6" customHeight="1">
      <c r="A38" s="572">
        <v>25</v>
      </c>
      <c r="C38" s="357" t="s">
        <v>510</v>
      </c>
      <c r="E38" s="554">
        <v>148489</v>
      </c>
      <c r="F38" s="554"/>
      <c r="G38" s="554">
        <v>27391</v>
      </c>
      <c r="H38" s="360"/>
      <c r="I38" s="554"/>
      <c r="J38" s="554"/>
      <c r="K38" s="535"/>
      <c r="L38" s="535"/>
      <c r="AI38" s="756"/>
      <c r="AJ38" s="756"/>
      <c r="AK38" s="755"/>
      <c r="AL38" s="755"/>
      <c r="AM38" s="755"/>
      <c r="AN38" s="755"/>
      <c r="AO38" s="755"/>
    </row>
    <row r="39" spans="1:41">
      <c r="A39" s="572">
        <v>26</v>
      </c>
      <c r="C39" s="357" t="s">
        <v>511</v>
      </c>
      <c r="E39" s="554">
        <v>28839836</v>
      </c>
      <c r="F39" s="554"/>
      <c r="G39" s="554">
        <v>0</v>
      </c>
      <c r="H39" s="360"/>
      <c r="I39" s="554"/>
      <c r="J39" s="554"/>
      <c r="K39" s="535"/>
      <c r="L39" s="535"/>
      <c r="AI39" s="756"/>
      <c r="AJ39" s="756"/>
      <c r="AK39" s="755"/>
      <c r="AL39" s="755"/>
      <c r="AM39" s="755"/>
      <c r="AN39" s="755"/>
      <c r="AO39" s="755"/>
    </row>
    <row r="40" spans="1:41">
      <c r="A40" s="572">
        <v>27</v>
      </c>
      <c r="C40" s="357" t="s">
        <v>876</v>
      </c>
      <c r="E40" s="554">
        <v>1180461</v>
      </c>
      <c r="F40" s="554"/>
      <c r="G40" s="554">
        <v>0</v>
      </c>
      <c r="H40" s="360"/>
      <c r="I40" s="554"/>
      <c r="J40" s="554"/>
      <c r="K40" s="535"/>
      <c r="L40" s="535"/>
      <c r="AI40" s="756"/>
      <c r="AJ40" s="756"/>
      <c r="AK40" s="755"/>
      <c r="AL40" s="755"/>
      <c r="AM40" s="755"/>
      <c r="AN40" s="755"/>
      <c r="AO40" s="755"/>
    </row>
    <row r="41" spans="1:41">
      <c r="A41" s="572">
        <v>28</v>
      </c>
      <c r="C41" s="357" t="s">
        <v>512</v>
      </c>
      <c r="E41" s="554">
        <v>-1776</v>
      </c>
      <c r="F41" s="554"/>
      <c r="G41" s="554">
        <v>0</v>
      </c>
      <c r="H41" s="360"/>
      <c r="I41" s="554"/>
      <c r="J41" s="554"/>
      <c r="K41" s="535"/>
      <c r="L41" s="535"/>
      <c r="AI41" s="756"/>
      <c r="AJ41" s="756"/>
      <c r="AK41" s="755"/>
      <c r="AL41" s="755"/>
      <c r="AM41" s="755"/>
      <c r="AN41" s="755"/>
      <c r="AO41" s="755"/>
    </row>
    <row r="42" spans="1:41">
      <c r="A42" s="572">
        <v>29</v>
      </c>
      <c r="C42" s="357" t="s">
        <v>513</v>
      </c>
      <c r="E42" s="554">
        <v>177633</v>
      </c>
      <c r="F42" s="554"/>
      <c r="G42" s="554">
        <v>51886</v>
      </c>
      <c r="H42" s="360"/>
      <c r="I42" s="554"/>
      <c r="J42" s="554"/>
      <c r="K42" s="535"/>
      <c r="L42" s="535"/>
      <c r="AI42" s="755"/>
      <c r="AJ42" s="755"/>
      <c r="AK42" s="755"/>
      <c r="AL42" s="755"/>
      <c r="AM42" s="755"/>
      <c r="AN42" s="755"/>
      <c r="AO42" s="755"/>
    </row>
    <row r="43" spans="1:41">
      <c r="A43" s="572">
        <v>30</v>
      </c>
      <c r="C43" s="357" t="s">
        <v>514</v>
      </c>
      <c r="E43" s="554">
        <v>0</v>
      </c>
      <c r="F43" s="554"/>
      <c r="G43" s="554">
        <v>2732544</v>
      </c>
      <c r="H43" s="360"/>
      <c r="I43" s="554"/>
      <c r="J43" s="554"/>
      <c r="K43" s="535"/>
      <c r="L43" s="535"/>
      <c r="AI43" s="755"/>
      <c r="AJ43" s="755"/>
      <c r="AK43" s="755"/>
      <c r="AL43" s="755"/>
      <c r="AM43" s="755"/>
      <c r="AN43" s="755"/>
      <c r="AO43" s="755"/>
    </row>
    <row r="44" spans="1:41" ht="17.25">
      <c r="A44" s="572">
        <v>31</v>
      </c>
      <c r="C44" s="357" t="s">
        <v>550</v>
      </c>
      <c r="D44" s="234"/>
      <c r="E44" s="555">
        <v>1956</v>
      </c>
      <c r="F44" s="555"/>
      <c r="G44" s="555">
        <v>0</v>
      </c>
      <c r="H44" s="358"/>
      <c r="I44" s="555"/>
      <c r="J44" s="555"/>
      <c r="K44" s="535"/>
      <c r="L44" s="535"/>
      <c r="AI44" s="755"/>
      <c r="AJ44" s="755"/>
      <c r="AK44" s="755"/>
      <c r="AL44" s="755"/>
      <c r="AM44" s="755"/>
      <c r="AN44" s="755"/>
      <c r="AO44" s="755"/>
    </row>
    <row r="45" spans="1:41" ht="17.25">
      <c r="A45" s="572">
        <v>32</v>
      </c>
      <c r="C45" s="539" t="s">
        <v>1013</v>
      </c>
      <c r="D45" s="234"/>
      <c r="E45" s="236">
        <f>SUM(E36:E44)</f>
        <v>30319935</v>
      </c>
      <c r="F45" s="236"/>
      <c r="G45" s="236">
        <f>SUM(G36:G44)</f>
        <v>2811821</v>
      </c>
      <c r="H45" s="236"/>
      <c r="I45" s="236"/>
      <c r="J45" s="324"/>
      <c r="K45" s="535"/>
      <c r="L45" s="535"/>
      <c r="Q45"/>
      <c r="AI45" s="755"/>
      <c r="AJ45" s="755"/>
      <c r="AK45" s="755"/>
      <c r="AL45" s="755"/>
      <c r="AM45" s="755"/>
      <c r="AN45" s="755"/>
      <c r="AO45" s="755"/>
    </row>
    <row r="46" spans="1:41">
      <c r="A46" s="572">
        <v>33</v>
      </c>
      <c r="C46" s="538"/>
      <c r="D46" s="234"/>
      <c r="I46" s="281"/>
      <c r="K46" s="535"/>
      <c r="L46" s="535"/>
      <c r="AI46" s="755"/>
      <c r="AJ46" s="755"/>
      <c r="AK46" s="755"/>
      <c r="AL46" s="755"/>
      <c r="AM46" s="755"/>
      <c r="AN46" s="755"/>
      <c r="AO46" s="755"/>
    </row>
    <row r="47" spans="1:41" ht="18" thickBot="1">
      <c r="A47" s="572">
        <v>34</v>
      </c>
      <c r="C47" s="356" t="s">
        <v>515</v>
      </c>
      <c r="E47" s="774">
        <f>E33-E45</f>
        <v>1762464</v>
      </c>
      <c r="F47" s="937"/>
      <c r="G47" s="774">
        <f>G33-G45</f>
        <v>82619</v>
      </c>
      <c r="H47" s="236"/>
      <c r="I47" s="143"/>
      <c r="K47" s="535"/>
      <c r="L47" s="535"/>
      <c r="AI47" s="755"/>
      <c r="AJ47" s="755"/>
      <c r="AK47" s="755"/>
      <c r="AL47" s="755"/>
      <c r="AM47" s="755"/>
      <c r="AN47" s="755"/>
      <c r="AO47" s="755"/>
    </row>
    <row r="48" spans="1:41" ht="21" thickTop="1">
      <c r="E48" s="74"/>
      <c r="F48" s="74"/>
      <c r="G48" s="74"/>
      <c r="H48" s="74"/>
      <c r="K48" s="535"/>
      <c r="L48" s="535"/>
      <c r="AI48" s="755"/>
      <c r="AJ48" s="755"/>
      <c r="AK48" s="755"/>
      <c r="AL48" s="755"/>
      <c r="AM48" s="755"/>
      <c r="AN48" s="755"/>
      <c r="AO48" s="755"/>
    </row>
    <row r="49" spans="3:41">
      <c r="C49" s="281"/>
      <c r="D49" s="281"/>
      <c r="K49" s="535"/>
      <c r="L49" s="535"/>
      <c r="AI49" s="755"/>
      <c r="AJ49" s="755"/>
      <c r="AK49" s="755"/>
      <c r="AL49" s="755"/>
      <c r="AM49" s="755"/>
      <c r="AN49" s="755"/>
      <c r="AO49" s="755"/>
    </row>
    <row r="50" spans="3:41">
      <c r="C50" s="281"/>
      <c r="D50" s="281"/>
      <c r="E50" s="282"/>
      <c r="F50" s="282"/>
      <c r="G50" s="282"/>
      <c r="H50" s="282"/>
      <c r="I50" s="282"/>
      <c r="K50" s="535"/>
      <c r="L50" s="535"/>
      <c r="AI50" s="755"/>
      <c r="AJ50" s="755"/>
      <c r="AK50" s="755"/>
      <c r="AL50" s="755"/>
      <c r="AM50" s="755"/>
      <c r="AN50" s="755"/>
      <c r="AO50" s="755"/>
    </row>
    <row r="51" spans="3:41">
      <c r="C51" s="281"/>
      <c r="D51" s="281"/>
      <c r="E51" s="282"/>
      <c r="F51" s="282"/>
      <c r="G51" s="282"/>
      <c r="H51" s="282"/>
      <c r="K51" s="535"/>
      <c r="L51" s="535"/>
      <c r="AI51" s="755"/>
      <c r="AJ51" s="755"/>
      <c r="AK51" s="755"/>
      <c r="AL51" s="755"/>
      <c r="AM51" s="755"/>
      <c r="AN51" s="755"/>
      <c r="AO51" s="755"/>
    </row>
    <row r="52" spans="3:41">
      <c r="C52" s="281"/>
      <c r="D52" s="281"/>
      <c r="E52" s="286"/>
      <c r="F52" s="286"/>
      <c r="G52" s="286"/>
      <c r="H52" s="282"/>
      <c r="I52" s="286"/>
      <c r="K52" s="535"/>
      <c r="L52" s="535"/>
      <c r="AI52" s="755"/>
      <c r="AJ52" s="755"/>
      <c r="AK52" s="755"/>
      <c r="AL52" s="755"/>
      <c r="AM52" s="755"/>
      <c r="AN52" s="755"/>
      <c r="AO52" s="755"/>
    </row>
    <row r="53" spans="3:41">
      <c r="C53" s="76"/>
      <c r="D53" s="281"/>
      <c r="E53" s="282"/>
      <c r="F53" s="282"/>
      <c r="G53" s="282"/>
      <c r="H53" s="282"/>
      <c r="K53" s="535"/>
      <c r="L53" s="535"/>
      <c r="AI53" s="755"/>
      <c r="AJ53" s="755"/>
      <c r="AK53" s="755"/>
      <c r="AL53" s="755"/>
      <c r="AM53" s="755"/>
      <c r="AN53" s="755"/>
      <c r="AO53" s="755"/>
    </row>
    <row r="54" spans="3:41">
      <c r="C54" s="281"/>
      <c r="D54" s="281"/>
      <c r="E54" s="282"/>
      <c r="F54" s="282"/>
      <c r="G54" s="282"/>
      <c r="H54" s="282"/>
      <c r="K54" s="535"/>
      <c r="L54" s="535"/>
      <c r="AI54" s="755"/>
      <c r="AJ54" s="755"/>
      <c r="AK54" s="755"/>
      <c r="AL54" s="755"/>
      <c r="AM54" s="755"/>
      <c r="AN54" s="755"/>
      <c r="AO54" s="755"/>
    </row>
    <row r="55" spans="3:41">
      <c r="C55" s="76"/>
      <c r="D55" s="281"/>
      <c r="E55" s="282"/>
      <c r="F55" s="282"/>
      <c r="G55" s="282"/>
      <c r="H55" s="282"/>
      <c r="K55" s="535"/>
      <c r="L55" s="535"/>
      <c r="AI55" s="755"/>
      <c r="AJ55" s="755"/>
      <c r="AK55" s="755"/>
      <c r="AL55" s="755"/>
      <c r="AM55" s="755"/>
      <c r="AN55" s="755"/>
      <c r="AO55" s="755"/>
    </row>
    <row r="56" spans="3:41">
      <c r="E56" s="282"/>
      <c r="F56" s="282"/>
      <c r="G56" s="283"/>
      <c r="H56" s="283"/>
      <c r="K56" s="535"/>
      <c r="L56" s="535"/>
      <c r="AI56" s="755"/>
      <c r="AJ56" s="755"/>
      <c r="AK56" s="755"/>
      <c r="AL56" s="755"/>
      <c r="AM56" s="755"/>
      <c r="AN56" s="755"/>
      <c r="AO56" s="755"/>
    </row>
    <row r="57" spans="3:41">
      <c r="C57" s="76"/>
      <c r="D57" s="281"/>
      <c r="E57" s="284"/>
      <c r="F57" s="284"/>
      <c r="G57" s="284"/>
      <c r="H57" s="284"/>
      <c r="K57" s="535"/>
      <c r="L57" s="535"/>
      <c r="AI57" s="755"/>
      <c r="AJ57" s="755"/>
      <c r="AK57" s="755"/>
      <c r="AL57" s="755"/>
      <c r="AM57" s="755"/>
      <c r="AN57" s="755"/>
      <c r="AO57" s="755"/>
    </row>
    <row r="58" spans="3:41">
      <c r="C58" s="281"/>
      <c r="D58" s="281"/>
      <c r="E58" s="283"/>
      <c r="F58" s="283"/>
      <c r="G58" s="283"/>
      <c r="H58" s="283"/>
      <c r="K58" s="535"/>
      <c r="L58" s="535"/>
      <c r="AI58" s="755"/>
      <c r="AJ58" s="755"/>
      <c r="AK58" s="755"/>
      <c r="AL58" s="755"/>
      <c r="AM58" s="755"/>
      <c r="AN58" s="755"/>
      <c r="AO58" s="755"/>
    </row>
    <row r="59" spans="3:41">
      <c r="C59" s="281"/>
      <c r="D59" s="281"/>
      <c r="E59" s="282"/>
      <c r="F59" s="282"/>
      <c r="G59" s="282"/>
      <c r="H59" s="282"/>
      <c r="K59" s="535"/>
      <c r="L59" s="535"/>
      <c r="AI59" s="755"/>
      <c r="AJ59" s="755"/>
      <c r="AK59" s="755"/>
      <c r="AL59" s="755"/>
      <c r="AM59" s="755"/>
      <c r="AN59" s="755"/>
      <c r="AO59" s="755"/>
    </row>
    <row r="60" spans="3:41" ht="17.25">
      <c r="C60" s="281"/>
      <c r="D60" s="281"/>
      <c r="E60" s="285"/>
      <c r="F60" s="285"/>
      <c r="G60" s="285"/>
      <c r="H60" s="285"/>
      <c r="K60" s="535"/>
      <c r="L60" s="535"/>
      <c r="AI60" s="755"/>
      <c r="AJ60" s="755"/>
      <c r="AK60" s="755"/>
      <c r="AL60" s="755"/>
      <c r="AM60" s="755"/>
      <c r="AN60" s="755"/>
      <c r="AO60" s="755"/>
    </row>
    <row r="61" spans="3:41">
      <c r="C61" s="281"/>
      <c r="D61" s="281"/>
      <c r="E61" s="286"/>
      <c r="F61" s="286"/>
      <c r="G61" s="286"/>
      <c r="H61" s="286"/>
      <c r="K61" s="535"/>
      <c r="L61" s="535"/>
      <c r="AI61" s="755"/>
      <c r="AJ61" s="755"/>
      <c r="AK61" s="755"/>
      <c r="AL61" s="755"/>
      <c r="AM61" s="755"/>
      <c r="AN61" s="755"/>
      <c r="AO61" s="755"/>
    </row>
    <row r="62" spans="3:41">
      <c r="E62" s="286"/>
      <c r="F62" s="286"/>
      <c r="G62" s="286"/>
      <c r="H62" s="286"/>
      <c r="K62" s="535"/>
      <c r="L62" s="535"/>
      <c r="AI62" s="755"/>
      <c r="AJ62" s="755"/>
      <c r="AK62" s="755"/>
      <c r="AL62" s="755"/>
      <c r="AM62" s="755"/>
      <c r="AN62" s="755"/>
      <c r="AO62" s="755"/>
    </row>
    <row r="63" spans="3:41">
      <c r="E63" s="286"/>
      <c r="F63" s="286"/>
      <c r="G63" s="286"/>
      <c r="H63" s="286"/>
      <c r="K63" s="535"/>
      <c r="L63" s="535"/>
      <c r="AI63" s="755"/>
      <c r="AJ63" s="755"/>
      <c r="AK63" s="755"/>
      <c r="AL63" s="755"/>
      <c r="AM63" s="755"/>
      <c r="AN63" s="755"/>
      <c r="AO63" s="755"/>
    </row>
    <row r="64" spans="3:41">
      <c r="G64" s="286"/>
      <c r="H64" s="286"/>
      <c r="K64" s="535"/>
      <c r="L64" s="535"/>
      <c r="AI64" s="755"/>
      <c r="AJ64" s="755"/>
      <c r="AK64" s="755"/>
      <c r="AL64" s="755"/>
      <c r="AM64" s="755"/>
      <c r="AN64" s="755"/>
      <c r="AO64" s="755"/>
    </row>
    <row r="65" spans="3:41">
      <c r="C65" s="281"/>
      <c r="D65" s="281"/>
      <c r="E65" s="282"/>
      <c r="F65" s="282"/>
      <c r="G65" s="282"/>
      <c r="H65" s="282"/>
      <c r="K65" s="535"/>
      <c r="L65" s="535"/>
      <c r="AI65" s="755"/>
      <c r="AJ65" s="755"/>
      <c r="AK65" s="755"/>
      <c r="AL65" s="755"/>
      <c r="AM65" s="755"/>
      <c r="AN65" s="755"/>
      <c r="AO65" s="755"/>
    </row>
    <row r="66" spans="3:41">
      <c r="C66" s="281"/>
      <c r="D66" s="281"/>
      <c r="E66" s="282"/>
      <c r="F66" s="282"/>
      <c r="G66" s="282"/>
      <c r="H66" s="282"/>
      <c r="K66" s="535"/>
      <c r="L66" s="535"/>
      <c r="AI66" s="755"/>
      <c r="AJ66" s="755"/>
      <c r="AK66" s="755"/>
      <c r="AL66" s="755"/>
      <c r="AM66" s="755"/>
      <c r="AN66" s="755"/>
      <c r="AO66" s="755"/>
    </row>
    <row r="67" spans="3:41">
      <c r="C67" s="281"/>
      <c r="D67" s="281"/>
      <c r="E67" s="286"/>
      <c r="F67" s="282"/>
      <c r="G67" s="286"/>
      <c r="H67" s="286"/>
      <c r="K67" s="535"/>
      <c r="L67" s="535"/>
      <c r="AI67" s="755"/>
      <c r="AJ67" s="755"/>
      <c r="AK67" s="755"/>
      <c r="AL67" s="755"/>
      <c r="AM67" s="755"/>
      <c r="AN67" s="755"/>
      <c r="AO67" s="755"/>
    </row>
    <row r="68" spans="3:41">
      <c r="C68" s="281"/>
      <c r="D68" s="281"/>
      <c r="E68" s="282"/>
      <c r="F68" s="282"/>
      <c r="G68" s="282"/>
      <c r="H68" s="282"/>
      <c r="K68" s="535"/>
      <c r="L68" s="535"/>
      <c r="AI68" s="755"/>
      <c r="AJ68" s="755"/>
      <c r="AK68" s="755"/>
      <c r="AL68" s="755"/>
      <c r="AM68" s="755"/>
      <c r="AN68" s="755"/>
      <c r="AO68" s="755"/>
    </row>
    <row r="69" spans="3:41">
      <c r="C69" s="281"/>
      <c r="D69" s="281"/>
      <c r="E69" s="282"/>
      <c r="F69" s="282"/>
      <c r="G69" s="282"/>
      <c r="H69" s="282"/>
      <c r="K69" s="535"/>
      <c r="L69" s="535"/>
      <c r="AI69" s="755"/>
      <c r="AJ69" s="755"/>
      <c r="AK69" s="755"/>
      <c r="AL69" s="755"/>
      <c r="AM69" s="755"/>
      <c r="AN69" s="755"/>
      <c r="AO69" s="755"/>
    </row>
    <row r="70" spans="3:41">
      <c r="C70" s="281"/>
      <c r="D70" s="281"/>
      <c r="E70" s="282"/>
      <c r="F70" s="282"/>
      <c r="G70" s="282"/>
      <c r="H70" s="282"/>
      <c r="K70" s="535"/>
      <c r="L70" s="535"/>
      <c r="AI70" s="755"/>
      <c r="AJ70" s="755"/>
      <c r="AK70" s="755"/>
      <c r="AL70" s="755"/>
      <c r="AM70" s="755"/>
      <c r="AN70" s="755"/>
      <c r="AO70" s="755"/>
    </row>
    <row r="71" spans="3:41" ht="17.25">
      <c r="C71" s="281"/>
      <c r="D71" s="281"/>
      <c r="E71" s="287"/>
      <c r="F71" s="287"/>
      <c r="G71" s="287"/>
      <c r="H71" s="287"/>
      <c r="K71" s="535"/>
      <c r="L71" s="535"/>
      <c r="AI71" s="755"/>
      <c r="AJ71" s="755"/>
      <c r="AK71" s="755"/>
      <c r="AL71" s="755"/>
      <c r="AM71" s="755"/>
      <c r="AN71" s="755"/>
      <c r="AO71" s="755"/>
    </row>
    <row r="72" spans="3:41">
      <c r="C72" s="281"/>
      <c r="D72" s="281"/>
      <c r="E72" s="284"/>
      <c r="F72" s="284"/>
      <c r="G72" s="284"/>
      <c r="H72" s="284"/>
      <c r="K72" s="535"/>
      <c r="L72" s="535"/>
      <c r="AI72" s="755"/>
      <c r="AJ72" s="755"/>
      <c r="AK72" s="755"/>
      <c r="AL72" s="755"/>
      <c r="AM72" s="755"/>
      <c r="AN72" s="755"/>
      <c r="AO72" s="755"/>
    </row>
    <row r="73" spans="3:41">
      <c r="K73" s="535"/>
      <c r="L73" s="535"/>
      <c r="AI73" s="755"/>
      <c r="AJ73" s="755"/>
      <c r="AK73" s="755"/>
      <c r="AL73" s="755"/>
      <c r="AM73" s="755"/>
      <c r="AN73" s="755"/>
      <c r="AO73" s="755"/>
    </row>
    <row r="74" spans="3:41">
      <c r="K74" s="535"/>
      <c r="L74" s="535"/>
      <c r="AI74" s="755"/>
      <c r="AJ74" s="755"/>
      <c r="AK74" s="755"/>
      <c r="AL74" s="755"/>
      <c r="AM74" s="755"/>
      <c r="AN74" s="755"/>
      <c r="AO74" s="755"/>
    </row>
    <row r="75" spans="3:41">
      <c r="E75" s="284"/>
      <c r="K75" s="535"/>
      <c r="L75" s="535"/>
      <c r="AI75" s="755"/>
      <c r="AJ75" s="755"/>
      <c r="AK75" s="755"/>
      <c r="AL75" s="755"/>
      <c r="AM75" s="755"/>
      <c r="AN75" s="755"/>
      <c r="AO75" s="755"/>
    </row>
    <row r="76" spans="3:41">
      <c r="K76" s="535"/>
      <c r="L76" s="535"/>
    </row>
    <row r="77" spans="3:41">
      <c r="K77" s="535"/>
      <c r="L77" s="535"/>
    </row>
    <row r="78" spans="3:41">
      <c r="K78" s="535"/>
      <c r="L78" s="535"/>
    </row>
    <row r="79" spans="3:41">
      <c r="K79" s="535"/>
      <c r="L79" s="535"/>
    </row>
    <row r="80" spans="3:41">
      <c r="K80" s="535"/>
      <c r="L80" s="535"/>
    </row>
    <row r="88" spans="3:3">
      <c r="C88"/>
    </row>
  </sheetData>
  <phoneticPr fontId="58" type="noConversion"/>
  <pageMargins left="1" right="1" top="1" bottom="1" header="0.5" footer="0.5"/>
  <pageSetup scale="69"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
    <tabColor theme="1"/>
    <pageSetUpPr fitToPage="1"/>
  </sheetPr>
  <dimension ref="A1:K25"/>
  <sheetViews>
    <sheetView view="pageBreakPreview" zoomScale="80" zoomScaleNormal="80" zoomScaleSheetLayoutView="80" workbookViewId="0"/>
  </sheetViews>
  <sheetFormatPr defaultRowHeight="14.25"/>
  <cols>
    <col min="1" max="1" width="5.77734375" style="170" customWidth="1"/>
    <col min="2" max="2" width="1.21875" style="170" customWidth="1"/>
    <col min="3" max="3" width="57" style="170" customWidth="1"/>
    <col min="4" max="4" width="1.77734375" style="170" customWidth="1"/>
    <col min="5" max="5" width="16" style="170" bestFit="1" customWidth="1"/>
    <col min="6" max="6" width="2.77734375" style="170" customWidth="1"/>
    <col min="7" max="7" width="5.77734375" style="170" customWidth="1"/>
    <col min="8" max="8" width="5.44140625" style="170" customWidth="1"/>
    <col min="9" max="9" width="8.77734375" style="170"/>
    <col min="10" max="10" width="10.77734375" style="170" bestFit="1" customWidth="1"/>
    <col min="11" max="11" width="10.21875" style="170" customWidth="1"/>
    <col min="12" max="248" width="8.77734375" style="170"/>
    <col min="249" max="249" width="54.77734375" style="170" customWidth="1"/>
    <col min="250" max="250" width="13.77734375" style="170" customWidth="1"/>
    <col min="251" max="251" width="0" style="170" hidden="1" customWidth="1"/>
    <col min="252" max="252" width="6.77734375" style="170" customWidth="1"/>
    <col min="253" max="253" width="15" style="170" customWidth="1"/>
    <col min="254" max="254" width="3.77734375" style="170" bestFit="1" customWidth="1"/>
    <col min="255" max="255" width="15.44140625" style="170" bestFit="1" customWidth="1"/>
    <col min="256" max="256" width="3.77734375" style="170" customWidth="1"/>
    <col min="257" max="257" width="11.21875" style="170" bestFit="1" customWidth="1"/>
    <col min="258" max="258" width="3.77734375" style="170" customWidth="1"/>
    <col min="259" max="259" width="13.5546875" style="170" customWidth="1"/>
    <col min="260" max="260" width="1" style="170" customWidth="1"/>
    <col min="261" max="261" width="14.21875" style="170" bestFit="1" customWidth="1"/>
    <col min="262" max="262" width="3.21875" style="170" customWidth="1"/>
    <col min="263" max="263" width="20.44140625" style="170" customWidth="1"/>
    <col min="264" max="504" width="8.77734375" style="170"/>
    <col min="505" max="505" width="54.77734375" style="170" customWidth="1"/>
    <col min="506" max="506" width="13.77734375" style="170" customWidth="1"/>
    <col min="507" max="507" width="0" style="170" hidden="1" customWidth="1"/>
    <col min="508" max="508" width="6.77734375" style="170" customWidth="1"/>
    <col min="509" max="509" width="15" style="170" customWidth="1"/>
    <col min="510" max="510" width="3.77734375" style="170" bestFit="1" customWidth="1"/>
    <col min="511" max="511" width="15.44140625" style="170" bestFit="1" customWidth="1"/>
    <col min="512" max="512" width="3.77734375" style="170" customWidth="1"/>
    <col min="513" max="513" width="11.21875" style="170" bestFit="1" customWidth="1"/>
    <col min="514" max="514" width="3.77734375" style="170" customWidth="1"/>
    <col min="515" max="515" width="13.5546875" style="170" customWidth="1"/>
    <col min="516" max="516" width="1" style="170" customWidth="1"/>
    <col min="517" max="517" width="14.21875" style="170" bestFit="1" customWidth="1"/>
    <col min="518" max="518" width="3.21875" style="170" customWidth="1"/>
    <col min="519" max="519" width="20.44140625" style="170" customWidth="1"/>
    <col min="520" max="760" width="8.77734375" style="170"/>
    <col min="761" max="761" width="54.77734375" style="170" customWidth="1"/>
    <col min="762" max="762" width="13.77734375" style="170" customWidth="1"/>
    <col min="763" max="763" width="0" style="170" hidden="1" customWidth="1"/>
    <col min="764" max="764" width="6.77734375" style="170" customWidth="1"/>
    <col min="765" max="765" width="15" style="170" customWidth="1"/>
    <col min="766" max="766" width="3.77734375" style="170" bestFit="1" customWidth="1"/>
    <col min="767" max="767" width="15.44140625" style="170" bestFit="1" customWidth="1"/>
    <col min="768" max="768" width="3.77734375" style="170" customWidth="1"/>
    <col min="769" max="769" width="11.21875" style="170" bestFit="1" customWidth="1"/>
    <col min="770" max="770" width="3.77734375" style="170" customWidth="1"/>
    <col min="771" max="771" width="13.5546875" style="170" customWidth="1"/>
    <col min="772" max="772" width="1" style="170" customWidth="1"/>
    <col min="773" max="773" width="14.21875" style="170" bestFit="1" customWidth="1"/>
    <col min="774" max="774" width="3.21875" style="170" customWidth="1"/>
    <col min="775" max="775" width="20.44140625" style="170" customWidth="1"/>
    <col min="776" max="1016" width="8.77734375" style="170"/>
    <col min="1017" max="1017" width="54.77734375" style="170" customWidth="1"/>
    <col min="1018" max="1018" width="13.77734375" style="170" customWidth="1"/>
    <col min="1019" max="1019" width="0" style="170" hidden="1" customWidth="1"/>
    <col min="1020" max="1020" width="6.77734375" style="170" customWidth="1"/>
    <col min="1021" max="1021" width="15" style="170" customWidth="1"/>
    <col min="1022" max="1022" width="3.77734375" style="170" bestFit="1" customWidth="1"/>
    <col min="1023" max="1023" width="15.44140625" style="170" bestFit="1" customWidth="1"/>
    <col min="1024" max="1024" width="3.77734375" style="170" customWidth="1"/>
    <col min="1025" max="1025" width="11.21875" style="170" bestFit="1" customWidth="1"/>
    <col min="1026" max="1026" width="3.77734375" style="170" customWidth="1"/>
    <col min="1027" max="1027" width="13.5546875" style="170" customWidth="1"/>
    <col min="1028" max="1028" width="1" style="170" customWidth="1"/>
    <col min="1029" max="1029" width="14.21875" style="170" bestFit="1" customWidth="1"/>
    <col min="1030" max="1030" width="3.21875" style="170" customWidth="1"/>
    <col min="1031" max="1031" width="20.44140625" style="170" customWidth="1"/>
    <col min="1032" max="1272" width="8.77734375" style="170"/>
    <col min="1273" max="1273" width="54.77734375" style="170" customWidth="1"/>
    <col min="1274" max="1274" width="13.77734375" style="170" customWidth="1"/>
    <col min="1275" max="1275" width="0" style="170" hidden="1" customWidth="1"/>
    <col min="1276" max="1276" width="6.77734375" style="170" customWidth="1"/>
    <col min="1277" max="1277" width="15" style="170" customWidth="1"/>
    <col min="1278" max="1278" width="3.77734375" style="170" bestFit="1" customWidth="1"/>
    <col min="1279" max="1279" width="15.44140625" style="170" bestFit="1" customWidth="1"/>
    <col min="1280" max="1280" width="3.77734375" style="170" customWidth="1"/>
    <col min="1281" max="1281" width="11.21875" style="170" bestFit="1" customWidth="1"/>
    <col min="1282" max="1282" width="3.77734375" style="170" customWidth="1"/>
    <col min="1283" max="1283" width="13.5546875" style="170" customWidth="1"/>
    <col min="1284" max="1284" width="1" style="170" customWidth="1"/>
    <col min="1285" max="1285" width="14.21875" style="170" bestFit="1" customWidth="1"/>
    <col min="1286" max="1286" width="3.21875" style="170" customWidth="1"/>
    <col min="1287" max="1287" width="20.44140625" style="170" customWidth="1"/>
    <col min="1288" max="1528" width="8.77734375" style="170"/>
    <col min="1529" max="1529" width="54.77734375" style="170" customWidth="1"/>
    <col min="1530" max="1530" width="13.77734375" style="170" customWidth="1"/>
    <col min="1531" max="1531" width="0" style="170" hidden="1" customWidth="1"/>
    <col min="1532" max="1532" width="6.77734375" style="170" customWidth="1"/>
    <col min="1533" max="1533" width="15" style="170" customWidth="1"/>
    <col min="1534" max="1534" width="3.77734375" style="170" bestFit="1" customWidth="1"/>
    <col min="1535" max="1535" width="15.44140625" style="170" bestFit="1" customWidth="1"/>
    <col min="1536" max="1536" width="3.77734375" style="170" customWidth="1"/>
    <col min="1537" max="1537" width="11.21875" style="170" bestFit="1" customWidth="1"/>
    <col min="1538" max="1538" width="3.77734375" style="170" customWidth="1"/>
    <col min="1539" max="1539" width="13.5546875" style="170" customWidth="1"/>
    <col min="1540" max="1540" width="1" style="170" customWidth="1"/>
    <col min="1541" max="1541" width="14.21875" style="170" bestFit="1" customWidth="1"/>
    <col min="1542" max="1542" width="3.21875" style="170" customWidth="1"/>
    <col min="1543" max="1543" width="20.44140625" style="170" customWidth="1"/>
    <col min="1544" max="1784" width="8.77734375" style="170"/>
    <col min="1785" max="1785" width="54.77734375" style="170" customWidth="1"/>
    <col min="1786" max="1786" width="13.77734375" style="170" customWidth="1"/>
    <col min="1787" max="1787" width="0" style="170" hidden="1" customWidth="1"/>
    <col min="1788" max="1788" width="6.77734375" style="170" customWidth="1"/>
    <col min="1789" max="1789" width="15" style="170" customWidth="1"/>
    <col min="1790" max="1790" width="3.77734375" style="170" bestFit="1" customWidth="1"/>
    <col min="1791" max="1791" width="15.44140625" style="170" bestFit="1" customWidth="1"/>
    <col min="1792" max="1792" width="3.77734375" style="170" customWidth="1"/>
    <col min="1793" max="1793" width="11.21875" style="170" bestFit="1" customWidth="1"/>
    <col min="1794" max="1794" width="3.77734375" style="170" customWidth="1"/>
    <col min="1795" max="1795" width="13.5546875" style="170" customWidth="1"/>
    <col min="1796" max="1796" width="1" style="170" customWidth="1"/>
    <col min="1797" max="1797" width="14.21875" style="170" bestFit="1" customWidth="1"/>
    <col min="1798" max="1798" width="3.21875" style="170" customWidth="1"/>
    <col min="1799" max="1799" width="20.44140625" style="170" customWidth="1"/>
    <col min="1800" max="2040" width="8.77734375" style="170"/>
    <col min="2041" max="2041" width="54.77734375" style="170" customWidth="1"/>
    <col min="2042" max="2042" width="13.77734375" style="170" customWidth="1"/>
    <col min="2043" max="2043" width="0" style="170" hidden="1" customWidth="1"/>
    <col min="2044" max="2044" width="6.77734375" style="170" customWidth="1"/>
    <col min="2045" max="2045" width="15" style="170" customWidth="1"/>
    <col min="2046" max="2046" width="3.77734375" style="170" bestFit="1" customWidth="1"/>
    <col min="2047" max="2047" width="15.44140625" style="170" bestFit="1" customWidth="1"/>
    <col min="2048" max="2048" width="3.77734375" style="170" customWidth="1"/>
    <col min="2049" max="2049" width="11.21875" style="170" bestFit="1" customWidth="1"/>
    <col min="2050" max="2050" width="3.77734375" style="170" customWidth="1"/>
    <col min="2051" max="2051" width="13.5546875" style="170" customWidth="1"/>
    <col min="2052" max="2052" width="1" style="170" customWidth="1"/>
    <col min="2053" max="2053" width="14.21875" style="170" bestFit="1" customWidth="1"/>
    <col min="2054" max="2054" width="3.21875" style="170" customWidth="1"/>
    <col min="2055" max="2055" width="20.44140625" style="170" customWidth="1"/>
    <col min="2056" max="2296" width="8.77734375" style="170"/>
    <col min="2297" max="2297" width="54.77734375" style="170" customWidth="1"/>
    <col min="2298" max="2298" width="13.77734375" style="170" customWidth="1"/>
    <col min="2299" max="2299" width="0" style="170" hidden="1" customWidth="1"/>
    <col min="2300" max="2300" width="6.77734375" style="170" customWidth="1"/>
    <col min="2301" max="2301" width="15" style="170" customWidth="1"/>
    <col min="2302" max="2302" width="3.77734375" style="170" bestFit="1" customWidth="1"/>
    <col min="2303" max="2303" width="15.44140625" style="170" bestFit="1" customWidth="1"/>
    <col min="2304" max="2304" width="3.77734375" style="170" customWidth="1"/>
    <col min="2305" max="2305" width="11.21875" style="170" bestFit="1" customWidth="1"/>
    <col min="2306" max="2306" width="3.77734375" style="170" customWidth="1"/>
    <col min="2307" max="2307" width="13.5546875" style="170" customWidth="1"/>
    <col min="2308" max="2308" width="1" style="170" customWidth="1"/>
    <col min="2309" max="2309" width="14.21875" style="170" bestFit="1" customWidth="1"/>
    <col min="2310" max="2310" width="3.21875" style="170" customWidth="1"/>
    <col min="2311" max="2311" width="20.44140625" style="170" customWidth="1"/>
    <col min="2312" max="2552" width="8.77734375" style="170"/>
    <col min="2553" max="2553" width="54.77734375" style="170" customWidth="1"/>
    <col min="2554" max="2554" width="13.77734375" style="170" customWidth="1"/>
    <col min="2555" max="2555" width="0" style="170" hidden="1" customWidth="1"/>
    <col min="2556" max="2556" width="6.77734375" style="170" customWidth="1"/>
    <col min="2557" max="2557" width="15" style="170" customWidth="1"/>
    <col min="2558" max="2558" width="3.77734375" style="170" bestFit="1" customWidth="1"/>
    <col min="2559" max="2559" width="15.44140625" style="170" bestFit="1" customWidth="1"/>
    <col min="2560" max="2560" width="3.77734375" style="170" customWidth="1"/>
    <col min="2561" max="2561" width="11.21875" style="170" bestFit="1" customWidth="1"/>
    <col min="2562" max="2562" width="3.77734375" style="170" customWidth="1"/>
    <col min="2563" max="2563" width="13.5546875" style="170" customWidth="1"/>
    <col min="2564" max="2564" width="1" style="170" customWidth="1"/>
    <col min="2565" max="2565" width="14.21875" style="170" bestFit="1" customWidth="1"/>
    <col min="2566" max="2566" width="3.21875" style="170" customWidth="1"/>
    <col min="2567" max="2567" width="20.44140625" style="170" customWidth="1"/>
    <col min="2568" max="2808" width="8.77734375" style="170"/>
    <col min="2809" max="2809" width="54.77734375" style="170" customWidth="1"/>
    <col min="2810" max="2810" width="13.77734375" style="170" customWidth="1"/>
    <col min="2811" max="2811" width="0" style="170" hidden="1" customWidth="1"/>
    <col min="2812" max="2812" width="6.77734375" style="170" customWidth="1"/>
    <col min="2813" max="2813" width="15" style="170" customWidth="1"/>
    <col min="2814" max="2814" width="3.77734375" style="170" bestFit="1" customWidth="1"/>
    <col min="2815" max="2815" width="15.44140625" style="170" bestFit="1" customWidth="1"/>
    <col min="2816" max="2816" width="3.77734375" style="170" customWidth="1"/>
    <col min="2817" max="2817" width="11.21875" style="170" bestFit="1" customWidth="1"/>
    <col min="2818" max="2818" width="3.77734375" style="170" customWidth="1"/>
    <col min="2819" max="2819" width="13.5546875" style="170" customWidth="1"/>
    <col min="2820" max="2820" width="1" style="170" customWidth="1"/>
    <col min="2821" max="2821" width="14.21875" style="170" bestFit="1" customWidth="1"/>
    <col min="2822" max="2822" width="3.21875" style="170" customWidth="1"/>
    <col min="2823" max="2823" width="20.44140625" style="170" customWidth="1"/>
    <col min="2824" max="3064" width="8.77734375" style="170"/>
    <col min="3065" max="3065" width="54.77734375" style="170" customWidth="1"/>
    <col min="3066" max="3066" width="13.77734375" style="170" customWidth="1"/>
    <col min="3067" max="3067" width="0" style="170" hidden="1" customWidth="1"/>
    <col min="3068" max="3068" width="6.77734375" style="170" customWidth="1"/>
    <col min="3069" max="3069" width="15" style="170" customWidth="1"/>
    <col min="3070" max="3070" width="3.77734375" style="170" bestFit="1" customWidth="1"/>
    <col min="3071" max="3071" width="15.44140625" style="170" bestFit="1" customWidth="1"/>
    <col min="3072" max="3072" width="3.77734375" style="170" customWidth="1"/>
    <col min="3073" max="3073" width="11.21875" style="170" bestFit="1" customWidth="1"/>
    <col min="3074" max="3074" width="3.77734375" style="170" customWidth="1"/>
    <col min="3075" max="3075" width="13.5546875" style="170" customWidth="1"/>
    <col min="3076" max="3076" width="1" style="170" customWidth="1"/>
    <col min="3077" max="3077" width="14.21875" style="170" bestFit="1" customWidth="1"/>
    <col min="3078" max="3078" width="3.21875" style="170" customWidth="1"/>
    <col min="3079" max="3079" width="20.44140625" style="170" customWidth="1"/>
    <col min="3080" max="3320" width="8.77734375" style="170"/>
    <col min="3321" max="3321" width="54.77734375" style="170" customWidth="1"/>
    <col min="3322" max="3322" width="13.77734375" style="170" customWidth="1"/>
    <col min="3323" max="3323" width="0" style="170" hidden="1" customWidth="1"/>
    <col min="3324" max="3324" width="6.77734375" style="170" customWidth="1"/>
    <col min="3325" max="3325" width="15" style="170" customWidth="1"/>
    <col min="3326" max="3326" width="3.77734375" style="170" bestFit="1" customWidth="1"/>
    <col min="3327" max="3327" width="15.44140625" style="170" bestFit="1" customWidth="1"/>
    <col min="3328" max="3328" width="3.77734375" style="170" customWidth="1"/>
    <col min="3329" max="3329" width="11.21875" style="170" bestFit="1" customWidth="1"/>
    <col min="3330" max="3330" width="3.77734375" style="170" customWidth="1"/>
    <col min="3331" max="3331" width="13.5546875" style="170" customWidth="1"/>
    <col min="3332" max="3332" width="1" style="170" customWidth="1"/>
    <col min="3333" max="3333" width="14.21875" style="170" bestFit="1" customWidth="1"/>
    <col min="3334" max="3334" width="3.21875" style="170" customWidth="1"/>
    <col min="3335" max="3335" width="20.44140625" style="170" customWidth="1"/>
    <col min="3336" max="3576" width="8.77734375" style="170"/>
    <col min="3577" max="3577" width="54.77734375" style="170" customWidth="1"/>
    <col min="3578" max="3578" width="13.77734375" style="170" customWidth="1"/>
    <col min="3579" max="3579" width="0" style="170" hidden="1" customWidth="1"/>
    <col min="3580" max="3580" width="6.77734375" style="170" customWidth="1"/>
    <col min="3581" max="3581" width="15" style="170" customWidth="1"/>
    <col min="3582" max="3582" width="3.77734375" style="170" bestFit="1" customWidth="1"/>
    <col min="3583" max="3583" width="15.44140625" style="170" bestFit="1" customWidth="1"/>
    <col min="3584" max="3584" width="3.77734375" style="170" customWidth="1"/>
    <col min="3585" max="3585" width="11.21875" style="170" bestFit="1" customWidth="1"/>
    <col min="3586" max="3586" width="3.77734375" style="170" customWidth="1"/>
    <col min="3587" max="3587" width="13.5546875" style="170" customWidth="1"/>
    <col min="3588" max="3588" width="1" style="170" customWidth="1"/>
    <col min="3589" max="3589" width="14.21875" style="170" bestFit="1" customWidth="1"/>
    <col min="3590" max="3590" width="3.21875" style="170" customWidth="1"/>
    <col min="3591" max="3591" width="20.44140625" style="170" customWidth="1"/>
    <col min="3592" max="3832" width="8.77734375" style="170"/>
    <col min="3833" max="3833" width="54.77734375" style="170" customWidth="1"/>
    <col min="3834" max="3834" width="13.77734375" style="170" customWidth="1"/>
    <col min="3835" max="3835" width="0" style="170" hidden="1" customWidth="1"/>
    <col min="3836" max="3836" width="6.77734375" style="170" customWidth="1"/>
    <col min="3837" max="3837" width="15" style="170" customWidth="1"/>
    <col min="3838" max="3838" width="3.77734375" style="170" bestFit="1" customWidth="1"/>
    <col min="3839" max="3839" width="15.44140625" style="170" bestFit="1" customWidth="1"/>
    <col min="3840" max="3840" width="3.77734375" style="170" customWidth="1"/>
    <col min="3841" max="3841" width="11.21875" style="170" bestFit="1" customWidth="1"/>
    <col min="3842" max="3842" width="3.77734375" style="170" customWidth="1"/>
    <col min="3843" max="3843" width="13.5546875" style="170" customWidth="1"/>
    <col min="3844" max="3844" width="1" style="170" customWidth="1"/>
    <col min="3845" max="3845" width="14.21875" style="170" bestFit="1" customWidth="1"/>
    <col min="3846" max="3846" width="3.21875" style="170" customWidth="1"/>
    <col min="3847" max="3847" width="20.44140625" style="170" customWidth="1"/>
    <col min="3848" max="4088" width="8.77734375" style="170"/>
    <col min="4089" max="4089" width="54.77734375" style="170" customWidth="1"/>
    <col min="4090" max="4090" width="13.77734375" style="170" customWidth="1"/>
    <col min="4091" max="4091" width="0" style="170" hidden="1" customWidth="1"/>
    <col min="4092" max="4092" width="6.77734375" style="170" customWidth="1"/>
    <col min="4093" max="4093" width="15" style="170" customWidth="1"/>
    <col min="4094" max="4094" width="3.77734375" style="170" bestFit="1" customWidth="1"/>
    <col min="4095" max="4095" width="15.44140625" style="170" bestFit="1" customWidth="1"/>
    <col min="4096" max="4096" width="3.77734375" style="170" customWidth="1"/>
    <col min="4097" max="4097" width="11.21875" style="170" bestFit="1" customWidth="1"/>
    <col min="4098" max="4098" width="3.77734375" style="170" customWidth="1"/>
    <col min="4099" max="4099" width="13.5546875" style="170" customWidth="1"/>
    <col min="4100" max="4100" width="1" style="170" customWidth="1"/>
    <col min="4101" max="4101" width="14.21875" style="170" bestFit="1" customWidth="1"/>
    <col min="4102" max="4102" width="3.21875" style="170" customWidth="1"/>
    <col min="4103" max="4103" width="20.44140625" style="170" customWidth="1"/>
    <col min="4104" max="4344" width="8.77734375" style="170"/>
    <col min="4345" max="4345" width="54.77734375" style="170" customWidth="1"/>
    <col min="4346" max="4346" width="13.77734375" style="170" customWidth="1"/>
    <col min="4347" max="4347" width="0" style="170" hidden="1" customWidth="1"/>
    <col min="4348" max="4348" width="6.77734375" style="170" customWidth="1"/>
    <col min="4349" max="4349" width="15" style="170" customWidth="1"/>
    <col min="4350" max="4350" width="3.77734375" style="170" bestFit="1" customWidth="1"/>
    <col min="4351" max="4351" width="15.44140625" style="170" bestFit="1" customWidth="1"/>
    <col min="4352" max="4352" width="3.77734375" style="170" customWidth="1"/>
    <col min="4353" max="4353" width="11.21875" style="170" bestFit="1" customWidth="1"/>
    <col min="4354" max="4354" width="3.77734375" style="170" customWidth="1"/>
    <col min="4355" max="4355" width="13.5546875" style="170" customWidth="1"/>
    <col min="4356" max="4356" width="1" style="170" customWidth="1"/>
    <col min="4357" max="4357" width="14.21875" style="170" bestFit="1" customWidth="1"/>
    <col min="4358" max="4358" width="3.21875" style="170" customWidth="1"/>
    <col min="4359" max="4359" width="20.44140625" style="170" customWidth="1"/>
    <col min="4360" max="4600" width="8.77734375" style="170"/>
    <col min="4601" max="4601" width="54.77734375" style="170" customWidth="1"/>
    <col min="4602" max="4602" width="13.77734375" style="170" customWidth="1"/>
    <col min="4603" max="4603" width="0" style="170" hidden="1" customWidth="1"/>
    <col min="4604" max="4604" width="6.77734375" style="170" customWidth="1"/>
    <col min="4605" max="4605" width="15" style="170" customWidth="1"/>
    <col min="4606" max="4606" width="3.77734375" style="170" bestFit="1" customWidth="1"/>
    <col min="4607" max="4607" width="15.44140625" style="170" bestFit="1" customWidth="1"/>
    <col min="4608" max="4608" width="3.77734375" style="170" customWidth="1"/>
    <col min="4609" max="4609" width="11.21875" style="170" bestFit="1" customWidth="1"/>
    <col min="4610" max="4610" width="3.77734375" style="170" customWidth="1"/>
    <col min="4611" max="4611" width="13.5546875" style="170" customWidth="1"/>
    <col min="4612" max="4612" width="1" style="170" customWidth="1"/>
    <col min="4613" max="4613" width="14.21875" style="170" bestFit="1" customWidth="1"/>
    <col min="4614" max="4614" width="3.21875" style="170" customWidth="1"/>
    <col min="4615" max="4615" width="20.44140625" style="170" customWidth="1"/>
    <col min="4616" max="4856" width="8.77734375" style="170"/>
    <col min="4857" max="4857" width="54.77734375" style="170" customWidth="1"/>
    <col min="4858" max="4858" width="13.77734375" style="170" customWidth="1"/>
    <col min="4859" max="4859" width="0" style="170" hidden="1" customWidth="1"/>
    <col min="4860" max="4860" width="6.77734375" style="170" customWidth="1"/>
    <col min="4861" max="4861" width="15" style="170" customWidth="1"/>
    <col min="4862" max="4862" width="3.77734375" style="170" bestFit="1" customWidth="1"/>
    <col min="4863" max="4863" width="15.44140625" style="170" bestFit="1" customWidth="1"/>
    <col min="4864" max="4864" width="3.77734375" style="170" customWidth="1"/>
    <col min="4865" max="4865" width="11.21875" style="170" bestFit="1" customWidth="1"/>
    <col min="4866" max="4866" width="3.77734375" style="170" customWidth="1"/>
    <col min="4867" max="4867" width="13.5546875" style="170" customWidth="1"/>
    <col min="4868" max="4868" width="1" style="170" customWidth="1"/>
    <col min="4869" max="4869" width="14.21875" style="170" bestFit="1" customWidth="1"/>
    <col min="4870" max="4870" width="3.21875" style="170" customWidth="1"/>
    <col min="4871" max="4871" width="20.44140625" style="170" customWidth="1"/>
    <col min="4872" max="5112" width="8.77734375" style="170"/>
    <col min="5113" max="5113" width="54.77734375" style="170" customWidth="1"/>
    <col min="5114" max="5114" width="13.77734375" style="170" customWidth="1"/>
    <col min="5115" max="5115" width="0" style="170" hidden="1" customWidth="1"/>
    <col min="5116" max="5116" width="6.77734375" style="170" customWidth="1"/>
    <col min="5117" max="5117" width="15" style="170" customWidth="1"/>
    <col min="5118" max="5118" width="3.77734375" style="170" bestFit="1" customWidth="1"/>
    <col min="5119" max="5119" width="15.44140625" style="170" bestFit="1" customWidth="1"/>
    <col min="5120" max="5120" width="3.77734375" style="170" customWidth="1"/>
    <col min="5121" max="5121" width="11.21875" style="170" bestFit="1" customWidth="1"/>
    <col min="5122" max="5122" width="3.77734375" style="170" customWidth="1"/>
    <col min="5123" max="5123" width="13.5546875" style="170" customWidth="1"/>
    <col min="5124" max="5124" width="1" style="170" customWidth="1"/>
    <col min="5125" max="5125" width="14.21875" style="170" bestFit="1" customWidth="1"/>
    <col min="5126" max="5126" width="3.21875" style="170" customWidth="1"/>
    <col min="5127" max="5127" width="20.44140625" style="170" customWidth="1"/>
    <col min="5128" max="5368" width="8.77734375" style="170"/>
    <col min="5369" max="5369" width="54.77734375" style="170" customWidth="1"/>
    <col min="5370" max="5370" width="13.77734375" style="170" customWidth="1"/>
    <col min="5371" max="5371" width="0" style="170" hidden="1" customWidth="1"/>
    <col min="5372" max="5372" width="6.77734375" style="170" customWidth="1"/>
    <col min="5373" max="5373" width="15" style="170" customWidth="1"/>
    <col min="5374" max="5374" width="3.77734375" style="170" bestFit="1" customWidth="1"/>
    <col min="5375" max="5375" width="15.44140625" style="170" bestFit="1" customWidth="1"/>
    <col min="5376" max="5376" width="3.77734375" style="170" customWidth="1"/>
    <col min="5377" max="5377" width="11.21875" style="170" bestFit="1" customWidth="1"/>
    <col min="5378" max="5378" width="3.77734375" style="170" customWidth="1"/>
    <col min="5379" max="5379" width="13.5546875" style="170" customWidth="1"/>
    <col min="5380" max="5380" width="1" style="170" customWidth="1"/>
    <col min="5381" max="5381" width="14.21875" style="170" bestFit="1" customWidth="1"/>
    <col min="5382" max="5382" width="3.21875" style="170" customWidth="1"/>
    <col min="5383" max="5383" width="20.44140625" style="170" customWidth="1"/>
    <col min="5384" max="5624" width="8.77734375" style="170"/>
    <col min="5625" max="5625" width="54.77734375" style="170" customWidth="1"/>
    <col min="5626" max="5626" width="13.77734375" style="170" customWidth="1"/>
    <col min="5627" max="5627" width="0" style="170" hidden="1" customWidth="1"/>
    <col min="5628" max="5628" width="6.77734375" style="170" customWidth="1"/>
    <col min="5629" max="5629" width="15" style="170" customWidth="1"/>
    <col min="5630" max="5630" width="3.77734375" style="170" bestFit="1" customWidth="1"/>
    <col min="5631" max="5631" width="15.44140625" style="170" bestFit="1" customWidth="1"/>
    <col min="5632" max="5632" width="3.77734375" style="170" customWidth="1"/>
    <col min="5633" max="5633" width="11.21875" style="170" bestFit="1" customWidth="1"/>
    <col min="5634" max="5634" width="3.77734375" style="170" customWidth="1"/>
    <col min="5635" max="5635" width="13.5546875" style="170" customWidth="1"/>
    <col min="5636" max="5636" width="1" style="170" customWidth="1"/>
    <col min="5637" max="5637" width="14.21875" style="170" bestFit="1" customWidth="1"/>
    <col min="5638" max="5638" width="3.21875" style="170" customWidth="1"/>
    <col min="5639" max="5639" width="20.44140625" style="170" customWidth="1"/>
    <col min="5640" max="5880" width="8.77734375" style="170"/>
    <col min="5881" max="5881" width="54.77734375" style="170" customWidth="1"/>
    <col min="5882" max="5882" width="13.77734375" style="170" customWidth="1"/>
    <col min="5883" max="5883" width="0" style="170" hidden="1" customWidth="1"/>
    <col min="5884" max="5884" width="6.77734375" style="170" customWidth="1"/>
    <col min="5885" max="5885" width="15" style="170" customWidth="1"/>
    <col min="5886" max="5886" width="3.77734375" style="170" bestFit="1" customWidth="1"/>
    <col min="5887" max="5887" width="15.44140625" style="170" bestFit="1" customWidth="1"/>
    <col min="5888" max="5888" width="3.77734375" style="170" customWidth="1"/>
    <col min="5889" max="5889" width="11.21875" style="170" bestFit="1" customWidth="1"/>
    <col min="5890" max="5890" width="3.77734375" style="170" customWidth="1"/>
    <col min="5891" max="5891" width="13.5546875" style="170" customWidth="1"/>
    <col min="5892" max="5892" width="1" style="170" customWidth="1"/>
    <col min="5893" max="5893" width="14.21875" style="170" bestFit="1" customWidth="1"/>
    <col min="5894" max="5894" width="3.21875" style="170" customWidth="1"/>
    <col min="5895" max="5895" width="20.44140625" style="170" customWidth="1"/>
    <col min="5896" max="6136" width="8.77734375" style="170"/>
    <col min="6137" max="6137" width="54.77734375" style="170" customWidth="1"/>
    <col min="6138" max="6138" width="13.77734375" style="170" customWidth="1"/>
    <col min="6139" max="6139" width="0" style="170" hidden="1" customWidth="1"/>
    <col min="6140" max="6140" width="6.77734375" style="170" customWidth="1"/>
    <col min="6141" max="6141" width="15" style="170" customWidth="1"/>
    <col min="6142" max="6142" width="3.77734375" style="170" bestFit="1" customWidth="1"/>
    <col min="6143" max="6143" width="15.44140625" style="170" bestFit="1" customWidth="1"/>
    <col min="6144" max="6144" width="3.77734375" style="170" customWidth="1"/>
    <col min="6145" max="6145" width="11.21875" style="170" bestFit="1" customWidth="1"/>
    <col min="6146" max="6146" width="3.77734375" style="170" customWidth="1"/>
    <col min="6147" max="6147" width="13.5546875" style="170" customWidth="1"/>
    <col min="6148" max="6148" width="1" style="170" customWidth="1"/>
    <col min="6149" max="6149" width="14.21875" style="170" bestFit="1" customWidth="1"/>
    <col min="6150" max="6150" width="3.21875" style="170" customWidth="1"/>
    <col min="6151" max="6151" width="20.44140625" style="170" customWidth="1"/>
    <col min="6152" max="6392" width="8.77734375" style="170"/>
    <col min="6393" max="6393" width="54.77734375" style="170" customWidth="1"/>
    <col min="6394" max="6394" width="13.77734375" style="170" customWidth="1"/>
    <col min="6395" max="6395" width="0" style="170" hidden="1" customWidth="1"/>
    <col min="6396" max="6396" width="6.77734375" style="170" customWidth="1"/>
    <col min="6397" max="6397" width="15" style="170" customWidth="1"/>
    <col min="6398" max="6398" width="3.77734375" style="170" bestFit="1" customWidth="1"/>
    <col min="6399" max="6399" width="15.44140625" style="170" bestFit="1" customWidth="1"/>
    <col min="6400" max="6400" width="3.77734375" style="170" customWidth="1"/>
    <col min="6401" max="6401" width="11.21875" style="170" bestFit="1" customWidth="1"/>
    <col min="6402" max="6402" width="3.77734375" style="170" customWidth="1"/>
    <col min="6403" max="6403" width="13.5546875" style="170" customWidth="1"/>
    <col min="6404" max="6404" width="1" style="170" customWidth="1"/>
    <col min="6405" max="6405" width="14.21875" style="170" bestFit="1" customWidth="1"/>
    <col min="6406" max="6406" width="3.21875" style="170" customWidth="1"/>
    <col min="6407" max="6407" width="20.44140625" style="170" customWidth="1"/>
    <col min="6408" max="6648" width="8.77734375" style="170"/>
    <col min="6649" max="6649" width="54.77734375" style="170" customWidth="1"/>
    <col min="6650" max="6650" width="13.77734375" style="170" customWidth="1"/>
    <col min="6651" max="6651" width="0" style="170" hidden="1" customWidth="1"/>
    <col min="6652" max="6652" width="6.77734375" style="170" customWidth="1"/>
    <col min="6653" max="6653" width="15" style="170" customWidth="1"/>
    <col min="6654" max="6654" width="3.77734375" style="170" bestFit="1" customWidth="1"/>
    <col min="6655" max="6655" width="15.44140625" style="170" bestFit="1" customWidth="1"/>
    <col min="6656" max="6656" width="3.77734375" style="170" customWidth="1"/>
    <col min="6657" max="6657" width="11.21875" style="170" bestFit="1" customWidth="1"/>
    <col min="6658" max="6658" width="3.77734375" style="170" customWidth="1"/>
    <col min="6659" max="6659" width="13.5546875" style="170" customWidth="1"/>
    <col min="6660" max="6660" width="1" style="170" customWidth="1"/>
    <col min="6661" max="6661" width="14.21875" style="170" bestFit="1" customWidth="1"/>
    <col min="6662" max="6662" width="3.21875" style="170" customWidth="1"/>
    <col min="6663" max="6663" width="20.44140625" style="170" customWidth="1"/>
    <col min="6664" max="6904" width="8.77734375" style="170"/>
    <col min="6905" max="6905" width="54.77734375" style="170" customWidth="1"/>
    <col min="6906" max="6906" width="13.77734375" style="170" customWidth="1"/>
    <col min="6907" max="6907" width="0" style="170" hidden="1" customWidth="1"/>
    <col min="6908" max="6908" width="6.77734375" style="170" customWidth="1"/>
    <col min="6909" max="6909" width="15" style="170" customWidth="1"/>
    <col min="6910" max="6910" width="3.77734375" style="170" bestFit="1" customWidth="1"/>
    <col min="6911" max="6911" width="15.44140625" style="170" bestFit="1" customWidth="1"/>
    <col min="6912" max="6912" width="3.77734375" style="170" customWidth="1"/>
    <col min="6913" max="6913" width="11.21875" style="170" bestFit="1" customWidth="1"/>
    <col min="6914" max="6914" width="3.77734375" style="170" customWidth="1"/>
    <col min="6915" max="6915" width="13.5546875" style="170" customWidth="1"/>
    <col min="6916" max="6916" width="1" style="170" customWidth="1"/>
    <col min="6917" max="6917" width="14.21875" style="170" bestFit="1" customWidth="1"/>
    <col min="6918" max="6918" width="3.21875" style="170" customWidth="1"/>
    <col min="6919" max="6919" width="20.44140625" style="170" customWidth="1"/>
    <col min="6920" max="7160" width="8.77734375" style="170"/>
    <col min="7161" max="7161" width="54.77734375" style="170" customWidth="1"/>
    <col min="7162" max="7162" width="13.77734375" style="170" customWidth="1"/>
    <col min="7163" max="7163" width="0" style="170" hidden="1" customWidth="1"/>
    <col min="7164" max="7164" width="6.77734375" style="170" customWidth="1"/>
    <col min="7165" max="7165" width="15" style="170" customWidth="1"/>
    <col min="7166" max="7166" width="3.77734375" style="170" bestFit="1" customWidth="1"/>
    <col min="7167" max="7167" width="15.44140625" style="170" bestFit="1" customWidth="1"/>
    <col min="7168" max="7168" width="3.77734375" style="170" customWidth="1"/>
    <col min="7169" max="7169" width="11.21875" style="170" bestFit="1" customWidth="1"/>
    <col min="7170" max="7170" width="3.77734375" style="170" customWidth="1"/>
    <col min="7171" max="7171" width="13.5546875" style="170" customWidth="1"/>
    <col min="7172" max="7172" width="1" style="170" customWidth="1"/>
    <col min="7173" max="7173" width="14.21875" style="170" bestFit="1" customWidth="1"/>
    <col min="7174" max="7174" width="3.21875" style="170" customWidth="1"/>
    <col min="7175" max="7175" width="20.44140625" style="170" customWidth="1"/>
    <col min="7176" max="7416" width="8.77734375" style="170"/>
    <col min="7417" max="7417" width="54.77734375" style="170" customWidth="1"/>
    <col min="7418" max="7418" width="13.77734375" style="170" customWidth="1"/>
    <col min="7419" max="7419" width="0" style="170" hidden="1" customWidth="1"/>
    <col min="7420" max="7420" width="6.77734375" style="170" customWidth="1"/>
    <col min="7421" max="7421" width="15" style="170" customWidth="1"/>
    <col min="7422" max="7422" width="3.77734375" style="170" bestFit="1" customWidth="1"/>
    <col min="7423" max="7423" width="15.44140625" style="170" bestFit="1" customWidth="1"/>
    <col min="7424" max="7424" width="3.77734375" style="170" customWidth="1"/>
    <col min="7425" max="7425" width="11.21875" style="170" bestFit="1" customWidth="1"/>
    <col min="7426" max="7426" width="3.77734375" style="170" customWidth="1"/>
    <col min="7427" max="7427" width="13.5546875" style="170" customWidth="1"/>
    <col min="7428" max="7428" width="1" style="170" customWidth="1"/>
    <col min="7429" max="7429" width="14.21875" style="170" bestFit="1" customWidth="1"/>
    <col min="7430" max="7430" width="3.21875" style="170" customWidth="1"/>
    <col min="7431" max="7431" width="20.44140625" style="170" customWidth="1"/>
    <col min="7432" max="7672" width="8.77734375" style="170"/>
    <col min="7673" max="7673" width="54.77734375" style="170" customWidth="1"/>
    <col min="7674" max="7674" width="13.77734375" style="170" customWidth="1"/>
    <col min="7675" max="7675" width="0" style="170" hidden="1" customWidth="1"/>
    <col min="7676" max="7676" width="6.77734375" style="170" customWidth="1"/>
    <col min="7677" max="7677" width="15" style="170" customWidth="1"/>
    <col min="7678" max="7678" width="3.77734375" style="170" bestFit="1" customWidth="1"/>
    <col min="7679" max="7679" width="15.44140625" style="170" bestFit="1" customWidth="1"/>
    <col min="7680" max="7680" width="3.77734375" style="170" customWidth="1"/>
    <col min="7681" max="7681" width="11.21875" style="170" bestFit="1" customWidth="1"/>
    <col min="7682" max="7682" width="3.77734375" style="170" customWidth="1"/>
    <col min="7683" max="7683" width="13.5546875" style="170" customWidth="1"/>
    <col min="7684" max="7684" width="1" style="170" customWidth="1"/>
    <col min="7685" max="7685" width="14.21875" style="170" bestFit="1" customWidth="1"/>
    <col min="7686" max="7686" width="3.21875" style="170" customWidth="1"/>
    <col min="7687" max="7687" width="20.44140625" style="170" customWidth="1"/>
    <col min="7688" max="7928" width="8.77734375" style="170"/>
    <col min="7929" max="7929" width="54.77734375" style="170" customWidth="1"/>
    <col min="7930" max="7930" width="13.77734375" style="170" customWidth="1"/>
    <col min="7931" max="7931" width="0" style="170" hidden="1" customWidth="1"/>
    <col min="7932" max="7932" width="6.77734375" style="170" customWidth="1"/>
    <col min="7933" max="7933" width="15" style="170" customWidth="1"/>
    <col min="7934" max="7934" width="3.77734375" style="170" bestFit="1" customWidth="1"/>
    <col min="7935" max="7935" width="15.44140625" style="170" bestFit="1" customWidth="1"/>
    <col min="7936" max="7936" width="3.77734375" style="170" customWidth="1"/>
    <col min="7937" max="7937" width="11.21875" style="170" bestFit="1" customWidth="1"/>
    <col min="7938" max="7938" width="3.77734375" style="170" customWidth="1"/>
    <col min="7939" max="7939" width="13.5546875" style="170" customWidth="1"/>
    <col min="7940" max="7940" width="1" style="170" customWidth="1"/>
    <col min="7941" max="7941" width="14.21875" style="170" bestFit="1" customWidth="1"/>
    <col min="7942" max="7942" width="3.21875" style="170" customWidth="1"/>
    <col min="7943" max="7943" width="20.44140625" style="170" customWidth="1"/>
    <col min="7944" max="8184" width="8.77734375" style="170"/>
    <col min="8185" max="8185" width="54.77734375" style="170" customWidth="1"/>
    <col min="8186" max="8186" width="13.77734375" style="170" customWidth="1"/>
    <col min="8187" max="8187" width="0" style="170" hidden="1" customWidth="1"/>
    <col min="8188" max="8188" width="6.77734375" style="170" customWidth="1"/>
    <col min="8189" max="8189" width="15" style="170" customWidth="1"/>
    <col min="8190" max="8190" width="3.77734375" style="170" bestFit="1" customWidth="1"/>
    <col min="8191" max="8191" width="15.44140625" style="170" bestFit="1" customWidth="1"/>
    <col min="8192" max="8192" width="3.77734375" style="170" customWidth="1"/>
    <col min="8193" max="8193" width="11.21875" style="170" bestFit="1" customWidth="1"/>
    <col min="8194" max="8194" width="3.77734375" style="170" customWidth="1"/>
    <col min="8195" max="8195" width="13.5546875" style="170" customWidth="1"/>
    <col min="8196" max="8196" width="1" style="170" customWidth="1"/>
    <col min="8197" max="8197" width="14.21875" style="170" bestFit="1" customWidth="1"/>
    <col min="8198" max="8198" width="3.21875" style="170" customWidth="1"/>
    <col min="8199" max="8199" width="20.44140625" style="170" customWidth="1"/>
    <col min="8200" max="8440" width="8.77734375" style="170"/>
    <col min="8441" max="8441" width="54.77734375" style="170" customWidth="1"/>
    <col min="8442" max="8442" width="13.77734375" style="170" customWidth="1"/>
    <col min="8443" max="8443" width="0" style="170" hidden="1" customWidth="1"/>
    <col min="8444" max="8444" width="6.77734375" style="170" customWidth="1"/>
    <col min="8445" max="8445" width="15" style="170" customWidth="1"/>
    <col min="8446" max="8446" width="3.77734375" style="170" bestFit="1" customWidth="1"/>
    <col min="8447" max="8447" width="15.44140625" style="170" bestFit="1" customWidth="1"/>
    <col min="8448" max="8448" width="3.77734375" style="170" customWidth="1"/>
    <col min="8449" max="8449" width="11.21875" style="170" bestFit="1" customWidth="1"/>
    <col min="8450" max="8450" width="3.77734375" style="170" customWidth="1"/>
    <col min="8451" max="8451" width="13.5546875" style="170" customWidth="1"/>
    <col min="8452" max="8452" width="1" style="170" customWidth="1"/>
    <col min="8453" max="8453" width="14.21875" style="170" bestFit="1" customWidth="1"/>
    <col min="8454" max="8454" width="3.21875" style="170" customWidth="1"/>
    <col min="8455" max="8455" width="20.44140625" style="170" customWidth="1"/>
    <col min="8456" max="8696" width="8.77734375" style="170"/>
    <col min="8697" max="8697" width="54.77734375" style="170" customWidth="1"/>
    <col min="8698" max="8698" width="13.77734375" style="170" customWidth="1"/>
    <col min="8699" max="8699" width="0" style="170" hidden="1" customWidth="1"/>
    <col min="8700" max="8700" width="6.77734375" style="170" customWidth="1"/>
    <col min="8701" max="8701" width="15" style="170" customWidth="1"/>
    <col min="8702" max="8702" width="3.77734375" style="170" bestFit="1" customWidth="1"/>
    <col min="8703" max="8703" width="15.44140625" style="170" bestFit="1" customWidth="1"/>
    <col min="8704" max="8704" width="3.77734375" style="170" customWidth="1"/>
    <col min="8705" max="8705" width="11.21875" style="170" bestFit="1" customWidth="1"/>
    <col min="8706" max="8706" width="3.77734375" style="170" customWidth="1"/>
    <col min="8707" max="8707" width="13.5546875" style="170" customWidth="1"/>
    <col min="8708" max="8708" width="1" style="170" customWidth="1"/>
    <col min="8709" max="8709" width="14.21875" style="170" bestFit="1" customWidth="1"/>
    <col min="8710" max="8710" width="3.21875" style="170" customWidth="1"/>
    <col min="8711" max="8711" width="20.44140625" style="170" customWidth="1"/>
    <col min="8712" max="8952" width="8.77734375" style="170"/>
    <col min="8953" max="8953" width="54.77734375" style="170" customWidth="1"/>
    <col min="8954" max="8954" width="13.77734375" style="170" customWidth="1"/>
    <col min="8955" max="8955" width="0" style="170" hidden="1" customWidth="1"/>
    <col min="8956" max="8956" width="6.77734375" style="170" customWidth="1"/>
    <col min="8957" max="8957" width="15" style="170" customWidth="1"/>
    <col min="8958" max="8958" width="3.77734375" style="170" bestFit="1" customWidth="1"/>
    <col min="8959" max="8959" width="15.44140625" style="170" bestFit="1" customWidth="1"/>
    <col min="8960" max="8960" width="3.77734375" style="170" customWidth="1"/>
    <col min="8961" max="8961" width="11.21875" style="170" bestFit="1" customWidth="1"/>
    <col min="8962" max="8962" width="3.77734375" style="170" customWidth="1"/>
    <col min="8963" max="8963" width="13.5546875" style="170" customWidth="1"/>
    <col min="8964" max="8964" width="1" style="170" customWidth="1"/>
    <col min="8965" max="8965" width="14.21875" style="170" bestFit="1" customWidth="1"/>
    <col min="8966" max="8966" width="3.21875" style="170" customWidth="1"/>
    <col min="8967" max="8967" width="20.44140625" style="170" customWidth="1"/>
    <col min="8968" max="9208" width="8.77734375" style="170"/>
    <col min="9209" max="9209" width="54.77734375" style="170" customWidth="1"/>
    <col min="9210" max="9210" width="13.77734375" style="170" customWidth="1"/>
    <col min="9211" max="9211" width="0" style="170" hidden="1" customWidth="1"/>
    <col min="9212" max="9212" width="6.77734375" style="170" customWidth="1"/>
    <col min="9213" max="9213" width="15" style="170" customWidth="1"/>
    <col min="9214" max="9214" width="3.77734375" style="170" bestFit="1" customWidth="1"/>
    <col min="9215" max="9215" width="15.44140625" style="170" bestFit="1" customWidth="1"/>
    <col min="9216" max="9216" width="3.77734375" style="170" customWidth="1"/>
    <col min="9217" max="9217" width="11.21875" style="170" bestFit="1" customWidth="1"/>
    <col min="9218" max="9218" width="3.77734375" style="170" customWidth="1"/>
    <col min="9219" max="9219" width="13.5546875" style="170" customWidth="1"/>
    <col min="9220" max="9220" width="1" style="170" customWidth="1"/>
    <col min="9221" max="9221" width="14.21875" style="170" bestFit="1" customWidth="1"/>
    <col min="9222" max="9222" width="3.21875" style="170" customWidth="1"/>
    <col min="9223" max="9223" width="20.44140625" style="170" customWidth="1"/>
    <col min="9224" max="9464" width="8.77734375" style="170"/>
    <col min="9465" max="9465" width="54.77734375" style="170" customWidth="1"/>
    <col min="9466" max="9466" width="13.77734375" style="170" customWidth="1"/>
    <col min="9467" max="9467" width="0" style="170" hidden="1" customWidth="1"/>
    <col min="9468" max="9468" width="6.77734375" style="170" customWidth="1"/>
    <col min="9469" max="9469" width="15" style="170" customWidth="1"/>
    <col min="9470" max="9470" width="3.77734375" style="170" bestFit="1" customWidth="1"/>
    <col min="9471" max="9471" width="15.44140625" style="170" bestFit="1" customWidth="1"/>
    <col min="9472" max="9472" width="3.77734375" style="170" customWidth="1"/>
    <col min="9473" max="9473" width="11.21875" style="170" bestFit="1" customWidth="1"/>
    <col min="9474" max="9474" width="3.77734375" style="170" customWidth="1"/>
    <col min="9475" max="9475" width="13.5546875" style="170" customWidth="1"/>
    <col min="9476" max="9476" width="1" style="170" customWidth="1"/>
    <col min="9477" max="9477" width="14.21875" style="170" bestFit="1" customWidth="1"/>
    <col min="9478" max="9478" width="3.21875" style="170" customWidth="1"/>
    <col min="9479" max="9479" width="20.44140625" style="170" customWidth="1"/>
    <col min="9480" max="9720" width="8.77734375" style="170"/>
    <col min="9721" max="9721" width="54.77734375" style="170" customWidth="1"/>
    <col min="9722" max="9722" width="13.77734375" style="170" customWidth="1"/>
    <col min="9723" max="9723" width="0" style="170" hidden="1" customWidth="1"/>
    <col min="9724" max="9724" width="6.77734375" style="170" customWidth="1"/>
    <col min="9725" max="9725" width="15" style="170" customWidth="1"/>
    <col min="9726" max="9726" width="3.77734375" style="170" bestFit="1" customWidth="1"/>
    <col min="9727" max="9727" width="15.44140625" style="170" bestFit="1" customWidth="1"/>
    <col min="9728" max="9728" width="3.77734375" style="170" customWidth="1"/>
    <col min="9729" max="9729" width="11.21875" style="170" bestFit="1" customWidth="1"/>
    <col min="9730" max="9730" width="3.77734375" style="170" customWidth="1"/>
    <col min="9731" max="9731" width="13.5546875" style="170" customWidth="1"/>
    <col min="9732" max="9732" width="1" style="170" customWidth="1"/>
    <col min="9733" max="9733" width="14.21875" style="170" bestFit="1" customWidth="1"/>
    <col min="9734" max="9734" width="3.21875" style="170" customWidth="1"/>
    <col min="9735" max="9735" width="20.44140625" style="170" customWidth="1"/>
    <col min="9736" max="9976" width="8.77734375" style="170"/>
    <col min="9977" max="9977" width="54.77734375" style="170" customWidth="1"/>
    <col min="9978" max="9978" width="13.77734375" style="170" customWidth="1"/>
    <col min="9979" max="9979" width="0" style="170" hidden="1" customWidth="1"/>
    <col min="9980" max="9980" width="6.77734375" style="170" customWidth="1"/>
    <col min="9981" max="9981" width="15" style="170" customWidth="1"/>
    <col min="9982" max="9982" width="3.77734375" style="170" bestFit="1" customWidth="1"/>
    <col min="9983" max="9983" width="15.44140625" style="170" bestFit="1" customWidth="1"/>
    <col min="9984" max="9984" width="3.77734375" style="170" customWidth="1"/>
    <col min="9985" max="9985" width="11.21875" style="170" bestFit="1" customWidth="1"/>
    <col min="9986" max="9986" width="3.77734375" style="170" customWidth="1"/>
    <col min="9987" max="9987" width="13.5546875" style="170" customWidth="1"/>
    <col min="9988" max="9988" width="1" style="170" customWidth="1"/>
    <col min="9989" max="9989" width="14.21875" style="170" bestFit="1" customWidth="1"/>
    <col min="9990" max="9990" width="3.21875" style="170" customWidth="1"/>
    <col min="9991" max="9991" width="20.44140625" style="170" customWidth="1"/>
    <col min="9992" max="10232" width="8.77734375" style="170"/>
    <col min="10233" max="10233" width="54.77734375" style="170" customWidth="1"/>
    <col min="10234" max="10234" width="13.77734375" style="170" customWidth="1"/>
    <col min="10235" max="10235" width="0" style="170" hidden="1" customWidth="1"/>
    <col min="10236" max="10236" width="6.77734375" style="170" customWidth="1"/>
    <col min="10237" max="10237" width="15" style="170" customWidth="1"/>
    <col min="10238" max="10238" width="3.77734375" style="170" bestFit="1" customWidth="1"/>
    <col min="10239" max="10239" width="15.44140625" style="170" bestFit="1" customWidth="1"/>
    <col min="10240" max="10240" width="3.77734375" style="170" customWidth="1"/>
    <col min="10241" max="10241" width="11.21875" style="170" bestFit="1" customWidth="1"/>
    <col min="10242" max="10242" width="3.77734375" style="170" customWidth="1"/>
    <col min="10243" max="10243" width="13.5546875" style="170" customWidth="1"/>
    <col min="10244" max="10244" width="1" style="170" customWidth="1"/>
    <col min="10245" max="10245" width="14.21875" style="170" bestFit="1" customWidth="1"/>
    <col min="10246" max="10246" width="3.21875" style="170" customWidth="1"/>
    <col min="10247" max="10247" width="20.44140625" style="170" customWidth="1"/>
    <col min="10248" max="10488" width="8.77734375" style="170"/>
    <col min="10489" max="10489" width="54.77734375" style="170" customWidth="1"/>
    <col min="10490" max="10490" width="13.77734375" style="170" customWidth="1"/>
    <col min="10491" max="10491" width="0" style="170" hidden="1" customWidth="1"/>
    <col min="10492" max="10492" width="6.77734375" style="170" customWidth="1"/>
    <col min="10493" max="10493" width="15" style="170" customWidth="1"/>
    <col min="10494" max="10494" width="3.77734375" style="170" bestFit="1" customWidth="1"/>
    <col min="10495" max="10495" width="15.44140625" style="170" bestFit="1" customWidth="1"/>
    <col min="10496" max="10496" width="3.77734375" style="170" customWidth="1"/>
    <col min="10497" max="10497" width="11.21875" style="170" bestFit="1" customWidth="1"/>
    <col min="10498" max="10498" width="3.77734375" style="170" customWidth="1"/>
    <col min="10499" max="10499" width="13.5546875" style="170" customWidth="1"/>
    <col min="10500" max="10500" width="1" style="170" customWidth="1"/>
    <col min="10501" max="10501" width="14.21875" style="170" bestFit="1" customWidth="1"/>
    <col min="10502" max="10502" width="3.21875" style="170" customWidth="1"/>
    <col min="10503" max="10503" width="20.44140625" style="170" customWidth="1"/>
    <col min="10504" max="10744" width="8.77734375" style="170"/>
    <col min="10745" max="10745" width="54.77734375" style="170" customWidth="1"/>
    <col min="10746" max="10746" width="13.77734375" style="170" customWidth="1"/>
    <col min="10747" max="10747" width="0" style="170" hidden="1" customWidth="1"/>
    <col min="10748" max="10748" width="6.77734375" style="170" customWidth="1"/>
    <col min="10749" max="10749" width="15" style="170" customWidth="1"/>
    <col min="10750" max="10750" width="3.77734375" style="170" bestFit="1" customWidth="1"/>
    <col min="10751" max="10751" width="15.44140625" style="170" bestFit="1" customWidth="1"/>
    <col min="10752" max="10752" width="3.77734375" style="170" customWidth="1"/>
    <col min="10753" max="10753" width="11.21875" style="170" bestFit="1" customWidth="1"/>
    <col min="10754" max="10754" width="3.77734375" style="170" customWidth="1"/>
    <col min="10755" max="10755" width="13.5546875" style="170" customWidth="1"/>
    <col min="10756" max="10756" width="1" style="170" customWidth="1"/>
    <col min="10757" max="10757" width="14.21875" style="170" bestFit="1" customWidth="1"/>
    <col min="10758" max="10758" width="3.21875" style="170" customWidth="1"/>
    <col min="10759" max="10759" width="20.44140625" style="170" customWidth="1"/>
    <col min="10760" max="11000" width="8.77734375" style="170"/>
    <col min="11001" max="11001" width="54.77734375" style="170" customWidth="1"/>
    <col min="11002" max="11002" width="13.77734375" style="170" customWidth="1"/>
    <col min="11003" max="11003" width="0" style="170" hidden="1" customWidth="1"/>
    <col min="11004" max="11004" width="6.77734375" style="170" customWidth="1"/>
    <col min="11005" max="11005" width="15" style="170" customWidth="1"/>
    <col min="11006" max="11006" width="3.77734375" style="170" bestFit="1" customWidth="1"/>
    <col min="11007" max="11007" width="15.44140625" style="170" bestFit="1" customWidth="1"/>
    <col min="11008" max="11008" width="3.77734375" style="170" customWidth="1"/>
    <col min="11009" max="11009" width="11.21875" style="170" bestFit="1" customWidth="1"/>
    <col min="11010" max="11010" width="3.77734375" style="170" customWidth="1"/>
    <col min="11011" max="11011" width="13.5546875" style="170" customWidth="1"/>
    <col min="11012" max="11012" width="1" style="170" customWidth="1"/>
    <col min="11013" max="11013" width="14.21875" style="170" bestFit="1" customWidth="1"/>
    <col min="11014" max="11014" width="3.21875" style="170" customWidth="1"/>
    <col min="11015" max="11015" width="20.44140625" style="170" customWidth="1"/>
    <col min="11016" max="11256" width="8.77734375" style="170"/>
    <col min="11257" max="11257" width="54.77734375" style="170" customWidth="1"/>
    <col min="11258" max="11258" width="13.77734375" style="170" customWidth="1"/>
    <col min="11259" max="11259" width="0" style="170" hidden="1" customWidth="1"/>
    <col min="11260" max="11260" width="6.77734375" style="170" customWidth="1"/>
    <col min="11261" max="11261" width="15" style="170" customWidth="1"/>
    <col min="11262" max="11262" width="3.77734375" style="170" bestFit="1" customWidth="1"/>
    <col min="11263" max="11263" width="15.44140625" style="170" bestFit="1" customWidth="1"/>
    <col min="11264" max="11264" width="3.77734375" style="170" customWidth="1"/>
    <col min="11265" max="11265" width="11.21875" style="170" bestFit="1" customWidth="1"/>
    <col min="11266" max="11266" width="3.77734375" style="170" customWidth="1"/>
    <col min="11267" max="11267" width="13.5546875" style="170" customWidth="1"/>
    <col min="11268" max="11268" width="1" style="170" customWidth="1"/>
    <col min="11269" max="11269" width="14.21875" style="170" bestFit="1" customWidth="1"/>
    <col min="11270" max="11270" width="3.21875" style="170" customWidth="1"/>
    <col min="11271" max="11271" width="20.44140625" style="170" customWidth="1"/>
    <col min="11272" max="11512" width="8.77734375" style="170"/>
    <col min="11513" max="11513" width="54.77734375" style="170" customWidth="1"/>
    <col min="11514" max="11514" width="13.77734375" style="170" customWidth="1"/>
    <col min="11515" max="11515" width="0" style="170" hidden="1" customWidth="1"/>
    <col min="11516" max="11516" width="6.77734375" style="170" customWidth="1"/>
    <col min="11517" max="11517" width="15" style="170" customWidth="1"/>
    <col min="11518" max="11518" width="3.77734375" style="170" bestFit="1" customWidth="1"/>
    <col min="11519" max="11519" width="15.44140625" style="170" bestFit="1" customWidth="1"/>
    <col min="11520" max="11520" width="3.77734375" style="170" customWidth="1"/>
    <col min="11521" max="11521" width="11.21875" style="170" bestFit="1" customWidth="1"/>
    <col min="11522" max="11522" width="3.77734375" style="170" customWidth="1"/>
    <col min="11523" max="11523" width="13.5546875" style="170" customWidth="1"/>
    <col min="11524" max="11524" width="1" style="170" customWidth="1"/>
    <col min="11525" max="11525" width="14.21875" style="170" bestFit="1" customWidth="1"/>
    <col min="11526" max="11526" width="3.21875" style="170" customWidth="1"/>
    <col min="11527" max="11527" width="20.44140625" style="170" customWidth="1"/>
    <col min="11528" max="11768" width="8.77734375" style="170"/>
    <col min="11769" max="11769" width="54.77734375" style="170" customWidth="1"/>
    <col min="11770" max="11770" width="13.77734375" style="170" customWidth="1"/>
    <col min="11771" max="11771" width="0" style="170" hidden="1" customWidth="1"/>
    <col min="11772" max="11772" width="6.77734375" style="170" customWidth="1"/>
    <col min="11773" max="11773" width="15" style="170" customWidth="1"/>
    <col min="11774" max="11774" width="3.77734375" style="170" bestFit="1" customWidth="1"/>
    <col min="11775" max="11775" width="15.44140625" style="170" bestFit="1" customWidth="1"/>
    <col min="11776" max="11776" width="3.77734375" style="170" customWidth="1"/>
    <col min="11777" max="11777" width="11.21875" style="170" bestFit="1" customWidth="1"/>
    <col min="11778" max="11778" width="3.77734375" style="170" customWidth="1"/>
    <col min="11779" max="11779" width="13.5546875" style="170" customWidth="1"/>
    <col min="11780" max="11780" width="1" style="170" customWidth="1"/>
    <col min="11781" max="11781" width="14.21875" style="170" bestFit="1" customWidth="1"/>
    <col min="11782" max="11782" width="3.21875" style="170" customWidth="1"/>
    <col min="11783" max="11783" width="20.44140625" style="170" customWidth="1"/>
    <col min="11784" max="12024" width="8.77734375" style="170"/>
    <col min="12025" max="12025" width="54.77734375" style="170" customWidth="1"/>
    <col min="12026" max="12026" width="13.77734375" style="170" customWidth="1"/>
    <col min="12027" max="12027" width="0" style="170" hidden="1" customWidth="1"/>
    <col min="12028" max="12028" width="6.77734375" style="170" customWidth="1"/>
    <col min="12029" max="12029" width="15" style="170" customWidth="1"/>
    <col min="12030" max="12030" width="3.77734375" style="170" bestFit="1" customWidth="1"/>
    <col min="12031" max="12031" width="15.44140625" style="170" bestFit="1" customWidth="1"/>
    <col min="12032" max="12032" width="3.77734375" style="170" customWidth="1"/>
    <col min="12033" max="12033" width="11.21875" style="170" bestFit="1" customWidth="1"/>
    <col min="12034" max="12034" width="3.77734375" style="170" customWidth="1"/>
    <col min="12035" max="12035" width="13.5546875" style="170" customWidth="1"/>
    <col min="12036" max="12036" width="1" style="170" customWidth="1"/>
    <col min="12037" max="12037" width="14.21875" style="170" bestFit="1" customWidth="1"/>
    <col min="12038" max="12038" width="3.21875" style="170" customWidth="1"/>
    <col min="12039" max="12039" width="20.44140625" style="170" customWidth="1"/>
    <col min="12040" max="12280" width="8.77734375" style="170"/>
    <col min="12281" max="12281" width="54.77734375" style="170" customWidth="1"/>
    <col min="12282" max="12282" width="13.77734375" style="170" customWidth="1"/>
    <col min="12283" max="12283" width="0" style="170" hidden="1" customWidth="1"/>
    <col min="12284" max="12284" width="6.77734375" style="170" customWidth="1"/>
    <col min="12285" max="12285" width="15" style="170" customWidth="1"/>
    <col min="12286" max="12286" width="3.77734375" style="170" bestFit="1" customWidth="1"/>
    <col min="12287" max="12287" width="15.44140625" style="170" bestFit="1" customWidth="1"/>
    <col min="12288" max="12288" width="3.77734375" style="170" customWidth="1"/>
    <col min="12289" max="12289" width="11.21875" style="170" bestFit="1" customWidth="1"/>
    <col min="12290" max="12290" width="3.77734375" style="170" customWidth="1"/>
    <col min="12291" max="12291" width="13.5546875" style="170" customWidth="1"/>
    <col min="12292" max="12292" width="1" style="170" customWidth="1"/>
    <col min="12293" max="12293" width="14.21875" style="170" bestFit="1" customWidth="1"/>
    <col min="12294" max="12294" width="3.21875" style="170" customWidth="1"/>
    <col min="12295" max="12295" width="20.44140625" style="170" customWidth="1"/>
    <col min="12296" max="12536" width="8.77734375" style="170"/>
    <col min="12537" max="12537" width="54.77734375" style="170" customWidth="1"/>
    <col min="12538" max="12538" width="13.77734375" style="170" customWidth="1"/>
    <col min="12539" max="12539" width="0" style="170" hidden="1" customWidth="1"/>
    <col min="12540" max="12540" width="6.77734375" style="170" customWidth="1"/>
    <col min="12541" max="12541" width="15" style="170" customWidth="1"/>
    <col min="12542" max="12542" width="3.77734375" style="170" bestFit="1" customWidth="1"/>
    <col min="12543" max="12543" width="15.44140625" style="170" bestFit="1" customWidth="1"/>
    <col min="12544" max="12544" width="3.77734375" style="170" customWidth="1"/>
    <col min="12545" max="12545" width="11.21875" style="170" bestFit="1" customWidth="1"/>
    <col min="12546" max="12546" width="3.77734375" style="170" customWidth="1"/>
    <col min="12547" max="12547" width="13.5546875" style="170" customWidth="1"/>
    <col min="12548" max="12548" width="1" style="170" customWidth="1"/>
    <col min="12549" max="12549" width="14.21875" style="170" bestFit="1" customWidth="1"/>
    <col min="12550" max="12550" width="3.21875" style="170" customWidth="1"/>
    <col min="12551" max="12551" width="20.44140625" style="170" customWidth="1"/>
    <col min="12552" max="12792" width="8.77734375" style="170"/>
    <col min="12793" max="12793" width="54.77734375" style="170" customWidth="1"/>
    <col min="12794" max="12794" width="13.77734375" style="170" customWidth="1"/>
    <col min="12795" max="12795" width="0" style="170" hidden="1" customWidth="1"/>
    <col min="12796" max="12796" width="6.77734375" style="170" customWidth="1"/>
    <col min="12797" max="12797" width="15" style="170" customWidth="1"/>
    <col min="12798" max="12798" width="3.77734375" style="170" bestFit="1" customWidth="1"/>
    <col min="12799" max="12799" width="15.44140625" style="170" bestFit="1" customWidth="1"/>
    <col min="12800" max="12800" width="3.77734375" style="170" customWidth="1"/>
    <col min="12801" max="12801" width="11.21875" style="170" bestFit="1" customWidth="1"/>
    <col min="12802" max="12802" width="3.77734375" style="170" customWidth="1"/>
    <col min="12803" max="12803" width="13.5546875" style="170" customWidth="1"/>
    <col min="12804" max="12804" width="1" style="170" customWidth="1"/>
    <col min="12805" max="12805" width="14.21875" style="170" bestFit="1" customWidth="1"/>
    <col min="12806" max="12806" width="3.21875" style="170" customWidth="1"/>
    <col min="12807" max="12807" width="20.44140625" style="170" customWidth="1"/>
    <col min="12808" max="13048" width="8.77734375" style="170"/>
    <col min="13049" max="13049" width="54.77734375" style="170" customWidth="1"/>
    <col min="13050" max="13050" width="13.77734375" style="170" customWidth="1"/>
    <col min="13051" max="13051" width="0" style="170" hidden="1" customWidth="1"/>
    <col min="13052" max="13052" width="6.77734375" style="170" customWidth="1"/>
    <col min="13053" max="13053" width="15" style="170" customWidth="1"/>
    <col min="13054" max="13054" width="3.77734375" style="170" bestFit="1" customWidth="1"/>
    <col min="13055" max="13055" width="15.44140625" style="170" bestFit="1" customWidth="1"/>
    <col min="13056" max="13056" width="3.77734375" style="170" customWidth="1"/>
    <col min="13057" max="13057" width="11.21875" style="170" bestFit="1" customWidth="1"/>
    <col min="13058" max="13058" width="3.77734375" style="170" customWidth="1"/>
    <col min="13059" max="13059" width="13.5546875" style="170" customWidth="1"/>
    <col min="13060" max="13060" width="1" style="170" customWidth="1"/>
    <col min="13061" max="13061" width="14.21875" style="170" bestFit="1" customWidth="1"/>
    <col min="13062" max="13062" width="3.21875" style="170" customWidth="1"/>
    <col min="13063" max="13063" width="20.44140625" style="170" customWidth="1"/>
    <col min="13064" max="13304" width="8.77734375" style="170"/>
    <col min="13305" max="13305" width="54.77734375" style="170" customWidth="1"/>
    <col min="13306" max="13306" width="13.77734375" style="170" customWidth="1"/>
    <col min="13307" max="13307" width="0" style="170" hidden="1" customWidth="1"/>
    <col min="13308" max="13308" width="6.77734375" style="170" customWidth="1"/>
    <col min="13309" max="13309" width="15" style="170" customWidth="1"/>
    <col min="13310" max="13310" width="3.77734375" style="170" bestFit="1" customWidth="1"/>
    <col min="13311" max="13311" width="15.44140625" style="170" bestFit="1" customWidth="1"/>
    <col min="13312" max="13312" width="3.77734375" style="170" customWidth="1"/>
    <col min="13313" max="13313" width="11.21875" style="170" bestFit="1" customWidth="1"/>
    <col min="13314" max="13314" width="3.77734375" style="170" customWidth="1"/>
    <col min="13315" max="13315" width="13.5546875" style="170" customWidth="1"/>
    <col min="13316" max="13316" width="1" style="170" customWidth="1"/>
    <col min="13317" max="13317" width="14.21875" style="170" bestFit="1" customWidth="1"/>
    <col min="13318" max="13318" width="3.21875" style="170" customWidth="1"/>
    <col min="13319" max="13319" width="20.44140625" style="170" customWidth="1"/>
    <col min="13320" max="13560" width="8.77734375" style="170"/>
    <col min="13561" max="13561" width="54.77734375" style="170" customWidth="1"/>
    <col min="13562" max="13562" width="13.77734375" style="170" customWidth="1"/>
    <col min="13563" max="13563" width="0" style="170" hidden="1" customWidth="1"/>
    <col min="13564" max="13564" width="6.77734375" style="170" customWidth="1"/>
    <col min="13565" max="13565" width="15" style="170" customWidth="1"/>
    <col min="13566" max="13566" width="3.77734375" style="170" bestFit="1" customWidth="1"/>
    <col min="13567" max="13567" width="15.44140625" style="170" bestFit="1" customWidth="1"/>
    <col min="13568" max="13568" width="3.77734375" style="170" customWidth="1"/>
    <col min="13569" max="13569" width="11.21875" style="170" bestFit="1" customWidth="1"/>
    <col min="13570" max="13570" width="3.77734375" style="170" customWidth="1"/>
    <col min="13571" max="13571" width="13.5546875" style="170" customWidth="1"/>
    <col min="13572" max="13572" width="1" style="170" customWidth="1"/>
    <col min="13573" max="13573" width="14.21875" style="170" bestFit="1" customWidth="1"/>
    <col min="13574" max="13574" width="3.21875" style="170" customWidth="1"/>
    <col min="13575" max="13575" width="20.44140625" style="170" customWidth="1"/>
    <col min="13576" max="13816" width="8.77734375" style="170"/>
    <col min="13817" max="13817" width="54.77734375" style="170" customWidth="1"/>
    <col min="13818" max="13818" width="13.77734375" style="170" customWidth="1"/>
    <col min="13819" max="13819" width="0" style="170" hidden="1" customWidth="1"/>
    <col min="13820" max="13820" width="6.77734375" style="170" customWidth="1"/>
    <col min="13821" max="13821" width="15" style="170" customWidth="1"/>
    <col min="13822" max="13822" width="3.77734375" style="170" bestFit="1" customWidth="1"/>
    <col min="13823" max="13823" width="15.44140625" style="170" bestFit="1" customWidth="1"/>
    <col min="13824" max="13824" width="3.77734375" style="170" customWidth="1"/>
    <col min="13825" max="13825" width="11.21875" style="170" bestFit="1" customWidth="1"/>
    <col min="13826" max="13826" width="3.77734375" style="170" customWidth="1"/>
    <col min="13827" max="13827" width="13.5546875" style="170" customWidth="1"/>
    <col min="13828" max="13828" width="1" style="170" customWidth="1"/>
    <col min="13829" max="13829" width="14.21875" style="170" bestFit="1" customWidth="1"/>
    <col min="13830" max="13830" width="3.21875" style="170" customWidth="1"/>
    <col min="13831" max="13831" width="20.44140625" style="170" customWidth="1"/>
    <col min="13832" max="14072" width="8.77734375" style="170"/>
    <col min="14073" max="14073" width="54.77734375" style="170" customWidth="1"/>
    <col min="14074" max="14074" width="13.77734375" style="170" customWidth="1"/>
    <col min="14075" max="14075" width="0" style="170" hidden="1" customWidth="1"/>
    <col min="14076" max="14076" width="6.77734375" style="170" customWidth="1"/>
    <col min="14077" max="14077" width="15" style="170" customWidth="1"/>
    <col min="14078" max="14078" width="3.77734375" style="170" bestFit="1" customWidth="1"/>
    <col min="14079" max="14079" width="15.44140625" style="170" bestFit="1" customWidth="1"/>
    <col min="14080" max="14080" width="3.77734375" style="170" customWidth="1"/>
    <col min="14081" max="14081" width="11.21875" style="170" bestFit="1" customWidth="1"/>
    <col min="14082" max="14082" width="3.77734375" style="170" customWidth="1"/>
    <col min="14083" max="14083" width="13.5546875" style="170" customWidth="1"/>
    <col min="14084" max="14084" width="1" style="170" customWidth="1"/>
    <col min="14085" max="14085" width="14.21875" style="170" bestFit="1" customWidth="1"/>
    <col min="14086" max="14086" width="3.21875" style="170" customWidth="1"/>
    <col min="14087" max="14087" width="20.44140625" style="170" customWidth="1"/>
    <col min="14088" max="14328" width="8.77734375" style="170"/>
    <col min="14329" max="14329" width="54.77734375" style="170" customWidth="1"/>
    <col min="14330" max="14330" width="13.77734375" style="170" customWidth="1"/>
    <col min="14331" max="14331" width="0" style="170" hidden="1" customWidth="1"/>
    <col min="14332" max="14332" width="6.77734375" style="170" customWidth="1"/>
    <col min="14333" max="14333" width="15" style="170" customWidth="1"/>
    <col min="14334" max="14334" width="3.77734375" style="170" bestFit="1" customWidth="1"/>
    <col min="14335" max="14335" width="15.44140625" style="170" bestFit="1" customWidth="1"/>
    <col min="14336" max="14336" width="3.77734375" style="170" customWidth="1"/>
    <col min="14337" max="14337" width="11.21875" style="170" bestFit="1" customWidth="1"/>
    <col min="14338" max="14338" width="3.77734375" style="170" customWidth="1"/>
    <col min="14339" max="14339" width="13.5546875" style="170" customWidth="1"/>
    <col min="14340" max="14340" width="1" style="170" customWidth="1"/>
    <col min="14341" max="14341" width="14.21875" style="170" bestFit="1" customWidth="1"/>
    <col min="14342" max="14342" width="3.21875" style="170" customWidth="1"/>
    <col min="14343" max="14343" width="20.44140625" style="170" customWidth="1"/>
    <col min="14344" max="14584" width="8.77734375" style="170"/>
    <col min="14585" max="14585" width="54.77734375" style="170" customWidth="1"/>
    <col min="14586" max="14586" width="13.77734375" style="170" customWidth="1"/>
    <col min="14587" max="14587" width="0" style="170" hidden="1" customWidth="1"/>
    <col min="14588" max="14588" width="6.77734375" style="170" customWidth="1"/>
    <col min="14589" max="14589" width="15" style="170" customWidth="1"/>
    <col min="14590" max="14590" width="3.77734375" style="170" bestFit="1" customWidth="1"/>
    <col min="14591" max="14591" width="15.44140625" style="170" bestFit="1" customWidth="1"/>
    <col min="14592" max="14592" width="3.77734375" style="170" customWidth="1"/>
    <col min="14593" max="14593" width="11.21875" style="170" bestFit="1" customWidth="1"/>
    <col min="14594" max="14594" width="3.77734375" style="170" customWidth="1"/>
    <col min="14595" max="14595" width="13.5546875" style="170" customWidth="1"/>
    <col min="14596" max="14596" width="1" style="170" customWidth="1"/>
    <col min="14597" max="14597" width="14.21875" style="170" bestFit="1" customWidth="1"/>
    <col min="14598" max="14598" width="3.21875" style="170" customWidth="1"/>
    <col min="14599" max="14599" width="20.44140625" style="170" customWidth="1"/>
    <col min="14600" max="14840" width="8.77734375" style="170"/>
    <col min="14841" max="14841" width="54.77734375" style="170" customWidth="1"/>
    <col min="14842" max="14842" width="13.77734375" style="170" customWidth="1"/>
    <col min="14843" max="14843" width="0" style="170" hidden="1" customWidth="1"/>
    <col min="14844" max="14844" width="6.77734375" style="170" customWidth="1"/>
    <col min="14845" max="14845" width="15" style="170" customWidth="1"/>
    <col min="14846" max="14846" width="3.77734375" style="170" bestFit="1" customWidth="1"/>
    <col min="14847" max="14847" width="15.44140625" style="170" bestFit="1" customWidth="1"/>
    <col min="14848" max="14848" width="3.77734375" style="170" customWidth="1"/>
    <col min="14849" max="14849" width="11.21875" style="170" bestFit="1" customWidth="1"/>
    <col min="14850" max="14850" width="3.77734375" style="170" customWidth="1"/>
    <col min="14851" max="14851" width="13.5546875" style="170" customWidth="1"/>
    <col min="14852" max="14852" width="1" style="170" customWidth="1"/>
    <col min="14853" max="14853" width="14.21875" style="170" bestFit="1" customWidth="1"/>
    <col min="14854" max="14854" width="3.21875" style="170" customWidth="1"/>
    <col min="14855" max="14855" width="20.44140625" style="170" customWidth="1"/>
    <col min="14856" max="15096" width="8.77734375" style="170"/>
    <col min="15097" max="15097" width="54.77734375" style="170" customWidth="1"/>
    <col min="15098" max="15098" width="13.77734375" style="170" customWidth="1"/>
    <col min="15099" max="15099" width="0" style="170" hidden="1" customWidth="1"/>
    <col min="15100" max="15100" width="6.77734375" style="170" customWidth="1"/>
    <col min="15101" max="15101" width="15" style="170" customWidth="1"/>
    <col min="15102" max="15102" width="3.77734375" style="170" bestFit="1" customWidth="1"/>
    <col min="15103" max="15103" width="15.44140625" style="170" bestFit="1" customWidth="1"/>
    <col min="15104" max="15104" width="3.77734375" style="170" customWidth="1"/>
    <col min="15105" max="15105" width="11.21875" style="170" bestFit="1" customWidth="1"/>
    <col min="15106" max="15106" width="3.77734375" style="170" customWidth="1"/>
    <col min="15107" max="15107" width="13.5546875" style="170" customWidth="1"/>
    <col min="15108" max="15108" width="1" style="170" customWidth="1"/>
    <col min="15109" max="15109" width="14.21875" style="170" bestFit="1" customWidth="1"/>
    <col min="15110" max="15110" width="3.21875" style="170" customWidth="1"/>
    <col min="15111" max="15111" width="20.44140625" style="170" customWidth="1"/>
    <col min="15112" max="15352" width="8.77734375" style="170"/>
    <col min="15353" max="15353" width="54.77734375" style="170" customWidth="1"/>
    <col min="15354" max="15354" width="13.77734375" style="170" customWidth="1"/>
    <col min="15355" max="15355" width="0" style="170" hidden="1" customWidth="1"/>
    <col min="15356" max="15356" width="6.77734375" style="170" customWidth="1"/>
    <col min="15357" max="15357" width="15" style="170" customWidth="1"/>
    <col min="15358" max="15358" width="3.77734375" style="170" bestFit="1" customWidth="1"/>
    <col min="15359" max="15359" width="15.44140625" style="170" bestFit="1" customWidth="1"/>
    <col min="15360" max="15360" width="3.77734375" style="170" customWidth="1"/>
    <col min="15361" max="15361" width="11.21875" style="170" bestFit="1" customWidth="1"/>
    <col min="15362" max="15362" width="3.77734375" style="170" customWidth="1"/>
    <col min="15363" max="15363" width="13.5546875" style="170" customWidth="1"/>
    <col min="15364" max="15364" width="1" style="170" customWidth="1"/>
    <col min="15365" max="15365" width="14.21875" style="170" bestFit="1" customWidth="1"/>
    <col min="15366" max="15366" width="3.21875" style="170" customWidth="1"/>
    <col min="15367" max="15367" width="20.44140625" style="170" customWidth="1"/>
    <col min="15368" max="15608" width="8.77734375" style="170"/>
    <col min="15609" max="15609" width="54.77734375" style="170" customWidth="1"/>
    <col min="15610" max="15610" width="13.77734375" style="170" customWidth="1"/>
    <col min="15611" max="15611" width="0" style="170" hidden="1" customWidth="1"/>
    <col min="15612" max="15612" width="6.77734375" style="170" customWidth="1"/>
    <col min="15613" max="15613" width="15" style="170" customWidth="1"/>
    <col min="15614" max="15614" width="3.77734375" style="170" bestFit="1" customWidth="1"/>
    <col min="15615" max="15615" width="15.44140625" style="170" bestFit="1" customWidth="1"/>
    <col min="15616" max="15616" width="3.77734375" style="170" customWidth="1"/>
    <col min="15617" max="15617" width="11.21875" style="170" bestFit="1" customWidth="1"/>
    <col min="15618" max="15618" width="3.77734375" style="170" customWidth="1"/>
    <col min="15619" max="15619" width="13.5546875" style="170" customWidth="1"/>
    <col min="15620" max="15620" width="1" style="170" customWidth="1"/>
    <col min="15621" max="15621" width="14.21875" style="170" bestFit="1" customWidth="1"/>
    <col min="15622" max="15622" width="3.21875" style="170" customWidth="1"/>
    <col min="15623" max="15623" width="20.44140625" style="170" customWidth="1"/>
    <col min="15624" max="15864" width="8.77734375" style="170"/>
    <col min="15865" max="15865" width="54.77734375" style="170" customWidth="1"/>
    <col min="15866" max="15866" width="13.77734375" style="170" customWidth="1"/>
    <col min="15867" max="15867" width="0" style="170" hidden="1" customWidth="1"/>
    <col min="15868" max="15868" width="6.77734375" style="170" customWidth="1"/>
    <col min="15869" max="15869" width="15" style="170" customWidth="1"/>
    <col min="15870" max="15870" width="3.77734375" style="170" bestFit="1" customWidth="1"/>
    <col min="15871" max="15871" width="15.44140625" style="170" bestFit="1" customWidth="1"/>
    <col min="15872" max="15872" width="3.77734375" style="170" customWidth="1"/>
    <col min="15873" max="15873" width="11.21875" style="170" bestFit="1" customWidth="1"/>
    <col min="15874" max="15874" width="3.77734375" style="170" customWidth="1"/>
    <col min="15875" max="15875" width="13.5546875" style="170" customWidth="1"/>
    <col min="15876" max="15876" width="1" style="170" customWidth="1"/>
    <col min="15877" max="15877" width="14.21875" style="170" bestFit="1" customWidth="1"/>
    <col min="15878" max="15878" width="3.21875" style="170" customWidth="1"/>
    <col min="15879" max="15879" width="20.44140625" style="170" customWidth="1"/>
    <col min="15880" max="16120" width="8.77734375" style="170"/>
    <col min="16121" max="16121" width="54.77734375" style="170" customWidth="1"/>
    <col min="16122" max="16122" width="13.77734375" style="170" customWidth="1"/>
    <col min="16123" max="16123" width="0" style="170" hidden="1" customWidth="1"/>
    <col min="16124" max="16124" width="6.77734375" style="170" customWidth="1"/>
    <col min="16125" max="16125" width="15" style="170" customWidth="1"/>
    <col min="16126" max="16126" width="3.77734375" style="170" bestFit="1" customWidth="1"/>
    <col min="16127" max="16127" width="15.44140625" style="170" bestFit="1" customWidth="1"/>
    <col min="16128" max="16128" width="3.77734375" style="170" customWidth="1"/>
    <col min="16129" max="16129" width="11.21875" style="170" bestFit="1" customWidth="1"/>
    <col min="16130" max="16130" width="3.77734375" style="170" customWidth="1"/>
    <col min="16131" max="16131" width="13.5546875" style="170" customWidth="1"/>
    <col min="16132" max="16132" width="1" style="170" customWidth="1"/>
    <col min="16133" max="16133" width="14.21875" style="170" bestFit="1" customWidth="1"/>
    <col min="16134" max="16134" width="3.21875" style="170" customWidth="1"/>
    <col min="16135" max="16135" width="20.44140625" style="170" customWidth="1"/>
    <col min="16136" max="16374" width="8.77734375" style="170"/>
    <col min="16375" max="16384" width="8.77734375" style="170" customWidth="1"/>
  </cols>
  <sheetData>
    <row r="1" spans="1:11" s="272" customFormat="1" ht="20.25">
      <c r="A1" s="517" t="str">
        <f>'P1 ADIT'!A1</f>
        <v>Duke Energy Ohio and Duke Energy Kentucky</v>
      </c>
      <c r="B1" s="586"/>
      <c r="C1" s="586"/>
      <c r="D1" s="517"/>
      <c r="E1" s="291"/>
      <c r="F1" s="396"/>
      <c r="G1" s="397"/>
      <c r="I1" s="170"/>
      <c r="J1" s="170"/>
      <c r="K1" s="170"/>
    </row>
    <row r="2" spans="1:11" s="272" customFormat="1" ht="15.75">
      <c r="C2" s="457"/>
      <c r="D2" s="457"/>
      <c r="E2" s="457"/>
      <c r="F2" s="396"/>
      <c r="G2" s="397"/>
      <c r="I2" s="170"/>
      <c r="J2" s="170"/>
      <c r="K2" s="170"/>
    </row>
    <row r="3" spans="1:11" s="272" customFormat="1" ht="15.75">
      <c r="C3" s="389"/>
      <c r="D3" s="389"/>
      <c r="E3" s="260" t="s">
        <v>393</v>
      </c>
      <c r="F3" s="396"/>
      <c r="G3" s="397"/>
      <c r="H3" s="390"/>
      <c r="I3" s="170"/>
      <c r="J3" s="170"/>
      <c r="K3" s="170"/>
    </row>
    <row r="4" spans="1:11" s="272" customFormat="1" ht="15.75">
      <c r="C4" s="389"/>
      <c r="D4" s="389"/>
      <c r="E4" s="335" t="str">
        <f>"Page 9 of "&amp;Workpaper</f>
        <v>Page 9 of 19</v>
      </c>
      <c r="F4" s="396"/>
      <c r="G4" s="397"/>
      <c r="H4" s="390"/>
      <c r="I4" s="785"/>
      <c r="J4" s="278"/>
      <c r="K4" s="170"/>
    </row>
    <row r="5" spans="1:11" ht="15.75">
      <c r="C5" s="391"/>
      <c r="D5" s="391"/>
      <c r="E5" s="61" t="str">
        <f>"For the 12 months ended: "&amp;TEXT(INPUT!$B$1,"mm/dd/yyyy")</f>
        <v>For the 12 months ended: 12/31/2021</v>
      </c>
      <c r="F5" s="396"/>
      <c r="G5" s="397"/>
      <c r="H5" s="391"/>
    </row>
    <row r="6" spans="1:11" ht="15.75">
      <c r="C6" s="391"/>
      <c r="D6" s="391"/>
      <c r="E6" s="391"/>
      <c r="F6" s="396"/>
      <c r="G6" s="397"/>
      <c r="H6" s="391"/>
      <c r="I6"/>
    </row>
    <row r="7" spans="1:11" ht="15.75">
      <c r="A7" s="518" t="s">
        <v>4</v>
      </c>
      <c r="B7" s="587"/>
      <c r="C7" s="587"/>
      <c r="D7" s="518"/>
      <c r="E7" s="392"/>
      <c r="F7" s="396"/>
      <c r="G7" s="397"/>
      <c r="H7" s="391"/>
    </row>
    <row r="8" spans="1:11" ht="15.75">
      <c r="A8" s="519" t="s">
        <v>5</v>
      </c>
      <c r="B8" s="587"/>
      <c r="C8" s="587"/>
      <c r="D8" s="519"/>
      <c r="E8" s="392"/>
      <c r="F8" s="396"/>
      <c r="G8" s="397"/>
      <c r="H8" s="391"/>
    </row>
    <row r="9" spans="1:11" ht="15.75">
      <c r="A9" s="520" t="s">
        <v>919</v>
      </c>
      <c r="B9" s="587"/>
      <c r="C9" s="587"/>
      <c r="D9" s="520"/>
      <c r="E9" s="393"/>
      <c r="F9" s="396"/>
      <c r="G9" s="397"/>
      <c r="H9" s="391"/>
    </row>
    <row r="10" spans="1:11" ht="15.75">
      <c r="A10" s="521" t="s">
        <v>258</v>
      </c>
      <c r="B10" s="587"/>
      <c r="C10" s="587"/>
      <c r="D10" s="521"/>
      <c r="E10" s="394"/>
      <c r="F10" s="396"/>
      <c r="G10" s="397"/>
      <c r="H10" s="391"/>
    </row>
    <row r="11" spans="1:11" ht="15.75">
      <c r="C11" s="395"/>
      <c r="D11" s="395"/>
      <c r="E11" s="395"/>
      <c r="F11" s="396"/>
      <c r="G11" s="397"/>
      <c r="H11" s="391"/>
    </row>
    <row r="12" spans="1:11" ht="15.75">
      <c r="A12" s="436" t="s">
        <v>8</v>
      </c>
      <c r="C12" s="391"/>
      <c r="D12" s="391"/>
      <c r="E12" s="524" t="s">
        <v>536</v>
      </c>
      <c r="F12" s="396"/>
      <c r="G12" s="397"/>
      <c r="H12" s="396"/>
      <c r="I12" s="367"/>
    </row>
    <row r="13" spans="1:11" ht="20.25">
      <c r="A13" s="686" t="s">
        <v>10</v>
      </c>
      <c r="B13" s="692"/>
      <c r="C13" s="687" t="s">
        <v>416</v>
      </c>
      <c r="D13" s="687"/>
      <c r="E13" s="687" t="s">
        <v>537</v>
      </c>
      <c r="F13" s="396"/>
      <c r="G13" s="397"/>
      <c r="H13" s="396"/>
      <c r="J13" s="749"/>
    </row>
    <row r="14" spans="1:11" s="171" customFormat="1" ht="15" customHeight="1">
      <c r="C14" s="376"/>
      <c r="D14" s="376"/>
      <c r="E14" s="398"/>
      <c r="F14" s="398"/>
      <c r="G14" s="398"/>
      <c r="H14" s="399"/>
      <c r="I14" s="170"/>
      <c r="J14" s="749"/>
    </row>
    <row r="15" spans="1:11" ht="15" customHeight="1">
      <c r="A15" s="689">
        <v>1</v>
      </c>
      <c r="C15" s="75" t="s">
        <v>771</v>
      </c>
      <c r="D15" s="75"/>
      <c r="E15" s="898">
        <v>4475239295</v>
      </c>
      <c r="F15" s="401"/>
      <c r="G15" s="402"/>
      <c r="H15" s="391"/>
      <c r="J15" s="749"/>
    </row>
    <row r="16" spans="1:11" ht="15" customHeight="1">
      <c r="A16" s="689"/>
      <c r="C16" s="690"/>
      <c r="D16" s="690"/>
      <c r="E16" s="400"/>
      <c r="F16" s="403"/>
      <c r="G16" s="400"/>
      <c r="H16" s="391"/>
      <c r="J16" s="749"/>
    </row>
    <row r="17" spans="1:10" ht="19.5" customHeight="1">
      <c r="A17" s="689">
        <v>2</v>
      </c>
      <c r="C17" s="668" t="s">
        <v>772</v>
      </c>
      <c r="D17" s="668"/>
      <c r="E17" s="933">
        <v>746918647</v>
      </c>
      <c r="F17" s="405"/>
      <c r="G17" s="404"/>
      <c r="H17" s="391"/>
      <c r="J17" s="749"/>
    </row>
    <row r="18" spans="1:10" ht="15" customHeight="1">
      <c r="A18" s="689"/>
      <c r="C18" s="668"/>
      <c r="D18" s="668"/>
      <c r="E18" s="404"/>
      <c r="F18" s="405"/>
      <c r="G18" s="404"/>
      <c r="H18" s="391"/>
      <c r="I18" s="562"/>
      <c r="J18" s="749"/>
    </row>
    <row r="19" spans="1:10" ht="22.5" customHeight="1">
      <c r="A19" s="689">
        <v>3</v>
      </c>
      <c r="C19" s="376" t="s">
        <v>995</v>
      </c>
      <c r="D19" s="691"/>
      <c r="E19" s="934">
        <f>E15-E17</f>
        <v>3728320648</v>
      </c>
      <c r="F19" s="406"/>
      <c r="G19" s="407"/>
      <c r="H19" s="391"/>
      <c r="J19" s="749"/>
    </row>
    <row r="20" spans="1:10" ht="15.75">
      <c r="C20" s="366"/>
      <c r="D20" s="366"/>
      <c r="E20" s="288"/>
      <c r="F20" s="289"/>
      <c r="G20" s="369"/>
      <c r="J20" s="749"/>
    </row>
    <row r="21" spans="1:10" ht="15.75">
      <c r="C21" s="368"/>
      <c r="D21" s="368"/>
      <c r="F21" s="290"/>
      <c r="G21" s="290"/>
      <c r="H21" s="365"/>
      <c r="J21" s="749"/>
    </row>
    <row r="22" spans="1:10" ht="15">
      <c r="C22" s="170" t="s">
        <v>7</v>
      </c>
      <c r="J22" s="749"/>
    </row>
    <row r="23" spans="1:10" ht="15">
      <c r="J23" s="749"/>
    </row>
    <row r="24" spans="1:10" ht="15">
      <c r="J24" s="749"/>
    </row>
    <row r="25" spans="1:10" ht="15">
      <c r="J25" s="749"/>
    </row>
  </sheetData>
  <phoneticPr fontId="58" type="noConversion"/>
  <pageMargins left="1" right="1" top="1" bottom="1" header="0.5" footer="0.5"/>
  <pageSetup scale="84" orientation="portrait" blackAndWhite="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tabColor theme="1"/>
    <pageSetUpPr fitToPage="1"/>
  </sheetPr>
  <dimension ref="A1:R54"/>
  <sheetViews>
    <sheetView view="pageBreakPreview" zoomScale="80" zoomScaleNormal="90" zoomScaleSheetLayoutView="80" workbookViewId="0"/>
  </sheetViews>
  <sheetFormatPr defaultColWidth="7.109375" defaultRowHeight="12.75"/>
  <cols>
    <col min="1" max="1" width="7.109375" style="57"/>
    <col min="2" max="2" width="1.77734375" style="57" customWidth="1"/>
    <col min="3" max="3" width="10.77734375" style="57" customWidth="1"/>
    <col min="4" max="4" width="10.21875" style="57" customWidth="1"/>
    <col min="5" max="5" width="9.77734375" style="57" customWidth="1"/>
    <col min="6" max="6" width="7.5546875" style="57" customWidth="1"/>
    <col min="7" max="7" width="9.5546875" style="57" bestFit="1" customWidth="1"/>
    <col min="8" max="17" width="7.109375" style="57"/>
    <col min="18" max="18" width="9" style="57" bestFit="1" customWidth="1"/>
    <col min="19" max="16384" width="7.109375" style="57"/>
  </cols>
  <sheetData>
    <row r="1" spans="1:14" ht="15.75">
      <c r="A1" s="274" t="str">
        <f>'P1 ADIT'!A1</f>
        <v>Duke Energy Ohio and Duke Energy Kentucky</v>
      </c>
      <c r="B1" s="588"/>
      <c r="C1" s="588"/>
      <c r="D1" s="62"/>
      <c r="E1" s="62"/>
      <c r="F1" s="62"/>
      <c r="G1" s="588"/>
      <c r="H1" s="588"/>
      <c r="K1" s="179"/>
      <c r="N1" s="179"/>
    </row>
    <row r="2" spans="1:14" ht="15.75">
      <c r="A2" s="590"/>
      <c r="C2" s="62"/>
      <c r="D2" s="62"/>
      <c r="E2" s="62"/>
      <c r="F2" s="62"/>
      <c r="I2" s="260"/>
      <c r="K2" s="785"/>
      <c r="L2" s="278"/>
    </row>
    <row r="3" spans="1:14" ht="15.75">
      <c r="A3" s="590"/>
      <c r="C3" s="62"/>
      <c r="D3" s="62"/>
      <c r="E3" s="62"/>
      <c r="H3" s="161" t="s">
        <v>393</v>
      </c>
      <c r="I3" s="260"/>
    </row>
    <row r="4" spans="1:14" ht="15.75">
      <c r="A4" s="590"/>
      <c r="C4" s="62"/>
      <c r="D4" s="62"/>
      <c r="E4" s="62"/>
      <c r="H4" s="333" t="str">
        <f>"Page 10 of "&amp;Workpaper</f>
        <v>Page 10 of 19</v>
      </c>
      <c r="I4" s="260"/>
    </row>
    <row r="5" spans="1:14" ht="15.75">
      <c r="A5" s="590"/>
      <c r="C5" s="62"/>
      <c r="D5" s="62"/>
      <c r="E5" s="62"/>
      <c r="H5" s="388" t="str">
        <f>"For the 12 months ended: "&amp;TEXT(INPUT!$B$1,"mm/dd/yyyy")</f>
        <v>For the 12 months ended: 12/31/2021</v>
      </c>
    </row>
    <row r="6" spans="1:14">
      <c r="A6" s="590"/>
    </row>
    <row r="7" spans="1:14">
      <c r="A7" s="592" t="str">
        <f>CONCATENATE(TEXT(RIGHT(DEOK!G7,10),"YYYY")," DEOK MONTHLY TRANSMISSION SYSTEM PEAKS")</f>
        <v>2021 DEOK MONTHLY TRANSMISSION SYSTEM PEAKS</v>
      </c>
      <c r="B7" s="588"/>
      <c r="C7" s="588"/>
      <c r="D7" s="63"/>
      <c r="E7" s="63"/>
      <c r="F7" s="63"/>
      <c r="G7" s="588"/>
      <c r="H7" s="588"/>
    </row>
    <row r="8" spans="1:14">
      <c r="A8" s="592" t="s">
        <v>790</v>
      </c>
      <c r="B8" s="588"/>
      <c r="C8" s="591"/>
      <c r="D8" s="591"/>
      <c r="E8" s="591"/>
      <c r="F8" s="591"/>
      <c r="G8" s="588"/>
      <c r="H8" s="588"/>
    </row>
    <row r="9" spans="1:14">
      <c r="C9" s="58"/>
      <c r="D9" s="58"/>
      <c r="E9" s="58"/>
      <c r="F9" s="58"/>
    </row>
    <row r="10" spans="1:14">
      <c r="A10" s="568" t="s">
        <v>8</v>
      </c>
      <c r="D10" s="589" t="s">
        <v>786</v>
      </c>
      <c r="E10" s="589"/>
    </row>
    <row r="11" spans="1:14" ht="19.5">
      <c r="A11" s="569" t="s">
        <v>10</v>
      </c>
      <c r="C11" s="59" t="s">
        <v>659</v>
      </c>
      <c r="D11" s="59" t="s">
        <v>791</v>
      </c>
      <c r="E11" s="59"/>
      <c r="F11" s="59"/>
      <c r="G11" s="59"/>
    </row>
    <row r="12" spans="1:14" ht="15">
      <c r="D12" s="59"/>
      <c r="E12" s="59"/>
      <c r="F12" s="59"/>
      <c r="G12" s="59"/>
    </row>
    <row r="13" spans="1:14">
      <c r="A13" s="570">
        <v>1</v>
      </c>
      <c r="C13" s="313" t="s">
        <v>156</v>
      </c>
      <c r="D13" s="496">
        <v>3827000</v>
      </c>
      <c r="E13" s="496"/>
      <c r="F13" s="496"/>
    </row>
    <row r="14" spans="1:14">
      <c r="A14" s="570">
        <v>2</v>
      </c>
      <c r="C14" s="57" t="s">
        <v>157</v>
      </c>
      <c r="D14" s="496">
        <v>4219000</v>
      </c>
      <c r="E14" s="377"/>
      <c r="F14" s="377"/>
      <c r="G14" s="377"/>
    </row>
    <row r="15" spans="1:14">
      <c r="A15" s="570">
        <v>3</v>
      </c>
      <c r="C15" s="57" t="s">
        <v>158</v>
      </c>
      <c r="D15" s="496">
        <v>3539000</v>
      </c>
      <c r="E15" s="377"/>
      <c r="F15" s="377"/>
      <c r="G15" s="377"/>
    </row>
    <row r="16" spans="1:14">
      <c r="A16" s="570">
        <v>4</v>
      </c>
      <c r="C16" s="57" t="s">
        <v>159</v>
      </c>
      <c r="D16" s="496">
        <v>3403000</v>
      </c>
      <c r="E16" s="377"/>
      <c r="F16" s="377"/>
      <c r="G16" s="377"/>
    </row>
    <row r="17" spans="1:7">
      <c r="A17" s="570">
        <v>5</v>
      </c>
      <c r="C17" s="57" t="s">
        <v>262</v>
      </c>
      <c r="D17" s="496">
        <v>4442000</v>
      </c>
      <c r="E17" s="377"/>
      <c r="F17" s="377"/>
      <c r="G17" s="377"/>
    </row>
    <row r="18" spans="1:7">
      <c r="A18" s="570">
        <v>6</v>
      </c>
      <c r="C18" s="57" t="s">
        <v>160</v>
      </c>
      <c r="D18" s="496">
        <v>5193000</v>
      </c>
      <c r="E18" s="377"/>
      <c r="F18" s="377"/>
      <c r="G18" s="377"/>
    </row>
    <row r="19" spans="1:7">
      <c r="A19" s="570">
        <v>7</v>
      </c>
      <c r="C19" s="57" t="s">
        <v>263</v>
      </c>
      <c r="D19" s="496">
        <v>4952000</v>
      </c>
      <c r="E19" s="748"/>
      <c r="F19" s="377"/>
      <c r="G19" s="377"/>
    </row>
    <row r="20" spans="1:7">
      <c r="A20" s="570">
        <v>8</v>
      </c>
      <c r="C20" s="57" t="s">
        <v>161</v>
      </c>
      <c r="D20" s="496">
        <v>5303000</v>
      </c>
      <c r="E20" s="377"/>
      <c r="F20" s="377"/>
      <c r="G20" s="602"/>
    </row>
    <row r="21" spans="1:7">
      <c r="A21" s="570">
        <v>9</v>
      </c>
      <c r="C21" s="57" t="s">
        <v>264</v>
      </c>
      <c r="D21" s="496">
        <v>4656000</v>
      </c>
      <c r="E21" s="377"/>
      <c r="F21" s="377"/>
      <c r="G21" s="377"/>
    </row>
    <row r="22" spans="1:7">
      <c r="A22" s="570">
        <v>10</v>
      </c>
      <c r="C22" s="57" t="s">
        <v>265</v>
      </c>
      <c r="D22" s="496">
        <v>3832000</v>
      </c>
      <c r="E22" s="377"/>
      <c r="F22" s="377"/>
      <c r="G22" s="377"/>
    </row>
    <row r="23" spans="1:7">
      <c r="A23" s="570">
        <v>11</v>
      </c>
      <c r="C23" s="57" t="s">
        <v>266</v>
      </c>
      <c r="D23" s="496">
        <v>3604000</v>
      </c>
      <c r="E23" s="377"/>
      <c r="F23" s="377"/>
      <c r="G23" s="377"/>
    </row>
    <row r="24" spans="1:7" ht="15">
      <c r="A24" s="570">
        <v>12</v>
      </c>
      <c r="C24" s="57" t="s">
        <v>162</v>
      </c>
      <c r="D24" s="663">
        <v>3709000</v>
      </c>
      <c r="E24" s="377"/>
      <c r="F24" s="377"/>
      <c r="G24" s="377"/>
    </row>
    <row r="25" spans="1:7">
      <c r="A25" s="570">
        <v>13</v>
      </c>
      <c r="C25" s="57" t="s">
        <v>12</v>
      </c>
      <c r="D25" s="377">
        <f>SUM(D13:D24)</f>
        <v>50679000</v>
      </c>
      <c r="E25" s="377"/>
      <c r="F25" s="377"/>
      <c r="G25" s="377"/>
    </row>
    <row r="26" spans="1:7">
      <c r="A26" s="570"/>
      <c r="D26" s="377"/>
      <c r="E26" s="377"/>
      <c r="F26" s="377"/>
      <c r="G26" s="377"/>
    </row>
    <row r="27" spans="1:7" ht="15">
      <c r="A27" s="570">
        <v>14</v>
      </c>
      <c r="C27" s="57" t="s">
        <v>163</v>
      </c>
      <c r="D27" s="735">
        <f>ROUND(D25/12,0)</f>
        <v>4223250</v>
      </c>
      <c r="E27" s="377"/>
      <c r="F27" s="377"/>
      <c r="G27" s="377"/>
    </row>
    <row r="28" spans="1:7">
      <c r="A28" s="570"/>
      <c r="D28" s="377"/>
      <c r="E28" s="377"/>
      <c r="F28" s="377"/>
      <c r="G28" s="377"/>
    </row>
    <row r="30" spans="1:7" ht="15">
      <c r="A30" s="57" t="s">
        <v>164</v>
      </c>
      <c r="D30" s="320"/>
      <c r="E30" s="321"/>
      <c r="F30" s="59"/>
      <c r="G30" s="59"/>
    </row>
    <row r="31" spans="1:7">
      <c r="A31" s="348" t="s">
        <v>787</v>
      </c>
    </row>
    <row r="32" spans="1:7">
      <c r="A32" s="179" t="s">
        <v>788</v>
      </c>
      <c r="C32" s="347"/>
    </row>
    <row r="33" spans="1:11" ht="13.15" customHeight="1">
      <c r="A33" s="179" t="s">
        <v>789</v>
      </c>
      <c r="C33" s="24"/>
    </row>
    <row r="34" spans="1:11">
      <c r="C34" s="179"/>
    </row>
    <row r="35" spans="1:11">
      <c r="F35" s="931"/>
      <c r="G35" s="932"/>
      <c r="H35" s="932"/>
      <c r="I35" s="932"/>
      <c r="K35" s="179"/>
    </row>
    <row r="36" spans="1:11" ht="15">
      <c r="F36" s="932"/>
      <c r="G36" s="932"/>
      <c r="H36"/>
      <c r="I36"/>
      <c r="K36" s="179"/>
    </row>
    <row r="40" spans="1:11">
      <c r="C40" s="179"/>
    </row>
    <row r="49" spans="18:18">
      <c r="R49" s="496"/>
    </row>
    <row r="50" spans="18:18">
      <c r="R50" s="496"/>
    </row>
    <row r="51" spans="18:18">
      <c r="R51" s="496"/>
    </row>
    <row r="52" spans="18:18">
      <c r="R52" s="496"/>
    </row>
    <row r="53" spans="18:18">
      <c r="R53" s="496"/>
    </row>
    <row r="54" spans="18:18">
      <c r="R54" s="601"/>
    </row>
  </sheetData>
  <phoneticPr fontId="50" type="noConversion"/>
  <pageMargins left="1" right="0.5" top="1" bottom="0.5" header="0.25" footer="0.25"/>
  <pageSetup fitToHeight="2"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
    <tabColor theme="1"/>
    <pageSetUpPr fitToPage="1"/>
  </sheetPr>
  <dimension ref="B1:N48"/>
  <sheetViews>
    <sheetView view="pageBreakPreview" zoomScale="80" zoomScaleNormal="70" zoomScaleSheetLayoutView="80" workbookViewId="0"/>
  </sheetViews>
  <sheetFormatPr defaultColWidth="7.44140625" defaultRowHeight="15"/>
  <cols>
    <col min="1" max="1" width="7.44140625" style="429"/>
    <col min="2" max="2" width="5.21875" style="429" customWidth="1"/>
    <col min="3" max="3" width="8.5546875" style="429" customWidth="1"/>
    <col min="4" max="4" width="61.21875" style="429" customWidth="1"/>
    <col min="5" max="5" width="1.21875" style="429" customWidth="1"/>
    <col min="6" max="6" width="12.5546875" style="429" customWidth="1"/>
    <col min="7" max="7" width="13.44140625" style="429" customWidth="1"/>
    <col min="8" max="8" width="13" style="429" bestFit="1" customWidth="1"/>
    <col min="9" max="9" width="1.21875" style="429" customWidth="1"/>
    <col min="10" max="10" width="63.77734375" style="429" customWidth="1"/>
    <col min="11" max="11" width="11.77734375" style="429" customWidth="1"/>
    <col min="12" max="12" width="2.21875" style="429" customWidth="1"/>
    <col min="13" max="16384" width="7.44140625" style="429"/>
  </cols>
  <sheetData>
    <row r="1" spans="2:14" ht="15.75">
      <c r="B1" s="430" t="s">
        <v>176</v>
      </c>
      <c r="C1" s="430"/>
      <c r="D1" s="430"/>
      <c r="E1" s="430"/>
      <c r="F1" s="430"/>
      <c r="G1" s="430"/>
      <c r="H1" s="430"/>
      <c r="I1" s="430"/>
      <c r="J1" s="430"/>
      <c r="K1" s="430"/>
    </row>
    <row r="2" spans="2:14" ht="15.75">
      <c r="B2" s="600" t="s">
        <v>982</v>
      </c>
      <c r="C2" s="430"/>
      <c r="D2" s="430"/>
      <c r="E2" s="430"/>
      <c r="F2" s="430"/>
      <c r="G2" s="430"/>
      <c r="H2" s="430"/>
      <c r="I2" s="430"/>
      <c r="J2" s="430"/>
      <c r="K2" s="430"/>
    </row>
    <row r="3" spans="2:14" ht="15.75">
      <c r="B3" s="430" t="s">
        <v>599</v>
      </c>
      <c r="C3" s="430"/>
      <c r="D3" s="430"/>
      <c r="E3" s="430"/>
      <c r="F3" s="430"/>
      <c r="G3" s="430"/>
      <c r="H3" s="430"/>
      <c r="I3" s="430"/>
      <c r="J3" s="430"/>
      <c r="K3" s="430"/>
      <c r="M3" s="785"/>
      <c r="N3" s="278"/>
    </row>
    <row r="4" spans="2:14" ht="15.75">
      <c r="B4" s="600" t="s">
        <v>983</v>
      </c>
      <c r="C4" s="430"/>
      <c r="D4" s="430"/>
      <c r="E4" s="430"/>
      <c r="F4" s="430"/>
      <c r="G4" s="430"/>
      <c r="H4" s="430"/>
      <c r="I4" s="430"/>
      <c r="J4" s="430"/>
      <c r="K4" s="430"/>
    </row>
    <row r="5" spans="2:14" ht="15.75">
      <c r="B5" s="430"/>
      <c r="C5" s="430"/>
      <c r="D5" s="430"/>
      <c r="E5" s="430"/>
      <c r="F5" s="430"/>
      <c r="G5" s="430"/>
      <c r="H5" s="430"/>
      <c r="I5" s="430"/>
      <c r="J5" s="430"/>
      <c r="K5" s="260" t="s">
        <v>393</v>
      </c>
    </row>
    <row r="6" spans="2:14" ht="15.75">
      <c r="B6" s="430"/>
      <c r="C6" s="430"/>
      <c r="D6" s="430"/>
      <c r="E6" s="430"/>
      <c r="F6" s="430"/>
      <c r="G6" s="430"/>
      <c r="H6" s="430"/>
      <c r="I6" s="430"/>
      <c r="J6" s="430"/>
      <c r="K6" s="335" t="str">
        <f>"Page 11 of "&amp;Workpaper</f>
        <v>Page 11 of 19</v>
      </c>
    </row>
    <row r="7" spans="2:14" ht="15.75">
      <c r="B7" s="430"/>
      <c r="C7" s="430"/>
      <c r="D7" s="430"/>
      <c r="E7" s="430"/>
      <c r="F7" s="430"/>
      <c r="G7" s="430"/>
      <c r="H7" s="430"/>
      <c r="I7" s="430"/>
      <c r="J7" s="430"/>
      <c r="K7" s="61" t="str">
        <f>"For the 12 months ended: "&amp;TEXT(INPUT!$B$1,"mm/dd/yyyy")</f>
        <v>For the 12 months ended: 12/31/2021</v>
      </c>
    </row>
    <row r="9" spans="2:14" ht="15.75">
      <c r="B9" s="693"/>
      <c r="C9" s="694" t="s">
        <v>600</v>
      </c>
      <c r="D9" s="695"/>
      <c r="E9" s="695"/>
      <c r="F9" s="695"/>
      <c r="G9" s="695"/>
      <c r="H9" s="695"/>
      <c r="I9" s="695"/>
      <c r="J9" s="695"/>
      <c r="K9" s="696"/>
    </row>
    <row r="10" spans="2:14" ht="34.5" customHeight="1">
      <c r="B10" s="697" t="s">
        <v>8</v>
      </c>
      <c r="C10" s="698" t="s">
        <v>601</v>
      </c>
      <c r="D10" s="695" t="s">
        <v>602</v>
      </c>
      <c r="E10" s="695"/>
      <c r="F10" s="695"/>
      <c r="G10" s="695"/>
      <c r="H10" s="695"/>
      <c r="I10" s="699"/>
      <c r="J10" s="694" t="s">
        <v>609</v>
      </c>
      <c r="K10" s="700"/>
    </row>
    <row r="11" spans="2:14" ht="15.75">
      <c r="B11" s="701"/>
      <c r="C11" s="702"/>
      <c r="D11" s="703"/>
      <c r="E11" s="703"/>
      <c r="F11" s="704"/>
      <c r="G11" s="704"/>
      <c r="H11" s="704"/>
      <c r="I11" s="431"/>
      <c r="J11" s="705"/>
      <c r="K11" s="706"/>
      <c r="L11" s="431"/>
    </row>
    <row r="12" spans="2:14" ht="61.15" customHeight="1">
      <c r="B12" s="707">
        <v>1</v>
      </c>
      <c r="C12" s="708">
        <v>926</v>
      </c>
      <c r="E12" s="431"/>
      <c r="F12" s="771" t="s">
        <v>603</v>
      </c>
      <c r="G12" s="771" t="s">
        <v>604</v>
      </c>
      <c r="H12" s="771" t="s">
        <v>605</v>
      </c>
      <c r="I12" s="431"/>
      <c r="J12" s="709"/>
      <c r="K12" s="706"/>
      <c r="L12" s="431"/>
    </row>
    <row r="13" spans="2:14">
      <c r="B13" s="707">
        <f t="shared" ref="B13:B41" si="0">B12+1</f>
        <v>2</v>
      </c>
      <c r="C13" s="701"/>
      <c r="D13" s="710" t="s">
        <v>606</v>
      </c>
      <c r="E13" s="431"/>
      <c r="F13" s="431"/>
      <c r="G13" s="431"/>
      <c r="H13" s="431"/>
      <c r="I13" s="431"/>
      <c r="J13" s="709"/>
      <c r="K13" s="706"/>
      <c r="L13" s="431"/>
      <c r="M13"/>
    </row>
    <row r="14" spans="2:14" ht="45">
      <c r="B14" s="711">
        <f t="shared" si="0"/>
        <v>3</v>
      </c>
      <c r="C14" s="712"/>
      <c r="D14" s="713" t="s">
        <v>763</v>
      </c>
      <c r="E14" s="714"/>
      <c r="F14" s="921">
        <v>208551</v>
      </c>
      <c r="G14" s="921">
        <v>1079018</v>
      </c>
      <c r="H14" s="772"/>
      <c r="I14" s="431"/>
      <c r="J14" s="923" t="s">
        <v>984</v>
      </c>
      <c r="K14" s="924" t="s">
        <v>762</v>
      </c>
      <c r="L14" s="431"/>
    </row>
    <row r="15" spans="2:14">
      <c r="B15" s="707">
        <f t="shared" si="0"/>
        <v>4</v>
      </c>
      <c r="C15" s="701"/>
      <c r="D15" s="715" t="s">
        <v>764</v>
      </c>
      <c r="E15" s="431"/>
      <c r="F15" s="433"/>
      <c r="G15" s="433"/>
      <c r="H15" s="716"/>
      <c r="I15" s="431"/>
      <c r="J15" s="717"/>
      <c r="K15" s="718"/>
      <c r="L15" s="431"/>
    </row>
    <row r="16" spans="2:14" ht="45.6" customHeight="1">
      <c r="B16" s="711">
        <f t="shared" si="0"/>
        <v>5</v>
      </c>
      <c r="C16" s="712"/>
      <c r="D16" s="713" t="s">
        <v>868</v>
      </c>
      <c r="E16" s="714"/>
      <c r="F16" s="925">
        <v>-1524008</v>
      </c>
      <c r="G16" s="925">
        <v>-582672</v>
      </c>
      <c r="H16" s="773"/>
      <c r="I16" s="714"/>
      <c r="J16" s="923" t="s">
        <v>989</v>
      </c>
      <c r="K16" s="924" t="s">
        <v>1016</v>
      </c>
      <c r="L16" s="431"/>
    </row>
    <row r="17" spans="2:12">
      <c r="B17" s="711">
        <f t="shared" si="0"/>
        <v>6</v>
      </c>
      <c r="C17" s="701"/>
      <c r="D17" s="715" t="s">
        <v>765</v>
      </c>
      <c r="E17" s="431"/>
      <c r="F17" s="926">
        <v>1112000</v>
      </c>
      <c r="G17" s="926">
        <v>2780000</v>
      </c>
      <c r="H17" s="716"/>
      <c r="I17" s="431"/>
      <c r="J17" s="717" t="s">
        <v>822</v>
      </c>
      <c r="K17" s="718"/>
      <c r="L17" s="431"/>
    </row>
    <row r="18" spans="2:12">
      <c r="B18" s="711">
        <f t="shared" si="0"/>
        <v>7</v>
      </c>
      <c r="C18" s="701"/>
      <c r="D18" s="431"/>
      <c r="E18" s="431"/>
      <c r="F18" s="433"/>
      <c r="G18" s="433"/>
      <c r="H18" s="431"/>
      <c r="I18" s="431"/>
      <c r="J18" s="709"/>
      <c r="K18" s="718"/>
      <c r="L18" s="431"/>
    </row>
    <row r="19" spans="2:12" ht="15.75" thickBot="1">
      <c r="B19" s="711">
        <f t="shared" si="0"/>
        <v>8</v>
      </c>
      <c r="C19" s="701"/>
      <c r="D19" s="715" t="s">
        <v>766</v>
      </c>
      <c r="E19" s="431"/>
      <c r="F19" s="774">
        <f>SUM(F14:F18)</f>
        <v>-203457</v>
      </c>
      <c r="G19" s="774">
        <f>SUM(G14:G18)</f>
        <v>3276346</v>
      </c>
      <c r="H19" s="716"/>
      <c r="I19" s="431"/>
      <c r="J19" s="709"/>
      <c r="K19" s="718"/>
      <c r="L19" s="431"/>
    </row>
    <row r="20" spans="2:12" ht="15.75" thickTop="1">
      <c r="B20" s="711">
        <f t="shared" si="0"/>
        <v>9</v>
      </c>
      <c r="C20" s="701"/>
      <c r="D20" s="715"/>
      <c r="E20" s="431"/>
      <c r="F20" s="716"/>
      <c r="G20" s="716"/>
      <c r="H20" s="716"/>
      <c r="I20" s="431"/>
      <c r="J20" s="709"/>
      <c r="K20" s="718"/>
      <c r="L20" s="431"/>
    </row>
    <row r="21" spans="2:12">
      <c r="B21" s="711">
        <f t="shared" si="0"/>
        <v>10</v>
      </c>
      <c r="C21" s="701"/>
      <c r="D21" s="710" t="s">
        <v>819</v>
      </c>
      <c r="E21" s="714"/>
      <c r="F21" s="775">
        <v>0.45319999999999999</v>
      </c>
      <c r="G21" s="775">
        <v>0.54969999999999997</v>
      </c>
      <c r="H21" s="716"/>
      <c r="I21" s="431"/>
      <c r="J21" s="923" t="s">
        <v>985</v>
      </c>
      <c r="K21" s="718"/>
      <c r="L21" s="431"/>
    </row>
    <row r="22" spans="2:12" ht="21.6" customHeight="1">
      <c r="B22" s="711">
        <f t="shared" si="0"/>
        <v>11</v>
      </c>
      <c r="C22" s="712"/>
      <c r="D22" s="713" t="s">
        <v>820</v>
      </c>
      <c r="E22" s="714"/>
      <c r="F22" s="775">
        <v>0.71960000000000002</v>
      </c>
      <c r="G22" s="776"/>
      <c r="H22" s="773"/>
      <c r="I22" s="714"/>
      <c r="J22" s="928" t="s">
        <v>986</v>
      </c>
      <c r="K22" s="718"/>
      <c r="L22" s="431"/>
    </row>
    <row r="23" spans="2:12">
      <c r="B23" s="711">
        <f t="shared" si="0"/>
        <v>12</v>
      </c>
      <c r="C23" s="701"/>
      <c r="D23" s="715" t="s">
        <v>767</v>
      </c>
      <c r="E23" s="431"/>
      <c r="F23" s="433"/>
      <c r="G23" s="927">
        <v>9.8299999999999998E-2</v>
      </c>
      <c r="H23" s="716"/>
      <c r="I23" s="431"/>
      <c r="J23" s="717" t="s">
        <v>987</v>
      </c>
      <c r="K23" s="718"/>
      <c r="L23" s="431"/>
    </row>
    <row r="24" spans="2:12">
      <c r="B24" s="711">
        <f t="shared" si="0"/>
        <v>13</v>
      </c>
      <c r="C24" s="701"/>
      <c r="D24" s="431" t="s">
        <v>768</v>
      </c>
      <c r="E24" s="431"/>
      <c r="F24" s="716"/>
      <c r="G24" s="716"/>
      <c r="H24" s="921">
        <v>252675</v>
      </c>
      <c r="I24" s="431"/>
      <c r="J24" s="709"/>
      <c r="K24" s="718"/>
      <c r="L24" s="431"/>
    </row>
    <row r="25" spans="2:12">
      <c r="B25" s="711">
        <f t="shared" si="0"/>
        <v>14</v>
      </c>
      <c r="C25" s="701"/>
      <c r="I25" s="431"/>
      <c r="J25" s="709"/>
      <c r="K25" s="718"/>
      <c r="L25" s="431"/>
    </row>
    <row r="26" spans="2:12">
      <c r="B26" s="711">
        <f t="shared" si="0"/>
        <v>15</v>
      </c>
      <c r="C26" s="701"/>
      <c r="D26" s="715" t="s">
        <v>869</v>
      </c>
      <c r="E26" s="431"/>
      <c r="F26" s="777">
        <f>ROUND((F19*F21*F22),0)</f>
        <v>-66352</v>
      </c>
      <c r="G26" s="777">
        <f>ROUND(G19*G21*G23,0)</f>
        <v>177039</v>
      </c>
      <c r="H26" s="143">
        <f>SUM(F26:G26)</f>
        <v>110687</v>
      </c>
      <c r="I26" s="431"/>
      <c r="J26" s="709"/>
      <c r="K26" s="718"/>
      <c r="L26" s="431"/>
    </row>
    <row r="27" spans="2:12">
      <c r="B27" s="711">
        <f t="shared" si="0"/>
        <v>16</v>
      </c>
      <c r="C27" s="701"/>
      <c r="D27" s="431"/>
      <c r="E27" s="431"/>
      <c r="F27" s="716"/>
      <c r="G27" s="716"/>
      <c r="H27" s="431"/>
      <c r="I27" s="431"/>
      <c r="J27" s="709"/>
      <c r="K27" s="718"/>
      <c r="L27" s="431"/>
    </row>
    <row r="28" spans="2:12">
      <c r="B28" s="711">
        <f t="shared" si="0"/>
        <v>17</v>
      </c>
      <c r="C28" s="701"/>
      <c r="D28" s="431" t="s">
        <v>769</v>
      </c>
      <c r="E28" s="431"/>
      <c r="F28" s="716"/>
      <c r="G28" s="716"/>
      <c r="H28" s="778">
        <f>H24+H26</f>
        <v>363362</v>
      </c>
      <c r="I28" s="431"/>
      <c r="J28" s="709"/>
      <c r="K28" s="718"/>
      <c r="L28" s="431"/>
    </row>
    <row r="29" spans="2:12">
      <c r="B29" s="711">
        <f t="shared" si="0"/>
        <v>18</v>
      </c>
      <c r="C29" s="701"/>
      <c r="D29" s="431"/>
      <c r="E29" s="431"/>
      <c r="F29" s="716"/>
      <c r="G29" s="716"/>
      <c r="H29" s="431"/>
      <c r="I29" s="431"/>
      <c r="J29" s="709"/>
      <c r="K29" s="718"/>
      <c r="L29" s="431"/>
    </row>
    <row r="30" spans="2:12">
      <c r="B30" s="711">
        <f t="shared" si="0"/>
        <v>19</v>
      </c>
      <c r="C30" s="701"/>
      <c r="D30" s="715" t="s">
        <v>606</v>
      </c>
      <c r="E30" s="431"/>
      <c r="F30" s="716"/>
      <c r="G30" s="716"/>
      <c r="H30" s="431"/>
      <c r="I30" s="431"/>
      <c r="J30" s="709"/>
      <c r="K30" s="718"/>
      <c r="L30" s="431"/>
    </row>
    <row r="31" spans="2:12" ht="45">
      <c r="B31" s="711">
        <f t="shared" si="0"/>
        <v>20</v>
      </c>
      <c r="C31" s="712"/>
      <c r="D31" s="713" t="s">
        <v>821</v>
      </c>
      <c r="E31" s="714"/>
      <c r="F31" s="921">
        <v>70785</v>
      </c>
      <c r="G31" s="921">
        <v>-1893096</v>
      </c>
      <c r="H31" s="431"/>
      <c r="I31" s="431"/>
      <c r="J31" s="923" t="s">
        <v>984</v>
      </c>
      <c r="K31" s="924" t="s">
        <v>762</v>
      </c>
      <c r="L31" s="431"/>
    </row>
    <row r="32" spans="2:12">
      <c r="B32" s="711">
        <f t="shared" si="0"/>
        <v>21</v>
      </c>
      <c r="C32" s="701"/>
      <c r="D32" s="715" t="s">
        <v>871</v>
      </c>
      <c r="E32" s="431"/>
      <c r="F32" s="926">
        <v>1131572</v>
      </c>
      <c r="G32" s="926"/>
      <c r="H32" s="431"/>
      <c r="I32" s="431"/>
      <c r="J32" s="717" t="s">
        <v>823</v>
      </c>
      <c r="K32" s="719"/>
      <c r="L32" s="431"/>
    </row>
    <row r="33" spans="2:14">
      <c r="B33" s="711">
        <f t="shared" si="0"/>
        <v>22</v>
      </c>
      <c r="C33" s="701"/>
      <c r="D33" s="715" t="s">
        <v>872</v>
      </c>
      <c r="E33" s="431"/>
      <c r="F33" s="778">
        <f>F31+F32</f>
        <v>1202357</v>
      </c>
      <c r="G33" s="778">
        <f>G31+G32</f>
        <v>-1893096</v>
      </c>
      <c r="H33" s="431"/>
      <c r="I33" s="431"/>
      <c r="J33" s="709"/>
      <c r="K33" s="718"/>
      <c r="L33" s="431"/>
    </row>
    <row r="34" spans="2:14">
      <c r="B34" s="711">
        <f t="shared" si="0"/>
        <v>23</v>
      </c>
      <c r="C34" s="701"/>
      <c r="D34" s="431"/>
      <c r="E34" s="431"/>
      <c r="F34" s="716"/>
      <c r="G34" s="716"/>
      <c r="H34" s="431"/>
      <c r="I34" s="431"/>
      <c r="J34" s="709"/>
      <c r="K34" s="718"/>
      <c r="L34" s="431"/>
    </row>
    <row r="35" spans="2:14">
      <c r="B35" s="711">
        <f t="shared" si="0"/>
        <v>24</v>
      </c>
      <c r="C35" s="701"/>
      <c r="D35" s="713" t="s">
        <v>820</v>
      </c>
      <c r="E35" s="431"/>
      <c r="F35" s="775">
        <v>0.71960000000000002</v>
      </c>
      <c r="G35" s="775"/>
      <c r="H35" s="431"/>
      <c r="I35" s="431"/>
      <c r="J35" s="928" t="str">
        <f>J22</f>
        <v>DEO 2021 Allocation Stat Percentages Table</v>
      </c>
      <c r="K35" s="718"/>
      <c r="L35" s="431"/>
      <c r="N35"/>
    </row>
    <row r="36" spans="2:14">
      <c r="B36" s="711">
        <f t="shared" si="0"/>
        <v>25</v>
      </c>
      <c r="C36" s="701"/>
      <c r="D36" s="715" t="s">
        <v>767</v>
      </c>
      <c r="E36" s="431"/>
      <c r="F36" s="775"/>
      <c r="G36" s="775">
        <v>3.5900000000000001E-2</v>
      </c>
      <c r="H36" s="431"/>
      <c r="I36" s="431"/>
      <c r="J36" s="717" t="s">
        <v>988</v>
      </c>
      <c r="K36" s="718"/>
      <c r="L36" s="431"/>
    </row>
    <row r="37" spans="2:14">
      <c r="B37" s="711">
        <f t="shared" si="0"/>
        <v>26</v>
      </c>
      <c r="C37" s="701"/>
      <c r="D37" s="715"/>
      <c r="E37" s="431"/>
      <c r="F37" s="779"/>
      <c r="G37" s="779"/>
      <c r="H37" s="431"/>
      <c r="I37" s="431"/>
      <c r="J37" s="709"/>
      <c r="K37" s="718"/>
      <c r="L37" s="431"/>
    </row>
    <row r="38" spans="2:14" ht="30">
      <c r="B38" s="711">
        <f t="shared" si="0"/>
        <v>27</v>
      </c>
      <c r="C38" s="701"/>
      <c r="D38" s="534" t="s">
        <v>873</v>
      </c>
      <c r="E38" s="431"/>
      <c r="F38" s="777">
        <f>ROUND((F33*F35),0)</f>
        <v>865216</v>
      </c>
      <c r="G38" s="777">
        <f>ROUND((G33*G36),0)</f>
        <v>-67962</v>
      </c>
      <c r="H38" s="780">
        <f>F38+G38</f>
        <v>797254</v>
      </c>
      <c r="I38" s="431"/>
      <c r="J38" s="709"/>
      <c r="K38" s="718"/>
      <c r="L38" s="431"/>
    </row>
    <row r="39" spans="2:14">
      <c r="B39" s="711">
        <f t="shared" si="0"/>
        <v>28</v>
      </c>
      <c r="C39" s="701"/>
      <c r="D39" s="715"/>
      <c r="E39" s="431"/>
      <c r="F39" s="716"/>
      <c r="G39" s="716"/>
      <c r="H39" s="431"/>
      <c r="I39" s="431"/>
      <c r="J39" s="709"/>
      <c r="K39" s="718"/>
      <c r="L39" s="431"/>
    </row>
    <row r="40" spans="2:14">
      <c r="B40" s="711">
        <f t="shared" si="0"/>
        <v>29</v>
      </c>
      <c r="C40" s="701"/>
      <c r="D40" s="431"/>
      <c r="E40" s="431"/>
      <c r="F40" s="716"/>
      <c r="G40" s="716"/>
      <c r="H40" s="431"/>
      <c r="I40" s="431"/>
      <c r="J40" s="709"/>
      <c r="K40" s="718"/>
      <c r="L40" s="431"/>
    </row>
    <row r="41" spans="2:14" ht="16.5" thickBot="1">
      <c r="B41" s="707">
        <f t="shared" si="0"/>
        <v>30</v>
      </c>
      <c r="C41" s="701"/>
      <c r="D41" s="720" t="s">
        <v>784</v>
      </c>
      <c r="E41" s="431"/>
      <c r="F41" s="716"/>
      <c r="G41" s="716"/>
      <c r="H41" s="781">
        <f>H28+H38</f>
        <v>1160616</v>
      </c>
      <c r="I41" s="431"/>
      <c r="J41" s="709"/>
      <c r="K41" s="718"/>
      <c r="L41" s="431"/>
    </row>
    <row r="42" spans="2:14" ht="15.75" thickTop="1">
      <c r="B42" s="707"/>
      <c r="C42" s="721"/>
      <c r="D42" s="431"/>
      <c r="E42" s="431"/>
      <c r="F42" s="431"/>
      <c r="G42" s="722"/>
      <c r="H42" s="716"/>
      <c r="I42" s="431"/>
      <c r="J42" s="709"/>
      <c r="K42" s="723"/>
      <c r="L42" s="431"/>
    </row>
    <row r="43" spans="2:14">
      <c r="B43" s="432"/>
      <c r="D43" s="432"/>
      <c r="E43" s="432"/>
      <c r="F43" s="432"/>
      <c r="H43" s="432"/>
      <c r="I43" s="432"/>
      <c r="J43" s="432"/>
      <c r="K43" s="432"/>
      <c r="L43" s="431"/>
    </row>
    <row r="44" spans="2:14">
      <c r="B44" s="431"/>
      <c r="D44" s="431"/>
      <c r="E44" s="431"/>
      <c r="F44" s="431"/>
      <c r="H44" s="431"/>
      <c r="I44" s="431"/>
      <c r="J44" s="431"/>
      <c r="K44" s="431"/>
      <c r="L44" s="431"/>
    </row>
    <row r="45" spans="2:14">
      <c r="H45" s="433"/>
    </row>
    <row r="46" spans="2:14">
      <c r="H46" s="929"/>
    </row>
    <row r="47" spans="2:14">
      <c r="F47" s="930"/>
      <c r="G47" s="930"/>
    </row>
    <row r="48" spans="2:14">
      <c r="F48" s="433"/>
      <c r="K48" s="533"/>
    </row>
  </sheetData>
  <printOptions horizontalCentered="1"/>
  <pageMargins left="0.45" right="0.45" top="1" bottom="0.75" header="0.3" footer="0.3"/>
  <pageSetup scale="5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0">
    <tabColor theme="1"/>
    <pageSetUpPr fitToPage="1"/>
  </sheetPr>
  <dimension ref="B1:N53"/>
  <sheetViews>
    <sheetView view="pageBreakPreview" zoomScale="80" zoomScaleNormal="70" zoomScaleSheetLayoutView="80" workbookViewId="0"/>
  </sheetViews>
  <sheetFormatPr defaultColWidth="7.44140625" defaultRowHeight="15"/>
  <cols>
    <col min="1" max="1" width="7.44140625" style="429"/>
    <col min="2" max="2" width="5.21875" style="429" customWidth="1"/>
    <col min="3" max="3" width="8.5546875" style="429" customWidth="1"/>
    <col min="4" max="4" width="60.77734375" style="429" customWidth="1"/>
    <col min="5" max="5" width="1.21875" style="429" customWidth="1"/>
    <col min="6" max="6" width="12.5546875" style="429" customWidth="1"/>
    <col min="7" max="7" width="13.44140625" style="429" customWidth="1"/>
    <col min="8" max="8" width="13" style="429" bestFit="1" customWidth="1"/>
    <col min="9" max="9" width="1.21875" style="429" customWidth="1"/>
    <col min="10" max="10" width="63.77734375" style="429" customWidth="1"/>
    <col min="11" max="11" width="11.77734375" style="429" customWidth="1"/>
    <col min="12" max="12" width="2.21875" style="429" customWidth="1"/>
    <col min="13" max="16384" width="7.44140625" style="429"/>
  </cols>
  <sheetData>
    <row r="1" spans="2:14" ht="15.75">
      <c r="B1" s="430" t="s">
        <v>177</v>
      </c>
      <c r="C1" s="430"/>
      <c r="D1" s="430"/>
      <c r="E1" s="430"/>
      <c r="F1" s="430"/>
      <c r="G1" s="430"/>
      <c r="H1" s="430"/>
      <c r="I1" s="430"/>
      <c r="J1" s="430"/>
      <c r="K1" s="430"/>
    </row>
    <row r="2" spans="2:14" ht="15.75">
      <c r="B2" s="430" t="str">
        <f>'P11 PBOP - DEO'!B2</f>
        <v>2021 OATT Annual Update</v>
      </c>
      <c r="C2" s="430"/>
      <c r="D2" s="430"/>
      <c r="E2" s="430"/>
      <c r="F2" s="430"/>
      <c r="G2" s="430"/>
      <c r="H2" s="430"/>
      <c r="I2" s="430"/>
      <c r="J2" s="430"/>
      <c r="K2" s="430"/>
    </row>
    <row r="3" spans="2:14" ht="15.75">
      <c r="B3" s="430" t="s">
        <v>599</v>
      </c>
      <c r="C3" s="430"/>
      <c r="D3" s="430"/>
      <c r="E3" s="430"/>
      <c r="F3" s="430"/>
      <c r="G3" s="430"/>
      <c r="H3" s="430"/>
      <c r="I3" s="430"/>
      <c r="J3" s="430"/>
      <c r="K3" s="430"/>
      <c r="M3" s="785"/>
      <c r="N3" s="278"/>
    </row>
    <row r="4" spans="2:14" ht="15.75">
      <c r="B4" s="430" t="str">
        <f>'P11 PBOP - DEO'!B4</f>
        <v>Included in 2021 FERC Form 1 Data</v>
      </c>
      <c r="C4" s="430"/>
      <c r="D4" s="430"/>
      <c r="E4" s="430"/>
      <c r="F4" s="430"/>
      <c r="G4" s="430"/>
      <c r="H4" s="430"/>
      <c r="I4" s="430"/>
      <c r="J4" s="430"/>
      <c r="K4" s="430"/>
    </row>
    <row r="5" spans="2:14" ht="15.75">
      <c r="B5" s="430"/>
      <c r="C5" s="430"/>
      <c r="D5" s="430"/>
      <c r="E5" s="430"/>
      <c r="F5" s="430"/>
      <c r="G5" s="430"/>
      <c r="H5" s="430"/>
      <c r="I5" s="430"/>
      <c r="J5" s="430"/>
      <c r="K5" s="260" t="s">
        <v>393</v>
      </c>
    </row>
    <row r="6" spans="2:14" ht="15.75">
      <c r="B6" s="430"/>
      <c r="C6" s="430"/>
      <c r="D6" s="430"/>
      <c r="E6" s="430"/>
      <c r="F6" s="430"/>
      <c r="G6" s="430"/>
      <c r="H6" s="430"/>
      <c r="I6" s="430"/>
      <c r="J6" s="430"/>
      <c r="K6" s="335" t="str">
        <f>"Page 12 of "&amp;Workpaper</f>
        <v>Page 12 of 19</v>
      </c>
    </row>
    <row r="7" spans="2:14" ht="15.75">
      <c r="B7" s="430"/>
      <c r="C7" s="430"/>
      <c r="D7" s="430"/>
      <c r="E7" s="430"/>
      <c r="F7" s="430"/>
      <c r="G7" s="430"/>
      <c r="H7" s="430"/>
      <c r="I7" s="430"/>
      <c r="J7" s="430"/>
      <c r="K7" s="61" t="str">
        <f>"For the 12 months ended: "&amp;TEXT(INPUT!$B$1,"mm/dd/yyyy")</f>
        <v>For the 12 months ended: 12/31/2021</v>
      </c>
    </row>
    <row r="9" spans="2:14" ht="15.75">
      <c r="B9" s="693"/>
      <c r="C9" s="694" t="s">
        <v>600</v>
      </c>
      <c r="D9" s="695"/>
      <c r="E9" s="695"/>
      <c r="F9" s="695"/>
      <c r="G9" s="695"/>
      <c r="H9" s="695"/>
      <c r="I9" s="695"/>
      <c r="J9" s="695"/>
      <c r="K9" s="696"/>
    </row>
    <row r="10" spans="2:14" ht="34.5" customHeight="1">
      <c r="B10" s="697" t="s">
        <v>8</v>
      </c>
      <c r="C10" s="698" t="s">
        <v>601</v>
      </c>
      <c r="D10" s="695" t="s">
        <v>602</v>
      </c>
      <c r="E10" s="695"/>
      <c r="F10" s="695"/>
      <c r="G10" s="695"/>
      <c r="H10" s="695"/>
      <c r="I10" s="699"/>
      <c r="J10" s="694" t="s">
        <v>609</v>
      </c>
      <c r="K10" s="700"/>
    </row>
    <row r="11" spans="2:14" ht="15.75">
      <c r="B11" s="701"/>
      <c r="C11" s="702"/>
      <c r="D11" s="703"/>
      <c r="E11" s="703"/>
      <c r="F11" s="704"/>
      <c r="G11" s="704"/>
      <c r="H11" s="704"/>
      <c r="I11" s="431"/>
      <c r="J11" s="705"/>
      <c r="K11" s="706"/>
    </row>
    <row r="12" spans="2:14" ht="63.75" customHeight="1">
      <c r="B12" s="707">
        <v>1</v>
      </c>
      <c r="C12" s="708">
        <v>926</v>
      </c>
      <c r="E12" s="431"/>
      <c r="F12" s="771" t="s">
        <v>607</v>
      </c>
      <c r="G12" s="771" t="s">
        <v>604</v>
      </c>
      <c r="H12" s="771" t="s">
        <v>608</v>
      </c>
      <c r="I12" s="431"/>
      <c r="J12" s="709"/>
      <c r="K12" s="706"/>
    </row>
    <row r="13" spans="2:14">
      <c r="B13" s="707">
        <f t="shared" ref="B13:B41" si="0">B12+1</f>
        <v>2</v>
      </c>
      <c r="C13" s="701"/>
      <c r="D13" s="710" t="s">
        <v>606</v>
      </c>
      <c r="E13" s="431"/>
      <c r="F13" s="431"/>
      <c r="G13" s="431"/>
      <c r="H13" s="431"/>
      <c r="I13" s="431"/>
      <c r="J13" s="709"/>
      <c r="K13" s="706"/>
    </row>
    <row r="14" spans="2:14" ht="45">
      <c r="B14" s="711">
        <f t="shared" si="0"/>
        <v>3</v>
      </c>
      <c r="C14" s="712"/>
      <c r="D14" s="713" t="s">
        <v>763</v>
      </c>
      <c r="E14" s="714"/>
      <c r="F14" s="921">
        <v>80691</v>
      </c>
      <c r="G14" s="922">
        <f>'P11 PBOP - DEO'!G14</f>
        <v>1079018</v>
      </c>
      <c r="H14" s="772"/>
      <c r="I14" s="431"/>
      <c r="J14" s="923" t="str">
        <f>'P11 PBOP - DEO'!J14</f>
        <v>Actuarial Valuation Report December 31, 2021 Disclosure and Fiscal 2022 Net Periodic Benefit Cost for Duke Energy Ohio and Duke Energy Kentucky Retirement Plans</v>
      </c>
      <c r="K14" s="924" t="s">
        <v>762</v>
      </c>
    </row>
    <row r="15" spans="2:14">
      <c r="B15" s="707">
        <f t="shared" si="0"/>
        <v>4</v>
      </c>
      <c r="C15" s="701"/>
      <c r="D15" s="715" t="s">
        <v>764</v>
      </c>
      <c r="E15" s="431"/>
      <c r="F15" s="433"/>
      <c r="G15" s="433"/>
      <c r="H15" s="716"/>
      <c r="I15" s="431"/>
      <c r="J15" s="717"/>
      <c r="K15" s="718"/>
    </row>
    <row r="16" spans="2:14" ht="48.6" customHeight="1">
      <c r="B16" s="711">
        <f t="shared" si="0"/>
        <v>5</v>
      </c>
      <c r="C16" s="712"/>
      <c r="D16" s="713" t="s">
        <v>868</v>
      </c>
      <c r="E16" s="714"/>
      <c r="F16" s="925">
        <v>-999508</v>
      </c>
      <c r="G16" s="773">
        <f>'P11 PBOP - DEO'!G16</f>
        <v>-582672</v>
      </c>
      <c r="H16" s="773"/>
      <c r="I16" s="714"/>
      <c r="J16" s="923" t="str">
        <f>'P11 PBOP - DEO'!J16</f>
        <v>Duke Energy Postemployment Welfare Benefit Plans Actuarial Valuation Report Postemployment Benefit Cost and Employer Cash Flow For Fiscal Year Ending December 31, 2021</v>
      </c>
      <c r="K16" s="924" t="s">
        <v>1017</v>
      </c>
    </row>
    <row r="17" spans="2:11">
      <c r="B17" s="711">
        <f t="shared" si="0"/>
        <v>6</v>
      </c>
      <c r="C17" s="701"/>
      <c r="D17" s="715" t="s">
        <v>765</v>
      </c>
      <c r="E17" s="431"/>
      <c r="F17" s="926">
        <v>695000</v>
      </c>
      <c r="G17" s="779">
        <f>'P11 PBOP - DEO'!G17</f>
        <v>2780000</v>
      </c>
      <c r="H17" s="716"/>
      <c r="I17" s="431"/>
      <c r="J17" s="717" t="str">
        <f>'P11 PBOP - DEO'!J17</f>
        <v xml:space="preserve">LTD_FAS 112 Summary </v>
      </c>
      <c r="K17" s="718"/>
    </row>
    <row r="18" spans="2:11">
      <c r="B18" s="711">
        <f t="shared" si="0"/>
        <v>7</v>
      </c>
      <c r="C18" s="701"/>
      <c r="D18" s="431"/>
      <c r="E18" s="431"/>
      <c r="F18" s="433"/>
      <c r="G18" s="433"/>
      <c r="H18" s="431"/>
      <c r="I18" s="431"/>
      <c r="J18" s="709"/>
      <c r="K18" s="718"/>
    </row>
    <row r="19" spans="2:11" ht="15.75" thickBot="1">
      <c r="B19" s="711">
        <f t="shared" si="0"/>
        <v>8</v>
      </c>
      <c r="C19" s="701"/>
      <c r="D19" s="715" t="s">
        <v>766</v>
      </c>
      <c r="E19" s="431"/>
      <c r="F19" s="774">
        <f>SUM(F14:F18)</f>
        <v>-223817</v>
      </c>
      <c r="G19" s="774">
        <f t="shared" ref="G19" si="1">SUM(G14:G18)</f>
        <v>3276346</v>
      </c>
      <c r="H19" s="716"/>
      <c r="I19" s="431"/>
      <c r="J19" s="709"/>
      <c r="K19" s="718"/>
    </row>
    <row r="20" spans="2:11" ht="15.75" thickTop="1">
      <c r="B20" s="711">
        <f t="shared" si="0"/>
        <v>9</v>
      </c>
      <c r="C20" s="701"/>
      <c r="D20" s="715"/>
      <c r="E20" s="431"/>
      <c r="F20" s="716"/>
      <c r="G20" s="716"/>
      <c r="H20" s="716"/>
      <c r="I20" s="431"/>
      <c r="J20" s="709"/>
      <c r="K20" s="718"/>
    </row>
    <row r="21" spans="2:11">
      <c r="B21" s="711">
        <f t="shared" si="0"/>
        <v>10</v>
      </c>
      <c r="C21" s="701"/>
      <c r="D21" s="710" t="s">
        <v>819</v>
      </c>
      <c r="E21" s="714"/>
      <c r="F21" s="775">
        <v>0.66859999999999997</v>
      </c>
      <c r="G21" s="775">
        <v>0.60150000000000003</v>
      </c>
      <c r="H21" s="716"/>
      <c r="I21" s="431"/>
      <c r="J21" s="923" t="str">
        <f>'P11 PBOP - DEO'!J21</f>
        <v>Actual O&amp;M / Capital Split for YE 2021</v>
      </c>
      <c r="K21" s="718"/>
    </row>
    <row r="22" spans="2:11" ht="18" customHeight="1">
      <c r="B22" s="711">
        <f t="shared" si="0"/>
        <v>11</v>
      </c>
      <c r="C22" s="712"/>
      <c r="D22" s="713" t="s">
        <v>820</v>
      </c>
      <c r="E22" s="714"/>
      <c r="F22" s="775">
        <v>0.71660000000000001</v>
      </c>
      <c r="G22" s="776"/>
      <c r="H22" s="773"/>
      <c r="I22" s="714"/>
      <c r="J22" s="923" t="str">
        <f>'P11 PBOP - DEO'!J22</f>
        <v>DEO 2021 Allocation Stat Percentages Table</v>
      </c>
      <c r="K22" s="718"/>
    </row>
    <row r="23" spans="2:11" ht="18.75" customHeight="1">
      <c r="B23" s="711">
        <f t="shared" si="0"/>
        <v>12</v>
      </c>
      <c r="C23" s="701"/>
      <c r="D23" s="715" t="s">
        <v>856</v>
      </c>
      <c r="E23" s="431"/>
      <c r="F23" s="433"/>
      <c r="G23" s="927">
        <v>3.0499999999999999E-2</v>
      </c>
      <c r="H23" s="716"/>
      <c r="I23" s="431"/>
      <c r="J23" s="923" t="str">
        <f>'P11 PBOP - DEO'!J23</f>
        <v>Service Company Labor Allocation to DEO for 2021</v>
      </c>
      <c r="K23" s="718"/>
    </row>
    <row r="24" spans="2:11" ht="15.75" customHeight="1">
      <c r="B24" s="711">
        <f t="shared" si="0"/>
        <v>13</v>
      </c>
      <c r="C24" s="701"/>
      <c r="D24" s="431" t="s">
        <v>768</v>
      </c>
      <c r="E24" s="431"/>
      <c r="F24" s="716"/>
      <c r="G24" s="716"/>
      <c r="H24" s="921">
        <v>120686</v>
      </c>
      <c r="I24" s="431"/>
      <c r="J24" s="709"/>
      <c r="K24" s="718"/>
    </row>
    <row r="25" spans="2:11">
      <c r="B25" s="711">
        <f t="shared" si="0"/>
        <v>14</v>
      </c>
      <c r="C25" s="701"/>
      <c r="I25" s="431"/>
      <c r="J25" s="709"/>
      <c r="K25" s="718"/>
    </row>
    <row r="26" spans="2:11">
      <c r="B26" s="711">
        <f t="shared" si="0"/>
        <v>15</v>
      </c>
      <c r="C26" s="701"/>
      <c r="D26" s="715" t="s">
        <v>870</v>
      </c>
      <c r="E26" s="431"/>
      <c r="F26" s="777">
        <f>ROUND((F19*F21*F22),0)</f>
        <v>-107235</v>
      </c>
      <c r="G26" s="777">
        <f>ROUND(G19*G21*G23,0)</f>
        <v>60107</v>
      </c>
      <c r="H26" s="143">
        <f>SUM(F26:G26)</f>
        <v>-47128</v>
      </c>
      <c r="I26" s="431"/>
      <c r="J26" s="709"/>
      <c r="K26" s="718"/>
    </row>
    <row r="27" spans="2:11">
      <c r="B27" s="711">
        <f t="shared" si="0"/>
        <v>16</v>
      </c>
      <c r="C27" s="701"/>
      <c r="D27" s="431"/>
      <c r="E27" s="431"/>
      <c r="F27" s="716"/>
      <c r="G27" s="716"/>
      <c r="H27" s="431"/>
      <c r="I27" s="431"/>
      <c r="J27" s="709"/>
      <c r="K27" s="718"/>
    </row>
    <row r="28" spans="2:11">
      <c r="B28" s="711">
        <f t="shared" si="0"/>
        <v>17</v>
      </c>
      <c r="C28" s="701"/>
      <c r="D28" s="431" t="s">
        <v>857</v>
      </c>
      <c r="E28" s="431"/>
      <c r="F28" s="716"/>
      <c r="G28" s="716"/>
      <c r="H28" s="778">
        <f>H24+H26</f>
        <v>73558</v>
      </c>
      <c r="I28" s="431"/>
      <c r="J28" s="709"/>
      <c r="K28" s="718"/>
    </row>
    <row r="29" spans="2:11">
      <c r="B29" s="711">
        <f t="shared" si="0"/>
        <v>18</v>
      </c>
      <c r="C29" s="701"/>
      <c r="D29" s="431"/>
      <c r="E29" s="431"/>
      <c r="F29" s="716"/>
      <c r="G29" s="716"/>
      <c r="H29" s="431"/>
      <c r="I29" s="431"/>
      <c r="J29" s="709"/>
      <c r="K29" s="718"/>
    </row>
    <row r="30" spans="2:11">
      <c r="B30" s="711">
        <f t="shared" si="0"/>
        <v>19</v>
      </c>
      <c r="C30" s="701"/>
      <c r="D30" s="715" t="s">
        <v>606</v>
      </c>
      <c r="E30" s="431"/>
      <c r="F30" s="716"/>
      <c r="G30" s="716"/>
      <c r="H30" s="431"/>
      <c r="I30" s="431"/>
      <c r="J30" s="709"/>
      <c r="K30" s="718"/>
    </row>
    <row r="31" spans="2:11" ht="45">
      <c r="B31" s="711">
        <f t="shared" si="0"/>
        <v>20</v>
      </c>
      <c r="C31" s="712"/>
      <c r="D31" s="713" t="s">
        <v>821</v>
      </c>
      <c r="E31" s="714"/>
      <c r="F31" s="921">
        <v>-148110</v>
      </c>
      <c r="G31" s="921">
        <v>-1893096</v>
      </c>
      <c r="H31" s="431"/>
      <c r="I31" s="431"/>
      <c r="J31" s="923" t="str">
        <f>'P11 PBOP - DEO'!J31</f>
        <v>Actuarial Valuation Report December 31, 2021 Disclosure and Fiscal 2022 Net Periodic Benefit Cost for Duke Energy Ohio and Duke Energy Kentucky Retirement Plans</v>
      </c>
      <c r="K31" s="924" t="s">
        <v>762</v>
      </c>
    </row>
    <row r="32" spans="2:11">
      <c r="B32" s="711">
        <f t="shared" si="0"/>
        <v>21</v>
      </c>
      <c r="C32" s="701"/>
      <c r="D32" s="715" t="s">
        <v>871</v>
      </c>
      <c r="E32" s="431"/>
      <c r="F32" s="926">
        <v>187539</v>
      </c>
      <c r="G32" s="926"/>
      <c r="H32" s="431"/>
      <c r="I32" s="431"/>
      <c r="J32" s="717" t="str">
        <f>'P11 PBOP - DEO'!J32</f>
        <v xml:space="preserve">Year End 2015 Footnote Disclosures - Prepurchase Accounting </v>
      </c>
      <c r="K32" s="719"/>
    </row>
    <row r="33" spans="2:11">
      <c r="B33" s="711">
        <f t="shared" si="0"/>
        <v>22</v>
      </c>
      <c r="C33" s="701"/>
      <c r="D33" s="715" t="s">
        <v>872</v>
      </c>
      <c r="E33" s="431"/>
      <c r="F33" s="778">
        <f>F31+F32</f>
        <v>39429</v>
      </c>
      <c r="G33" s="778">
        <f>G31+G32</f>
        <v>-1893096</v>
      </c>
      <c r="H33" s="431"/>
      <c r="I33" s="431"/>
      <c r="J33" s="709"/>
      <c r="K33" s="718"/>
    </row>
    <row r="34" spans="2:11">
      <c r="B34" s="711">
        <f t="shared" si="0"/>
        <v>23</v>
      </c>
      <c r="C34" s="701"/>
      <c r="D34" s="431"/>
      <c r="E34" s="431"/>
      <c r="F34" s="716"/>
      <c r="G34" s="716"/>
      <c r="H34" s="431"/>
      <c r="I34" s="431"/>
      <c r="J34" s="709"/>
      <c r="K34" s="718"/>
    </row>
    <row r="35" spans="2:11">
      <c r="B35" s="711">
        <f t="shared" si="0"/>
        <v>24</v>
      </c>
      <c r="C35" s="701"/>
      <c r="D35" s="713" t="s">
        <v>820</v>
      </c>
      <c r="E35" s="431"/>
      <c r="F35" s="775">
        <v>0.71660000000000001</v>
      </c>
      <c r="G35" s="775"/>
      <c r="H35" s="431"/>
      <c r="I35" s="431"/>
      <c r="J35" s="928" t="str">
        <f>'P11 PBOP - DEO'!J35</f>
        <v>DEO 2021 Allocation Stat Percentages Table</v>
      </c>
      <c r="K35" s="718"/>
    </row>
    <row r="36" spans="2:11">
      <c r="B36" s="711">
        <f t="shared" si="0"/>
        <v>25</v>
      </c>
      <c r="C36" s="701"/>
      <c r="D36" s="715" t="s">
        <v>856</v>
      </c>
      <c r="E36" s="431"/>
      <c r="F36" s="775"/>
      <c r="G36" s="775">
        <v>1.15E-2</v>
      </c>
      <c r="H36" s="431"/>
      <c r="I36" s="431"/>
      <c r="J36" s="717" t="str">
        <f>'P11 PBOP - DEO'!J36</f>
        <v>2021 DGFI per Cost Allocation Manual (CAM)</v>
      </c>
      <c r="K36" s="718"/>
    </row>
    <row r="37" spans="2:11">
      <c r="B37" s="711">
        <f t="shared" si="0"/>
        <v>26</v>
      </c>
      <c r="C37" s="701"/>
      <c r="D37" s="715"/>
      <c r="E37" s="431"/>
      <c r="F37" s="779"/>
      <c r="G37" s="779"/>
      <c r="H37" s="431"/>
      <c r="I37" s="431"/>
      <c r="J37" s="709"/>
      <c r="K37" s="718"/>
    </row>
    <row r="38" spans="2:11" ht="30">
      <c r="B38" s="711">
        <f t="shared" si="0"/>
        <v>27</v>
      </c>
      <c r="C38" s="701"/>
      <c r="D38" s="534" t="s">
        <v>874</v>
      </c>
      <c r="E38" s="431"/>
      <c r="F38" s="777">
        <f>ROUND((F33*F35),0)</f>
        <v>28255</v>
      </c>
      <c r="G38" s="777">
        <f>ROUND((G33*G36),0)</f>
        <v>-21771</v>
      </c>
      <c r="H38" s="780">
        <f>F38+G38</f>
        <v>6484</v>
      </c>
      <c r="I38" s="431"/>
      <c r="J38" s="709"/>
      <c r="K38" s="718"/>
    </row>
    <row r="39" spans="2:11">
      <c r="B39" s="711">
        <f t="shared" si="0"/>
        <v>28</v>
      </c>
      <c r="C39" s="701"/>
      <c r="D39" s="715"/>
      <c r="E39" s="431"/>
      <c r="F39" s="716"/>
      <c r="G39" s="716"/>
      <c r="H39" s="431"/>
      <c r="I39" s="431"/>
      <c r="J39" s="709"/>
      <c r="K39" s="718"/>
    </row>
    <row r="40" spans="2:11">
      <c r="B40" s="711">
        <f t="shared" si="0"/>
        <v>29</v>
      </c>
      <c r="C40" s="701"/>
      <c r="D40" s="431"/>
      <c r="E40" s="431"/>
      <c r="F40" s="716"/>
      <c r="G40" s="716"/>
      <c r="H40" s="431"/>
      <c r="I40" s="431"/>
      <c r="J40" s="709"/>
      <c r="K40" s="718"/>
    </row>
    <row r="41" spans="2:11" ht="16.5" thickBot="1">
      <c r="B41" s="711">
        <f t="shared" si="0"/>
        <v>30</v>
      </c>
      <c r="C41" s="701"/>
      <c r="D41" s="720" t="s">
        <v>858</v>
      </c>
      <c r="E41" s="431"/>
      <c r="F41" s="716"/>
      <c r="G41" s="716"/>
      <c r="H41" s="781">
        <f>H28+H38</f>
        <v>80042</v>
      </c>
      <c r="I41" s="431"/>
      <c r="J41" s="709"/>
      <c r="K41" s="718"/>
    </row>
    <row r="42" spans="2:11" ht="15.75" thickTop="1">
      <c r="B42" s="707"/>
      <c r="C42" s="721"/>
      <c r="D42" s="431"/>
      <c r="E42" s="431"/>
      <c r="F42" s="722"/>
      <c r="G42" s="722"/>
      <c r="H42" s="716"/>
      <c r="I42" s="431"/>
      <c r="J42" s="709"/>
      <c r="K42" s="723"/>
    </row>
    <row r="43" spans="2:11">
      <c r="B43" s="432"/>
      <c r="D43" s="432"/>
      <c r="E43" s="432"/>
      <c r="F43" s="431"/>
      <c r="H43" s="432"/>
      <c r="I43" s="432"/>
      <c r="J43" s="432"/>
      <c r="K43" s="432"/>
    </row>
    <row r="44" spans="2:11">
      <c r="H44" s="433"/>
    </row>
    <row r="45" spans="2:11">
      <c r="H45" s="929"/>
    </row>
    <row r="46" spans="2:11">
      <c r="F46" s="930"/>
      <c r="G46" s="930"/>
    </row>
    <row r="49" spans="10:11">
      <c r="K49" s="533"/>
    </row>
    <row r="53" spans="10:11">
      <c r="J53" s="534"/>
    </row>
  </sheetData>
  <printOptions horizontalCentered="1"/>
  <pageMargins left="0.45" right="0.45" top="1" bottom="0.75" header="0.3" footer="0.3"/>
  <pageSetup scale="5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1"/>
    <pageSetUpPr fitToPage="1"/>
  </sheetPr>
  <dimension ref="A1:K48"/>
  <sheetViews>
    <sheetView view="pageBreakPreview" zoomScale="80" zoomScaleNormal="80" zoomScaleSheetLayoutView="80" workbookViewId="0"/>
  </sheetViews>
  <sheetFormatPr defaultColWidth="8.77734375" defaultRowHeight="15"/>
  <cols>
    <col min="1" max="1" width="6.77734375" customWidth="1"/>
    <col min="2" max="2" width="1.77734375" customWidth="1"/>
    <col min="3" max="3" width="31" customWidth="1"/>
    <col min="4" max="4" width="11.77734375" customWidth="1"/>
    <col min="5" max="5" width="15.21875" customWidth="1"/>
    <col min="7" max="7" width="11.77734375" bestFit="1" customWidth="1"/>
    <col min="12" max="12" width="11.21875" customWidth="1"/>
  </cols>
  <sheetData>
    <row r="1" spans="1:11" ht="18">
      <c r="A1" s="337" t="str">
        <f>'P1 ADIT'!A1</f>
        <v>Duke Energy Ohio and Duke Energy Kentucky</v>
      </c>
      <c r="B1" s="174"/>
      <c r="C1" s="174"/>
      <c r="D1" s="334"/>
      <c r="E1" s="334"/>
      <c r="F1" s="334"/>
      <c r="G1" s="334"/>
    </row>
    <row r="2" spans="1:11" ht="18">
      <c r="A2" s="334"/>
      <c r="B2" s="334"/>
      <c r="C2" s="336"/>
      <c r="D2" s="336"/>
      <c r="I2" s="9"/>
    </row>
    <row r="3" spans="1:11">
      <c r="C3" s="336"/>
      <c r="D3" s="336"/>
      <c r="G3" s="260" t="s">
        <v>393</v>
      </c>
    </row>
    <row r="4" spans="1:11">
      <c r="C4" s="336"/>
      <c r="D4" s="336"/>
      <c r="G4" s="335" t="str">
        <f>"Page 13 of "&amp;Workpaper</f>
        <v>Page 13 of 19</v>
      </c>
      <c r="I4" s="785"/>
      <c r="J4" s="278"/>
      <c r="K4" s="429"/>
    </row>
    <row r="5" spans="1:11">
      <c r="C5" s="336"/>
      <c r="D5" s="336"/>
      <c r="G5" s="61" t="str">
        <f>"For the 12 months ended: "&amp;TEXT(INPUT!$B$1,"mm/dd/yyyy")</f>
        <v>For the 12 months ended: 12/31/2021</v>
      </c>
    </row>
    <row r="7" spans="1:11" ht="15.75">
      <c r="A7" s="502" t="s">
        <v>693</v>
      </c>
      <c r="B7" s="174"/>
      <c r="C7" s="174"/>
      <c r="D7" s="174"/>
      <c r="E7" s="174"/>
      <c r="F7" s="174"/>
      <c r="G7" s="174"/>
    </row>
    <row r="10" spans="1:11" ht="15.75">
      <c r="A10" s="436" t="s">
        <v>8</v>
      </c>
    </row>
    <row r="11" spans="1:11" ht="20.25">
      <c r="A11" s="387" t="s">
        <v>10</v>
      </c>
      <c r="C11" s="74" t="s">
        <v>624</v>
      </c>
      <c r="D11" s="74" t="s">
        <v>623</v>
      </c>
      <c r="E11" s="74" t="s">
        <v>273</v>
      </c>
    </row>
    <row r="12" spans="1:11">
      <c r="A12" s="567">
        <v>1</v>
      </c>
      <c r="C12" s="9" t="s">
        <v>622</v>
      </c>
      <c r="D12" s="9" t="s">
        <v>621</v>
      </c>
      <c r="E12" s="375">
        <v>-1552136.6649220001</v>
      </c>
    </row>
    <row r="13" spans="1:11">
      <c r="A13" s="567">
        <v>2</v>
      </c>
      <c r="C13" s="9"/>
      <c r="D13" s="9" t="s">
        <v>620</v>
      </c>
      <c r="E13" s="375">
        <v>-255422.74054700002</v>
      </c>
    </row>
    <row r="14" spans="1:11">
      <c r="A14" s="567">
        <v>3</v>
      </c>
      <c r="C14" s="9"/>
      <c r="D14" s="9" t="s">
        <v>917</v>
      </c>
      <c r="E14" s="375">
        <v>-94705.633264999982</v>
      </c>
    </row>
    <row r="15" spans="1:11">
      <c r="A15" s="567">
        <v>4</v>
      </c>
      <c r="C15" s="9"/>
      <c r="D15" s="9" t="s">
        <v>747</v>
      </c>
      <c r="E15" s="375">
        <v>-92196.757817000005</v>
      </c>
    </row>
    <row r="16" spans="1:11">
      <c r="A16" s="567">
        <v>5</v>
      </c>
      <c r="C16" s="9"/>
      <c r="D16" s="9" t="s">
        <v>860</v>
      </c>
      <c r="E16" s="375">
        <v>-328960.84123200004</v>
      </c>
    </row>
    <row r="17" spans="1:5">
      <c r="A17" s="567">
        <v>6</v>
      </c>
      <c r="C17" s="9"/>
      <c r="D17" s="9" t="s">
        <v>918</v>
      </c>
      <c r="E17" s="375">
        <v>-118382.04171099997</v>
      </c>
    </row>
    <row r="18" spans="1:5">
      <c r="A18" s="567">
        <v>7</v>
      </c>
      <c r="C18" s="9"/>
      <c r="D18" s="9" t="s">
        <v>861</v>
      </c>
      <c r="E18" s="375">
        <v>-203522.95509499995</v>
      </c>
    </row>
    <row r="19" spans="1:5">
      <c r="A19" s="567">
        <v>8</v>
      </c>
      <c r="C19" s="9"/>
      <c r="D19" s="9" t="s">
        <v>807</v>
      </c>
      <c r="E19" s="375">
        <v>-454398.726929</v>
      </c>
    </row>
    <row r="20" spans="1:5">
      <c r="A20" s="567">
        <v>9</v>
      </c>
      <c r="C20" s="9"/>
      <c r="D20" s="9" t="s">
        <v>748</v>
      </c>
      <c r="E20" s="375">
        <v>-46098.378955</v>
      </c>
    </row>
    <row r="21" spans="1:5">
      <c r="A21" s="567">
        <v>10</v>
      </c>
      <c r="C21" s="9"/>
      <c r="D21" s="9" t="s">
        <v>863</v>
      </c>
      <c r="E21" s="375">
        <v>-390425.34660000005</v>
      </c>
    </row>
    <row r="22" spans="1:5">
      <c r="A22" s="567">
        <v>11</v>
      </c>
      <c r="C22" s="9"/>
      <c r="D22" s="9" t="s">
        <v>862</v>
      </c>
      <c r="E22" s="375">
        <v>-368003.37561799999</v>
      </c>
    </row>
    <row r="23" spans="1:5">
      <c r="A23" s="567">
        <v>12</v>
      </c>
      <c r="C23" s="437" t="s">
        <v>778</v>
      </c>
      <c r="D23" s="556"/>
      <c r="E23" s="917">
        <f>SUM(E12:E22)</f>
        <v>-3904253.4626910002</v>
      </c>
    </row>
    <row r="24" spans="1:5">
      <c r="A24" s="567">
        <v>13</v>
      </c>
      <c r="C24" s="437"/>
      <c r="D24" s="556"/>
      <c r="E24" s="918"/>
    </row>
    <row r="25" spans="1:5">
      <c r="A25" s="567">
        <v>14</v>
      </c>
      <c r="C25" s="437" t="s">
        <v>779</v>
      </c>
      <c r="D25" s="556"/>
      <c r="E25" s="375">
        <v>-303227.10000000009</v>
      </c>
    </row>
    <row r="26" spans="1:5">
      <c r="A26" s="567">
        <v>15</v>
      </c>
      <c r="C26" s="437"/>
      <c r="D26" s="556"/>
      <c r="E26" s="375"/>
    </row>
    <row r="27" spans="1:5">
      <c r="A27" s="567">
        <v>16</v>
      </c>
      <c r="C27" s="437" t="s">
        <v>780</v>
      </c>
      <c r="D27" s="556"/>
      <c r="E27" s="919">
        <v>-16542352.12619203</v>
      </c>
    </row>
    <row r="28" spans="1:5">
      <c r="A28" s="567">
        <v>17</v>
      </c>
      <c r="C28" s="437"/>
      <c r="D28" s="556"/>
      <c r="E28" s="375"/>
    </row>
    <row r="29" spans="1:5">
      <c r="A29" s="567">
        <v>18</v>
      </c>
      <c r="C29" s="9" t="s">
        <v>619</v>
      </c>
      <c r="D29" s="9" t="s">
        <v>618</v>
      </c>
      <c r="E29" s="375">
        <v>-48604.975828999988</v>
      </c>
    </row>
    <row r="30" spans="1:5">
      <c r="A30" s="567">
        <v>19</v>
      </c>
      <c r="C30" s="9"/>
      <c r="D30" s="9" t="s">
        <v>617</v>
      </c>
      <c r="E30" s="375">
        <v>-597704.42772200017</v>
      </c>
    </row>
    <row r="31" spans="1:5">
      <c r="A31" s="567">
        <v>20</v>
      </c>
      <c r="C31" s="9"/>
      <c r="D31" s="9" t="s">
        <v>616</v>
      </c>
      <c r="E31" s="375">
        <v>-378719.69655500003</v>
      </c>
    </row>
    <row r="32" spans="1:5">
      <c r="A32" s="567">
        <v>21</v>
      </c>
      <c r="C32" s="9"/>
      <c r="D32" s="9" t="s">
        <v>615</v>
      </c>
      <c r="E32" s="375">
        <v>-39318.085857999999</v>
      </c>
    </row>
    <row r="33" spans="1:5">
      <c r="A33" s="567">
        <v>22</v>
      </c>
      <c r="C33" s="9"/>
      <c r="D33" s="9" t="s">
        <v>625</v>
      </c>
      <c r="E33" s="375">
        <v>-246679.717424</v>
      </c>
    </row>
    <row r="34" spans="1:5">
      <c r="A34" s="567">
        <v>23</v>
      </c>
      <c r="C34" s="9"/>
      <c r="D34" s="9" t="s">
        <v>181</v>
      </c>
      <c r="E34" s="375">
        <v>-4082369.9358219993</v>
      </c>
    </row>
    <row r="35" spans="1:5">
      <c r="A35" s="567">
        <v>24</v>
      </c>
      <c r="C35" s="9"/>
      <c r="D35" s="9" t="s">
        <v>614</v>
      </c>
      <c r="E35" s="375">
        <v>-137489.96757400001</v>
      </c>
    </row>
    <row r="36" spans="1:5">
      <c r="A36" s="567">
        <v>25</v>
      </c>
      <c r="C36" s="9"/>
      <c r="D36" s="9" t="s">
        <v>613</v>
      </c>
      <c r="E36" s="375">
        <v>-26972.623203000003</v>
      </c>
    </row>
    <row r="37" spans="1:5">
      <c r="A37" s="567">
        <v>26</v>
      </c>
      <c r="C37" s="9"/>
      <c r="D37" s="9" t="s">
        <v>612</v>
      </c>
      <c r="E37" s="375">
        <v>-6032.1728390000007</v>
      </c>
    </row>
    <row r="38" spans="1:5">
      <c r="A38" s="567">
        <v>27</v>
      </c>
      <c r="C38" s="9"/>
      <c r="D38" s="9" t="s">
        <v>611</v>
      </c>
      <c r="E38" s="375">
        <v>-17801.648132000002</v>
      </c>
    </row>
    <row r="39" spans="1:5">
      <c r="A39" s="567">
        <v>28</v>
      </c>
      <c r="C39" s="9"/>
      <c r="D39" s="9" t="s">
        <v>610</v>
      </c>
      <c r="E39" s="375">
        <v>-62821.879006999996</v>
      </c>
    </row>
    <row r="40" spans="1:5">
      <c r="A40" s="567">
        <v>29</v>
      </c>
      <c r="C40" s="437" t="s">
        <v>781</v>
      </c>
      <c r="D40" s="437"/>
      <c r="E40" s="917">
        <f>SUM(E29:E39)</f>
        <v>-5644515.1299649999</v>
      </c>
    </row>
    <row r="41" spans="1:5">
      <c r="A41" s="567">
        <v>30</v>
      </c>
      <c r="C41" s="437"/>
      <c r="D41" s="437"/>
      <c r="E41" s="918"/>
    </row>
    <row r="42" spans="1:5" ht="15.75" thickBot="1">
      <c r="A42" s="567">
        <v>31</v>
      </c>
      <c r="C42" s="9" t="s">
        <v>761</v>
      </c>
      <c r="D42" s="9"/>
      <c r="E42" s="920">
        <f>E23+E25+E27+E40</f>
        <v>-26394347.818848029</v>
      </c>
    </row>
    <row r="43" spans="1:5" ht="15.75" thickTop="1">
      <c r="C43" s="52"/>
      <c r="D43" s="52"/>
      <c r="E43" s="52"/>
    </row>
    <row r="44" spans="1:5">
      <c r="C44" s="52"/>
      <c r="D44" s="52"/>
      <c r="E44" s="52"/>
    </row>
    <row r="45" spans="1:5">
      <c r="C45" s="52"/>
      <c r="D45" s="52"/>
      <c r="E45" s="52"/>
    </row>
    <row r="46" spans="1:5">
      <c r="C46" s="724" t="s">
        <v>627</v>
      </c>
    </row>
    <row r="47" spans="1:5">
      <c r="C47" s="724" t="s">
        <v>745</v>
      </c>
    </row>
    <row r="48" spans="1:5">
      <c r="C48" s="724" t="s">
        <v>746</v>
      </c>
    </row>
  </sheetData>
  <pageMargins left="1" right="1" top="1" bottom="0.75" header="0.3" footer="0.3"/>
  <pageSetup scale="7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theme="1"/>
    <pageSetUpPr fitToPage="1"/>
  </sheetPr>
  <dimension ref="A1:R33"/>
  <sheetViews>
    <sheetView view="pageBreakPreview" zoomScale="80" zoomScaleNormal="80" zoomScaleSheetLayoutView="80" workbookViewId="0"/>
  </sheetViews>
  <sheetFormatPr defaultRowHeight="15"/>
  <cols>
    <col min="1" max="1" width="7.21875" customWidth="1"/>
    <col min="2" max="2" width="1.109375" customWidth="1"/>
    <col min="3" max="3" width="16.109375" customWidth="1"/>
    <col min="4" max="4" width="13.77734375" customWidth="1"/>
    <col min="5" max="6" width="12.77734375" customWidth="1"/>
    <col min="7" max="7" width="14.109375" customWidth="1"/>
    <col min="8" max="8" width="13.77734375" customWidth="1"/>
    <col min="9" max="9" width="8.77734375" customWidth="1"/>
  </cols>
  <sheetData>
    <row r="1" spans="1:18" ht="15.75">
      <c r="A1" s="474" t="str">
        <f>'P1 ADIT'!A1</f>
        <v>Duke Energy Ohio and Duke Energy Kentucky</v>
      </c>
      <c r="B1" s="174"/>
      <c r="C1" s="174"/>
      <c r="D1" s="174"/>
      <c r="E1" s="174"/>
      <c r="F1" s="174"/>
      <c r="G1" s="174"/>
      <c r="H1" s="174"/>
      <c r="I1" s="174"/>
      <c r="J1" s="174"/>
    </row>
    <row r="2" spans="1:18" ht="18">
      <c r="C2" s="473"/>
      <c r="D2" s="174"/>
      <c r="E2" s="174"/>
      <c r="F2" s="174"/>
      <c r="G2" s="174"/>
      <c r="H2" s="174"/>
      <c r="I2" s="174"/>
      <c r="J2" s="174"/>
    </row>
    <row r="3" spans="1:18" ht="18">
      <c r="C3" s="473"/>
      <c r="D3" s="174"/>
      <c r="E3" s="174"/>
      <c r="F3" s="174"/>
      <c r="G3" s="174"/>
      <c r="H3" s="174"/>
      <c r="I3" s="174"/>
      <c r="J3" s="260" t="s">
        <v>393</v>
      </c>
      <c r="L3" s="785"/>
      <c r="M3" s="278"/>
      <c r="N3" s="429"/>
    </row>
    <row r="4" spans="1:18" ht="18">
      <c r="C4" s="473"/>
      <c r="D4" s="174"/>
      <c r="E4" s="174"/>
      <c r="F4" s="174"/>
      <c r="G4" s="174"/>
      <c r="H4" s="174"/>
      <c r="I4" s="174"/>
      <c r="J4" s="335" t="str">
        <f>"Page 14 of "&amp;Workpaper</f>
        <v>Page 14 of 19</v>
      </c>
    </row>
    <row r="5" spans="1:18" ht="15.75">
      <c r="C5" s="474"/>
      <c r="D5" s="475"/>
      <c r="E5" s="475"/>
      <c r="F5" s="475"/>
      <c r="G5" s="475"/>
      <c r="H5" s="475"/>
      <c r="I5" s="475"/>
      <c r="J5" s="61" t="str">
        <f>"For the 12 months ended: "&amp;TEXT(INPUT!$B$1,"mm/dd/yyyy")</f>
        <v>For the 12 months ended: 12/31/2021</v>
      </c>
    </row>
    <row r="6" spans="1:18" ht="15.75">
      <c r="C6" s="474"/>
      <c r="D6" s="475"/>
      <c r="E6" s="475"/>
      <c r="F6" s="475"/>
      <c r="G6" s="475"/>
      <c r="H6" s="475"/>
      <c r="I6" s="475"/>
      <c r="J6" s="260"/>
    </row>
    <row r="7" spans="1:18" ht="15.75">
      <c r="A7" s="476" t="s">
        <v>655</v>
      </c>
      <c r="B7" s="174"/>
      <c r="C7" s="174"/>
      <c r="D7" s="475"/>
      <c r="E7" s="475"/>
      <c r="F7" s="475"/>
      <c r="G7" s="475"/>
      <c r="H7" s="475"/>
      <c r="I7" s="475"/>
      <c r="J7" s="475"/>
      <c r="R7" s="187"/>
    </row>
    <row r="8" spans="1:18" ht="15.75">
      <c r="A8" s="476" t="s">
        <v>656</v>
      </c>
      <c r="B8" s="174"/>
      <c r="C8" s="174"/>
      <c r="D8" s="475"/>
      <c r="E8" s="475"/>
      <c r="F8" s="476"/>
      <c r="G8" s="475"/>
      <c r="H8" s="475"/>
      <c r="I8" s="475"/>
      <c r="J8" s="475"/>
      <c r="R8" s="187"/>
    </row>
    <row r="9" spans="1:18">
      <c r="C9" s="437"/>
      <c r="D9" s="437"/>
      <c r="E9" s="437"/>
      <c r="F9" s="437"/>
      <c r="G9" s="437"/>
      <c r="H9" s="437"/>
      <c r="I9" s="437"/>
      <c r="J9" s="437"/>
    </row>
    <row r="10" spans="1:18">
      <c r="C10" s="437"/>
      <c r="D10" s="437"/>
      <c r="E10" s="437"/>
      <c r="F10" s="437"/>
      <c r="G10" s="437"/>
      <c r="H10" s="437"/>
      <c r="I10" s="437"/>
      <c r="J10" s="437"/>
      <c r="M10" s="437"/>
    </row>
    <row r="11" spans="1:18" ht="15.75">
      <c r="C11" s="437"/>
      <c r="D11" s="437"/>
      <c r="E11" s="523" t="s">
        <v>657</v>
      </c>
      <c r="F11" s="523" t="s">
        <v>657</v>
      </c>
      <c r="G11" s="437"/>
      <c r="H11" s="437"/>
      <c r="I11" s="437"/>
      <c r="J11" s="437"/>
    </row>
    <row r="12" spans="1:18" ht="15.75">
      <c r="A12" s="436" t="s">
        <v>8</v>
      </c>
      <c r="C12" s="523" t="s">
        <v>658</v>
      </c>
      <c r="D12" s="523" t="s">
        <v>659</v>
      </c>
      <c r="E12" s="523" t="s">
        <v>660</v>
      </c>
      <c r="F12" s="523" t="s">
        <v>661</v>
      </c>
      <c r="G12" s="437"/>
      <c r="H12" s="523" t="s">
        <v>658</v>
      </c>
      <c r="I12" s="556"/>
      <c r="J12" s="523" t="s">
        <v>662</v>
      </c>
    </row>
    <row r="13" spans="1:18" ht="20.25">
      <c r="A13" s="688" t="s">
        <v>10</v>
      </c>
      <c r="B13" s="688"/>
      <c r="C13" s="688" t="s">
        <v>663</v>
      </c>
      <c r="D13" s="688" t="s">
        <v>664</v>
      </c>
      <c r="E13" s="688" t="s">
        <v>665</v>
      </c>
      <c r="F13" s="688" t="s">
        <v>665</v>
      </c>
      <c r="G13" s="688" t="s">
        <v>12</v>
      </c>
      <c r="H13" s="688" t="s">
        <v>663</v>
      </c>
      <c r="I13" s="688" t="s">
        <v>551</v>
      </c>
      <c r="J13" s="688" t="s">
        <v>666</v>
      </c>
    </row>
    <row r="14" spans="1:18" ht="15.75">
      <c r="C14" s="558"/>
      <c r="D14" s="558"/>
      <c r="E14" s="556"/>
      <c r="F14" s="556"/>
      <c r="G14" s="558"/>
      <c r="H14" s="557"/>
      <c r="I14" s="558"/>
      <c r="J14" s="558"/>
    </row>
    <row r="15" spans="1:18">
      <c r="A15" s="567">
        <v>1</v>
      </c>
      <c r="C15" s="916" t="s">
        <v>909</v>
      </c>
      <c r="D15" s="916" t="s">
        <v>910</v>
      </c>
      <c r="E15" s="768">
        <v>-415660.92</v>
      </c>
      <c r="F15" s="768">
        <v>-12762.36</v>
      </c>
      <c r="G15" s="494">
        <f>E15+F15</f>
        <v>-428423.27999999997</v>
      </c>
      <c r="H15" s="768">
        <v>-428423.63</v>
      </c>
      <c r="I15" s="725">
        <f t="shared" ref="I15:I26" si="0">H15-G15</f>
        <v>-0.3500000000349246</v>
      </c>
      <c r="J15" s="725">
        <f>SUM($I$15:I15)</f>
        <v>-0.3500000000349246</v>
      </c>
    </row>
    <row r="16" spans="1:18">
      <c r="A16" s="567">
        <v>2</v>
      </c>
      <c r="C16" s="916" t="s">
        <v>910</v>
      </c>
      <c r="D16" s="437" t="s">
        <v>667</v>
      </c>
      <c r="E16" s="726">
        <v>-424705.17</v>
      </c>
      <c r="F16" s="726">
        <v>-8741.17</v>
      </c>
      <c r="G16" s="769">
        <f t="shared" ref="G16:G26" si="1">E16+F16</f>
        <v>-433446.33999999997</v>
      </c>
      <c r="H16" s="726">
        <v>-433445.63</v>
      </c>
      <c r="I16" s="725">
        <f t="shared" si="0"/>
        <v>0.7099999999627471</v>
      </c>
      <c r="J16" s="725">
        <f>SUM($I$15:I16)</f>
        <v>0.3599999999278225</v>
      </c>
    </row>
    <row r="17" spans="1:10">
      <c r="A17" s="567">
        <v>3</v>
      </c>
      <c r="C17" s="437" t="s">
        <v>667</v>
      </c>
      <c r="D17" s="437" t="s">
        <v>668</v>
      </c>
      <c r="E17" s="726">
        <v>-403974.18</v>
      </c>
      <c r="F17" s="726">
        <v>-16026.57</v>
      </c>
      <c r="G17" s="769">
        <f t="shared" si="1"/>
        <v>-420000.75</v>
      </c>
      <c r="H17" s="726">
        <v>-420000.75</v>
      </c>
      <c r="I17" s="725">
        <f t="shared" si="0"/>
        <v>0</v>
      </c>
      <c r="J17" s="725">
        <f>SUM($I$15:I17)</f>
        <v>0.3599999999278225</v>
      </c>
    </row>
    <row r="18" spans="1:10">
      <c r="A18" s="567">
        <v>4</v>
      </c>
      <c r="C18" s="437" t="s">
        <v>668</v>
      </c>
      <c r="D18" s="437" t="s">
        <v>669</v>
      </c>
      <c r="E18" s="726">
        <v>-363891.99</v>
      </c>
      <c r="F18" s="726">
        <v>-11146.22</v>
      </c>
      <c r="G18" s="769">
        <f t="shared" si="1"/>
        <v>-375038.20999999996</v>
      </c>
      <c r="H18" s="726">
        <v>-375040.03</v>
      </c>
      <c r="I18" s="725">
        <f t="shared" si="0"/>
        <v>-1.8200000000651926</v>
      </c>
      <c r="J18" s="725">
        <f>SUM($I$15:I18)</f>
        <v>-1.4600000001373701</v>
      </c>
    </row>
    <row r="19" spans="1:10">
      <c r="A19" s="567">
        <v>5</v>
      </c>
      <c r="C19" s="437" t="s">
        <v>669</v>
      </c>
      <c r="D19" s="437" t="s">
        <v>262</v>
      </c>
      <c r="E19" s="726">
        <v>-338350.38</v>
      </c>
      <c r="F19" s="726">
        <v>-9911.18</v>
      </c>
      <c r="G19" s="769">
        <f t="shared" si="1"/>
        <v>-348261.56</v>
      </c>
      <c r="H19" s="726">
        <v>-348261.56</v>
      </c>
      <c r="I19" s="725">
        <f t="shared" si="0"/>
        <v>0</v>
      </c>
      <c r="J19" s="725">
        <f>SUM($I$15:I19)</f>
        <v>-1.4600000001373701</v>
      </c>
    </row>
    <row r="20" spans="1:10">
      <c r="A20" s="567">
        <v>6</v>
      </c>
      <c r="C20" s="437" t="s">
        <v>262</v>
      </c>
      <c r="D20" s="437" t="s">
        <v>670</v>
      </c>
      <c r="E20" s="726">
        <v>-365179.23</v>
      </c>
      <c r="F20" s="726">
        <v>-8898.02</v>
      </c>
      <c r="G20" s="769">
        <f t="shared" si="1"/>
        <v>-374077.25</v>
      </c>
      <c r="H20" s="726">
        <v>-374075.43</v>
      </c>
      <c r="I20" s="725">
        <f t="shared" si="0"/>
        <v>1.8200000000069849</v>
      </c>
      <c r="J20" s="725">
        <f>SUM($I$15:I20)</f>
        <v>0.35999999986961484</v>
      </c>
    </row>
    <row r="21" spans="1:10">
      <c r="A21" s="567">
        <v>7</v>
      </c>
      <c r="C21" s="437" t="s">
        <v>670</v>
      </c>
      <c r="D21" s="437" t="s">
        <v>671</v>
      </c>
      <c r="E21" s="726">
        <v>-432275.05</v>
      </c>
      <c r="F21" s="726">
        <v>-14477.6</v>
      </c>
      <c r="G21" s="769">
        <f t="shared" si="1"/>
        <v>-446752.64999999997</v>
      </c>
      <c r="H21" s="726">
        <v>-446752.65</v>
      </c>
      <c r="I21" s="725">
        <f t="shared" si="0"/>
        <v>0</v>
      </c>
      <c r="J21" s="725">
        <f>SUM($I$15:I21)</f>
        <v>0.35999999986961484</v>
      </c>
    </row>
    <row r="22" spans="1:10">
      <c r="A22" s="567">
        <v>8</v>
      </c>
      <c r="C22" s="437" t="s">
        <v>671</v>
      </c>
      <c r="D22" s="437" t="s">
        <v>672</v>
      </c>
      <c r="E22" s="726">
        <v>-468362.26</v>
      </c>
      <c r="F22" s="726">
        <v>-14498.61</v>
      </c>
      <c r="G22" s="769">
        <f t="shared" si="1"/>
        <v>-482860.87</v>
      </c>
      <c r="H22" s="726">
        <v>-482860.87</v>
      </c>
      <c r="I22" s="725">
        <f t="shared" si="0"/>
        <v>0</v>
      </c>
      <c r="J22" s="725">
        <f>SUM($I$15:I22)</f>
        <v>0.35999999986961484</v>
      </c>
    </row>
    <row r="23" spans="1:10">
      <c r="A23" s="567">
        <v>9</v>
      </c>
      <c r="C23" s="437" t="s">
        <v>672</v>
      </c>
      <c r="D23" s="437" t="s">
        <v>673</v>
      </c>
      <c r="E23" s="726">
        <v>-484072.07</v>
      </c>
      <c r="F23" s="726">
        <v>-13405.89</v>
      </c>
      <c r="G23" s="769">
        <f t="shared" si="1"/>
        <v>-497477.96</v>
      </c>
      <c r="H23" s="726">
        <v>-497477.96</v>
      </c>
      <c r="I23" s="725">
        <f t="shared" si="0"/>
        <v>0</v>
      </c>
      <c r="J23" s="725">
        <f>SUM($I$15:I23)</f>
        <v>0.35999999986961484</v>
      </c>
    </row>
    <row r="24" spans="1:10">
      <c r="A24" s="567">
        <v>10</v>
      </c>
      <c r="C24" s="437" t="s">
        <v>673</v>
      </c>
      <c r="D24" s="437" t="s">
        <v>674</v>
      </c>
      <c r="E24" s="726">
        <v>-394586.88</v>
      </c>
      <c r="F24" s="726">
        <v>-11541.19</v>
      </c>
      <c r="G24" s="769">
        <f t="shared" si="1"/>
        <v>-406128.07</v>
      </c>
      <c r="H24" s="726">
        <v>-406128.07</v>
      </c>
      <c r="I24" s="725">
        <f t="shared" si="0"/>
        <v>0</v>
      </c>
      <c r="J24" s="725">
        <f>SUM($I$15:I24)</f>
        <v>0.35999999986961484</v>
      </c>
    </row>
    <row r="25" spans="1:10">
      <c r="A25" s="567">
        <v>11</v>
      </c>
      <c r="C25" s="437" t="s">
        <v>674</v>
      </c>
      <c r="D25" s="437" t="s">
        <v>675</v>
      </c>
      <c r="E25" s="726">
        <v>-362690.41</v>
      </c>
      <c r="F25" s="726">
        <v>-10869.09</v>
      </c>
      <c r="G25" s="769">
        <f t="shared" si="1"/>
        <v>-373559.5</v>
      </c>
      <c r="H25" s="726">
        <v>-373559.5</v>
      </c>
      <c r="I25" s="725">
        <f t="shared" si="0"/>
        <v>0</v>
      </c>
      <c r="J25" s="725">
        <f>SUM($I$15:I25)</f>
        <v>0.35999999986961484</v>
      </c>
    </row>
    <row r="26" spans="1:10">
      <c r="A26" s="567">
        <v>12</v>
      </c>
      <c r="C26" s="437" t="s">
        <v>675</v>
      </c>
      <c r="D26" s="437" t="s">
        <v>676</v>
      </c>
      <c r="E26" s="768">
        <v>-364299.02</v>
      </c>
      <c r="F26" s="768">
        <v>-8632.4699999999993</v>
      </c>
      <c r="G26" s="494">
        <f t="shared" si="1"/>
        <v>-372931.49</v>
      </c>
      <c r="H26" s="768">
        <v>-372931.49</v>
      </c>
      <c r="I26" s="725">
        <f t="shared" si="0"/>
        <v>0</v>
      </c>
      <c r="J26" s="725">
        <f>SUM($I$15:I26)</f>
        <v>0.35999999986961484</v>
      </c>
    </row>
    <row r="27" spans="1:10">
      <c r="A27" s="567">
        <v>13</v>
      </c>
      <c r="C27" s="437"/>
      <c r="D27" s="437"/>
      <c r="E27" s="768"/>
      <c r="F27" s="768"/>
      <c r="G27" s="725"/>
      <c r="H27" s="768"/>
      <c r="I27" s="725"/>
      <c r="J27" s="725"/>
    </row>
    <row r="28" spans="1:10" ht="15.75">
      <c r="A28" s="567">
        <v>14</v>
      </c>
      <c r="C28" s="727" t="s">
        <v>677</v>
      </c>
      <c r="D28" s="437"/>
      <c r="E28" s="726"/>
      <c r="F28" s="770">
        <f>SUM(F15:F26)</f>
        <v>-140910.37000000002</v>
      </c>
      <c r="G28" s="725"/>
      <c r="H28" s="437"/>
      <c r="I28" s="725"/>
      <c r="J28" s="725"/>
    </row>
    <row r="29" spans="1:10" ht="15.75">
      <c r="C29" s="727"/>
      <c r="D29" s="437"/>
      <c r="E29" s="726"/>
      <c r="F29" s="728"/>
      <c r="G29" s="725"/>
      <c r="H29" s="437"/>
      <c r="I29" s="725"/>
      <c r="J29" s="725"/>
    </row>
    <row r="30" spans="1:10" ht="15.75">
      <c r="C30" s="727"/>
      <c r="D30" s="437"/>
      <c r="E30" s="726"/>
      <c r="F30" s="728"/>
      <c r="G30" s="725"/>
      <c r="H30" s="726"/>
      <c r="I30" s="725"/>
      <c r="J30" s="725"/>
    </row>
    <row r="31" spans="1:10" ht="15.75">
      <c r="C31" s="437" t="s">
        <v>627</v>
      </c>
      <c r="D31" s="437"/>
      <c r="E31" s="726"/>
      <c r="F31" s="728"/>
      <c r="G31" s="725"/>
      <c r="H31" s="726"/>
      <c r="I31" s="725"/>
      <c r="J31" s="437"/>
    </row>
    <row r="32" spans="1:10" ht="15.75">
      <c r="C32" t="s">
        <v>626</v>
      </c>
      <c r="D32" s="437"/>
      <c r="E32" s="726"/>
      <c r="F32" s="728"/>
      <c r="G32" s="725"/>
      <c r="H32" s="726"/>
      <c r="I32" s="725"/>
    </row>
    <row r="33" spans="3:9" ht="15.75">
      <c r="C33" t="s">
        <v>628</v>
      </c>
      <c r="D33" s="437"/>
      <c r="E33" s="726"/>
      <c r="F33" s="728"/>
      <c r="G33" s="725"/>
      <c r="H33" s="726"/>
      <c r="I33" s="725"/>
    </row>
  </sheetData>
  <pageMargins left="1" right="1" top="1" bottom="0.75" header="0.3" footer="0.3"/>
  <pageSetup scale="6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theme="1"/>
    <pageSetUpPr fitToPage="1"/>
  </sheetPr>
  <dimension ref="A1:AF43"/>
  <sheetViews>
    <sheetView view="pageBreakPreview" zoomScale="80" zoomScaleNormal="90" zoomScaleSheetLayoutView="80" workbookViewId="0"/>
  </sheetViews>
  <sheetFormatPr defaultColWidth="8.77734375" defaultRowHeight="15"/>
  <cols>
    <col min="1" max="1" width="6.21875" style="445" customWidth="1"/>
    <col min="2" max="2" width="1.109375" style="445" customWidth="1"/>
    <col min="3" max="3" width="30.77734375" style="445" customWidth="1"/>
    <col min="4" max="4" width="1.21875" style="445" customWidth="1"/>
    <col min="5" max="5" width="12.77734375" style="445" customWidth="1"/>
    <col min="6" max="6" width="2.109375" style="445" customWidth="1"/>
    <col min="7" max="7" width="12.21875" style="445" customWidth="1"/>
    <col min="8" max="8" width="2" style="445" customWidth="1"/>
    <col min="9" max="9" width="12.109375" style="445" customWidth="1"/>
    <col min="10" max="10" width="2.109375" style="445" customWidth="1"/>
    <col min="11" max="11" width="11.77734375" style="445" customWidth="1"/>
    <col min="12" max="12" width="2" style="445" customWidth="1"/>
    <col min="13" max="13" width="8.77734375" style="445"/>
    <col min="14" max="14" width="16.77734375" style="445" customWidth="1"/>
    <col min="15" max="15" width="12.77734375" style="445" customWidth="1"/>
    <col min="16" max="16" width="1.5546875" style="445" customWidth="1"/>
    <col min="17" max="17" width="17.77734375" style="445" customWidth="1"/>
    <col min="18" max="18" width="9.77734375" style="446" customWidth="1"/>
    <col min="19" max="21" width="1.77734375" style="445" customWidth="1"/>
    <col min="22" max="22" width="10.21875" style="445" customWidth="1"/>
    <col min="23" max="23" width="9.77734375" style="445" customWidth="1"/>
    <col min="24" max="24" width="2.21875" style="445" customWidth="1"/>
    <col min="25" max="25" width="11.77734375" style="445" customWidth="1"/>
    <col min="26" max="26" width="10.21875" style="445" customWidth="1"/>
    <col min="27" max="27" width="1.21875" style="445" customWidth="1"/>
    <col min="28" max="28" width="10.21875" style="445" customWidth="1"/>
    <col min="29" max="29" width="9.77734375" style="445" customWidth="1"/>
    <col min="30" max="30" width="1.44140625" style="445" customWidth="1"/>
    <col min="31" max="32" width="11" style="445" customWidth="1"/>
    <col min="33" max="16384" width="8.77734375" style="445"/>
  </cols>
  <sheetData>
    <row r="1" spans="1:29" ht="15.75">
      <c r="A1" s="69" t="str">
        <f>'P1 ADIT'!A1</f>
        <v>Duke Energy Ohio and Duke Energy Kentucky</v>
      </c>
      <c r="B1" s="450"/>
      <c r="C1" s="450"/>
      <c r="D1" s="69"/>
      <c r="E1" s="70"/>
      <c r="F1" s="70"/>
      <c r="G1" s="70"/>
      <c r="H1" s="70"/>
      <c r="I1" s="70"/>
      <c r="J1" s="70"/>
      <c r="K1" s="70"/>
      <c r="L1" s="71"/>
      <c r="N1"/>
      <c r="P1"/>
      <c r="Q1"/>
      <c r="R1"/>
      <c r="S1"/>
    </row>
    <row r="2" spans="1:29" ht="15.75">
      <c r="C2" s="69"/>
      <c r="D2" s="69"/>
      <c r="E2" s="70"/>
      <c r="F2" s="70"/>
      <c r="G2" s="70"/>
      <c r="H2" s="70"/>
      <c r="I2" s="70"/>
      <c r="J2" s="70"/>
      <c r="K2" s="70"/>
      <c r="L2" s="71"/>
      <c r="N2"/>
      <c r="P2" s="786"/>
    </row>
    <row r="3" spans="1:29" ht="15.75">
      <c r="C3" s="69"/>
      <c r="D3" s="69"/>
      <c r="E3" s="70"/>
      <c r="F3" s="70"/>
      <c r="G3" s="70"/>
      <c r="H3" s="70"/>
      <c r="I3" s="70"/>
      <c r="J3" s="70"/>
      <c r="K3" s="260" t="s">
        <v>393</v>
      </c>
      <c r="L3" s="71"/>
      <c r="N3"/>
      <c r="O3" s="305"/>
      <c r="P3" s="785"/>
      <c r="Q3" s="278"/>
      <c r="R3" s="429"/>
      <c r="AB3" s="742"/>
    </row>
    <row r="4" spans="1:29" ht="15.75">
      <c r="C4" s="69"/>
      <c r="D4" s="69"/>
      <c r="E4" s="70"/>
      <c r="F4" s="70"/>
      <c r="G4" s="70"/>
      <c r="H4" s="70"/>
      <c r="I4" s="70"/>
      <c r="J4" s="70"/>
      <c r="K4" s="335" t="str">
        <f>"Page 15 of "&amp;Workpaper</f>
        <v>Page 15 of 19</v>
      </c>
      <c r="L4" s="71"/>
    </row>
    <row r="5" spans="1:29" ht="15.75">
      <c r="C5" s="69"/>
      <c r="D5" s="69"/>
      <c r="E5" s="70"/>
      <c r="F5" s="70"/>
      <c r="G5" s="70"/>
      <c r="H5" s="70"/>
      <c r="I5" s="70"/>
      <c r="J5" s="70"/>
      <c r="K5" s="61" t="str">
        <f>"For the 12 months ended: "&amp;TEXT(INPUT!$B$1,"mm/dd/yyyy")</f>
        <v>For the 12 months ended: 12/31/2021</v>
      </c>
      <c r="L5" s="71"/>
      <c r="N5" s="527"/>
      <c r="O5" s="527"/>
      <c r="Y5" s="448"/>
    </row>
    <row r="6" spans="1:29" ht="15.75">
      <c r="C6" s="69"/>
      <c r="D6" s="69"/>
      <c r="E6" s="70"/>
      <c r="F6" s="70"/>
      <c r="G6" s="70"/>
      <c r="H6" s="70"/>
      <c r="I6" s="70"/>
      <c r="J6" s="70"/>
      <c r="K6" s="260"/>
      <c r="L6" s="71"/>
      <c r="N6" s="740"/>
      <c r="O6" s="454"/>
      <c r="Q6" s="528"/>
      <c r="R6" s="454"/>
      <c r="V6" s="449"/>
      <c r="W6" s="450"/>
      <c r="Y6" s="449"/>
      <c r="Z6" s="450"/>
      <c r="AB6" s="449"/>
      <c r="AC6" s="450"/>
    </row>
    <row r="7" spans="1:29" ht="15.75">
      <c r="A7" s="69" t="s">
        <v>636</v>
      </c>
      <c r="B7" s="450"/>
      <c r="C7" s="450"/>
      <c r="D7" s="69"/>
      <c r="E7" s="70"/>
      <c r="F7" s="70"/>
      <c r="G7" s="70"/>
      <c r="H7" s="70"/>
      <c r="I7" s="70"/>
      <c r="J7" s="70"/>
      <c r="K7" s="70"/>
      <c r="L7" s="71"/>
      <c r="N7" s="529"/>
      <c r="O7" s="454"/>
      <c r="Q7" s="528"/>
      <c r="R7" s="454"/>
    </row>
    <row r="8" spans="1:29" ht="15.75">
      <c r="A8" s="69" t="s">
        <v>640</v>
      </c>
      <c r="B8" s="450"/>
      <c r="C8" s="450"/>
      <c r="D8" s="69"/>
      <c r="E8" s="70"/>
      <c r="F8" s="70"/>
      <c r="G8" s="70"/>
      <c r="H8" s="70"/>
      <c r="I8" s="70"/>
      <c r="J8" s="70"/>
      <c r="K8" s="70"/>
      <c r="L8" s="71"/>
      <c r="N8" s="530"/>
      <c r="O8" s="454"/>
      <c r="Q8" s="528"/>
      <c r="R8" s="454"/>
      <c r="V8" s="451"/>
      <c r="W8" s="451"/>
      <c r="Y8" s="451"/>
      <c r="Z8" s="451"/>
      <c r="AB8" s="451"/>
      <c r="AC8" s="451"/>
    </row>
    <row r="9" spans="1:29" ht="15.75">
      <c r="C9" s="9"/>
      <c r="D9" s="9"/>
      <c r="E9" s="9"/>
      <c r="F9" s="9"/>
      <c r="G9" s="9"/>
      <c r="H9" s="9"/>
      <c r="I9" s="9"/>
      <c r="J9" s="9"/>
      <c r="K9" s="9"/>
      <c r="L9" s="71"/>
      <c r="N9" s="530"/>
      <c r="O9" s="454"/>
      <c r="R9" s="454"/>
      <c r="V9" s="452"/>
      <c r="W9" s="452"/>
      <c r="Y9" s="452"/>
      <c r="Z9" s="452"/>
      <c r="AB9" s="452"/>
      <c r="AC9" s="452"/>
    </row>
    <row r="10" spans="1:29" ht="15.75">
      <c r="C10" s="71"/>
      <c r="D10" s="71"/>
      <c r="E10" s="71"/>
      <c r="F10" s="71"/>
      <c r="G10" s="71"/>
      <c r="H10" s="71"/>
      <c r="I10" s="71"/>
      <c r="J10" s="71"/>
      <c r="K10" s="71"/>
      <c r="L10" s="71"/>
      <c r="N10" s="529"/>
      <c r="O10" s="454"/>
      <c r="R10" s="454"/>
    </row>
    <row r="11" spans="1:29" ht="15.75">
      <c r="C11" s="72"/>
      <c r="D11" s="72"/>
      <c r="E11" s="71"/>
      <c r="F11" s="71"/>
      <c r="G11" s="71"/>
      <c r="H11" s="71"/>
      <c r="I11" s="71"/>
      <c r="J11" s="71"/>
      <c r="K11" s="71"/>
      <c r="L11" s="71"/>
      <c r="N11" s="530"/>
      <c r="O11" s="454"/>
      <c r="Q11" s="528"/>
      <c r="R11" s="454"/>
      <c r="V11" s="453"/>
      <c r="W11" s="453"/>
      <c r="Y11" s="453"/>
      <c r="Z11" s="453"/>
      <c r="AB11" s="453"/>
      <c r="AC11" s="453"/>
    </row>
    <row r="12" spans="1:29" ht="20.25">
      <c r="A12" s="436" t="s">
        <v>8</v>
      </c>
      <c r="C12" s="71"/>
      <c r="D12" s="71"/>
      <c r="E12" s="1038" t="s">
        <v>180</v>
      </c>
      <c r="F12" s="1038"/>
      <c r="G12" s="1038"/>
      <c r="H12" s="142"/>
      <c r="I12" s="1038" t="s">
        <v>181</v>
      </c>
      <c r="J12" s="1038"/>
      <c r="K12" s="1038"/>
      <c r="L12" s="142"/>
      <c r="N12" s="530"/>
      <c r="O12" s="454"/>
      <c r="Q12" s="528"/>
      <c r="R12" s="454"/>
      <c r="V12" s="451"/>
      <c r="W12" s="451"/>
      <c r="Y12" s="451"/>
      <c r="Z12" s="451"/>
      <c r="AB12" s="451"/>
      <c r="AC12" s="451"/>
    </row>
    <row r="13" spans="1:29" ht="20.25">
      <c r="A13" s="387" t="s">
        <v>10</v>
      </c>
      <c r="C13" s="74" t="s">
        <v>635</v>
      </c>
      <c r="D13" s="71"/>
      <c r="E13" s="74" t="s">
        <v>24</v>
      </c>
      <c r="F13" s="74"/>
      <c r="G13" s="74" t="s">
        <v>190</v>
      </c>
      <c r="H13" s="74"/>
      <c r="I13" s="74" t="str">
        <f>E13</f>
        <v>Transmission</v>
      </c>
      <c r="J13" s="74"/>
      <c r="K13" s="74" t="str">
        <f>G13</f>
        <v>Distribution</v>
      </c>
      <c r="L13" s="74"/>
      <c r="N13" s="530"/>
      <c r="O13" s="454"/>
      <c r="Q13" s="528"/>
      <c r="R13" s="454"/>
      <c r="V13" s="452"/>
      <c r="W13" s="452"/>
      <c r="Y13" s="452"/>
      <c r="Z13" s="452"/>
      <c r="AB13" s="452"/>
      <c r="AC13" s="452"/>
    </row>
    <row r="14" spans="1:29" ht="15.75">
      <c r="A14" s="581">
        <v>1</v>
      </c>
      <c r="C14" s="75" t="s">
        <v>637</v>
      </c>
      <c r="D14" s="234"/>
      <c r="E14" s="360">
        <v>25460</v>
      </c>
      <c r="F14" s="325"/>
      <c r="G14" s="360">
        <v>407636</v>
      </c>
      <c r="H14" s="325"/>
      <c r="I14" s="360">
        <v>5531</v>
      </c>
      <c r="J14" s="325"/>
      <c r="K14" s="360">
        <v>76130</v>
      </c>
      <c r="L14" s="325"/>
      <c r="N14" s="528"/>
      <c r="O14" s="454"/>
      <c r="Q14" s="528"/>
      <c r="R14" s="454"/>
    </row>
    <row r="15" spans="1:29" ht="15.75">
      <c r="A15" s="581">
        <v>2</v>
      </c>
      <c r="C15" s="71" t="s">
        <v>638</v>
      </c>
      <c r="D15" s="71"/>
      <c r="E15" s="360">
        <v>6</v>
      </c>
      <c r="F15" s="326"/>
      <c r="G15" s="360">
        <v>5</v>
      </c>
      <c r="H15" s="326"/>
      <c r="I15" s="360">
        <v>0</v>
      </c>
      <c r="J15" s="325"/>
      <c r="K15" s="360">
        <v>0</v>
      </c>
      <c r="L15" s="326"/>
      <c r="N15" s="529"/>
      <c r="O15" s="454"/>
      <c r="R15" s="454"/>
      <c r="V15" s="451"/>
      <c r="W15" s="451"/>
      <c r="Y15" s="451"/>
      <c r="Z15" s="451"/>
      <c r="AB15" s="451"/>
      <c r="AC15" s="451"/>
    </row>
    <row r="16" spans="1:29" ht="17.25">
      <c r="A16" s="581">
        <v>3</v>
      </c>
      <c r="C16" s="71" t="s">
        <v>639</v>
      </c>
      <c r="D16" s="71"/>
      <c r="E16" s="911">
        <v>53</v>
      </c>
      <c r="F16" s="360"/>
      <c r="G16" s="911">
        <v>75</v>
      </c>
      <c r="H16" s="360"/>
      <c r="I16" s="911">
        <v>0</v>
      </c>
      <c r="J16" s="325"/>
      <c r="K16" s="911">
        <v>3</v>
      </c>
      <c r="L16" s="360"/>
      <c r="N16" s="530"/>
      <c r="O16" s="454"/>
      <c r="R16" s="454"/>
      <c r="V16" s="452"/>
      <c r="W16" s="452"/>
      <c r="X16" s="531"/>
      <c r="Y16" s="452"/>
      <c r="Z16" s="452"/>
      <c r="AB16" s="452"/>
      <c r="AC16" s="452"/>
    </row>
    <row r="17" spans="1:32" ht="15.75">
      <c r="A17" s="581">
        <v>4</v>
      </c>
      <c r="C17" s="235" t="s">
        <v>12</v>
      </c>
      <c r="D17" s="71"/>
      <c r="E17" s="912">
        <f>SUM(E14:E16)</f>
        <v>25519</v>
      </c>
      <c r="F17" s="326"/>
      <c r="G17" s="912">
        <f>SUM(G14:G16)</f>
        <v>407716</v>
      </c>
      <c r="H17" s="326"/>
      <c r="I17" s="912">
        <f>SUM(I14:I16)</f>
        <v>5531</v>
      </c>
      <c r="J17" s="326"/>
      <c r="K17" s="912">
        <f>SUM(K14:K16)</f>
        <v>76133</v>
      </c>
      <c r="L17" s="326"/>
      <c r="N17" s="529"/>
      <c r="O17" s="454"/>
      <c r="Q17" s="528"/>
      <c r="R17" s="454"/>
      <c r="AE17" s="448"/>
    </row>
    <row r="18" spans="1:32" ht="15.75">
      <c r="A18" s="581">
        <v>5</v>
      </c>
      <c r="C18" s="71"/>
      <c r="D18" s="71"/>
      <c r="E18" s="327"/>
      <c r="F18" s="327"/>
      <c r="G18" s="327"/>
      <c r="H18" s="327"/>
      <c r="I18" s="327"/>
      <c r="J18" s="327"/>
      <c r="K18" s="913"/>
      <c r="L18" s="327"/>
      <c r="N18" s="530"/>
      <c r="O18" s="454"/>
      <c r="Q18" s="528"/>
      <c r="R18" s="454"/>
      <c r="V18" s="453"/>
      <c r="W18" s="453"/>
      <c r="Y18" s="453"/>
      <c r="Z18" s="453"/>
      <c r="AB18" s="453"/>
      <c r="AC18" s="453"/>
      <c r="AE18" s="449"/>
      <c r="AF18" s="450"/>
    </row>
    <row r="19" spans="1:32" ht="18.75" thickBot="1">
      <c r="A19" s="581">
        <v>6</v>
      </c>
      <c r="C19" s="71" t="s">
        <v>463</v>
      </c>
      <c r="D19" s="71"/>
      <c r="E19" s="914">
        <f>ROUND(E17/($E17+$G17),4)</f>
        <v>5.8900000000000001E-2</v>
      </c>
      <c r="F19" s="729" t="s">
        <v>897</v>
      </c>
      <c r="G19" s="914">
        <f>ROUND(G17/($E17+$G17),4)</f>
        <v>0.94110000000000005</v>
      </c>
      <c r="H19" s="758"/>
      <c r="I19" s="914">
        <f>ROUND(I17/($I17+$K17),4)</f>
        <v>6.7699999999999996E-2</v>
      </c>
      <c r="J19" s="729" t="s">
        <v>897</v>
      </c>
      <c r="K19" s="914">
        <f>ROUND(K17/($I17+$K17),4)</f>
        <v>0.93230000000000002</v>
      </c>
      <c r="L19" s="328"/>
      <c r="N19" s="528"/>
      <c r="O19" s="454"/>
      <c r="Q19" s="528"/>
      <c r="R19" s="454"/>
      <c r="V19" s="451"/>
      <c r="W19" s="451"/>
      <c r="Y19" s="451"/>
      <c r="Z19" s="451"/>
      <c r="AB19" s="451"/>
      <c r="AC19" s="451"/>
    </row>
    <row r="20" spans="1:32" ht="18" thickTop="1">
      <c r="C20" s="235"/>
      <c r="D20" s="235"/>
      <c r="E20" s="236"/>
      <c r="F20" s="236"/>
      <c r="G20" s="236"/>
      <c r="H20" s="236"/>
      <c r="I20" s="236"/>
      <c r="J20" s="236"/>
      <c r="K20" s="236"/>
      <c r="L20" s="236"/>
      <c r="N20" s="529"/>
      <c r="O20" s="454"/>
      <c r="Q20" s="528"/>
      <c r="R20" s="454"/>
      <c r="V20" s="454"/>
      <c r="W20" s="454"/>
      <c r="Y20" s="454"/>
      <c r="Z20" s="454"/>
      <c r="AB20" s="454"/>
      <c r="AC20" s="454"/>
      <c r="AE20" s="451"/>
      <c r="AF20" s="451"/>
    </row>
    <row r="21" spans="1:32" ht="18.75">
      <c r="C21" s="9" t="s">
        <v>898</v>
      </c>
      <c r="D21" s="71"/>
      <c r="E21" s="612"/>
      <c r="F21" s="612"/>
      <c r="G21" s="612"/>
      <c r="H21" s="237"/>
      <c r="I21" s="237"/>
      <c r="J21" s="237"/>
      <c r="K21" s="261"/>
      <c r="L21" s="237"/>
      <c r="N21" s="530"/>
      <c r="O21" s="454"/>
      <c r="Q21" s="528"/>
      <c r="R21" s="454"/>
      <c r="AE21" s="452"/>
      <c r="AF21" s="452"/>
    </row>
    <row r="22" spans="1:32" ht="17.25">
      <c r="C22" s="71"/>
      <c r="D22" s="71"/>
      <c r="E22" s="329"/>
      <c r="F22" s="329"/>
      <c r="G22" s="329"/>
      <c r="H22" s="329"/>
      <c r="I22" s="329"/>
      <c r="J22" s="329"/>
      <c r="K22" s="915"/>
      <c r="L22" s="329"/>
      <c r="N22" s="530"/>
      <c r="O22" s="454"/>
      <c r="Q22" s="528"/>
      <c r="R22" s="454"/>
      <c r="V22" s="451"/>
      <c r="W22" s="451"/>
      <c r="Y22" s="451"/>
      <c r="Z22" s="451"/>
      <c r="AB22" s="451"/>
      <c r="AC22" s="451"/>
    </row>
    <row r="23" spans="1:32" ht="17.25">
      <c r="C23" s="69"/>
      <c r="D23" s="71"/>
      <c r="E23" s="236"/>
      <c r="F23" s="236"/>
      <c r="G23" s="236"/>
      <c r="H23" s="236"/>
      <c r="I23" s="236"/>
      <c r="J23" s="236"/>
      <c r="K23" s="236"/>
      <c r="L23" s="236"/>
      <c r="N23" s="530"/>
      <c r="O23" s="454"/>
      <c r="R23" s="454"/>
      <c r="V23" s="455"/>
      <c r="W23" s="455"/>
      <c r="Y23" s="455"/>
      <c r="Z23" s="455"/>
      <c r="AB23" s="455"/>
      <c r="AC23" s="455"/>
      <c r="AE23" s="453"/>
      <c r="AF23" s="453"/>
    </row>
    <row r="24" spans="1:32">
      <c r="C24" s="536"/>
      <c r="N24" s="529"/>
      <c r="O24" s="454"/>
      <c r="R24" s="454"/>
      <c r="AE24" s="451"/>
      <c r="AF24" s="451"/>
    </row>
    <row r="25" spans="1:32">
      <c r="N25" s="530"/>
      <c r="O25" s="454"/>
      <c r="R25" s="454"/>
      <c r="AE25" s="452"/>
      <c r="AF25" s="452"/>
    </row>
    <row r="26" spans="1:32">
      <c r="N26" s="530"/>
      <c r="O26" s="454"/>
      <c r="R26" s="454"/>
    </row>
    <row r="27" spans="1:32">
      <c r="N27" s="530"/>
      <c r="O27" s="454"/>
      <c r="R27" s="454"/>
      <c r="AE27" s="451"/>
      <c r="AF27" s="451"/>
    </row>
    <row r="28" spans="1:32">
      <c r="N28" s="528"/>
      <c r="O28" s="454"/>
      <c r="R28" s="454"/>
      <c r="AE28" s="452"/>
      <c r="AF28" s="452"/>
    </row>
    <row r="30" spans="1:32">
      <c r="AE30" s="453"/>
      <c r="AF30" s="453"/>
    </row>
    <row r="31" spans="1:32">
      <c r="AE31" s="451"/>
      <c r="AF31" s="451"/>
    </row>
    <row r="32" spans="1:32">
      <c r="AE32" s="454"/>
      <c r="AF32" s="454"/>
    </row>
    <row r="34" spans="14:32">
      <c r="AE34" s="451"/>
      <c r="AF34" s="451"/>
    </row>
    <row r="35" spans="14:32">
      <c r="AE35" s="455"/>
      <c r="AF35" s="455"/>
    </row>
    <row r="43" spans="14:32">
      <c r="N43" s="788"/>
    </row>
  </sheetData>
  <mergeCells count="2">
    <mergeCell ref="E12:G12"/>
    <mergeCell ref="I12:K12"/>
  </mergeCells>
  <pageMargins left="1" right="1" top="1" bottom="0.75" header="0.3" footer="0.3"/>
  <pageSetup scale="7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tabColor theme="1"/>
    <pageSetUpPr fitToPage="1"/>
  </sheetPr>
  <dimension ref="A1:K37"/>
  <sheetViews>
    <sheetView view="pageBreakPreview" zoomScale="80" zoomScaleNormal="70" zoomScaleSheetLayoutView="80" workbookViewId="0"/>
  </sheetViews>
  <sheetFormatPr defaultColWidth="8.77734375" defaultRowHeight="15"/>
  <cols>
    <col min="1" max="1" width="6.21875" style="9" customWidth="1"/>
    <col min="2" max="2" width="11.6640625" style="9" customWidth="1"/>
    <col min="3" max="3" width="54" style="9" customWidth="1"/>
    <col min="4" max="4" width="20" style="9" customWidth="1"/>
    <col min="5" max="5" width="13.5546875" style="9" customWidth="1"/>
    <col min="6" max="6" width="1.77734375" style="9" customWidth="1"/>
    <col min="7" max="7" width="14.77734375" style="9" customWidth="1"/>
    <col min="8" max="8" width="13.44140625" style="9" customWidth="1"/>
    <col min="9" max="16384" width="8.77734375" style="9"/>
  </cols>
  <sheetData>
    <row r="1" spans="1:11" ht="15.75">
      <c r="A1" s="372" t="str">
        <f>'P1 ADIT'!A1</f>
        <v>Duke Energy Ohio and Duke Energy Kentucky</v>
      </c>
      <c r="B1" s="372"/>
      <c r="C1" s="70"/>
      <c r="D1" s="372"/>
      <c r="E1" s="70"/>
      <c r="F1" s="372"/>
      <c r="G1" s="70"/>
    </row>
    <row r="2" spans="1:11" ht="15.75">
      <c r="A2" s="372"/>
      <c r="B2" s="372"/>
      <c r="C2" s="70"/>
      <c r="D2" s="372"/>
      <c r="F2" s="372"/>
    </row>
    <row r="3" spans="1:11" ht="15.75">
      <c r="A3" s="372"/>
      <c r="B3" s="372"/>
      <c r="C3" s="70"/>
      <c r="D3" s="372"/>
      <c r="F3" s="372"/>
      <c r="G3" s="260" t="s">
        <v>393</v>
      </c>
    </row>
    <row r="4" spans="1:11" ht="15.75">
      <c r="A4" s="372"/>
      <c r="B4" s="372"/>
      <c r="C4" s="70"/>
      <c r="D4" s="372"/>
      <c r="F4" s="372"/>
      <c r="G4" s="335" t="str">
        <f>"Page 16 of "&amp;Workpaper</f>
        <v>Page 16 of 19</v>
      </c>
      <c r="K4"/>
    </row>
    <row r="5" spans="1:11" ht="15.75">
      <c r="A5" s="372"/>
      <c r="B5" s="372"/>
      <c r="C5" s="70"/>
      <c r="D5" s="372"/>
      <c r="F5" s="372"/>
      <c r="G5" s="61" t="str">
        <f>"For the 12 months ended: "&amp;TEXT(INPUT!$B$1,"mm/dd/yyyy")</f>
        <v>For the 12 months ended: 12/31/2021</v>
      </c>
    </row>
    <row r="6" spans="1:11" ht="15.75">
      <c r="A6" s="372"/>
      <c r="B6" s="372"/>
      <c r="C6" s="70"/>
      <c r="D6" s="372"/>
      <c r="F6" s="372"/>
    </row>
    <row r="7" spans="1:11" ht="15.75">
      <c r="A7" s="789" t="s">
        <v>911</v>
      </c>
      <c r="B7" s="372"/>
      <c r="C7" s="70"/>
      <c r="D7" s="372"/>
      <c r="E7" s="70"/>
      <c r="F7" s="372"/>
      <c r="G7" s="70"/>
    </row>
    <row r="9" spans="1:11" ht="15.75">
      <c r="B9" s="436" t="s">
        <v>392</v>
      </c>
      <c r="E9" s="436" t="s">
        <v>280</v>
      </c>
    </row>
    <row r="10" spans="1:11" ht="15.75">
      <c r="A10" s="436" t="s">
        <v>8</v>
      </c>
      <c r="B10" s="436" t="s">
        <v>805</v>
      </c>
      <c r="E10" s="436" t="s">
        <v>545</v>
      </c>
      <c r="G10" s="436" t="s">
        <v>280</v>
      </c>
    </row>
    <row r="11" spans="1:11" ht="20.25">
      <c r="A11" s="387" t="s">
        <v>10</v>
      </c>
      <c r="B11" s="387" t="s">
        <v>806</v>
      </c>
      <c r="C11" s="74" t="s">
        <v>416</v>
      </c>
      <c r="D11" s="70"/>
      <c r="E11" s="387" t="s">
        <v>546</v>
      </c>
      <c r="G11" s="387" t="s">
        <v>279</v>
      </c>
    </row>
    <row r="12" spans="1:11">
      <c r="G12" s="238"/>
    </row>
    <row r="13" spans="1:11">
      <c r="A13" s="373">
        <v>1</v>
      </c>
      <c r="B13" s="373"/>
      <c r="C13" s="729" t="s">
        <v>912</v>
      </c>
      <c r="E13" s="30"/>
      <c r="F13" s="30"/>
      <c r="G13" s="766">
        <v>174239153</v>
      </c>
    </row>
    <row r="14" spans="1:11">
      <c r="A14" s="373">
        <v>2</v>
      </c>
      <c r="B14" s="373"/>
      <c r="E14" s="30"/>
      <c r="F14" s="30"/>
      <c r="G14" s="30"/>
    </row>
    <row r="15" spans="1:11" ht="60">
      <c r="A15" s="373">
        <v>3</v>
      </c>
      <c r="B15" s="767" t="s">
        <v>913</v>
      </c>
      <c r="C15" s="374" t="s">
        <v>914</v>
      </c>
      <c r="E15" s="30"/>
      <c r="F15" s="30"/>
      <c r="G15" s="30"/>
    </row>
    <row r="16" spans="1:11">
      <c r="A16" s="373">
        <v>4</v>
      </c>
      <c r="B16" s="373"/>
      <c r="D16" s="9" t="s">
        <v>701</v>
      </c>
      <c r="E16" s="790">
        <v>-27130</v>
      </c>
      <c r="F16" s="30"/>
      <c r="G16" s="30"/>
    </row>
    <row r="17" spans="1:8" ht="17.25">
      <c r="A17" s="373">
        <v>5</v>
      </c>
      <c r="B17" s="373"/>
      <c r="D17" s="9" t="s">
        <v>743</v>
      </c>
      <c r="E17" s="796">
        <v>-6058</v>
      </c>
      <c r="F17" s="30"/>
      <c r="G17" s="30"/>
      <c r="H17" s="508"/>
    </row>
    <row r="18" spans="1:8">
      <c r="A18" s="373">
        <v>6</v>
      </c>
      <c r="B18" s="373"/>
      <c r="E18" s="30">
        <f>SUM(E15:E17)</f>
        <v>-33188</v>
      </c>
      <c r="F18" s="30"/>
      <c r="G18" s="30">
        <f>E18</f>
        <v>-33188</v>
      </c>
    </row>
    <row r="19" spans="1:8">
      <c r="A19" s="373">
        <v>7</v>
      </c>
      <c r="B19" s="373"/>
      <c r="E19" s="30"/>
      <c r="F19" s="30"/>
      <c r="G19" s="30"/>
    </row>
    <row r="20" spans="1:8" ht="90">
      <c r="A20" s="373">
        <v>8</v>
      </c>
      <c r="B20" s="767" t="s">
        <v>1020</v>
      </c>
      <c r="C20" s="374" t="s">
        <v>1021</v>
      </c>
      <c r="E20" s="30"/>
      <c r="F20" s="30"/>
      <c r="G20" s="30"/>
    </row>
    <row r="21" spans="1:8">
      <c r="A21" s="373">
        <v>9</v>
      </c>
      <c r="B21" s="373"/>
      <c r="D21" s="9" t="s">
        <v>701</v>
      </c>
      <c r="E21" s="790">
        <v>8</v>
      </c>
      <c r="F21" s="30"/>
      <c r="G21" s="30"/>
    </row>
    <row r="22" spans="1:8" ht="17.25">
      <c r="A22" s="373">
        <v>10</v>
      </c>
      <c r="B22" s="373"/>
      <c r="D22" s="9" t="s">
        <v>743</v>
      </c>
      <c r="E22" s="796">
        <v>-6034</v>
      </c>
      <c r="F22" s="30"/>
      <c r="G22" s="30"/>
    </row>
    <row r="23" spans="1:8">
      <c r="A23" s="373">
        <v>11</v>
      </c>
      <c r="B23" s="373"/>
      <c r="E23" s="30">
        <f>SUM(E20:E22)</f>
        <v>-6026</v>
      </c>
      <c r="F23" s="30"/>
      <c r="G23" s="30">
        <f>E23</f>
        <v>-6026</v>
      </c>
    </row>
    <row r="24" spans="1:8">
      <c r="A24" s="373">
        <v>12</v>
      </c>
      <c r="B24" s="373"/>
      <c r="E24" s="30"/>
      <c r="F24" s="30"/>
      <c r="G24" s="30"/>
    </row>
    <row r="25" spans="1:8">
      <c r="A25" s="373">
        <v>13</v>
      </c>
      <c r="B25" s="373"/>
      <c r="E25" s="30"/>
      <c r="F25" s="30"/>
      <c r="G25" s="30"/>
    </row>
    <row r="26" spans="1:8">
      <c r="A26" s="373">
        <v>14</v>
      </c>
      <c r="B26" s="373"/>
      <c r="C26" s="9" t="s">
        <v>915</v>
      </c>
      <c r="E26" s="30"/>
      <c r="F26" s="30"/>
      <c r="G26" s="30">
        <f>SUM(G12:G25)</f>
        <v>174199939</v>
      </c>
    </row>
    <row r="27" spans="1:8">
      <c r="A27" s="373">
        <v>15</v>
      </c>
      <c r="B27" s="373"/>
      <c r="E27" s="30"/>
      <c r="F27" s="30"/>
      <c r="G27" s="30"/>
    </row>
    <row r="28" spans="1:8">
      <c r="A28" s="373">
        <v>16</v>
      </c>
      <c r="B28" s="373"/>
      <c r="C28" s="9" t="s">
        <v>916</v>
      </c>
      <c r="E28" s="30"/>
      <c r="F28" s="30"/>
      <c r="G28" s="30">
        <f>G13-G26</f>
        <v>39214</v>
      </c>
    </row>
    <row r="29" spans="1:8">
      <c r="A29" s="373">
        <v>17</v>
      </c>
      <c r="B29" s="373"/>
    </row>
    <row r="30" spans="1:8">
      <c r="A30" s="373">
        <v>18</v>
      </c>
      <c r="B30" s="373"/>
      <c r="C30" s="9" t="s">
        <v>547</v>
      </c>
      <c r="G30" s="791">
        <v>3.2500000000000001E-2</v>
      </c>
    </row>
    <row r="31" spans="1:8">
      <c r="A31" s="373">
        <v>19</v>
      </c>
      <c r="B31" s="373"/>
      <c r="G31" s="792"/>
    </row>
    <row r="32" spans="1:8">
      <c r="A32" s="373">
        <v>20</v>
      </c>
      <c r="B32" s="373"/>
      <c r="C32" s="9" t="s">
        <v>548</v>
      </c>
      <c r="E32" s="793"/>
      <c r="G32" s="794">
        <v>1.5</v>
      </c>
    </row>
    <row r="33" spans="1:7">
      <c r="A33" s="373">
        <v>21</v>
      </c>
      <c r="B33" s="373"/>
      <c r="E33" s="793"/>
      <c r="G33" s="793"/>
    </row>
    <row r="34" spans="1:7" ht="17.25">
      <c r="A34" s="373">
        <v>22</v>
      </c>
      <c r="B34" s="373"/>
      <c r="C34" s="374" t="s">
        <v>549</v>
      </c>
      <c r="E34" s="793"/>
      <c r="G34" s="795">
        <f>ROUND((G28*(1+G30/4)^(4*G32))-G28,0)</f>
        <v>1951</v>
      </c>
    </row>
    <row r="35" spans="1:7">
      <c r="A35" s="373">
        <v>23</v>
      </c>
      <c r="B35" s="373"/>
    </row>
    <row r="36" spans="1:7" ht="15.75" thickBot="1">
      <c r="A36" s="373">
        <v>24</v>
      </c>
      <c r="B36" s="373"/>
      <c r="C36" s="9" t="s">
        <v>744</v>
      </c>
      <c r="D36" s="67" t="str">
        <f>"Line "&amp;A28&amp;" + Line "&amp;A34</f>
        <v>Line 16 + Line 22</v>
      </c>
      <c r="G36" s="227">
        <f>G28+G34</f>
        <v>41165</v>
      </c>
    </row>
    <row r="37" spans="1:7" ht="15.75" thickTop="1"/>
  </sheetData>
  <pageMargins left="0.75" right="0.45" top="1" bottom="0.75" header="0.3" footer="0.3"/>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tabColor theme="1"/>
    <pageSetUpPr fitToPage="1"/>
  </sheetPr>
  <dimension ref="A1:N21"/>
  <sheetViews>
    <sheetView view="pageBreakPreview" zoomScale="80" zoomScaleNormal="80" zoomScaleSheetLayoutView="80" workbookViewId="0"/>
  </sheetViews>
  <sheetFormatPr defaultRowHeight="15"/>
  <cols>
    <col min="1" max="1" width="6.77734375" customWidth="1"/>
    <col min="2" max="2" width="1.109375" customWidth="1"/>
    <col min="3" max="3" width="8.109375" customWidth="1"/>
    <col min="4" max="4" width="1.109375" customWidth="1"/>
    <col min="5" max="5" width="69" customWidth="1"/>
    <col min="6" max="6" width="1.109375" customWidth="1"/>
    <col min="7" max="8" width="14.21875" customWidth="1"/>
    <col min="11" max="11" width="13.44140625" customWidth="1"/>
    <col min="12" max="12" width="12.33203125" bestFit="1" customWidth="1"/>
    <col min="13" max="13" width="13" bestFit="1" customWidth="1"/>
    <col min="14" max="14" width="11.44140625" bestFit="1" customWidth="1"/>
  </cols>
  <sheetData>
    <row r="1" spans="1:14" ht="15.75">
      <c r="A1" s="372" t="str">
        <f>'P1 ADIT'!A1</f>
        <v>Duke Energy Ohio and Duke Energy Kentucky</v>
      </c>
      <c r="B1" s="70"/>
      <c r="C1" s="70"/>
      <c r="D1" s="70"/>
      <c r="E1" s="70"/>
      <c r="F1" s="70"/>
      <c r="G1" s="70"/>
      <c r="H1" s="372"/>
      <c r="I1" s="9"/>
      <c r="K1" s="305"/>
      <c r="L1" s="305"/>
    </row>
    <row r="2" spans="1:14" ht="15.75">
      <c r="A2" s="372"/>
      <c r="B2" s="70"/>
      <c r="C2" s="70"/>
      <c r="D2" s="70"/>
      <c r="E2" s="70"/>
      <c r="F2" s="70"/>
      <c r="G2" s="70"/>
      <c r="H2" s="372"/>
      <c r="I2" s="9"/>
      <c r="K2" s="785"/>
      <c r="L2" s="278"/>
      <c r="M2" s="429"/>
    </row>
    <row r="3" spans="1:14" ht="15.75">
      <c r="A3" s="372"/>
      <c r="B3" s="70"/>
      <c r="C3" s="70"/>
      <c r="D3" s="70"/>
      <c r="E3" s="70"/>
      <c r="F3" s="70"/>
      <c r="G3" s="70"/>
      <c r="H3" s="260" t="s">
        <v>393</v>
      </c>
      <c r="K3" s="305"/>
      <c r="L3" s="9"/>
    </row>
    <row r="4" spans="1:14" ht="15.75">
      <c r="A4" s="372"/>
      <c r="B4" s="70"/>
      <c r="C4" s="70"/>
      <c r="D4" s="70"/>
      <c r="E4" s="70"/>
      <c r="F4" s="70"/>
      <c r="G4" s="70"/>
      <c r="H4" s="335" t="str">
        <f>"Page 17 of "&amp;Workpaper</f>
        <v>Page 17 of 19</v>
      </c>
    </row>
    <row r="5" spans="1:14" ht="15.75">
      <c r="A5" s="372"/>
      <c r="B5" s="70"/>
      <c r="C5" s="70"/>
      <c r="D5" s="70"/>
      <c r="E5" s="70"/>
      <c r="F5" s="70"/>
      <c r="G5" s="70"/>
      <c r="H5" s="61" t="str">
        <f>"For the 12 months ended: "&amp;TEXT(INPUT!$B$1,"mm/dd/yyyy")</f>
        <v>For the 12 months ended: 12/31/2021</v>
      </c>
    </row>
    <row r="6" spans="1:14" ht="15.75">
      <c r="A6" s="372"/>
      <c r="B6" s="70"/>
      <c r="C6" s="70"/>
      <c r="D6" s="70"/>
      <c r="E6" s="70"/>
      <c r="F6" s="70"/>
      <c r="G6" s="70"/>
      <c r="H6" s="372"/>
      <c r="I6" s="9"/>
    </row>
    <row r="7" spans="1:14" ht="15.75">
      <c r="A7" s="372" t="s">
        <v>703</v>
      </c>
      <c r="B7" s="70"/>
      <c r="C7" s="70"/>
      <c r="D7" s="70"/>
      <c r="E7" s="70"/>
      <c r="F7" s="70"/>
      <c r="G7" s="70"/>
      <c r="H7" s="372"/>
      <c r="I7" s="9"/>
    </row>
    <row r="10" spans="1:14" ht="15.75">
      <c r="A10" s="436" t="s">
        <v>8</v>
      </c>
    </row>
    <row r="11" spans="1:14" ht="20.25">
      <c r="A11" s="387" t="s">
        <v>10</v>
      </c>
      <c r="C11" s="522" t="s">
        <v>413</v>
      </c>
      <c r="D11" s="249"/>
      <c r="E11" s="74" t="s">
        <v>416</v>
      </c>
      <c r="G11" s="74" t="s">
        <v>180</v>
      </c>
      <c r="H11" s="74" t="s">
        <v>181</v>
      </c>
      <c r="I11" s="249"/>
      <c r="J11" s="550"/>
      <c r="K11" s="551"/>
      <c r="L11" s="551"/>
      <c r="M11" s="551"/>
      <c r="N11" s="551"/>
    </row>
    <row r="12" spans="1:14">
      <c r="A12" s="9"/>
      <c r="J12" s="551"/>
      <c r="K12" s="741"/>
      <c r="L12" s="741"/>
      <c r="M12" s="551"/>
      <c r="N12" s="551"/>
    </row>
    <row r="13" spans="1:14">
      <c r="A13" s="373">
        <v>1</v>
      </c>
      <c r="C13" s="732">
        <v>561.4</v>
      </c>
      <c r="D13" s="385"/>
      <c r="E13" s="909" t="s">
        <v>837</v>
      </c>
      <c r="G13" s="730">
        <v>12246046.390000001</v>
      </c>
      <c r="H13" s="730">
        <v>2768096.8</v>
      </c>
      <c r="J13" s="551"/>
      <c r="K13" s="730"/>
      <c r="L13" s="730"/>
      <c r="M13" s="551"/>
      <c r="N13" s="551"/>
    </row>
    <row r="14" spans="1:14">
      <c r="A14" s="373">
        <v>2</v>
      </c>
      <c r="C14" s="385"/>
      <c r="D14" s="385"/>
      <c r="E14" s="385"/>
      <c r="G14" s="730"/>
      <c r="H14" s="730"/>
      <c r="J14" s="551"/>
      <c r="K14" s="730"/>
      <c r="L14" s="730"/>
      <c r="M14" s="551"/>
      <c r="N14" s="551"/>
    </row>
    <row r="15" spans="1:14" ht="17.25">
      <c r="A15" s="373">
        <v>3</v>
      </c>
      <c r="C15" s="732">
        <v>561.79999999999995</v>
      </c>
      <c r="D15" s="385"/>
      <c r="E15" s="909" t="s">
        <v>838</v>
      </c>
      <c r="G15" s="731">
        <v>16210575.310000001</v>
      </c>
      <c r="H15" s="731">
        <v>2073859.45</v>
      </c>
      <c r="K15" s="731"/>
      <c r="L15" s="731"/>
      <c r="M15" s="551"/>
      <c r="N15" s="551"/>
    </row>
    <row r="16" spans="1:14">
      <c r="A16" s="373">
        <v>4</v>
      </c>
      <c r="C16" s="385"/>
      <c r="D16" s="385"/>
      <c r="E16" s="385"/>
      <c r="G16" s="559"/>
      <c r="H16" s="559"/>
    </row>
    <row r="17" spans="1:8">
      <c r="A17" s="373">
        <v>5</v>
      </c>
      <c r="C17" s="385"/>
      <c r="D17" s="385"/>
      <c r="E17" s="385" t="s">
        <v>704</v>
      </c>
      <c r="G17" s="559">
        <f>G13+G15</f>
        <v>28456621.700000003</v>
      </c>
      <c r="H17" s="559">
        <f>H13+H15</f>
        <v>4841956.25</v>
      </c>
    </row>
    <row r="18" spans="1:8">
      <c r="A18" s="373">
        <v>6</v>
      </c>
      <c r="C18" s="385"/>
      <c r="D18" s="385"/>
      <c r="E18" s="385"/>
    </row>
    <row r="19" spans="1:8">
      <c r="A19" s="373">
        <v>7</v>
      </c>
      <c r="C19" s="385"/>
      <c r="D19" s="385"/>
      <c r="E19" s="385" t="s">
        <v>705</v>
      </c>
      <c r="G19" s="910">
        <f>DEO!J200</f>
        <v>0.91898000000000002</v>
      </c>
      <c r="H19" s="910">
        <f>DEK!J200</f>
        <v>0.80694999999999995</v>
      </c>
    </row>
    <row r="20" spans="1:8">
      <c r="A20" s="373">
        <v>8</v>
      </c>
      <c r="C20" s="385"/>
      <c r="D20" s="385"/>
      <c r="E20" s="385"/>
    </row>
    <row r="21" spans="1:8" ht="21" customHeight="1">
      <c r="A21" s="563">
        <v>9</v>
      </c>
      <c r="C21" s="385"/>
      <c r="D21" s="385"/>
      <c r="E21" s="385" t="s">
        <v>849</v>
      </c>
      <c r="G21" s="83">
        <f>ROUND(G17*G19,0)</f>
        <v>26151066</v>
      </c>
      <c r="H21" s="83">
        <f>ROUND(H17*H19,0)</f>
        <v>3907217</v>
      </c>
    </row>
  </sheetData>
  <printOptions horizontalCentered="1"/>
  <pageMargins left="0.54" right="0.45" top="1" bottom="0.75" header="0.3" footer="0.3"/>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rgb="FF7030A0"/>
    <pageSetUpPr fitToPage="1"/>
  </sheetPr>
  <dimension ref="A1:R250"/>
  <sheetViews>
    <sheetView view="pageBreakPreview" zoomScale="80" zoomScaleNormal="75" zoomScaleSheetLayoutView="80" workbookViewId="0"/>
  </sheetViews>
  <sheetFormatPr defaultRowHeight="15"/>
  <cols>
    <col min="1" max="1" width="5.109375" customWidth="1"/>
    <col min="2" max="2" width="6.44140625" customWidth="1"/>
    <col min="3" max="3" width="3.21875" customWidth="1"/>
    <col min="4" max="4" width="30.88671875" customWidth="1"/>
    <col min="5" max="5" width="12" customWidth="1"/>
    <col min="6" max="6" width="12.44140625" bestFit="1" customWidth="1"/>
    <col min="7" max="7" width="13" customWidth="1"/>
    <col min="8" max="8" width="13.77734375" customWidth="1"/>
    <col min="9" max="9" width="12.44140625" bestFit="1" customWidth="1"/>
    <col min="10" max="10" width="13.77734375" customWidth="1"/>
    <col min="11" max="11" width="12.77734375" customWidth="1"/>
    <col min="12" max="12" width="12.5546875" bestFit="1" customWidth="1"/>
    <col min="13" max="13" width="17.5546875" customWidth="1"/>
    <col min="14" max="14" width="12" customWidth="1"/>
    <col min="15" max="15" width="15.77734375" customWidth="1"/>
    <col min="16" max="241" width="8.77734375"/>
    <col min="242" max="242" width="6" customWidth="1"/>
    <col min="243" max="243" width="1.44140625" customWidth="1"/>
    <col min="244" max="244" width="39.109375" customWidth="1"/>
    <col min="245" max="245" width="12" customWidth="1"/>
    <col min="246" max="246" width="14.44140625" customWidth="1"/>
    <col min="247" max="247" width="11.77734375" customWidth="1"/>
    <col min="248" max="248" width="14.109375" customWidth="1"/>
    <col min="249" max="249" width="13.77734375" customWidth="1"/>
    <col min="250" max="251" width="12.77734375" customWidth="1"/>
    <col min="252" max="252" width="13.5546875" customWidth="1"/>
    <col min="253" max="253" width="15.21875" customWidth="1"/>
    <col min="254" max="254" width="12.77734375" customWidth="1"/>
    <col min="255" max="255" width="13.77734375" customWidth="1"/>
    <col min="256" max="256" width="1.77734375" customWidth="1"/>
    <col min="257" max="257" width="13" customWidth="1"/>
    <col min="258" max="497" width="8.77734375"/>
    <col min="498" max="498" width="6" customWidth="1"/>
    <col min="499" max="499" width="1.44140625" customWidth="1"/>
    <col min="500" max="500" width="39.109375" customWidth="1"/>
    <col min="501" max="501" width="12" customWidth="1"/>
    <col min="502" max="502" width="14.44140625" customWidth="1"/>
    <col min="503" max="503" width="11.77734375" customWidth="1"/>
    <col min="504" max="504" width="14.109375" customWidth="1"/>
    <col min="505" max="505" width="13.77734375" customWidth="1"/>
    <col min="506" max="507" width="12.77734375" customWidth="1"/>
    <col min="508" max="508" width="13.5546875" customWidth="1"/>
    <col min="509" max="509" width="15.21875" customWidth="1"/>
    <col min="510" max="510" width="12.77734375" customWidth="1"/>
    <col min="511" max="511" width="13.77734375" customWidth="1"/>
    <col min="512" max="512" width="1.77734375" customWidth="1"/>
    <col min="513" max="513" width="13" customWidth="1"/>
    <col min="514" max="753" width="8.77734375"/>
    <col min="754" max="754" width="6" customWidth="1"/>
    <col min="755" max="755" width="1.44140625" customWidth="1"/>
    <col min="756" max="756" width="39.109375" customWidth="1"/>
    <col min="757" max="757" width="12" customWidth="1"/>
    <col min="758" max="758" width="14.44140625" customWidth="1"/>
    <col min="759" max="759" width="11.77734375" customWidth="1"/>
    <col min="760" max="760" width="14.109375" customWidth="1"/>
    <col min="761" max="761" width="13.77734375" customWidth="1"/>
    <col min="762" max="763" width="12.77734375" customWidth="1"/>
    <col min="764" max="764" width="13.5546875" customWidth="1"/>
    <col min="765" max="765" width="15.21875" customWidth="1"/>
    <col min="766" max="766" width="12.77734375" customWidth="1"/>
    <col min="767" max="767" width="13.77734375" customWidth="1"/>
    <col min="768" max="768" width="1.77734375" customWidth="1"/>
    <col min="769" max="769" width="13" customWidth="1"/>
    <col min="770" max="1009" width="8.77734375"/>
    <col min="1010" max="1010" width="6" customWidth="1"/>
    <col min="1011" max="1011" width="1.44140625" customWidth="1"/>
    <col min="1012" max="1012" width="39.109375" customWidth="1"/>
    <col min="1013" max="1013" width="12" customWidth="1"/>
    <col min="1014" max="1014" width="14.44140625" customWidth="1"/>
    <col min="1015" max="1015" width="11.77734375" customWidth="1"/>
    <col min="1016" max="1016" width="14.109375" customWidth="1"/>
    <col min="1017" max="1017" width="13.77734375" customWidth="1"/>
    <col min="1018" max="1019" width="12.77734375" customWidth="1"/>
    <col min="1020" max="1020" width="13.5546875" customWidth="1"/>
    <col min="1021" max="1021" width="15.21875" customWidth="1"/>
    <col min="1022" max="1022" width="12.77734375" customWidth="1"/>
    <col min="1023" max="1023" width="13.77734375" customWidth="1"/>
    <col min="1024" max="1024" width="1.77734375" customWidth="1"/>
    <col min="1025" max="1025" width="13" customWidth="1"/>
    <col min="1026" max="1265" width="8.77734375"/>
    <col min="1266" max="1266" width="6" customWidth="1"/>
    <col min="1267" max="1267" width="1.44140625" customWidth="1"/>
    <col min="1268" max="1268" width="39.109375" customWidth="1"/>
    <col min="1269" max="1269" width="12" customWidth="1"/>
    <col min="1270" max="1270" width="14.44140625" customWidth="1"/>
    <col min="1271" max="1271" width="11.77734375" customWidth="1"/>
    <col min="1272" max="1272" width="14.109375" customWidth="1"/>
    <col min="1273" max="1273" width="13.77734375" customWidth="1"/>
    <col min="1274" max="1275" width="12.77734375" customWidth="1"/>
    <col min="1276" max="1276" width="13.5546875" customWidth="1"/>
    <col min="1277" max="1277" width="15.21875" customWidth="1"/>
    <col min="1278" max="1278" width="12.77734375" customWidth="1"/>
    <col min="1279" max="1279" width="13.77734375" customWidth="1"/>
    <col min="1280" max="1280" width="1.77734375" customWidth="1"/>
    <col min="1281" max="1281" width="13" customWidth="1"/>
    <col min="1282" max="1521" width="8.77734375"/>
    <col min="1522" max="1522" width="6" customWidth="1"/>
    <col min="1523" max="1523" width="1.44140625" customWidth="1"/>
    <col min="1524" max="1524" width="39.109375" customWidth="1"/>
    <col min="1525" max="1525" width="12" customWidth="1"/>
    <col min="1526" max="1526" width="14.44140625" customWidth="1"/>
    <col min="1527" max="1527" width="11.77734375" customWidth="1"/>
    <col min="1528" max="1528" width="14.109375" customWidth="1"/>
    <col min="1529" max="1529" width="13.77734375" customWidth="1"/>
    <col min="1530" max="1531" width="12.77734375" customWidth="1"/>
    <col min="1532" max="1532" width="13.5546875" customWidth="1"/>
    <col min="1533" max="1533" width="15.21875" customWidth="1"/>
    <col min="1534" max="1534" width="12.77734375" customWidth="1"/>
    <col min="1535" max="1535" width="13.77734375" customWidth="1"/>
    <col min="1536" max="1536" width="1.77734375" customWidth="1"/>
    <col min="1537" max="1537" width="13" customWidth="1"/>
    <col min="1538" max="1777" width="8.77734375"/>
    <col min="1778" max="1778" width="6" customWidth="1"/>
    <col min="1779" max="1779" width="1.44140625" customWidth="1"/>
    <col min="1780" max="1780" width="39.109375" customWidth="1"/>
    <col min="1781" max="1781" width="12" customWidth="1"/>
    <col min="1782" max="1782" width="14.44140625" customWidth="1"/>
    <col min="1783" max="1783" width="11.77734375" customWidth="1"/>
    <col min="1784" max="1784" width="14.109375" customWidth="1"/>
    <col min="1785" max="1785" width="13.77734375" customWidth="1"/>
    <col min="1786" max="1787" width="12.77734375" customWidth="1"/>
    <col min="1788" max="1788" width="13.5546875" customWidth="1"/>
    <col min="1789" max="1789" width="15.21875" customWidth="1"/>
    <col min="1790" max="1790" width="12.77734375" customWidth="1"/>
    <col min="1791" max="1791" width="13.77734375" customWidth="1"/>
    <col min="1792" max="1792" width="1.77734375" customWidth="1"/>
    <col min="1793" max="1793" width="13" customWidth="1"/>
    <col min="1794" max="2033" width="8.77734375"/>
    <col min="2034" max="2034" width="6" customWidth="1"/>
    <col min="2035" max="2035" width="1.44140625" customWidth="1"/>
    <col min="2036" max="2036" width="39.109375" customWidth="1"/>
    <col min="2037" max="2037" width="12" customWidth="1"/>
    <col min="2038" max="2038" width="14.44140625" customWidth="1"/>
    <col min="2039" max="2039" width="11.77734375" customWidth="1"/>
    <col min="2040" max="2040" width="14.109375" customWidth="1"/>
    <col min="2041" max="2041" width="13.77734375" customWidth="1"/>
    <col min="2042" max="2043" width="12.77734375" customWidth="1"/>
    <col min="2044" max="2044" width="13.5546875" customWidth="1"/>
    <col min="2045" max="2045" width="15.21875" customWidth="1"/>
    <col min="2046" max="2046" width="12.77734375" customWidth="1"/>
    <col min="2047" max="2047" width="13.77734375" customWidth="1"/>
    <col min="2048" max="2048" width="1.77734375" customWidth="1"/>
    <col min="2049" max="2049" width="13" customWidth="1"/>
    <col min="2050" max="2289" width="8.77734375"/>
    <col min="2290" max="2290" width="6" customWidth="1"/>
    <col min="2291" max="2291" width="1.44140625" customWidth="1"/>
    <col min="2292" max="2292" width="39.109375" customWidth="1"/>
    <col min="2293" max="2293" width="12" customWidth="1"/>
    <col min="2294" max="2294" width="14.44140625" customWidth="1"/>
    <col min="2295" max="2295" width="11.77734375" customWidth="1"/>
    <col min="2296" max="2296" width="14.109375" customWidth="1"/>
    <col min="2297" max="2297" width="13.77734375" customWidth="1"/>
    <col min="2298" max="2299" width="12.77734375" customWidth="1"/>
    <col min="2300" max="2300" width="13.5546875" customWidth="1"/>
    <col min="2301" max="2301" width="15.21875" customWidth="1"/>
    <col min="2302" max="2302" width="12.77734375" customWidth="1"/>
    <col min="2303" max="2303" width="13.77734375" customWidth="1"/>
    <col min="2304" max="2304" width="1.77734375" customWidth="1"/>
    <col min="2305" max="2305" width="13" customWidth="1"/>
    <col min="2306" max="2545" width="8.77734375"/>
    <col min="2546" max="2546" width="6" customWidth="1"/>
    <col min="2547" max="2547" width="1.44140625" customWidth="1"/>
    <col min="2548" max="2548" width="39.109375" customWidth="1"/>
    <col min="2549" max="2549" width="12" customWidth="1"/>
    <col min="2550" max="2550" width="14.44140625" customWidth="1"/>
    <col min="2551" max="2551" width="11.77734375" customWidth="1"/>
    <col min="2552" max="2552" width="14.109375" customWidth="1"/>
    <col min="2553" max="2553" width="13.77734375" customWidth="1"/>
    <col min="2554" max="2555" width="12.77734375" customWidth="1"/>
    <col min="2556" max="2556" width="13.5546875" customWidth="1"/>
    <col min="2557" max="2557" width="15.21875" customWidth="1"/>
    <col min="2558" max="2558" width="12.77734375" customWidth="1"/>
    <col min="2559" max="2559" width="13.77734375" customWidth="1"/>
    <col min="2560" max="2560" width="1.77734375" customWidth="1"/>
    <col min="2561" max="2561" width="13" customWidth="1"/>
    <col min="2562" max="2801" width="8.77734375"/>
    <col min="2802" max="2802" width="6" customWidth="1"/>
    <col min="2803" max="2803" width="1.44140625" customWidth="1"/>
    <col min="2804" max="2804" width="39.109375" customWidth="1"/>
    <col min="2805" max="2805" width="12" customWidth="1"/>
    <col min="2806" max="2806" width="14.44140625" customWidth="1"/>
    <col min="2807" max="2807" width="11.77734375" customWidth="1"/>
    <col min="2808" max="2808" width="14.109375" customWidth="1"/>
    <col min="2809" max="2809" width="13.77734375" customWidth="1"/>
    <col min="2810" max="2811" width="12.77734375" customWidth="1"/>
    <col min="2812" max="2812" width="13.5546875" customWidth="1"/>
    <col min="2813" max="2813" width="15.21875" customWidth="1"/>
    <col min="2814" max="2814" width="12.77734375" customWidth="1"/>
    <col min="2815" max="2815" width="13.77734375" customWidth="1"/>
    <col min="2816" max="2816" width="1.77734375" customWidth="1"/>
    <col min="2817" max="2817" width="13" customWidth="1"/>
    <col min="2818" max="3057" width="8.77734375"/>
    <col min="3058" max="3058" width="6" customWidth="1"/>
    <col min="3059" max="3059" width="1.44140625" customWidth="1"/>
    <col min="3060" max="3060" width="39.109375" customWidth="1"/>
    <col min="3061" max="3061" width="12" customWidth="1"/>
    <col min="3062" max="3062" width="14.44140625" customWidth="1"/>
    <col min="3063" max="3063" width="11.77734375" customWidth="1"/>
    <col min="3064" max="3064" width="14.109375" customWidth="1"/>
    <col min="3065" max="3065" width="13.77734375" customWidth="1"/>
    <col min="3066" max="3067" width="12.77734375" customWidth="1"/>
    <col min="3068" max="3068" width="13.5546875" customWidth="1"/>
    <col min="3069" max="3069" width="15.21875" customWidth="1"/>
    <col min="3070" max="3070" width="12.77734375" customWidth="1"/>
    <col min="3071" max="3071" width="13.77734375" customWidth="1"/>
    <col min="3072" max="3072" width="1.77734375" customWidth="1"/>
    <col min="3073" max="3073" width="13" customWidth="1"/>
    <col min="3074" max="3313" width="8.77734375"/>
    <col min="3314" max="3314" width="6" customWidth="1"/>
    <col min="3315" max="3315" width="1.44140625" customWidth="1"/>
    <col min="3316" max="3316" width="39.109375" customWidth="1"/>
    <col min="3317" max="3317" width="12" customWidth="1"/>
    <col min="3318" max="3318" width="14.44140625" customWidth="1"/>
    <col min="3319" max="3319" width="11.77734375" customWidth="1"/>
    <col min="3320" max="3320" width="14.109375" customWidth="1"/>
    <col min="3321" max="3321" width="13.77734375" customWidth="1"/>
    <col min="3322" max="3323" width="12.77734375" customWidth="1"/>
    <col min="3324" max="3324" width="13.5546875" customWidth="1"/>
    <col min="3325" max="3325" width="15.21875" customWidth="1"/>
    <col min="3326" max="3326" width="12.77734375" customWidth="1"/>
    <col min="3327" max="3327" width="13.77734375" customWidth="1"/>
    <col min="3328" max="3328" width="1.77734375" customWidth="1"/>
    <col min="3329" max="3329" width="13" customWidth="1"/>
    <col min="3330" max="3569" width="8.77734375"/>
    <col min="3570" max="3570" width="6" customWidth="1"/>
    <col min="3571" max="3571" width="1.44140625" customWidth="1"/>
    <col min="3572" max="3572" width="39.109375" customWidth="1"/>
    <col min="3573" max="3573" width="12" customWidth="1"/>
    <col min="3574" max="3574" width="14.44140625" customWidth="1"/>
    <col min="3575" max="3575" width="11.77734375" customWidth="1"/>
    <col min="3576" max="3576" width="14.109375" customWidth="1"/>
    <col min="3577" max="3577" width="13.77734375" customWidth="1"/>
    <col min="3578" max="3579" width="12.77734375" customWidth="1"/>
    <col min="3580" max="3580" width="13.5546875" customWidth="1"/>
    <col min="3581" max="3581" width="15.21875" customWidth="1"/>
    <col min="3582" max="3582" width="12.77734375" customWidth="1"/>
    <col min="3583" max="3583" width="13.77734375" customWidth="1"/>
    <col min="3584" max="3584" width="1.77734375" customWidth="1"/>
    <col min="3585" max="3585" width="13" customWidth="1"/>
    <col min="3586" max="3825" width="8.77734375"/>
    <col min="3826" max="3826" width="6" customWidth="1"/>
    <col min="3827" max="3827" width="1.44140625" customWidth="1"/>
    <col min="3828" max="3828" width="39.109375" customWidth="1"/>
    <col min="3829" max="3829" width="12" customWidth="1"/>
    <col min="3830" max="3830" width="14.44140625" customWidth="1"/>
    <col min="3831" max="3831" width="11.77734375" customWidth="1"/>
    <col min="3832" max="3832" width="14.109375" customWidth="1"/>
    <col min="3833" max="3833" width="13.77734375" customWidth="1"/>
    <col min="3834" max="3835" width="12.77734375" customWidth="1"/>
    <col min="3836" max="3836" width="13.5546875" customWidth="1"/>
    <col min="3837" max="3837" width="15.21875" customWidth="1"/>
    <col min="3838" max="3838" width="12.77734375" customWidth="1"/>
    <col min="3839" max="3839" width="13.77734375" customWidth="1"/>
    <col min="3840" max="3840" width="1.77734375" customWidth="1"/>
    <col min="3841" max="3841" width="13" customWidth="1"/>
    <col min="3842" max="4081" width="8.77734375"/>
    <col min="4082" max="4082" width="6" customWidth="1"/>
    <col min="4083" max="4083" width="1.44140625" customWidth="1"/>
    <col min="4084" max="4084" width="39.109375" customWidth="1"/>
    <col min="4085" max="4085" width="12" customWidth="1"/>
    <col min="4086" max="4086" width="14.44140625" customWidth="1"/>
    <col min="4087" max="4087" width="11.77734375" customWidth="1"/>
    <col min="4088" max="4088" width="14.109375" customWidth="1"/>
    <col min="4089" max="4089" width="13.77734375" customWidth="1"/>
    <col min="4090" max="4091" width="12.77734375" customWidth="1"/>
    <col min="4092" max="4092" width="13.5546875" customWidth="1"/>
    <col min="4093" max="4093" width="15.21875" customWidth="1"/>
    <col min="4094" max="4094" width="12.77734375" customWidth="1"/>
    <col min="4095" max="4095" width="13.77734375" customWidth="1"/>
    <col min="4096" max="4096" width="1.77734375" customWidth="1"/>
    <col min="4097" max="4097" width="13" customWidth="1"/>
    <col min="4098" max="4337" width="8.77734375"/>
    <col min="4338" max="4338" width="6" customWidth="1"/>
    <col min="4339" max="4339" width="1.44140625" customWidth="1"/>
    <col min="4340" max="4340" width="39.109375" customWidth="1"/>
    <col min="4341" max="4341" width="12" customWidth="1"/>
    <col min="4342" max="4342" width="14.44140625" customWidth="1"/>
    <col min="4343" max="4343" width="11.77734375" customWidth="1"/>
    <col min="4344" max="4344" width="14.109375" customWidth="1"/>
    <col min="4345" max="4345" width="13.77734375" customWidth="1"/>
    <col min="4346" max="4347" width="12.77734375" customWidth="1"/>
    <col min="4348" max="4348" width="13.5546875" customWidth="1"/>
    <col min="4349" max="4349" width="15.21875" customWidth="1"/>
    <col min="4350" max="4350" width="12.77734375" customWidth="1"/>
    <col min="4351" max="4351" width="13.77734375" customWidth="1"/>
    <col min="4352" max="4352" width="1.77734375" customWidth="1"/>
    <col min="4353" max="4353" width="13" customWidth="1"/>
    <col min="4354" max="4593" width="8.77734375"/>
    <col min="4594" max="4594" width="6" customWidth="1"/>
    <col min="4595" max="4595" width="1.44140625" customWidth="1"/>
    <col min="4596" max="4596" width="39.109375" customWidth="1"/>
    <col min="4597" max="4597" width="12" customWidth="1"/>
    <col min="4598" max="4598" width="14.44140625" customWidth="1"/>
    <col min="4599" max="4599" width="11.77734375" customWidth="1"/>
    <col min="4600" max="4600" width="14.109375" customWidth="1"/>
    <col min="4601" max="4601" width="13.77734375" customWidth="1"/>
    <col min="4602" max="4603" width="12.77734375" customWidth="1"/>
    <col min="4604" max="4604" width="13.5546875" customWidth="1"/>
    <col min="4605" max="4605" width="15.21875" customWidth="1"/>
    <col min="4606" max="4606" width="12.77734375" customWidth="1"/>
    <col min="4607" max="4607" width="13.77734375" customWidth="1"/>
    <col min="4608" max="4608" width="1.77734375" customWidth="1"/>
    <col min="4609" max="4609" width="13" customWidth="1"/>
    <col min="4610" max="4849" width="8.77734375"/>
    <col min="4850" max="4850" width="6" customWidth="1"/>
    <col min="4851" max="4851" width="1.44140625" customWidth="1"/>
    <col min="4852" max="4852" width="39.109375" customWidth="1"/>
    <col min="4853" max="4853" width="12" customWidth="1"/>
    <col min="4854" max="4854" width="14.44140625" customWidth="1"/>
    <col min="4855" max="4855" width="11.77734375" customWidth="1"/>
    <col min="4856" max="4856" width="14.109375" customWidth="1"/>
    <col min="4857" max="4857" width="13.77734375" customWidth="1"/>
    <col min="4858" max="4859" width="12.77734375" customWidth="1"/>
    <col min="4860" max="4860" width="13.5546875" customWidth="1"/>
    <col min="4861" max="4861" width="15.21875" customWidth="1"/>
    <col min="4862" max="4862" width="12.77734375" customWidth="1"/>
    <col min="4863" max="4863" width="13.77734375" customWidth="1"/>
    <col min="4864" max="4864" width="1.77734375" customWidth="1"/>
    <col min="4865" max="4865" width="13" customWidth="1"/>
    <col min="4866" max="5105" width="8.77734375"/>
    <col min="5106" max="5106" width="6" customWidth="1"/>
    <col min="5107" max="5107" width="1.44140625" customWidth="1"/>
    <col min="5108" max="5108" width="39.109375" customWidth="1"/>
    <col min="5109" max="5109" width="12" customWidth="1"/>
    <col min="5110" max="5110" width="14.44140625" customWidth="1"/>
    <col min="5111" max="5111" width="11.77734375" customWidth="1"/>
    <col min="5112" max="5112" width="14.109375" customWidth="1"/>
    <col min="5113" max="5113" width="13.77734375" customWidth="1"/>
    <col min="5114" max="5115" width="12.77734375" customWidth="1"/>
    <col min="5116" max="5116" width="13.5546875" customWidth="1"/>
    <col min="5117" max="5117" width="15.21875" customWidth="1"/>
    <col min="5118" max="5118" width="12.77734375" customWidth="1"/>
    <col min="5119" max="5119" width="13.77734375" customWidth="1"/>
    <col min="5120" max="5120" width="1.77734375" customWidth="1"/>
    <col min="5121" max="5121" width="13" customWidth="1"/>
    <col min="5122" max="5361" width="8.77734375"/>
    <col min="5362" max="5362" width="6" customWidth="1"/>
    <col min="5363" max="5363" width="1.44140625" customWidth="1"/>
    <col min="5364" max="5364" width="39.109375" customWidth="1"/>
    <col min="5365" max="5365" width="12" customWidth="1"/>
    <col min="5366" max="5366" width="14.44140625" customWidth="1"/>
    <col min="5367" max="5367" width="11.77734375" customWidth="1"/>
    <col min="5368" max="5368" width="14.109375" customWidth="1"/>
    <col min="5369" max="5369" width="13.77734375" customWidth="1"/>
    <col min="5370" max="5371" width="12.77734375" customWidth="1"/>
    <col min="5372" max="5372" width="13.5546875" customWidth="1"/>
    <col min="5373" max="5373" width="15.21875" customWidth="1"/>
    <col min="5374" max="5374" width="12.77734375" customWidth="1"/>
    <col min="5375" max="5375" width="13.77734375" customWidth="1"/>
    <col min="5376" max="5376" width="1.77734375" customWidth="1"/>
    <col min="5377" max="5377" width="13" customWidth="1"/>
    <col min="5378" max="5617" width="8.77734375"/>
    <col min="5618" max="5618" width="6" customWidth="1"/>
    <col min="5619" max="5619" width="1.44140625" customWidth="1"/>
    <col min="5620" max="5620" width="39.109375" customWidth="1"/>
    <col min="5621" max="5621" width="12" customWidth="1"/>
    <col min="5622" max="5622" width="14.44140625" customWidth="1"/>
    <col min="5623" max="5623" width="11.77734375" customWidth="1"/>
    <col min="5624" max="5624" width="14.109375" customWidth="1"/>
    <col min="5625" max="5625" width="13.77734375" customWidth="1"/>
    <col min="5626" max="5627" width="12.77734375" customWidth="1"/>
    <col min="5628" max="5628" width="13.5546875" customWidth="1"/>
    <col min="5629" max="5629" width="15.21875" customWidth="1"/>
    <col min="5630" max="5630" width="12.77734375" customWidth="1"/>
    <col min="5631" max="5631" width="13.77734375" customWidth="1"/>
    <col min="5632" max="5632" width="1.77734375" customWidth="1"/>
    <col min="5633" max="5633" width="13" customWidth="1"/>
    <col min="5634" max="5873" width="8.77734375"/>
    <col min="5874" max="5874" width="6" customWidth="1"/>
    <col min="5875" max="5875" width="1.44140625" customWidth="1"/>
    <col min="5876" max="5876" width="39.109375" customWidth="1"/>
    <col min="5877" max="5877" width="12" customWidth="1"/>
    <col min="5878" max="5878" width="14.44140625" customWidth="1"/>
    <col min="5879" max="5879" width="11.77734375" customWidth="1"/>
    <col min="5880" max="5880" width="14.109375" customWidth="1"/>
    <col min="5881" max="5881" width="13.77734375" customWidth="1"/>
    <col min="5882" max="5883" width="12.77734375" customWidth="1"/>
    <col min="5884" max="5884" width="13.5546875" customWidth="1"/>
    <col min="5885" max="5885" width="15.21875" customWidth="1"/>
    <col min="5886" max="5886" width="12.77734375" customWidth="1"/>
    <col min="5887" max="5887" width="13.77734375" customWidth="1"/>
    <col min="5888" max="5888" width="1.77734375" customWidth="1"/>
    <col min="5889" max="5889" width="13" customWidth="1"/>
    <col min="5890" max="6129" width="8.77734375"/>
    <col min="6130" max="6130" width="6" customWidth="1"/>
    <col min="6131" max="6131" width="1.44140625" customWidth="1"/>
    <col min="6132" max="6132" width="39.109375" customWidth="1"/>
    <col min="6133" max="6133" width="12" customWidth="1"/>
    <col min="6134" max="6134" width="14.44140625" customWidth="1"/>
    <col min="6135" max="6135" width="11.77734375" customWidth="1"/>
    <col min="6136" max="6136" width="14.109375" customWidth="1"/>
    <col min="6137" max="6137" width="13.77734375" customWidth="1"/>
    <col min="6138" max="6139" width="12.77734375" customWidth="1"/>
    <col min="6140" max="6140" width="13.5546875" customWidth="1"/>
    <col min="6141" max="6141" width="15.21875" customWidth="1"/>
    <col min="6142" max="6142" width="12.77734375" customWidth="1"/>
    <col min="6143" max="6143" width="13.77734375" customWidth="1"/>
    <col min="6144" max="6144" width="1.77734375" customWidth="1"/>
    <col min="6145" max="6145" width="13" customWidth="1"/>
    <col min="6146" max="6385" width="8.77734375"/>
    <col min="6386" max="6386" width="6" customWidth="1"/>
    <col min="6387" max="6387" width="1.44140625" customWidth="1"/>
    <col min="6388" max="6388" width="39.109375" customWidth="1"/>
    <col min="6389" max="6389" width="12" customWidth="1"/>
    <col min="6390" max="6390" width="14.44140625" customWidth="1"/>
    <col min="6391" max="6391" width="11.77734375" customWidth="1"/>
    <col min="6392" max="6392" width="14.109375" customWidth="1"/>
    <col min="6393" max="6393" width="13.77734375" customWidth="1"/>
    <col min="6394" max="6395" width="12.77734375" customWidth="1"/>
    <col min="6396" max="6396" width="13.5546875" customWidth="1"/>
    <col min="6397" max="6397" width="15.21875" customWidth="1"/>
    <col min="6398" max="6398" width="12.77734375" customWidth="1"/>
    <col min="6399" max="6399" width="13.77734375" customWidth="1"/>
    <col min="6400" max="6400" width="1.77734375" customWidth="1"/>
    <col min="6401" max="6401" width="13" customWidth="1"/>
    <col min="6402" max="6641" width="8.77734375"/>
    <col min="6642" max="6642" width="6" customWidth="1"/>
    <col min="6643" max="6643" width="1.44140625" customWidth="1"/>
    <col min="6644" max="6644" width="39.109375" customWidth="1"/>
    <col min="6645" max="6645" width="12" customWidth="1"/>
    <col min="6646" max="6646" width="14.44140625" customWidth="1"/>
    <col min="6647" max="6647" width="11.77734375" customWidth="1"/>
    <col min="6648" max="6648" width="14.109375" customWidth="1"/>
    <col min="6649" max="6649" width="13.77734375" customWidth="1"/>
    <col min="6650" max="6651" width="12.77734375" customWidth="1"/>
    <col min="6652" max="6652" width="13.5546875" customWidth="1"/>
    <col min="6653" max="6653" width="15.21875" customWidth="1"/>
    <col min="6654" max="6654" width="12.77734375" customWidth="1"/>
    <col min="6655" max="6655" width="13.77734375" customWidth="1"/>
    <col min="6656" max="6656" width="1.77734375" customWidth="1"/>
    <col min="6657" max="6657" width="13" customWidth="1"/>
    <col min="6658" max="6897" width="8.77734375"/>
    <col min="6898" max="6898" width="6" customWidth="1"/>
    <col min="6899" max="6899" width="1.44140625" customWidth="1"/>
    <col min="6900" max="6900" width="39.109375" customWidth="1"/>
    <col min="6901" max="6901" width="12" customWidth="1"/>
    <col min="6902" max="6902" width="14.44140625" customWidth="1"/>
    <col min="6903" max="6903" width="11.77734375" customWidth="1"/>
    <col min="6904" max="6904" width="14.109375" customWidth="1"/>
    <col min="6905" max="6905" width="13.77734375" customWidth="1"/>
    <col min="6906" max="6907" width="12.77734375" customWidth="1"/>
    <col min="6908" max="6908" width="13.5546875" customWidth="1"/>
    <col min="6909" max="6909" width="15.21875" customWidth="1"/>
    <col min="6910" max="6910" width="12.77734375" customWidth="1"/>
    <col min="6911" max="6911" width="13.77734375" customWidth="1"/>
    <col min="6912" max="6912" width="1.77734375" customWidth="1"/>
    <col min="6913" max="6913" width="13" customWidth="1"/>
    <col min="6914" max="7153" width="8.77734375"/>
    <col min="7154" max="7154" width="6" customWidth="1"/>
    <col min="7155" max="7155" width="1.44140625" customWidth="1"/>
    <col min="7156" max="7156" width="39.109375" customWidth="1"/>
    <col min="7157" max="7157" width="12" customWidth="1"/>
    <col min="7158" max="7158" width="14.44140625" customWidth="1"/>
    <col min="7159" max="7159" width="11.77734375" customWidth="1"/>
    <col min="7160" max="7160" width="14.109375" customWidth="1"/>
    <col min="7161" max="7161" width="13.77734375" customWidth="1"/>
    <col min="7162" max="7163" width="12.77734375" customWidth="1"/>
    <col min="7164" max="7164" width="13.5546875" customWidth="1"/>
    <col min="7165" max="7165" width="15.21875" customWidth="1"/>
    <col min="7166" max="7166" width="12.77734375" customWidth="1"/>
    <col min="7167" max="7167" width="13.77734375" customWidth="1"/>
    <col min="7168" max="7168" width="1.77734375" customWidth="1"/>
    <col min="7169" max="7169" width="13" customWidth="1"/>
    <col min="7170" max="7409" width="8.77734375"/>
    <col min="7410" max="7410" width="6" customWidth="1"/>
    <col min="7411" max="7411" width="1.44140625" customWidth="1"/>
    <col min="7412" max="7412" width="39.109375" customWidth="1"/>
    <col min="7413" max="7413" width="12" customWidth="1"/>
    <col min="7414" max="7414" width="14.44140625" customWidth="1"/>
    <col min="7415" max="7415" width="11.77734375" customWidth="1"/>
    <col min="7416" max="7416" width="14.109375" customWidth="1"/>
    <col min="7417" max="7417" width="13.77734375" customWidth="1"/>
    <col min="7418" max="7419" width="12.77734375" customWidth="1"/>
    <col min="7420" max="7420" width="13.5546875" customWidth="1"/>
    <col min="7421" max="7421" width="15.21875" customWidth="1"/>
    <col min="7422" max="7422" width="12.77734375" customWidth="1"/>
    <col min="7423" max="7423" width="13.77734375" customWidth="1"/>
    <col min="7424" max="7424" width="1.77734375" customWidth="1"/>
    <col min="7425" max="7425" width="13" customWidth="1"/>
    <col min="7426" max="7665" width="8.77734375"/>
    <col min="7666" max="7666" width="6" customWidth="1"/>
    <col min="7667" max="7667" width="1.44140625" customWidth="1"/>
    <col min="7668" max="7668" width="39.109375" customWidth="1"/>
    <col min="7669" max="7669" width="12" customWidth="1"/>
    <col min="7670" max="7670" width="14.44140625" customWidth="1"/>
    <col min="7671" max="7671" width="11.77734375" customWidth="1"/>
    <col min="7672" max="7672" width="14.109375" customWidth="1"/>
    <col min="7673" max="7673" width="13.77734375" customWidth="1"/>
    <col min="7674" max="7675" width="12.77734375" customWidth="1"/>
    <col min="7676" max="7676" width="13.5546875" customWidth="1"/>
    <col min="7677" max="7677" width="15.21875" customWidth="1"/>
    <col min="7678" max="7678" width="12.77734375" customWidth="1"/>
    <col min="7679" max="7679" width="13.77734375" customWidth="1"/>
    <col min="7680" max="7680" width="1.77734375" customWidth="1"/>
    <col min="7681" max="7681" width="13" customWidth="1"/>
    <col min="7682" max="7921" width="8.77734375"/>
    <col min="7922" max="7922" width="6" customWidth="1"/>
    <col min="7923" max="7923" width="1.44140625" customWidth="1"/>
    <col min="7924" max="7924" width="39.109375" customWidth="1"/>
    <col min="7925" max="7925" width="12" customWidth="1"/>
    <col min="7926" max="7926" width="14.44140625" customWidth="1"/>
    <col min="7927" max="7927" width="11.77734375" customWidth="1"/>
    <col min="7928" max="7928" width="14.109375" customWidth="1"/>
    <col min="7929" max="7929" width="13.77734375" customWidth="1"/>
    <col min="7930" max="7931" width="12.77734375" customWidth="1"/>
    <col min="7932" max="7932" width="13.5546875" customWidth="1"/>
    <col min="7933" max="7933" width="15.21875" customWidth="1"/>
    <col min="7934" max="7934" width="12.77734375" customWidth="1"/>
    <col min="7935" max="7935" width="13.77734375" customWidth="1"/>
    <col min="7936" max="7936" width="1.77734375" customWidth="1"/>
    <col min="7937" max="7937" width="13" customWidth="1"/>
    <col min="7938" max="8177" width="8.77734375"/>
    <col min="8178" max="8178" width="6" customWidth="1"/>
    <col min="8179" max="8179" width="1.44140625" customWidth="1"/>
    <col min="8180" max="8180" width="39.109375" customWidth="1"/>
    <col min="8181" max="8181" width="12" customWidth="1"/>
    <col min="8182" max="8182" width="14.44140625" customWidth="1"/>
    <col min="8183" max="8183" width="11.77734375" customWidth="1"/>
    <col min="8184" max="8184" width="14.109375" customWidth="1"/>
    <col min="8185" max="8185" width="13.77734375" customWidth="1"/>
    <col min="8186" max="8187" width="12.77734375" customWidth="1"/>
    <col min="8188" max="8188" width="13.5546875" customWidth="1"/>
    <col min="8189" max="8189" width="15.21875" customWidth="1"/>
    <col min="8190" max="8190" width="12.77734375" customWidth="1"/>
    <col min="8191" max="8191" width="13.77734375" customWidth="1"/>
    <col min="8192" max="8192" width="1.77734375" customWidth="1"/>
    <col min="8193" max="8193" width="13" customWidth="1"/>
    <col min="8194" max="8433" width="8.77734375"/>
    <col min="8434" max="8434" width="6" customWidth="1"/>
    <col min="8435" max="8435" width="1.44140625" customWidth="1"/>
    <col min="8436" max="8436" width="39.109375" customWidth="1"/>
    <col min="8437" max="8437" width="12" customWidth="1"/>
    <col min="8438" max="8438" width="14.44140625" customWidth="1"/>
    <col min="8439" max="8439" width="11.77734375" customWidth="1"/>
    <col min="8440" max="8440" width="14.109375" customWidth="1"/>
    <col min="8441" max="8441" width="13.77734375" customWidth="1"/>
    <col min="8442" max="8443" width="12.77734375" customWidth="1"/>
    <col min="8444" max="8444" width="13.5546875" customWidth="1"/>
    <col min="8445" max="8445" width="15.21875" customWidth="1"/>
    <col min="8446" max="8446" width="12.77734375" customWidth="1"/>
    <col min="8447" max="8447" width="13.77734375" customWidth="1"/>
    <col min="8448" max="8448" width="1.77734375" customWidth="1"/>
    <col min="8449" max="8449" width="13" customWidth="1"/>
    <col min="8450" max="8689" width="8.77734375"/>
    <col min="8690" max="8690" width="6" customWidth="1"/>
    <col min="8691" max="8691" width="1.44140625" customWidth="1"/>
    <col min="8692" max="8692" width="39.109375" customWidth="1"/>
    <col min="8693" max="8693" width="12" customWidth="1"/>
    <col min="8694" max="8694" width="14.44140625" customWidth="1"/>
    <col min="8695" max="8695" width="11.77734375" customWidth="1"/>
    <col min="8696" max="8696" width="14.109375" customWidth="1"/>
    <col min="8697" max="8697" width="13.77734375" customWidth="1"/>
    <col min="8698" max="8699" width="12.77734375" customWidth="1"/>
    <col min="8700" max="8700" width="13.5546875" customWidth="1"/>
    <col min="8701" max="8701" width="15.21875" customWidth="1"/>
    <col min="8702" max="8702" width="12.77734375" customWidth="1"/>
    <col min="8703" max="8703" width="13.77734375" customWidth="1"/>
    <col min="8704" max="8704" width="1.77734375" customWidth="1"/>
    <col min="8705" max="8705" width="13" customWidth="1"/>
    <col min="8706" max="8945" width="8.77734375"/>
    <col min="8946" max="8946" width="6" customWidth="1"/>
    <col min="8947" max="8947" width="1.44140625" customWidth="1"/>
    <col min="8948" max="8948" width="39.109375" customWidth="1"/>
    <col min="8949" max="8949" width="12" customWidth="1"/>
    <col min="8950" max="8950" width="14.44140625" customWidth="1"/>
    <col min="8951" max="8951" width="11.77734375" customWidth="1"/>
    <col min="8952" max="8952" width="14.109375" customWidth="1"/>
    <col min="8953" max="8953" width="13.77734375" customWidth="1"/>
    <col min="8954" max="8955" width="12.77734375" customWidth="1"/>
    <col min="8956" max="8956" width="13.5546875" customWidth="1"/>
    <col min="8957" max="8957" width="15.21875" customWidth="1"/>
    <col min="8958" max="8958" width="12.77734375" customWidth="1"/>
    <col min="8959" max="8959" width="13.77734375" customWidth="1"/>
    <col min="8960" max="8960" width="1.77734375" customWidth="1"/>
    <col min="8961" max="8961" width="13" customWidth="1"/>
    <col min="8962" max="9201" width="8.77734375"/>
    <col min="9202" max="9202" width="6" customWidth="1"/>
    <col min="9203" max="9203" width="1.44140625" customWidth="1"/>
    <col min="9204" max="9204" width="39.109375" customWidth="1"/>
    <col min="9205" max="9205" width="12" customWidth="1"/>
    <col min="9206" max="9206" width="14.44140625" customWidth="1"/>
    <col min="9207" max="9207" width="11.77734375" customWidth="1"/>
    <col min="9208" max="9208" width="14.109375" customWidth="1"/>
    <col min="9209" max="9209" width="13.77734375" customWidth="1"/>
    <col min="9210" max="9211" width="12.77734375" customWidth="1"/>
    <col min="9212" max="9212" width="13.5546875" customWidth="1"/>
    <col min="9213" max="9213" width="15.21875" customWidth="1"/>
    <col min="9214" max="9214" width="12.77734375" customWidth="1"/>
    <col min="9215" max="9215" width="13.77734375" customWidth="1"/>
    <col min="9216" max="9216" width="1.77734375" customWidth="1"/>
    <col min="9217" max="9217" width="13" customWidth="1"/>
    <col min="9218" max="9457" width="8.77734375"/>
    <col min="9458" max="9458" width="6" customWidth="1"/>
    <col min="9459" max="9459" width="1.44140625" customWidth="1"/>
    <col min="9460" max="9460" width="39.109375" customWidth="1"/>
    <col min="9461" max="9461" width="12" customWidth="1"/>
    <col min="9462" max="9462" width="14.44140625" customWidth="1"/>
    <col min="9463" max="9463" width="11.77734375" customWidth="1"/>
    <col min="9464" max="9464" width="14.109375" customWidth="1"/>
    <col min="9465" max="9465" width="13.77734375" customWidth="1"/>
    <col min="9466" max="9467" width="12.77734375" customWidth="1"/>
    <col min="9468" max="9468" width="13.5546875" customWidth="1"/>
    <col min="9469" max="9469" width="15.21875" customWidth="1"/>
    <col min="9470" max="9470" width="12.77734375" customWidth="1"/>
    <col min="9471" max="9471" width="13.77734375" customWidth="1"/>
    <col min="9472" max="9472" width="1.77734375" customWidth="1"/>
    <col min="9473" max="9473" width="13" customWidth="1"/>
    <col min="9474" max="9713" width="8.77734375"/>
    <col min="9714" max="9714" width="6" customWidth="1"/>
    <col min="9715" max="9715" width="1.44140625" customWidth="1"/>
    <col min="9716" max="9716" width="39.109375" customWidth="1"/>
    <col min="9717" max="9717" width="12" customWidth="1"/>
    <col min="9718" max="9718" width="14.44140625" customWidth="1"/>
    <col min="9719" max="9719" width="11.77734375" customWidth="1"/>
    <col min="9720" max="9720" width="14.109375" customWidth="1"/>
    <col min="9721" max="9721" width="13.77734375" customWidth="1"/>
    <col min="9722" max="9723" width="12.77734375" customWidth="1"/>
    <col min="9724" max="9724" width="13.5546875" customWidth="1"/>
    <col min="9725" max="9725" width="15.21875" customWidth="1"/>
    <col min="9726" max="9726" width="12.77734375" customWidth="1"/>
    <col min="9727" max="9727" width="13.77734375" customWidth="1"/>
    <col min="9728" max="9728" width="1.77734375" customWidth="1"/>
    <col min="9729" max="9729" width="13" customWidth="1"/>
    <col min="9730" max="9969" width="8.77734375"/>
    <col min="9970" max="9970" width="6" customWidth="1"/>
    <col min="9971" max="9971" width="1.44140625" customWidth="1"/>
    <col min="9972" max="9972" width="39.109375" customWidth="1"/>
    <col min="9973" max="9973" width="12" customWidth="1"/>
    <col min="9974" max="9974" width="14.44140625" customWidth="1"/>
    <col min="9975" max="9975" width="11.77734375" customWidth="1"/>
    <col min="9976" max="9976" width="14.109375" customWidth="1"/>
    <col min="9977" max="9977" width="13.77734375" customWidth="1"/>
    <col min="9978" max="9979" width="12.77734375" customWidth="1"/>
    <col min="9980" max="9980" width="13.5546875" customWidth="1"/>
    <col min="9981" max="9981" width="15.21875" customWidth="1"/>
    <col min="9982" max="9982" width="12.77734375" customWidth="1"/>
    <col min="9983" max="9983" width="13.77734375" customWidth="1"/>
    <col min="9984" max="9984" width="1.77734375" customWidth="1"/>
    <col min="9985" max="9985" width="13" customWidth="1"/>
    <col min="9986" max="10225" width="8.77734375"/>
    <col min="10226" max="10226" width="6" customWidth="1"/>
    <col min="10227" max="10227" width="1.44140625" customWidth="1"/>
    <col min="10228" max="10228" width="39.109375" customWidth="1"/>
    <col min="10229" max="10229" width="12" customWidth="1"/>
    <col min="10230" max="10230" width="14.44140625" customWidth="1"/>
    <col min="10231" max="10231" width="11.77734375" customWidth="1"/>
    <col min="10232" max="10232" width="14.109375" customWidth="1"/>
    <col min="10233" max="10233" width="13.77734375" customWidth="1"/>
    <col min="10234" max="10235" width="12.77734375" customWidth="1"/>
    <col min="10236" max="10236" width="13.5546875" customWidth="1"/>
    <col min="10237" max="10237" width="15.21875" customWidth="1"/>
    <col min="10238" max="10238" width="12.77734375" customWidth="1"/>
    <col min="10239" max="10239" width="13.77734375" customWidth="1"/>
    <col min="10240" max="10240" width="1.77734375" customWidth="1"/>
    <col min="10241" max="10241" width="13" customWidth="1"/>
    <col min="10242" max="10481" width="8.77734375"/>
    <col min="10482" max="10482" width="6" customWidth="1"/>
    <col min="10483" max="10483" width="1.44140625" customWidth="1"/>
    <col min="10484" max="10484" width="39.109375" customWidth="1"/>
    <col min="10485" max="10485" width="12" customWidth="1"/>
    <col min="10486" max="10486" width="14.44140625" customWidth="1"/>
    <col min="10487" max="10487" width="11.77734375" customWidth="1"/>
    <col min="10488" max="10488" width="14.109375" customWidth="1"/>
    <col min="10489" max="10489" width="13.77734375" customWidth="1"/>
    <col min="10490" max="10491" width="12.77734375" customWidth="1"/>
    <col min="10492" max="10492" width="13.5546875" customWidth="1"/>
    <col min="10493" max="10493" width="15.21875" customWidth="1"/>
    <col min="10494" max="10494" width="12.77734375" customWidth="1"/>
    <col min="10495" max="10495" width="13.77734375" customWidth="1"/>
    <col min="10496" max="10496" width="1.77734375" customWidth="1"/>
    <col min="10497" max="10497" width="13" customWidth="1"/>
    <col min="10498" max="10737" width="8.77734375"/>
    <col min="10738" max="10738" width="6" customWidth="1"/>
    <col min="10739" max="10739" width="1.44140625" customWidth="1"/>
    <col min="10740" max="10740" width="39.109375" customWidth="1"/>
    <col min="10741" max="10741" width="12" customWidth="1"/>
    <col min="10742" max="10742" width="14.44140625" customWidth="1"/>
    <col min="10743" max="10743" width="11.77734375" customWidth="1"/>
    <col min="10744" max="10744" width="14.109375" customWidth="1"/>
    <col min="10745" max="10745" width="13.77734375" customWidth="1"/>
    <col min="10746" max="10747" width="12.77734375" customWidth="1"/>
    <col min="10748" max="10748" width="13.5546875" customWidth="1"/>
    <col min="10749" max="10749" width="15.21875" customWidth="1"/>
    <col min="10750" max="10750" width="12.77734375" customWidth="1"/>
    <col min="10751" max="10751" width="13.77734375" customWidth="1"/>
    <col min="10752" max="10752" width="1.77734375" customWidth="1"/>
    <col min="10753" max="10753" width="13" customWidth="1"/>
    <col min="10754" max="10993" width="8.77734375"/>
    <col min="10994" max="10994" width="6" customWidth="1"/>
    <col min="10995" max="10995" width="1.44140625" customWidth="1"/>
    <col min="10996" max="10996" width="39.109375" customWidth="1"/>
    <col min="10997" max="10997" width="12" customWidth="1"/>
    <col min="10998" max="10998" width="14.44140625" customWidth="1"/>
    <col min="10999" max="10999" width="11.77734375" customWidth="1"/>
    <col min="11000" max="11000" width="14.109375" customWidth="1"/>
    <col min="11001" max="11001" width="13.77734375" customWidth="1"/>
    <col min="11002" max="11003" width="12.77734375" customWidth="1"/>
    <col min="11004" max="11004" width="13.5546875" customWidth="1"/>
    <col min="11005" max="11005" width="15.21875" customWidth="1"/>
    <col min="11006" max="11006" width="12.77734375" customWidth="1"/>
    <col min="11007" max="11007" width="13.77734375" customWidth="1"/>
    <col min="11008" max="11008" width="1.77734375" customWidth="1"/>
    <col min="11009" max="11009" width="13" customWidth="1"/>
    <col min="11010" max="11249" width="8.77734375"/>
    <col min="11250" max="11250" width="6" customWidth="1"/>
    <col min="11251" max="11251" width="1.44140625" customWidth="1"/>
    <col min="11252" max="11252" width="39.109375" customWidth="1"/>
    <col min="11253" max="11253" width="12" customWidth="1"/>
    <col min="11254" max="11254" width="14.44140625" customWidth="1"/>
    <col min="11255" max="11255" width="11.77734375" customWidth="1"/>
    <col min="11256" max="11256" width="14.109375" customWidth="1"/>
    <col min="11257" max="11257" width="13.77734375" customWidth="1"/>
    <col min="11258" max="11259" width="12.77734375" customWidth="1"/>
    <col min="11260" max="11260" width="13.5546875" customWidth="1"/>
    <col min="11261" max="11261" width="15.21875" customWidth="1"/>
    <col min="11262" max="11262" width="12.77734375" customWidth="1"/>
    <col min="11263" max="11263" width="13.77734375" customWidth="1"/>
    <col min="11264" max="11264" width="1.77734375" customWidth="1"/>
    <col min="11265" max="11265" width="13" customWidth="1"/>
    <col min="11266" max="11505" width="8.77734375"/>
    <col min="11506" max="11506" width="6" customWidth="1"/>
    <col min="11507" max="11507" width="1.44140625" customWidth="1"/>
    <col min="11508" max="11508" width="39.109375" customWidth="1"/>
    <col min="11509" max="11509" width="12" customWidth="1"/>
    <col min="11510" max="11510" width="14.44140625" customWidth="1"/>
    <col min="11511" max="11511" width="11.77734375" customWidth="1"/>
    <col min="11512" max="11512" width="14.109375" customWidth="1"/>
    <col min="11513" max="11513" width="13.77734375" customWidth="1"/>
    <col min="11514" max="11515" width="12.77734375" customWidth="1"/>
    <col min="11516" max="11516" width="13.5546875" customWidth="1"/>
    <col min="11517" max="11517" width="15.21875" customWidth="1"/>
    <col min="11518" max="11518" width="12.77734375" customWidth="1"/>
    <col min="11519" max="11519" width="13.77734375" customWidth="1"/>
    <col min="11520" max="11520" width="1.77734375" customWidth="1"/>
    <col min="11521" max="11521" width="13" customWidth="1"/>
    <col min="11522" max="11761" width="8.77734375"/>
    <col min="11762" max="11762" width="6" customWidth="1"/>
    <col min="11763" max="11763" width="1.44140625" customWidth="1"/>
    <col min="11764" max="11764" width="39.109375" customWidth="1"/>
    <col min="11765" max="11765" width="12" customWidth="1"/>
    <col min="11766" max="11766" width="14.44140625" customWidth="1"/>
    <col min="11767" max="11767" width="11.77734375" customWidth="1"/>
    <col min="11768" max="11768" width="14.109375" customWidth="1"/>
    <col min="11769" max="11769" width="13.77734375" customWidth="1"/>
    <col min="11770" max="11771" width="12.77734375" customWidth="1"/>
    <col min="11772" max="11772" width="13.5546875" customWidth="1"/>
    <col min="11773" max="11773" width="15.21875" customWidth="1"/>
    <col min="11774" max="11774" width="12.77734375" customWidth="1"/>
    <col min="11775" max="11775" width="13.77734375" customWidth="1"/>
    <col min="11776" max="11776" width="1.77734375" customWidth="1"/>
    <col min="11777" max="11777" width="13" customWidth="1"/>
    <col min="11778" max="12017" width="8.77734375"/>
    <col min="12018" max="12018" width="6" customWidth="1"/>
    <col min="12019" max="12019" width="1.44140625" customWidth="1"/>
    <col min="12020" max="12020" width="39.109375" customWidth="1"/>
    <col min="12021" max="12021" width="12" customWidth="1"/>
    <col min="12022" max="12022" width="14.44140625" customWidth="1"/>
    <col min="12023" max="12023" width="11.77734375" customWidth="1"/>
    <col min="12024" max="12024" width="14.109375" customWidth="1"/>
    <col min="12025" max="12025" width="13.77734375" customWidth="1"/>
    <col min="12026" max="12027" width="12.77734375" customWidth="1"/>
    <col min="12028" max="12028" width="13.5546875" customWidth="1"/>
    <col min="12029" max="12029" width="15.21875" customWidth="1"/>
    <col min="12030" max="12030" width="12.77734375" customWidth="1"/>
    <col min="12031" max="12031" width="13.77734375" customWidth="1"/>
    <col min="12032" max="12032" width="1.77734375" customWidth="1"/>
    <col min="12033" max="12033" width="13" customWidth="1"/>
    <col min="12034" max="12273" width="8.77734375"/>
    <col min="12274" max="12274" width="6" customWidth="1"/>
    <col min="12275" max="12275" width="1.44140625" customWidth="1"/>
    <col min="12276" max="12276" width="39.109375" customWidth="1"/>
    <col min="12277" max="12277" width="12" customWidth="1"/>
    <col min="12278" max="12278" width="14.44140625" customWidth="1"/>
    <col min="12279" max="12279" width="11.77734375" customWidth="1"/>
    <col min="12280" max="12280" width="14.109375" customWidth="1"/>
    <col min="12281" max="12281" width="13.77734375" customWidth="1"/>
    <col min="12282" max="12283" width="12.77734375" customWidth="1"/>
    <col min="12284" max="12284" width="13.5546875" customWidth="1"/>
    <col min="12285" max="12285" width="15.21875" customWidth="1"/>
    <col min="12286" max="12286" width="12.77734375" customWidth="1"/>
    <col min="12287" max="12287" width="13.77734375" customWidth="1"/>
    <col min="12288" max="12288" width="1.77734375" customWidth="1"/>
    <col min="12289" max="12289" width="13" customWidth="1"/>
    <col min="12290" max="12529" width="8.77734375"/>
    <col min="12530" max="12530" width="6" customWidth="1"/>
    <col min="12531" max="12531" width="1.44140625" customWidth="1"/>
    <col min="12532" max="12532" width="39.109375" customWidth="1"/>
    <col min="12533" max="12533" width="12" customWidth="1"/>
    <col min="12534" max="12534" width="14.44140625" customWidth="1"/>
    <col min="12535" max="12535" width="11.77734375" customWidth="1"/>
    <col min="12536" max="12536" width="14.109375" customWidth="1"/>
    <col min="12537" max="12537" width="13.77734375" customWidth="1"/>
    <col min="12538" max="12539" width="12.77734375" customWidth="1"/>
    <col min="12540" max="12540" width="13.5546875" customWidth="1"/>
    <col min="12541" max="12541" width="15.21875" customWidth="1"/>
    <col min="12542" max="12542" width="12.77734375" customWidth="1"/>
    <col min="12543" max="12543" width="13.77734375" customWidth="1"/>
    <col min="12544" max="12544" width="1.77734375" customWidth="1"/>
    <col min="12545" max="12545" width="13" customWidth="1"/>
    <col min="12546" max="12785" width="8.77734375"/>
    <col min="12786" max="12786" width="6" customWidth="1"/>
    <col min="12787" max="12787" width="1.44140625" customWidth="1"/>
    <col min="12788" max="12788" width="39.109375" customWidth="1"/>
    <col min="12789" max="12789" width="12" customWidth="1"/>
    <col min="12790" max="12790" width="14.44140625" customWidth="1"/>
    <col min="12791" max="12791" width="11.77734375" customWidth="1"/>
    <col min="12792" max="12792" width="14.109375" customWidth="1"/>
    <col min="12793" max="12793" width="13.77734375" customWidth="1"/>
    <col min="12794" max="12795" width="12.77734375" customWidth="1"/>
    <col min="12796" max="12796" width="13.5546875" customWidth="1"/>
    <col min="12797" max="12797" width="15.21875" customWidth="1"/>
    <col min="12798" max="12798" width="12.77734375" customWidth="1"/>
    <col min="12799" max="12799" width="13.77734375" customWidth="1"/>
    <col min="12800" max="12800" width="1.77734375" customWidth="1"/>
    <col min="12801" max="12801" width="13" customWidth="1"/>
    <col min="12802" max="13041" width="8.77734375"/>
    <col min="13042" max="13042" width="6" customWidth="1"/>
    <col min="13043" max="13043" width="1.44140625" customWidth="1"/>
    <col min="13044" max="13044" width="39.109375" customWidth="1"/>
    <col min="13045" max="13045" width="12" customWidth="1"/>
    <col min="13046" max="13046" width="14.44140625" customWidth="1"/>
    <col min="13047" max="13047" width="11.77734375" customWidth="1"/>
    <col min="13048" max="13048" width="14.109375" customWidth="1"/>
    <col min="13049" max="13049" width="13.77734375" customWidth="1"/>
    <col min="13050" max="13051" width="12.77734375" customWidth="1"/>
    <col min="13052" max="13052" width="13.5546875" customWidth="1"/>
    <col min="13053" max="13053" width="15.21875" customWidth="1"/>
    <col min="13054" max="13054" width="12.77734375" customWidth="1"/>
    <col min="13055" max="13055" width="13.77734375" customWidth="1"/>
    <col min="13056" max="13056" width="1.77734375" customWidth="1"/>
    <col min="13057" max="13057" width="13" customWidth="1"/>
    <col min="13058" max="13297" width="8.77734375"/>
    <col min="13298" max="13298" width="6" customWidth="1"/>
    <col min="13299" max="13299" width="1.44140625" customWidth="1"/>
    <col min="13300" max="13300" width="39.109375" customWidth="1"/>
    <col min="13301" max="13301" width="12" customWidth="1"/>
    <col min="13302" max="13302" width="14.44140625" customWidth="1"/>
    <col min="13303" max="13303" width="11.77734375" customWidth="1"/>
    <col min="13304" max="13304" width="14.109375" customWidth="1"/>
    <col min="13305" max="13305" width="13.77734375" customWidth="1"/>
    <col min="13306" max="13307" width="12.77734375" customWidth="1"/>
    <col min="13308" max="13308" width="13.5546875" customWidth="1"/>
    <col min="13309" max="13309" width="15.21875" customWidth="1"/>
    <col min="13310" max="13310" width="12.77734375" customWidth="1"/>
    <col min="13311" max="13311" width="13.77734375" customWidth="1"/>
    <col min="13312" max="13312" width="1.77734375" customWidth="1"/>
    <col min="13313" max="13313" width="13" customWidth="1"/>
    <col min="13314" max="13553" width="8.77734375"/>
    <col min="13554" max="13554" width="6" customWidth="1"/>
    <col min="13555" max="13555" width="1.44140625" customWidth="1"/>
    <col min="13556" max="13556" width="39.109375" customWidth="1"/>
    <col min="13557" max="13557" width="12" customWidth="1"/>
    <col min="13558" max="13558" width="14.44140625" customWidth="1"/>
    <col min="13559" max="13559" width="11.77734375" customWidth="1"/>
    <col min="13560" max="13560" width="14.109375" customWidth="1"/>
    <col min="13561" max="13561" width="13.77734375" customWidth="1"/>
    <col min="13562" max="13563" width="12.77734375" customWidth="1"/>
    <col min="13564" max="13564" width="13.5546875" customWidth="1"/>
    <col min="13565" max="13565" width="15.21875" customWidth="1"/>
    <col min="13566" max="13566" width="12.77734375" customWidth="1"/>
    <col min="13567" max="13567" width="13.77734375" customWidth="1"/>
    <col min="13568" max="13568" width="1.77734375" customWidth="1"/>
    <col min="13569" max="13569" width="13" customWidth="1"/>
    <col min="13570" max="13809" width="8.77734375"/>
    <col min="13810" max="13810" width="6" customWidth="1"/>
    <col min="13811" max="13811" width="1.44140625" customWidth="1"/>
    <col min="13812" max="13812" width="39.109375" customWidth="1"/>
    <col min="13813" max="13813" width="12" customWidth="1"/>
    <col min="13814" max="13814" width="14.44140625" customWidth="1"/>
    <col min="13815" max="13815" width="11.77734375" customWidth="1"/>
    <col min="13816" max="13816" width="14.109375" customWidth="1"/>
    <col min="13817" max="13817" width="13.77734375" customWidth="1"/>
    <col min="13818" max="13819" width="12.77734375" customWidth="1"/>
    <col min="13820" max="13820" width="13.5546875" customWidth="1"/>
    <col min="13821" max="13821" width="15.21875" customWidth="1"/>
    <col min="13822" max="13822" width="12.77734375" customWidth="1"/>
    <col min="13823" max="13823" width="13.77734375" customWidth="1"/>
    <col min="13824" max="13824" width="1.77734375" customWidth="1"/>
    <col min="13825" max="13825" width="13" customWidth="1"/>
    <col min="13826" max="14065" width="8.77734375"/>
    <col min="14066" max="14066" width="6" customWidth="1"/>
    <col min="14067" max="14067" width="1.44140625" customWidth="1"/>
    <col min="14068" max="14068" width="39.109375" customWidth="1"/>
    <col min="14069" max="14069" width="12" customWidth="1"/>
    <col min="14070" max="14070" width="14.44140625" customWidth="1"/>
    <col min="14071" max="14071" width="11.77734375" customWidth="1"/>
    <col min="14072" max="14072" width="14.109375" customWidth="1"/>
    <col min="14073" max="14073" width="13.77734375" customWidth="1"/>
    <col min="14074" max="14075" width="12.77734375" customWidth="1"/>
    <col min="14076" max="14076" width="13.5546875" customWidth="1"/>
    <col min="14077" max="14077" width="15.21875" customWidth="1"/>
    <col min="14078" max="14078" width="12.77734375" customWidth="1"/>
    <col min="14079" max="14079" width="13.77734375" customWidth="1"/>
    <col min="14080" max="14080" width="1.77734375" customWidth="1"/>
    <col min="14081" max="14081" width="13" customWidth="1"/>
    <col min="14082" max="14321" width="8.77734375"/>
    <col min="14322" max="14322" width="6" customWidth="1"/>
    <col min="14323" max="14323" width="1.44140625" customWidth="1"/>
    <col min="14324" max="14324" width="39.109375" customWidth="1"/>
    <col min="14325" max="14325" width="12" customWidth="1"/>
    <col min="14326" max="14326" width="14.44140625" customWidth="1"/>
    <col min="14327" max="14327" width="11.77734375" customWidth="1"/>
    <col min="14328" max="14328" width="14.109375" customWidth="1"/>
    <col min="14329" max="14329" width="13.77734375" customWidth="1"/>
    <col min="14330" max="14331" width="12.77734375" customWidth="1"/>
    <col min="14332" max="14332" width="13.5546875" customWidth="1"/>
    <col min="14333" max="14333" width="15.21875" customWidth="1"/>
    <col min="14334" max="14334" width="12.77734375" customWidth="1"/>
    <col min="14335" max="14335" width="13.77734375" customWidth="1"/>
    <col min="14336" max="14336" width="1.77734375" customWidth="1"/>
    <col min="14337" max="14337" width="13" customWidth="1"/>
    <col min="14338" max="14577" width="8.77734375"/>
    <col min="14578" max="14578" width="6" customWidth="1"/>
    <col min="14579" max="14579" width="1.44140625" customWidth="1"/>
    <col min="14580" max="14580" width="39.109375" customWidth="1"/>
    <col min="14581" max="14581" width="12" customWidth="1"/>
    <col min="14582" max="14582" width="14.44140625" customWidth="1"/>
    <col min="14583" max="14583" width="11.77734375" customWidth="1"/>
    <col min="14584" max="14584" width="14.109375" customWidth="1"/>
    <col min="14585" max="14585" width="13.77734375" customWidth="1"/>
    <col min="14586" max="14587" width="12.77734375" customWidth="1"/>
    <col min="14588" max="14588" width="13.5546875" customWidth="1"/>
    <col min="14589" max="14589" width="15.21875" customWidth="1"/>
    <col min="14590" max="14590" width="12.77734375" customWidth="1"/>
    <col min="14591" max="14591" width="13.77734375" customWidth="1"/>
    <col min="14592" max="14592" width="1.77734375" customWidth="1"/>
    <col min="14593" max="14593" width="13" customWidth="1"/>
    <col min="14594" max="14833" width="8.77734375"/>
    <col min="14834" max="14834" width="6" customWidth="1"/>
    <col min="14835" max="14835" width="1.44140625" customWidth="1"/>
    <col min="14836" max="14836" width="39.109375" customWidth="1"/>
    <col min="14837" max="14837" width="12" customWidth="1"/>
    <col min="14838" max="14838" width="14.44140625" customWidth="1"/>
    <col min="14839" max="14839" width="11.77734375" customWidth="1"/>
    <col min="14840" max="14840" width="14.109375" customWidth="1"/>
    <col min="14841" max="14841" width="13.77734375" customWidth="1"/>
    <col min="14842" max="14843" width="12.77734375" customWidth="1"/>
    <col min="14844" max="14844" width="13.5546875" customWidth="1"/>
    <col min="14845" max="14845" width="15.21875" customWidth="1"/>
    <col min="14846" max="14846" width="12.77734375" customWidth="1"/>
    <col min="14847" max="14847" width="13.77734375" customWidth="1"/>
    <col min="14848" max="14848" width="1.77734375" customWidth="1"/>
    <col min="14849" max="14849" width="13" customWidth="1"/>
    <col min="14850" max="15089" width="8.77734375"/>
    <col min="15090" max="15090" width="6" customWidth="1"/>
    <col min="15091" max="15091" width="1.44140625" customWidth="1"/>
    <col min="15092" max="15092" width="39.109375" customWidth="1"/>
    <col min="15093" max="15093" width="12" customWidth="1"/>
    <col min="15094" max="15094" width="14.44140625" customWidth="1"/>
    <col min="15095" max="15095" width="11.77734375" customWidth="1"/>
    <col min="15096" max="15096" width="14.109375" customWidth="1"/>
    <col min="15097" max="15097" width="13.77734375" customWidth="1"/>
    <col min="15098" max="15099" width="12.77734375" customWidth="1"/>
    <col min="15100" max="15100" width="13.5546875" customWidth="1"/>
    <col min="15101" max="15101" width="15.21875" customWidth="1"/>
    <col min="15102" max="15102" width="12.77734375" customWidth="1"/>
    <col min="15103" max="15103" width="13.77734375" customWidth="1"/>
    <col min="15104" max="15104" width="1.77734375" customWidth="1"/>
    <col min="15105" max="15105" width="13" customWidth="1"/>
    <col min="15106" max="15345" width="8.77734375"/>
    <col min="15346" max="15346" width="6" customWidth="1"/>
    <col min="15347" max="15347" width="1.44140625" customWidth="1"/>
    <col min="15348" max="15348" width="39.109375" customWidth="1"/>
    <col min="15349" max="15349" width="12" customWidth="1"/>
    <col min="15350" max="15350" width="14.44140625" customWidth="1"/>
    <col min="15351" max="15351" width="11.77734375" customWidth="1"/>
    <col min="15352" max="15352" width="14.109375" customWidth="1"/>
    <col min="15353" max="15353" width="13.77734375" customWidth="1"/>
    <col min="15354" max="15355" width="12.77734375" customWidth="1"/>
    <col min="15356" max="15356" width="13.5546875" customWidth="1"/>
    <col min="15357" max="15357" width="15.21875" customWidth="1"/>
    <col min="15358" max="15358" width="12.77734375" customWidth="1"/>
    <col min="15359" max="15359" width="13.77734375" customWidth="1"/>
    <col min="15360" max="15360" width="1.77734375" customWidth="1"/>
    <col min="15361" max="15361" width="13" customWidth="1"/>
    <col min="15362" max="15601" width="8.77734375"/>
    <col min="15602" max="15602" width="6" customWidth="1"/>
    <col min="15603" max="15603" width="1.44140625" customWidth="1"/>
    <col min="15604" max="15604" width="39.109375" customWidth="1"/>
    <col min="15605" max="15605" width="12" customWidth="1"/>
    <col min="15606" max="15606" width="14.44140625" customWidth="1"/>
    <col min="15607" max="15607" width="11.77734375" customWidth="1"/>
    <col min="15608" max="15608" width="14.109375" customWidth="1"/>
    <col min="15609" max="15609" width="13.77734375" customWidth="1"/>
    <col min="15610" max="15611" width="12.77734375" customWidth="1"/>
    <col min="15612" max="15612" width="13.5546875" customWidth="1"/>
    <col min="15613" max="15613" width="15.21875" customWidth="1"/>
    <col min="15614" max="15614" width="12.77734375" customWidth="1"/>
    <col min="15615" max="15615" width="13.77734375" customWidth="1"/>
    <col min="15616" max="15616" width="1.77734375" customWidth="1"/>
    <col min="15617" max="15617" width="13" customWidth="1"/>
    <col min="15618" max="15857" width="8.77734375"/>
    <col min="15858" max="15858" width="6" customWidth="1"/>
    <col min="15859" max="15859" width="1.44140625" customWidth="1"/>
    <col min="15860" max="15860" width="39.109375" customWidth="1"/>
    <col min="15861" max="15861" width="12" customWidth="1"/>
    <col min="15862" max="15862" width="14.44140625" customWidth="1"/>
    <col min="15863" max="15863" width="11.77734375" customWidth="1"/>
    <col min="15864" max="15864" width="14.109375" customWidth="1"/>
    <col min="15865" max="15865" width="13.77734375" customWidth="1"/>
    <col min="15866" max="15867" width="12.77734375" customWidth="1"/>
    <col min="15868" max="15868" width="13.5546875" customWidth="1"/>
    <col min="15869" max="15869" width="15.21875" customWidth="1"/>
    <col min="15870" max="15870" width="12.77734375" customWidth="1"/>
    <col min="15871" max="15871" width="13.77734375" customWidth="1"/>
    <col min="15872" max="15872" width="1.77734375" customWidth="1"/>
    <col min="15873" max="15873" width="13" customWidth="1"/>
    <col min="15874" max="16113" width="8.77734375"/>
    <col min="16114" max="16114" width="6" customWidth="1"/>
    <col min="16115" max="16115" width="1.44140625" customWidth="1"/>
    <col min="16116" max="16116" width="39.109375" customWidth="1"/>
    <col min="16117" max="16117" width="12" customWidth="1"/>
    <col min="16118" max="16118" width="14.44140625" customWidth="1"/>
    <col min="16119" max="16119" width="11.77734375" customWidth="1"/>
    <col min="16120" max="16120" width="14.109375" customWidth="1"/>
    <col min="16121" max="16121" width="13.77734375" customWidth="1"/>
    <col min="16122" max="16123" width="12.77734375" customWidth="1"/>
    <col min="16124" max="16124" width="13.5546875" customWidth="1"/>
    <col min="16125" max="16125" width="15.21875" customWidth="1"/>
    <col min="16126" max="16126" width="12.77734375" customWidth="1"/>
    <col min="16127" max="16127" width="13.77734375" customWidth="1"/>
    <col min="16128" max="16128" width="1.77734375" customWidth="1"/>
    <col min="16129" max="16129" width="13" customWidth="1"/>
    <col min="16130" max="16369" width="8.77734375"/>
    <col min="16370" max="16384" width="8.77734375" customWidth="1"/>
  </cols>
  <sheetData>
    <row r="1" spans="2:18">
      <c r="O1" s="50" t="s">
        <v>296</v>
      </c>
      <c r="R1" s="785"/>
    </row>
    <row r="2" spans="2:18">
      <c r="O2" s="50" t="s">
        <v>338</v>
      </c>
      <c r="Q2" s="785"/>
      <c r="R2" s="785"/>
    </row>
    <row r="3" spans="2:18">
      <c r="O3" s="107" t="s">
        <v>284</v>
      </c>
    </row>
    <row r="4" spans="2:18">
      <c r="B4" s="86"/>
      <c r="D4" s="9"/>
      <c r="E4" s="9"/>
      <c r="F4" s="9"/>
      <c r="G4" s="9"/>
      <c r="H4" s="2"/>
      <c r="I4" s="9"/>
      <c r="J4" s="9"/>
      <c r="K4" s="9"/>
      <c r="L4" s="9"/>
      <c r="N4" s="2"/>
      <c r="O4" s="107" t="str">
        <f>DEOK!G7</f>
        <v>For the 12 months ended: 12/31/2021</v>
      </c>
    </row>
    <row r="5" spans="2:18">
      <c r="B5" s="86"/>
      <c r="D5" s="1"/>
      <c r="E5" s="9"/>
      <c r="F5" s="9"/>
      <c r="G5" s="9"/>
      <c r="H5" s="2"/>
      <c r="I5" s="9"/>
      <c r="J5" s="9"/>
      <c r="K5" s="9"/>
      <c r="L5" s="9"/>
      <c r="N5" s="2"/>
    </row>
    <row r="6" spans="2:18">
      <c r="B6" s="70" t="s">
        <v>255</v>
      </c>
      <c r="C6" s="174"/>
      <c r="D6" s="174"/>
      <c r="E6" s="146"/>
      <c r="F6" s="70"/>
      <c r="G6" s="70"/>
      <c r="H6" s="174"/>
      <c r="I6" s="70"/>
      <c r="J6" s="70"/>
      <c r="K6" s="70"/>
      <c r="L6" s="70"/>
      <c r="M6" s="174"/>
      <c r="N6" s="145"/>
      <c r="O6" s="174"/>
    </row>
    <row r="7" spans="2:18">
      <c r="B7" s="70" t="s">
        <v>297</v>
      </c>
      <c r="C7" s="174"/>
      <c r="D7" s="146"/>
      <c r="E7" s="146"/>
      <c r="F7" s="70"/>
      <c r="G7" s="70"/>
      <c r="H7" s="174"/>
      <c r="I7" s="70"/>
      <c r="J7" s="70"/>
      <c r="K7" s="70"/>
      <c r="L7" s="70"/>
      <c r="M7" s="145"/>
      <c r="N7" s="145"/>
      <c r="O7" s="174"/>
    </row>
    <row r="8" spans="2:18" ht="14.25" customHeight="1">
      <c r="B8" s="173"/>
      <c r="D8" s="9"/>
      <c r="E8" s="9"/>
      <c r="F8" s="9"/>
      <c r="G8" s="9"/>
      <c r="I8" s="70"/>
      <c r="J8" s="9"/>
      <c r="K8" s="9"/>
      <c r="L8" s="9"/>
      <c r="N8" s="2"/>
    </row>
    <row r="9" spans="2:18">
      <c r="B9" s="70" t="str">
        <f>DEOK!A11</f>
        <v>DUKE ENERGY OHIO AND DUKE ENERGY KENTUCKY (DEOK)</v>
      </c>
      <c r="C9" s="174"/>
      <c r="D9" s="174"/>
      <c r="E9" s="174"/>
      <c r="F9" s="70"/>
      <c r="G9" s="70"/>
      <c r="H9" s="174"/>
      <c r="I9" s="70"/>
      <c r="J9" s="70"/>
      <c r="K9" s="70"/>
      <c r="L9" s="70"/>
      <c r="M9" s="70"/>
      <c r="N9" s="145"/>
      <c r="O9" s="145"/>
    </row>
    <row r="10" spans="2:18">
      <c r="B10" s="70" t="s">
        <v>295</v>
      </c>
      <c r="C10" s="174"/>
      <c r="D10" s="174"/>
      <c r="E10" s="174"/>
      <c r="F10" s="146"/>
      <c r="G10" s="146"/>
      <c r="H10" s="146"/>
      <c r="I10" s="146"/>
      <c r="J10" s="146"/>
      <c r="K10" s="146"/>
      <c r="L10" s="146"/>
      <c r="M10" s="146"/>
      <c r="N10" s="146"/>
      <c r="O10" s="146"/>
    </row>
    <row r="11" spans="2:18">
      <c r="B11" s="70"/>
      <c r="C11" s="174"/>
      <c r="D11" s="174"/>
      <c r="E11" s="174"/>
      <c r="F11" s="146"/>
      <c r="G11" s="146"/>
      <c r="H11" s="146"/>
      <c r="I11" s="146"/>
      <c r="J11" s="146"/>
      <c r="K11" s="146"/>
      <c r="L11" s="146"/>
      <c r="M11" s="146"/>
      <c r="N11" s="146"/>
      <c r="O11" s="146"/>
    </row>
    <row r="12" spans="2:18" ht="15.75">
      <c r="B12" s="175" t="s">
        <v>269</v>
      </c>
      <c r="C12" s="174"/>
      <c r="D12" s="70"/>
      <c r="E12" s="70"/>
      <c r="F12" s="174"/>
      <c r="G12" s="175"/>
      <c r="H12" s="174"/>
      <c r="I12" s="146"/>
      <c r="J12" s="146"/>
      <c r="K12" s="146"/>
      <c r="L12" s="146"/>
      <c r="M12" s="146"/>
      <c r="N12" s="145"/>
      <c r="O12" s="145"/>
    </row>
    <row r="13" spans="2:18" ht="15.75">
      <c r="B13" s="86"/>
      <c r="D13" s="9"/>
      <c r="E13" s="9"/>
      <c r="F13" s="10"/>
      <c r="G13" s="10"/>
      <c r="I13" s="1"/>
      <c r="J13" s="1"/>
      <c r="K13" s="1"/>
      <c r="L13" s="1"/>
      <c r="M13" s="1"/>
      <c r="N13" s="2"/>
      <c r="O13" s="2"/>
    </row>
    <row r="14" spans="2:18" ht="15.75">
      <c r="B14" s="86"/>
      <c r="D14" s="108">
        <v>-1</v>
      </c>
      <c r="E14" s="108">
        <v>-2</v>
      </c>
      <c r="F14" s="108">
        <v>-3</v>
      </c>
      <c r="G14" s="108">
        <v>-4</v>
      </c>
      <c r="H14" s="108">
        <v>-5</v>
      </c>
      <c r="I14" s="108">
        <v>-6</v>
      </c>
      <c r="J14" s="108">
        <v>-7</v>
      </c>
      <c r="K14" s="108">
        <v>-8</v>
      </c>
      <c r="L14" s="108">
        <v>-9</v>
      </c>
      <c r="M14" s="108">
        <v>-10</v>
      </c>
      <c r="N14" s="108">
        <v>-11</v>
      </c>
      <c r="O14" s="108">
        <v>-12</v>
      </c>
    </row>
    <row r="15" spans="2:18" ht="63">
      <c r="B15" s="109" t="s">
        <v>225</v>
      </c>
      <c r="C15" s="110"/>
      <c r="D15" s="110" t="s">
        <v>206</v>
      </c>
      <c r="E15" s="111" t="s">
        <v>336</v>
      </c>
      <c r="F15" s="112" t="s">
        <v>227</v>
      </c>
      <c r="G15" s="112" t="s">
        <v>220</v>
      </c>
      <c r="H15" s="113" t="s">
        <v>228</v>
      </c>
      <c r="I15" s="112" t="s">
        <v>229</v>
      </c>
      <c r="J15" s="112" t="s">
        <v>224</v>
      </c>
      <c r="K15" s="113" t="s">
        <v>230</v>
      </c>
      <c r="L15" s="112" t="s">
        <v>231</v>
      </c>
      <c r="M15" s="114" t="s">
        <v>232</v>
      </c>
      <c r="N15" s="115" t="s">
        <v>233</v>
      </c>
      <c r="O15" s="114" t="s">
        <v>234</v>
      </c>
    </row>
    <row r="16" spans="2:18" ht="46.5" customHeight="1">
      <c r="B16" s="116"/>
      <c r="C16" s="117"/>
      <c r="D16" s="117"/>
      <c r="E16" s="117"/>
      <c r="F16" s="118" t="s">
        <v>16</v>
      </c>
      <c r="G16" s="118" t="s">
        <v>694</v>
      </c>
      <c r="H16" s="119"/>
      <c r="I16" s="118" t="s">
        <v>17</v>
      </c>
      <c r="J16" s="118" t="s">
        <v>695</v>
      </c>
      <c r="K16" s="119"/>
      <c r="L16" s="118" t="s">
        <v>237</v>
      </c>
      <c r="M16" s="119" t="s">
        <v>238</v>
      </c>
      <c r="N16" s="120" t="s">
        <v>203</v>
      </c>
      <c r="O16" s="121" t="s">
        <v>239</v>
      </c>
    </row>
    <row r="17" spans="2:15">
      <c r="B17" s="122"/>
      <c r="C17" s="1"/>
      <c r="D17" s="1"/>
      <c r="E17" s="1"/>
      <c r="F17" s="1"/>
      <c r="G17" s="1"/>
      <c r="H17" s="123"/>
      <c r="I17" s="1"/>
      <c r="J17" s="1"/>
      <c r="K17" s="123"/>
      <c r="L17" s="1"/>
      <c r="M17" s="123"/>
      <c r="N17" s="2"/>
      <c r="O17" s="124"/>
    </row>
    <row r="18" spans="2:15">
      <c r="B18" s="609" t="s">
        <v>1</v>
      </c>
      <c r="C18" s="351"/>
      <c r="D18" s="352" t="str">
        <f>'Appx B - DEO(RTEP) Pg1'!M66</f>
        <v>Tanner Creek - Miami Fort 345kV line</v>
      </c>
      <c r="E18" s="882" t="str">
        <f>'Appx B - DEO(RTEP) Pg1'!N66</f>
        <v>b2831.2</v>
      </c>
      <c r="F18" s="355">
        <f>'Appx B - DEO(RTEP) Pg1'!O66+'Appx B - DEK(RTEP) Pg1'!O66</f>
        <v>21145094</v>
      </c>
      <c r="G18" s="354"/>
      <c r="H18" s="565">
        <f>'Appx B - DEO(RTEP) Pg1'!Q66+'Appx B - DEK(RTEP) Pg1'!Q66</f>
        <v>1454782</v>
      </c>
      <c r="I18" s="126">
        <f>'Appx B - DEO(RTEP) Pg1'!R66+'Appx B - DEK(RTEP) Pg1'!R66</f>
        <v>20999679</v>
      </c>
      <c r="J18" s="94"/>
      <c r="K18" s="565">
        <f>'Appx B - DEO(RTEP) Pg1'!T66+'Appx B - DEK(RTEP) Pg1'!T66</f>
        <v>1579176</v>
      </c>
      <c r="L18" s="566">
        <f>'Appx B - DEO(RTEP) Pg1'!U66+'Appx B - DEK(RTEP) Pg1'!U66</f>
        <v>201284</v>
      </c>
      <c r="M18" s="565">
        <f>H18+K18+L18</f>
        <v>3235242</v>
      </c>
      <c r="N18" s="128">
        <f>'Appx B - DEO(RTEP) Pg1'!W66+'Appx B - DEK(RTEP) Pg1'!W66</f>
        <v>0</v>
      </c>
      <c r="O18" s="565">
        <f>M18+N18</f>
        <v>3235242</v>
      </c>
    </row>
    <row r="19" spans="2:15">
      <c r="B19" s="609" t="s">
        <v>242</v>
      </c>
      <c r="C19" s="351"/>
      <c r="D19" s="351"/>
      <c r="E19" s="351"/>
      <c r="F19" s="355">
        <f>'Appx B - DEO(RTEP) Pg1'!O67+'Appx B - DEK(RTEP) Pg1'!O67</f>
        <v>0</v>
      </c>
      <c r="G19" s="354"/>
      <c r="H19" s="565">
        <f>'Appx B - DEO(RTEP) Pg1'!Q67+'Appx B - DEK(RTEP) Pg1'!Q67</f>
        <v>0</v>
      </c>
      <c r="I19" s="126">
        <f>'Appx B - DEO(RTEP) Pg1'!R67+'Appx B - DEK(RTEP) Pg1'!R67</f>
        <v>0</v>
      </c>
      <c r="J19" s="94"/>
      <c r="K19" s="565">
        <f>'Appx B - DEO(RTEP) Pg1'!T67+'Appx B - DEK(RTEP) Pg1'!T67</f>
        <v>0</v>
      </c>
      <c r="L19" s="566">
        <f>'Appx B - DEO(RTEP) Pg1'!U67+'Appx B - DEK(RTEP) Pg1'!U67</f>
        <v>0</v>
      </c>
      <c r="M19" s="565">
        <f>H19+K19+L19</f>
        <v>0</v>
      </c>
      <c r="N19" s="128">
        <f>'Appx B - DEO(RTEP) Pg1'!W67+'Appx B - DEK(RTEP) Pg1'!W67</f>
        <v>0</v>
      </c>
      <c r="O19" s="565">
        <f>M19+N19</f>
        <v>0</v>
      </c>
    </row>
    <row r="20" spans="2:15">
      <c r="B20" s="609" t="s">
        <v>245</v>
      </c>
      <c r="C20" s="351"/>
      <c r="D20" s="351"/>
      <c r="E20" s="351"/>
      <c r="F20" s="355">
        <f>'Appx B - DEO(RTEP) Pg1'!O68+'Appx B - DEK(RTEP) Pg1'!O68</f>
        <v>0</v>
      </c>
      <c r="G20" s="354"/>
      <c r="H20" s="565">
        <f>'Appx B - DEO(RTEP) Pg1'!Q68+'Appx B - DEK(RTEP) Pg1'!Q68</f>
        <v>0</v>
      </c>
      <c r="I20" s="126">
        <f>'Appx B - DEO(RTEP) Pg1'!R68+'Appx B - DEK(RTEP) Pg1'!R68</f>
        <v>0</v>
      </c>
      <c r="J20" s="94"/>
      <c r="K20" s="565">
        <f>'Appx B - DEO(RTEP) Pg1'!T68+'Appx B - DEK(RTEP) Pg1'!T68</f>
        <v>0</v>
      </c>
      <c r="L20" s="566">
        <f>'Appx B - DEO(RTEP) Pg1'!U68+'Appx B - DEK(RTEP) Pg1'!U68</f>
        <v>0</v>
      </c>
      <c r="M20" s="565">
        <f>H20+K20+L20</f>
        <v>0</v>
      </c>
      <c r="N20" s="126">
        <f>'Appx B - DEO(RTEP) Pg1'!W68+'Appx B - DEK(RTEP) Pg1'!W68</f>
        <v>0</v>
      </c>
      <c r="O20" s="565">
        <f>M20+N20</f>
        <v>0</v>
      </c>
    </row>
    <row r="21" spans="2:15">
      <c r="B21" s="125"/>
      <c r="H21" s="127"/>
      <c r="K21" s="127"/>
      <c r="M21" s="127"/>
      <c r="O21" s="127"/>
    </row>
    <row r="22" spans="2:15">
      <c r="B22" s="125"/>
      <c r="H22" s="127"/>
      <c r="K22" s="127"/>
      <c r="M22" s="127"/>
      <c r="O22" s="127"/>
    </row>
    <row r="23" spans="2:15">
      <c r="B23" s="125"/>
      <c r="H23" s="127"/>
      <c r="K23" s="127"/>
      <c r="M23" s="127"/>
      <c r="O23" s="127"/>
    </row>
    <row r="24" spans="2:15">
      <c r="B24" s="125"/>
      <c r="H24" s="127"/>
      <c r="K24" s="127"/>
      <c r="M24" s="127"/>
      <c r="O24" s="127"/>
    </row>
    <row r="25" spans="2:15">
      <c r="B25" s="125"/>
      <c r="H25" s="127"/>
      <c r="K25" s="127"/>
      <c r="M25" s="127"/>
      <c r="O25" s="127"/>
    </row>
    <row r="26" spans="2:15">
      <c r="B26" s="125"/>
      <c r="D26" s="129"/>
      <c r="E26" s="129"/>
      <c r="F26" s="129"/>
      <c r="G26" s="129"/>
      <c r="H26" s="130"/>
      <c r="I26" s="129"/>
      <c r="J26" s="129"/>
      <c r="K26" s="130"/>
      <c r="L26" s="129"/>
      <c r="M26" s="130"/>
      <c r="N26" s="129"/>
      <c r="O26" s="130"/>
    </row>
    <row r="27" spans="2:15">
      <c r="B27" s="125"/>
      <c r="D27" s="129"/>
      <c r="E27" s="129"/>
      <c r="F27" s="129"/>
      <c r="G27" s="129"/>
      <c r="H27" s="130"/>
      <c r="I27" s="129"/>
      <c r="J27" s="129"/>
      <c r="K27" s="130"/>
      <c r="L27" s="129"/>
      <c r="M27" s="130"/>
      <c r="N27" s="129"/>
      <c r="O27" s="130"/>
    </row>
    <row r="28" spans="2:15">
      <c r="B28" s="125"/>
      <c r="D28" s="129"/>
      <c r="E28" s="129"/>
      <c r="F28" s="129"/>
      <c r="G28" s="129"/>
      <c r="H28" s="130"/>
      <c r="I28" s="129"/>
      <c r="J28" s="129"/>
      <c r="K28" s="130"/>
      <c r="L28" s="129"/>
      <c r="M28" s="130"/>
      <c r="N28" s="129"/>
      <c r="O28" s="130"/>
    </row>
    <row r="29" spans="2:15">
      <c r="B29" s="125"/>
      <c r="D29" s="129"/>
      <c r="E29" s="129"/>
      <c r="F29" s="129"/>
      <c r="G29" s="129"/>
      <c r="H29" s="130"/>
      <c r="I29" s="129"/>
      <c r="J29" s="129"/>
      <c r="K29" s="130"/>
      <c r="L29" s="129"/>
      <c r="M29" s="130"/>
      <c r="N29" s="129"/>
      <c r="O29" s="130"/>
    </row>
    <row r="30" spans="2:15">
      <c r="B30" s="125"/>
      <c r="D30" s="129"/>
      <c r="E30" s="129"/>
      <c r="F30" s="129"/>
      <c r="G30" s="129"/>
      <c r="H30" s="130"/>
      <c r="I30" s="129"/>
      <c r="J30" s="129"/>
      <c r="K30" s="130"/>
      <c r="L30" s="129"/>
      <c r="M30" s="130"/>
      <c r="N30" s="129"/>
      <c r="O30" s="130"/>
    </row>
    <row r="31" spans="2:15">
      <c r="B31" s="125"/>
      <c r="D31" s="129"/>
      <c r="E31" s="129"/>
      <c r="F31" s="129"/>
      <c r="G31" s="129"/>
      <c r="H31" s="130"/>
      <c r="I31" s="129"/>
      <c r="J31" s="129"/>
      <c r="K31" s="130"/>
      <c r="L31" s="129"/>
      <c r="M31" s="130"/>
      <c r="N31" s="129"/>
      <c r="O31" s="130"/>
    </row>
    <row r="32" spans="2:15">
      <c r="B32" s="125"/>
      <c r="D32" s="129"/>
      <c r="E32" s="129"/>
      <c r="F32" s="129"/>
      <c r="G32" s="129"/>
      <c r="H32" s="130"/>
      <c r="I32" s="129"/>
      <c r="J32" s="129"/>
      <c r="K32" s="130"/>
      <c r="L32" s="129"/>
      <c r="M32" s="130"/>
      <c r="N32" s="129"/>
      <c r="O32" s="130"/>
    </row>
    <row r="33" spans="2:15">
      <c r="B33" s="125"/>
      <c r="D33" s="129"/>
      <c r="E33" s="129"/>
      <c r="F33" s="129"/>
      <c r="G33" s="129"/>
      <c r="H33" s="130"/>
      <c r="I33" s="129"/>
      <c r="J33" s="129"/>
      <c r="K33" s="130"/>
      <c r="L33" s="129"/>
      <c r="M33" s="130"/>
      <c r="N33" s="129"/>
      <c r="O33" s="130"/>
    </row>
    <row r="34" spans="2:15">
      <c r="B34" s="125"/>
      <c r="D34" s="129"/>
      <c r="E34" s="129"/>
      <c r="F34" s="129"/>
      <c r="G34" s="129"/>
      <c r="H34" s="130"/>
      <c r="I34" s="129"/>
      <c r="J34" s="129"/>
      <c r="K34" s="130"/>
      <c r="L34" s="129"/>
      <c r="M34" s="130"/>
      <c r="N34" s="129"/>
      <c r="O34" s="130"/>
    </row>
    <row r="35" spans="2:15">
      <c r="B35" s="125"/>
      <c r="D35" s="129"/>
      <c r="E35" s="129"/>
      <c r="F35" s="129"/>
      <c r="G35" s="129"/>
      <c r="H35" s="130"/>
      <c r="I35" s="129"/>
      <c r="J35" s="129"/>
      <c r="K35" s="130"/>
      <c r="L35" s="129"/>
      <c r="M35" s="130"/>
      <c r="N35" s="129"/>
      <c r="O35" s="130"/>
    </row>
    <row r="36" spans="2:15">
      <c r="B36" s="125"/>
      <c r="D36" s="129"/>
      <c r="E36" s="129"/>
      <c r="F36" s="129"/>
      <c r="G36" s="129"/>
      <c r="H36" s="130"/>
      <c r="I36" s="129"/>
      <c r="J36" s="129"/>
      <c r="K36" s="130"/>
      <c r="L36" s="129"/>
      <c r="M36" s="130"/>
      <c r="N36" s="129"/>
      <c r="O36" s="130"/>
    </row>
    <row r="37" spans="2:15">
      <c r="B37" s="131"/>
      <c r="C37" s="132"/>
      <c r="D37" s="133"/>
      <c r="E37" s="133"/>
      <c r="F37" s="133"/>
      <c r="G37" s="133"/>
      <c r="H37" s="134"/>
      <c r="I37" s="133"/>
      <c r="J37" s="133"/>
      <c r="K37" s="134"/>
      <c r="L37" s="133"/>
      <c r="M37" s="134"/>
      <c r="N37" s="133"/>
      <c r="O37" s="134"/>
    </row>
    <row r="38" spans="2:15">
      <c r="B38" s="5" t="s">
        <v>248</v>
      </c>
      <c r="C38" s="102"/>
      <c r="D38" s="1" t="s">
        <v>249</v>
      </c>
      <c r="E38" s="1"/>
      <c r="F38" s="67"/>
      <c r="G38" s="67"/>
      <c r="H38" s="2"/>
      <c r="I38" s="2"/>
      <c r="J38" s="2"/>
      <c r="K38" s="2"/>
      <c r="L38" s="2"/>
      <c r="M38" s="544">
        <f>SUM(M18:M37)</f>
        <v>3235242</v>
      </c>
      <c r="N38" s="544">
        <f>SUM(N18:N37)</f>
        <v>0</v>
      </c>
      <c r="O38" s="544">
        <f>SUM(O18:O37)</f>
        <v>3235242</v>
      </c>
    </row>
    <row r="39" spans="2:15">
      <c r="B39" s="52"/>
      <c r="C39" s="129"/>
      <c r="D39" s="129"/>
      <c r="E39" s="129"/>
      <c r="F39" s="129"/>
      <c r="G39" s="129"/>
      <c r="H39" s="129"/>
      <c r="I39" s="129"/>
      <c r="J39" s="129"/>
      <c r="K39" s="129"/>
      <c r="L39" s="129"/>
      <c r="M39" s="564"/>
      <c r="N39" s="564"/>
      <c r="O39" s="564"/>
    </row>
    <row r="40" spans="2:15">
      <c r="B40" s="135">
        <v>3</v>
      </c>
      <c r="C40" s="129"/>
      <c r="D40" s="9" t="s">
        <v>534</v>
      </c>
      <c r="E40" s="129"/>
      <c r="F40" s="129"/>
      <c r="G40" s="129"/>
      <c r="H40" s="129"/>
      <c r="I40" s="129"/>
      <c r="J40" s="129"/>
      <c r="K40" s="129"/>
      <c r="L40" s="129"/>
      <c r="M40" s="544"/>
      <c r="N40" s="564"/>
      <c r="O40" s="544">
        <f>O38</f>
        <v>3235242</v>
      </c>
    </row>
    <row r="41" spans="2:15">
      <c r="B41" s="129"/>
      <c r="C41" s="129"/>
      <c r="D41" s="129"/>
      <c r="E41" s="129"/>
      <c r="F41" s="129"/>
      <c r="G41" s="129"/>
      <c r="H41" s="129"/>
      <c r="I41" s="129"/>
      <c r="J41" s="129"/>
      <c r="K41" s="129"/>
      <c r="L41" s="129"/>
      <c r="M41" s="129"/>
      <c r="N41" s="129"/>
      <c r="O41" s="129"/>
    </row>
    <row r="42" spans="2:15">
      <c r="B42" s="129"/>
      <c r="C42" s="129"/>
      <c r="D42" s="129"/>
      <c r="E42" s="129"/>
      <c r="F42" s="129"/>
      <c r="G42" s="129"/>
      <c r="H42" s="129"/>
      <c r="I42" s="129"/>
      <c r="J42" s="129"/>
      <c r="K42" s="129"/>
      <c r="L42" s="129"/>
      <c r="M42" s="129"/>
      <c r="N42" s="129"/>
      <c r="O42" s="129"/>
    </row>
    <row r="43" spans="2:15">
      <c r="B43" s="67" t="s">
        <v>94</v>
      </c>
      <c r="C43" s="129"/>
      <c r="D43" s="129"/>
      <c r="E43" s="129"/>
      <c r="F43" s="129"/>
      <c r="G43" s="129"/>
      <c r="H43" s="129"/>
      <c r="I43" s="129"/>
      <c r="J43" s="129"/>
      <c r="K43" s="129"/>
      <c r="L43" s="129"/>
      <c r="M43" s="129"/>
      <c r="N43" s="129"/>
      <c r="O43" s="129"/>
    </row>
    <row r="44" spans="2:15" ht="15.75" thickBot="1">
      <c r="B44" s="492" t="s">
        <v>95</v>
      </c>
      <c r="C44" s="129"/>
      <c r="D44" s="129"/>
      <c r="E44" s="129"/>
      <c r="F44" s="129"/>
      <c r="G44" s="129"/>
      <c r="H44" s="129"/>
      <c r="I44" s="129"/>
      <c r="J44" s="129"/>
      <c r="K44" s="129"/>
      <c r="L44" s="129"/>
      <c r="M44" s="129"/>
      <c r="N44" s="129"/>
      <c r="O44" s="129"/>
    </row>
    <row r="45" spans="2:15">
      <c r="B45" s="136" t="s">
        <v>96</v>
      </c>
      <c r="C45" s="66"/>
      <c r="D45" s="1033" t="s">
        <v>573</v>
      </c>
      <c r="E45" s="1034"/>
      <c r="F45" s="1034"/>
      <c r="G45" s="1034"/>
      <c r="H45" s="1034"/>
      <c r="I45" s="1034"/>
      <c r="J45" s="1034"/>
      <c r="K45" s="1034"/>
      <c r="L45" s="1034"/>
      <c r="M45" s="1034"/>
      <c r="N45" s="1034"/>
      <c r="O45" s="1034"/>
    </row>
    <row r="46" spans="2:15">
      <c r="B46" s="136" t="s">
        <v>97</v>
      </c>
      <c r="C46" s="66"/>
      <c r="D46" s="1033" t="s">
        <v>574</v>
      </c>
      <c r="E46" s="1034"/>
      <c r="F46" s="1034"/>
      <c r="G46" s="1034"/>
      <c r="H46" s="1034"/>
      <c r="I46" s="1034"/>
      <c r="J46" s="1034"/>
      <c r="K46" s="1034"/>
      <c r="L46" s="1034"/>
      <c r="M46" s="1034"/>
      <c r="N46" s="1034"/>
      <c r="O46" s="1034"/>
    </row>
    <row r="47" spans="2:15" ht="27.75" customHeight="1">
      <c r="B47" s="137" t="s">
        <v>98</v>
      </c>
      <c r="C47" s="66"/>
      <c r="D47" s="1035" t="s">
        <v>250</v>
      </c>
      <c r="E47" s="1035"/>
      <c r="F47" s="1035"/>
      <c r="G47" s="1035"/>
      <c r="H47" s="1035"/>
      <c r="I47" s="1035"/>
      <c r="J47" s="1035"/>
      <c r="K47" s="1035"/>
      <c r="L47" s="1035"/>
      <c r="M47" s="1035"/>
      <c r="N47" s="1035"/>
      <c r="O47" s="1035"/>
    </row>
    <row r="48" spans="2:15" ht="15" customHeight="1">
      <c r="B48" s="137" t="s">
        <v>99</v>
      </c>
      <c r="C48" s="66"/>
      <c r="D48" s="1035" t="s">
        <v>251</v>
      </c>
      <c r="E48" s="1035"/>
      <c r="F48" s="1035"/>
      <c r="G48" s="1035"/>
      <c r="H48" s="1035"/>
      <c r="I48" s="1035"/>
      <c r="J48" s="1035"/>
      <c r="K48" s="1035"/>
      <c r="L48" s="1035"/>
      <c r="M48" s="1035"/>
      <c r="N48" s="1035"/>
      <c r="O48" s="1035"/>
    </row>
    <row r="49" spans="1:15">
      <c r="B49" s="136" t="s">
        <v>100</v>
      </c>
      <c r="C49" s="66"/>
      <c r="D49" s="1034" t="s">
        <v>312</v>
      </c>
      <c r="E49" s="1034"/>
      <c r="F49" s="1034"/>
      <c r="G49" s="1034"/>
      <c r="H49" s="1034"/>
      <c r="I49" s="1034"/>
      <c r="J49" s="1034"/>
      <c r="K49" s="1034"/>
      <c r="L49" s="1034"/>
      <c r="M49" s="1034"/>
      <c r="N49" s="1034"/>
      <c r="O49" s="1034"/>
    </row>
    <row r="50" spans="1:15">
      <c r="B50" s="136" t="s">
        <v>101</v>
      </c>
      <c r="C50" s="66"/>
      <c r="D50" s="1034" t="s">
        <v>252</v>
      </c>
      <c r="E50" s="1034"/>
      <c r="F50" s="1034"/>
      <c r="G50" s="1034"/>
      <c r="H50" s="1034"/>
      <c r="I50" s="1034"/>
      <c r="J50" s="1034"/>
      <c r="K50" s="1034"/>
      <c r="L50" s="1034"/>
      <c r="M50" s="1034"/>
      <c r="N50" s="1034"/>
      <c r="O50" s="1034"/>
    </row>
    <row r="51" spans="1:15">
      <c r="B51" s="136" t="s">
        <v>102</v>
      </c>
      <c r="C51" s="66"/>
      <c r="D51" s="1033" t="s">
        <v>533</v>
      </c>
      <c r="E51" s="1034"/>
      <c r="F51" s="1034"/>
      <c r="G51" s="1034"/>
      <c r="H51" s="1034"/>
      <c r="I51" s="1034"/>
      <c r="J51" s="1034"/>
      <c r="K51" s="1034"/>
      <c r="L51" s="1034"/>
      <c r="M51" s="1034"/>
      <c r="N51" s="1034"/>
      <c r="O51" s="1034"/>
    </row>
    <row r="52" spans="1:15">
      <c r="B52" s="248" t="s">
        <v>103</v>
      </c>
      <c r="D52" s="1033" t="s">
        <v>334</v>
      </c>
      <c r="E52" s="1033"/>
      <c r="F52" s="1033"/>
      <c r="G52" s="1033"/>
      <c r="H52" s="1033"/>
      <c r="I52" s="1033"/>
      <c r="J52" s="1033"/>
      <c r="K52" s="1033"/>
      <c r="L52" s="1033"/>
      <c r="M52" s="1033"/>
      <c r="N52" s="1033"/>
      <c r="O52" s="1033"/>
    </row>
    <row r="53" spans="1:15">
      <c r="A53" s="93"/>
      <c r="B53" s="129"/>
      <c r="C53" s="129"/>
      <c r="D53" s="129"/>
      <c r="E53" s="129"/>
      <c r="F53" s="129"/>
    </row>
    <row r="54" spans="1:15">
      <c r="A54" s="93"/>
      <c r="B54" s="129"/>
      <c r="C54" s="129"/>
      <c r="D54" s="129"/>
      <c r="E54" s="129"/>
      <c r="F54" s="129"/>
    </row>
    <row r="55" spans="1:15">
      <c r="A55" s="129"/>
      <c r="B55" s="129"/>
      <c r="C55" s="129"/>
      <c r="D55" s="129"/>
      <c r="E55" s="129"/>
      <c r="F55" s="129"/>
    </row>
    <row r="56" spans="1:15">
      <c r="A56" s="129"/>
      <c r="B56" s="129"/>
      <c r="C56" s="129"/>
      <c r="D56" s="129"/>
      <c r="E56" s="129"/>
      <c r="F56" s="129"/>
    </row>
    <row r="57" spans="1:15">
      <c r="A57" s="129"/>
      <c r="B57" s="129"/>
      <c r="C57" s="129"/>
      <c r="D57" s="129"/>
      <c r="E57" s="129"/>
      <c r="F57" s="129"/>
    </row>
    <row r="58" spans="1:15">
      <c r="A58" s="129"/>
      <c r="B58" s="129"/>
      <c r="C58" s="129"/>
      <c r="D58" s="129"/>
      <c r="E58" s="129"/>
      <c r="F58" s="129"/>
    </row>
    <row r="59" spans="1:15">
      <c r="A59" s="129"/>
      <c r="B59" s="129"/>
      <c r="C59" s="129"/>
      <c r="D59" s="129"/>
      <c r="E59" s="129"/>
      <c r="F59" s="129"/>
    </row>
    <row r="60" spans="1:15">
      <c r="A60" s="129"/>
      <c r="B60" s="129"/>
      <c r="C60" s="129"/>
      <c r="D60" s="129"/>
      <c r="E60" s="129"/>
      <c r="F60" s="129"/>
    </row>
    <row r="61" spans="1:15">
      <c r="A61" s="129"/>
      <c r="B61" s="129"/>
      <c r="C61" s="129"/>
      <c r="D61" s="129"/>
      <c r="E61" s="129"/>
      <c r="F61" s="129"/>
    </row>
    <row r="62" spans="1:15">
      <c r="A62" s="129"/>
      <c r="B62" s="129"/>
      <c r="C62" s="129"/>
      <c r="D62" s="129"/>
      <c r="E62" s="129"/>
      <c r="F62" s="129"/>
    </row>
    <row r="63" spans="1:15">
      <c r="A63" s="129"/>
      <c r="B63" s="129"/>
      <c r="C63" s="129"/>
      <c r="D63" s="129"/>
      <c r="E63" s="129"/>
      <c r="F63" s="129"/>
    </row>
    <row r="64" spans="1:15">
      <c r="A64" s="129"/>
      <c r="B64" s="129"/>
      <c r="C64" s="129"/>
      <c r="D64" s="129"/>
      <c r="E64" s="129"/>
      <c r="F64" s="129"/>
    </row>
    <row r="65" spans="1:6">
      <c r="A65" s="129"/>
      <c r="B65" s="129"/>
      <c r="C65" s="129"/>
      <c r="D65" s="129"/>
      <c r="E65" s="129"/>
      <c r="F65" s="129"/>
    </row>
    <row r="66" spans="1:6">
      <c r="A66" s="129"/>
      <c r="B66" s="129"/>
      <c r="C66" s="129"/>
      <c r="D66" s="129"/>
      <c r="E66" s="129"/>
      <c r="F66" s="129"/>
    </row>
    <row r="67" spans="1:6">
      <c r="A67" s="129"/>
      <c r="B67" s="129"/>
      <c r="C67" s="129"/>
      <c r="D67" s="129"/>
      <c r="E67" s="129"/>
      <c r="F67" s="129"/>
    </row>
    <row r="68" spans="1:6">
      <c r="A68" s="129"/>
      <c r="B68" s="129"/>
      <c r="C68" s="129"/>
      <c r="D68" s="129"/>
      <c r="E68" s="129"/>
      <c r="F68" s="129"/>
    </row>
    <row r="69" spans="1:6">
      <c r="A69" s="129"/>
      <c r="B69" s="129"/>
      <c r="C69" s="129"/>
      <c r="D69" s="129"/>
      <c r="E69" s="129"/>
      <c r="F69" s="129"/>
    </row>
    <row r="70" spans="1:6">
      <c r="A70" s="129"/>
      <c r="B70" s="129"/>
      <c r="C70" s="129"/>
      <c r="D70" s="129"/>
      <c r="E70" s="129"/>
      <c r="F70" s="129"/>
    </row>
    <row r="71" spans="1:6">
      <c r="A71" s="129"/>
      <c r="B71" s="129"/>
      <c r="C71" s="129"/>
      <c r="D71" s="129"/>
      <c r="E71" s="129"/>
      <c r="F71" s="129"/>
    </row>
    <row r="72" spans="1:6">
      <c r="A72" s="129"/>
      <c r="B72" s="129"/>
      <c r="C72" s="129"/>
      <c r="D72" s="129"/>
      <c r="E72" s="129"/>
      <c r="F72" s="129"/>
    </row>
    <row r="73" spans="1:6">
      <c r="A73" s="129"/>
      <c r="B73" s="129"/>
      <c r="C73" s="129"/>
      <c r="D73" s="129"/>
      <c r="E73" s="129"/>
      <c r="F73" s="129"/>
    </row>
    <row r="74" spans="1:6">
      <c r="A74" s="129"/>
      <c r="B74" s="129"/>
      <c r="C74" s="129"/>
      <c r="D74" s="129"/>
      <c r="E74" s="129"/>
      <c r="F74" s="129"/>
    </row>
    <row r="75" spans="1:6">
      <c r="A75" s="129"/>
      <c r="B75" s="129"/>
      <c r="C75" s="129"/>
      <c r="D75" s="129"/>
      <c r="E75" s="129"/>
      <c r="F75" s="129"/>
    </row>
    <row r="76" spans="1:6">
      <c r="A76" s="129"/>
      <c r="B76" s="129"/>
      <c r="C76" s="129"/>
      <c r="D76" s="129"/>
      <c r="E76" s="129"/>
      <c r="F76" s="129"/>
    </row>
    <row r="77" spans="1:6">
      <c r="A77" s="129"/>
      <c r="B77" s="129"/>
      <c r="C77" s="129"/>
      <c r="D77" s="129"/>
      <c r="E77" s="129"/>
      <c r="F77" s="129"/>
    </row>
    <row r="78" spans="1:6">
      <c r="A78" s="129"/>
      <c r="B78" s="129"/>
      <c r="C78" s="129"/>
      <c r="D78" s="129"/>
      <c r="E78" s="129"/>
      <c r="F78" s="129"/>
    </row>
    <row r="79" spans="1:6">
      <c r="A79" s="129"/>
      <c r="B79" s="129"/>
      <c r="C79" s="129"/>
      <c r="D79" s="129"/>
      <c r="E79" s="129"/>
      <c r="F79" s="129"/>
    </row>
    <row r="80" spans="1:6">
      <c r="A80" s="129"/>
      <c r="B80" s="129"/>
      <c r="C80" s="129"/>
      <c r="D80" s="129"/>
      <c r="E80" s="129"/>
      <c r="F80" s="129"/>
    </row>
    <row r="81" spans="1:6">
      <c r="A81" s="129"/>
      <c r="B81" s="129"/>
      <c r="C81" s="129"/>
      <c r="D81" s="129"/>
      <c r="E81" s="129"/>
      <c r="F81" s="129"/>
    </row>
    <row r="82" spans="1:6">
      <c r="A82" s="129"/>
      <c r="B82" s="129"/>
      <c r="C82" s="129"/>
      <c r="D82" s="129"/>
      <c r="E82" s="129"/>
      <c r="F82" s="129"/>
    </row>
    <row r="83" spans="1:6">
      <c r="A83" s="129"/>
      <c r="B83" s="129"/>
      <c r="C83" s="129"/>
      <c r="D83" s="129"/>
      <c r="E83" s="129"/>
      <c r="F83" s="129"/>
    </row>
    <row r="84" spans="1:6">
      <c r="A84" s="129"/>
      <c r="B84" s="129"/>
      <c r="C84" s="129"/>
      <c r="D84" s="129"/>
      <c r="E84" s="129"/>
      <c r="F84" s="129"/>
    </row>
    <row r="85" spans="1:6">
      <c r="A85" s="129"/>
      <c r="B85" s="129"/>
      <c r="C85" s="129"/>
      <c r="D85" s="129"/>
      <c r="E85" s="129"/>
      <c r="F85" s="129"/>
    </row>
    <row r="86" spans="1:6">
      <c r="A86" s="129"/>
      <c r="B86" s="129"/>
      <c r="C86" s="129"/>
      <c r="D86" s="129"/>
      <c r="E86" s="129"/>
      <c r="F86" s="129"/>
    </row>
    <row r="87" spans="1:6">
      <c r="A87" s="129"/>
      <c r="B87" s="129"/>
      <c r="C87" s="129"/>
      <c r="D87" s="129"/>
      <c r="E87" s="129"/>
      <c r="F87" s="129"/>
    </row>
    <row r="88" spans="1:6">
      <c r="A88" s="129"/>
      <c r="B88" s="129"/>
      <c r="C88" s="129"/>
      <c r="D88" s="129"/>
      <c r="E88" s="129"/>
      <c r="F88" s="129"/>
    </row>
    <row r="89" spans="1:6">
      <c r="A89" s="129"/>
      <c r="B89" s="129"/>
      <c r="C89" s="129"/>
      <c r="D89" s="129"/>
      <c r="E89" s="129"/>
      <c r="F89" s="129"/>
    </row>
    <row r="90" spans="1:6">
      <c r="A90" s="129"/>
      <c r="B90" s="129"/>
      <c r="C90" s="129"/>
      <c r="D90" s="129"/>
      <c r="E90" s="129"/>
      <c r="F90" s="129"/>
    </row>
    <row r="91" spans="1:6">
      <c r="A91" s="129"/>
      <c r="B91" s="129"/>
      <c r="C91" s="129"/>
      <c r="D91" s="129"/>
      <c r="E91" s="129"/>
      <c r="F91" s="129"/>
    </row>
    <row r="92" spans="1:6">
      <c r="A92" s="129"/>
      <c r="B92" s="129"/>
      <c r="C92" s="129"/>
      <c r="D92" s="129"/>
      <c r="E92" s="129"/>
      <c r="F92" s="129"/>
    </row>
    <row r="93" spans="1:6">
      <c r="A93" s="129"/>
      <c r="B93" s="129"/>
      <c r="C93" s="129"/>
      <c r="D93" s="129"/>
      <c r="E93" s="129"/>
      <c r="F93" s="129"/>
    </row>
    <row r="94" spans="1:6">
      <c r="A94" s="129"/>
      <c r="B94" s="129"/>
      <c r="C94" s="129"/>
      <c r="D94" s="129"/>
      <c r="E94" s="129"/>
      <c r="F94" s="129"/>
    </row>
    <row r="95" spans="1:6">
      <c r="A95" s="129"/>
      <c r="B95" s="129"/>
      <c r="C95" s="129"/>
      <c r="D95" s="129"/>
      <c r="E95" s="129"/>
      <c r="F95" s="129"/>
    </row>
    <row r="96" spans="1:6">
      <c r="A96" s="129"/>
      <c r="B96" s="129"/>
      <c r="C96" s="129"/>
      <c r="D96" s="129"/>
      <c r="E96" s="129"/>
      <c r="F96" s="129"/>
    </row>
    <row r="97" spans="1:6">
      <c r="A97" s="129"/>
      <c r="B97" s="129"/>
      <c r="C97" s="129"/>
      <c r="D97" s="129"/>
      <c r="E97" s="129"/>
      <c r="F97" s="129"/>
    </row>
    <row r="98" spans="1:6">
      <c r="A98" s="129"/>
      <c r="B98" s="129"/>
      <c r="C98" s="129"/>
      <c r="D98" s="129"/>
      <c r="E98" s="129"/>
      <c r="F98" s="129"/>
    </row>
    <row r="99" spans="1:6">
      <c r="A99" s="129"/>
      <c r="B99" s="129"/>
      <c r="C99" s="129"/>
      <c r="D99" s="129"/>
      <c r="E99" s="129"/>
      <c r="F99" s="129"/>
    </row>
    <row r="100" spans="1:6">
      <c r="A100" s="129"/>
      <c r="B100" s="129"/>
      <c r="C100" s="129"/>
      <c r="D100" s="129"/>
      <c r="E100" s="129"/>
      <c r="F100" s="129"/>
    </row>
    <row r="101" spans="1:6">
      <c r="A101" s="129"/>
      <c r="B101" s="129"/>
      <c r="C101" s="129"/>
      <c r="D101" s="129"/>
      <c r="E101" s="129"/>
      <c r="F101" s="129"/>
    </row>
    <row r="102" spans="1:6">
      <c r="A102" s="129"/>
      <c r="B102" s="129"/>
      <c r="C102" s="129"/>
      <c r="D102" s="129"/>
      <c r="E102" s="129"/>
      <c r="F102" s="129"/>
    </row>
    <row r="103" spans="1:6">
      <c r="A103" s="129"/>
      <c r="B103" s="129"/>
      <c r="C103" s="129"/>
      <c r="D103" s="129"/>
      <c r="E103" s="129"/>
      <c r="F103" s="129"/>
    </row>
    <row r="104" spans="1:6">
      <c r="A104" s="129"/>
      <c r="B104" s="129"/>
      <c r="C104" s="129"/>
      <c r="D104" s="129"/>
      <c r="E104" s="129"/>
      <c r="F104" s="129"/>
    </row>
    <row r="105" spans="1:6">
      <c r="A105" s="129"/>
      <c r="B105" s="129"/>
      <c r="C105" s="129"/>
      <c r="D105" s="129"/>
      <c r="E105" s="129"/>
      <c r="F105" s="129"/>
    </row>
    <row r="106" spans="1:6">
      <c r="A106" s="129"/>
      <c r="B106" s="129"/>
      <c r="C106" s="129"/>
      <c r="D106" s="129"/>
      <c r="E106" s="129"/>
      <c r="F106" s="129"/>
    </row>
    <row r="107" spans="1:6">
      <c r="A107" s="129"/>
      <c r="B107" s="129"/>
      <c r="C107" s="129"/>
      <c r="D107" s="129"/>
      <c r="E107" s="129"/>
      <c r="F107" s="129"/>
    </row>
    <row r="108" spans="1:6">
      <c r="A108" s="129"/>
      <c r="B108" s="129"/>
      <c r="C108" s="129"/>
      <c r="D108" s="129"/>
      <c r="E108" s="129"/>
      <c r="F108" s="129"/>
    </row>
    <row r="109" spans="1:6">
      <c r="A109" s="129"/>
      <c r="B109" s="129"/>
      <c r="C109" s="129"/>
      <c r="D109" s="129"/>
      <c r="E109" s="129"/>
      <c r="F109" s="129"/>
    </row>
    <row r="110" spans="1:6">
      <c r="A110" s="129"/>
      <c r="B110" s="129"/>
      <c r="C110" s="129"/>
      <c r="D110" s="129"/>
      <c r="E110" s="129"/>
      <c r="F110" s="129"/>
    </row>
    <row r="111" spans="1:6">
      <c r="A111" s="129"/>
      <c r="B111" s="129"/>
      <c r="C111" s="129"/>
      <c r="D111" s="129"/>
      <c r="E111" s="129"/>
      <c r="F111" s="129"/>
    </row>
    <row r="112" spans="1:6">
      <c r="A112" s="129"/>
      <c r="B112" s="129"/>
      <c r="C112" s="129"/>
      <c r="D112" s="129"/>
      <c r="E112" s="129"/>
      <c r="F112" s="129"/>
    </row>
    <row r="113" spans="1:6">
      <c r="A113" s="129"/>
      <c r="B113" s="129"/>
      <c r="C113" s="129"/>
      <c r="D113" s="129"/>
      <c r="E113" s="129"/>
      <c r="F113" s="129"/>
    </row>
    <row r="114" spans="1:6">
      <c r="A114" s="129"/>
      <c r="B114" s="129"/>
      <c r="C114" s="129"/>
      <c r="D114" s="129"/>
      <c r="E114" s="129"/>
      <c r="F114" s="129"/>
    </row>
    <row r="115" spans="1:6">
      <c r="A115" s="129"/>
      <c r="B115" s="129"/>
      <c r="C115" s="129"/>
      <c r="D115" s="129"/>
      <c r="E115" s="129"/>
      <c r="F115" s="129"/>
    </row>
    <row r="116" spans="1:6">
      <c r="A116" s="129"/>
      <c r="B116" s="129"/>
      <c r="C116" s="129"/>
      <c r="D116" s="129"/>
      <c r="E116" s="129"/>
      <c r="F116" s="129"/>
    </row>
    <row r="117" spans="1:6">
      <c r="A117" s="129"/>
      <c r="B117" s="129"/>
      <c r="C117" s="129"/>
      <c r="D117" s="129"/>
      <c r="E117" s="129"/>
      <c r="F117" s="129"/>
    </row>
    <row r="118" spans="1:6">
      <c r="A118" s="129"/>
      <c r="B118" s="129"/>
      <c r="C118" s="129"/>
      <c r="D118" s="129"/>
      <c r="E118" s="129"/>
      <c r="F118" s="129"/>
    </row>
    <row r="119" spans="1:6">
      <c r="A119" s="129"/>
      <c r="B119" s="129"/>
      <c r="C119" s="129"/>
      <c r="D119" s="129"/>
      <c r="E119" s="129"/>
      <c r="F119" s="129"/>
    </row>
    <row r="120" spans="1:6">
      <c r="A120" s="129"/>
      <c r="B120" s="129"/>
      <c r="C120" s="129"/>
      <c r="D120" s="129"/>
      <c r="E120" s="129"/>
      <c r="F120" s="129"/>
    </row>
    <row r="121" spans="1:6">
      <c r="A121" s="129"/>
      <c r="B121" s="129"/>
      <c r="C121" s="129"/>
      <c r="D121" s="129"/>
      <c r="E121" s="129"/>
      <c r="F121" s="129"/>
    </row>
    <row r="122" spans="1:6">
      <c r="A122" s="129"/>
      <c r="B122" s="129"/>
      <c r="C122" s="129"/>
      <c r="D122" s="129"/>
      <c r="E122" s="129"/>
      <c r="F122" s="129"/>
    </row>
    <row r="123" spans="1:6">
      <c r="A123" s="129"/>
      <c r="B123" s="129"/>
      <c r="C123" s="129"/>
      <c r="D123" s="129"/>
      <c r="E123" s="129"/>
      <c r="F123" s="129"/>
    </row>
    <row r="124" spans="1:6">
      <c r="A124" s="129"/>
      <c r="B124" s="129"/>
      <c r="C124" s="129"/>
      <c r="D124" s="129"/>
      <c r="E124" s="129"/>
      <c r="F124" s="129"/>
    </row>
    <row r="125" spans="1:6">
      <c r="A125" s="129"/>
      <c r="B125" s="129"/>
      <c r="C125" s="129"/>
      <c r="D125" s="129"/>
      <c r="E125" s="129"/>
      <c r="F125" s="129"/>
    </row>
    <row r="126" spans="1:6">
      <c r="A126" s="129"/>
      <c r="B126" s="129"/>
      <c r="C126" s="129"/>
      <c r="D126" s="129"/>
      <c r="E126" s="129"/>
      <c r="F126" s="129"/>
    </row>
    <row r="127" spans="1:6">
      <c r="A127" s="129"/>
      <c r="B127" s="129"/>
      <c r="C127" s="129"/>
      <c r="D127" s="129"/>
      <c r="E127" s="129"/>
      <c r="F127" s="129"/>
    </row>
    <row r="128" spans="1:6">
      <c r="A128" s="129"/>
      <c r="B128" s="129"/>
      <c r="C128" s="129"/>
      <c r="D128" s="129"/>
      <c r="E128" s="129"/>
      <c r="F128" s="129"/>
    </row>
    <row r="129" spans="1:6">
      <c r="A129" s="129"/>
      <c r="B129" s="129"/>
      <c r="C129" s="129"/>
      <c r="D129" s="129"/>
      <c r="E129" s="129"/>
      <c r="F129" s="129"/>
    </row>
    <row r="130" spans="1:6">
      <c r="A130" s="129"/>
      <c r="B130" s="129"/>
      <c r="C130" s="129"/>
      <c r="D130" s="129"/>
      <c r="E130" s="129"/>
      <c r="F130" s="129"/>
    </row>
    <row r="131" spans="1:6">
      <c r="A131" s="129"/>
      <c r="B131" s="129"/>
      <c r="C131" s="129"/>
      <c r="D131" s="129"/>
      <c r="E131" s="129"/>
      <c r="F131" s="129"/>
    </row>
    <row r="132" spans="1:6">
      <c r="A132" s="129"/>
      <c r="B132" s="129"/>
      <c r="C132" s="129"/>
      <c r="D132" s="129"/>
      <c r="E132" s="129"/>
      <c r="F132" s="129"/>
    </row>
    <row r="133" spans="1:6">
      <c r="A133" s="129"/>
      <c r="B133" s="129"/>
      <c r="C133" s="129"/>
      <c r="D133" s="129"/>
      <c r="E133" s="129"/>
      <c r="F133" s="129"/>
    </row>
    <row r="134" spans="1:6">
      <c r="A134" s="129"/>
      <c r="B134" s="129"/>
      <c r="C134" s="129"/>
      <c r="D134" s="129"/>
      <c r="E134" s="129"/>
      <c r="F134" s="129"/>
    </row>
    <row r="135" spans="1:6">
      <c r="A135" s="129"/>
      <c r="B135" s="129"/>
      <c r="C135" s="129"/>
      <c r="D135" s="129"/>
      <c r="E135" s="129"/>
      <c r="F135" s="129"/>
    </row>
    <row r="136" spans="1:6">
      <c r="A136" s="129"/>
      <c r="B136" s="129"/>
      <c r="C136" s="129"/>
      <c r="D136" s="129"/>
      <c r="E136" s="129"/>
      <c r="F136" s="129"/>
    </row>
    <row r="137" spans="1:6">
      <c r="A137" s="129"/>
      <c r="B137" s="129"/>
      <c r="C137" s="129"/>
      <c r="D137" s="129"/>
      <c r="E137" s="129"/>
      <c r="F137" s="129"/>
    </row>
    <row r="138" spans="1:6">
      <c r="A138" s="129"/>
      <c r="B138" s="129"/>
      <c r="C138" s="129"/>
      <c r="D138" s="129"/>
      <c r="E138" s="129"/>
      <c r="F138" s="129"/>
    </row>
    <row r="139" spans="1:6">
      <c r="A139" s="129"/>
      <c r="B139" s="129"/>
      <c r="C139" s="129"/>
      <c r="D139" s="129"/>
      <c r="E139" s="129"/>
      <c r="F139" s="129"/>
    </row>
    <row r="140" spans="1:6">
      <c r="A140" s="129"/>
      <c r="B140" s="129"/>
      <c r="C140" s="129"/>
      <c r="D140" s="129"/>
      <c r="E140" s="129"/>
      <c r="F140" s="129"/>
    </row>
    <row r="141" spans="1:6">
      <c r="A141" s="129"/>
      <c r="B141" s="129"/>
      <c r="C141" s="129"/>
      <c r="D141" s="129"/>
      <c r="E141" s="129"/>
      <c r="F141" s="129"/>
    </row>
    <row r="142" spans="1:6">
      <c r="A142" s="129"/>
      <c r="B142" s="129"/>
      <c r="C142" s="129"/>
      <c r="D142" s="129"/>
      <c r="E142" s="129"/>
      <c r="F142" s="129"/>
    </row>
    <row r="143" spans="1:6">
      <c r="A143" s="129"/>
      <c r="B143" s="129"/>
      <c r="C143" s="129"/>
      <c r="D143" s="129"/>
      <c r="E143" s="129"/>
      <c r="F143" s="129"/>
    </row>
    <row r="144" spans="1:6">
      <c r="A144" s="129"/>
      <c r="B144" s="129"/>
      <c r="C144" s="129"/>
      <c r="D144" s="129"/>
      <c r="E144" s="129"/>
      <c r="F144" s="129"/>
    </row>
    <row r="145" spans="1:6">
      <c r="A145" s="129"/>
      <c r="B145" s="129"/>
      <c r="C145" s="129"/>
      <c r="D145" s="129"/>
      <c r="E145" s="129"/>
      <c r="F145" s="129"/>
    </row>
    <row r="146" spans="1:6">
      <c r="A146" s="129"/>
      <c r="B146" s="129"/>
      <c r="C146" s="129"/>
      <c r="D146" s="129"/>
      <c r="E146" s="129"/>
      <c r="F146" s="129"/>
    </row>
    <row r="147" spans="1:6">
      <c r="A147" s="129"/>
      <c r="B147" s="129"/>
      <c r="C147" s="129"/>
      <c r="D147" s="129"/>
      <c r="E147" s="129"/>
      <c r="F147" s="129"/>
    </row>
    <row r="148" spans="1:6">
      <c r="A148" s="129"/>
      <c r="B148" s="129"/>
      <c r="C148" s="129"/>
      <c r="D148" s="129"/>
      <c r="E148" s="129"/>
      <c r="F148" s="129"/>
    </row>
    <row r="149" spans="1:6">
      <c r="A149" s="129"/>
      <c r="B149" s="129"/>
      <c r="C149" s="129"/>
      <c r="D149" s="129"/>
      <c r="E149" s="129"/>
      <c r="F149" s="129"/>
    </row>
    <row r="150" spans="1:6">
      <c r="A150" s="129"/>
      <c r="B150" s="129"/>
      <c r="C150" s="129"/>
      <c r="D150" s="129"/>
      <c r="E150" s="129"/>
      <c r="F150" s="129"/>
    </row>
    <row r="151" spans="1:6">
      <c r="A151" s="129"/>
      <c r="B151" s="129"/>
      <c r="C151" s="129"/>
      <c r="D151" s="129"/>
      <c r="E151" s="129"/>
      <c r="F151" s="129"/>
    </row>
    <row r="152" spans="1:6">
      <c r="A152" s="129"/>
      <c r="B152" s="129"/>
      <c r="C152" s="129"/>
      <c r="D152" s="129"/>
      <c r="E152" s="129"/>
      <c r="F152" s="129"/>
    </row>
    <row r="153" spans="1:6">
      <c r="A153" s="129"/>
      <c r="B153" s="129"/>
      <c r="C153" s="129"/>
      <c r="D153" s="129"/>
      <c r="E153" s="129"/>
      <c r="F153" s="129"/>
    </row>
    <row r="154" spans="1:6">
      <c r="A154" s="129"/>
      <c r="B154" s="129"/>
      <c r="C154" s="129"/>
      <c r="D154" s="129"/>
      <c r="E154" s="129"/>
      <c r="F154" s="129"/>
    </row>
    <row r="155" spans="1:6">
      <c r="A155" s="129"/>
      <c r="B155" s="129"/>
      <c r="C155" s="129"/>
      <c r="D155" s="129"/>
      <c r="E155" s="129"/>
      <c r="F155" s="129"/>
    </row>
    <row r="156" spans="1:6">
      <c r="A156" s="129"/>
      <c r="B156" s="129"/>
      <c r="C156" s="129"/>
      <c r="D156" s="129"/>
      <c r="E156" s="129"/>
      <c r="F156" s="129"/>
    </row>
    <row r="157" spans="1:6">
      <c r="A157" s="129"/>
      <c r="B157" s="129"/>
      <c r="C157" s="129"/>
      <c r="D157" s="129"/>
      <c r="E157" s="129"/>
      <c r="F157" s="129"/>
    </row>
    <row r="158" spans="1:6">
      <c r="A158" s="129"/>
      <c r="B158" s="129"/>
      <c r="C158" s="129"/>
      <c r="D158" s="129"/>
      <c r="E158" s="129"/>
      <c r="F158" s="129"/>
    </row>
    <row r="159" spans="1:6">
      <c r="A159" s="129"/>
      <c r="B159" s="129"/>
      <c r="C159" s="129"/>
      <c r="D159" s="129"/>
      <c r="E159" s="129"/>
      <c r="F159" s="129"/>
    </row>
    <row r="160" spans="1:6">
      <c r="A160" s="129"/>
      <c r="B160" s="129"/>
      <c r="C160" s="129"/>
      <c r="D160" s="129"/>
      <c r="E160" s="129"/>
      <c r="F160" s="129"/>
    </row>
    <row r="161" spans="1:6">
      <c r="A161" s="129"/>
      <c r="B161" s="129"/>
      <c r="C161" s="129"/>
      <c r="D161" s="129"/>
      <c r="E161" s="129"/>
      <c r="F161" s="129"/>
    </row>
    <row r="162" spans="1:6">
      <c r="A162" s="129"/>
      <c r="B162" s="129"/>
      <c r="C162" s="129"/>
      <c r="D162" s="129"/>
      <c r="E162" s="129"/>
      <c r="F162" s="129"/>
    </row>
    <row r="163" spans="1:6">
      <c r="A163" s="129"/>
      <c r="B163" s="129"/>
      <c r="C163" s="129"/>
      <c r="D163" s="129"/>
      <c r="E163" s="129"/>
      <c r="F163" s="129"/>
    </row>
    <row r="164" spans="1:6">
      <c r="A164" s="129"/>
      <c r="B164" s="129"/>
      <c r="C164" s="129"/>
      <c r="D164" s="129"/>
      <c r="E164" s="129"/>
      <c r="F164" s="129"/>
    </row>
    <row r="165" spans="1:6">
      <c r="A165" s="129"/>
      <c r="B165" s="129"/>
      <c r="C165" s="129"/>
      <c r="D165" s="129"/>
      <c r="E165" s="129"/>
      <c r="F165" s="129"/>
    </row>
    <row r="166" spans="1:6">
      <c r="A166" s="129"/>
      <c r="B166" s="129"/>
      <c r="C166" s="129"/>
      <c r="D166" s="129"/>
      <c r="E166" s="129"/>
      <c r="F166" s="129"/>
    </row>
    <row r="167" spans="1:6">
      <c r="A167" s="129"/>
      <c r="B167" s="129"/>
      <c r="C167" s="129"/>
      <c r="D167" s="129"/>
      <c r="E167" s="129"/>
      <c r="F167" s="129"/>
    </row>
    <row r="168" spans="1:6">
      <c r="A168" s="129"/>
      <c r="B168" s="129"/>
      <c r="C168" s="129"/>
      <c r="D168" s="129"/>
      <c r="E168" s="129"/>
      <c r="F168" s="129"/>
    </row>
    <row r="169" spans="1:6">
      <c r="A169" s="129"/>
      <c r="B169" s="129"/>
      <c r="C169" s="129"/>
      <c r="D169" s="129"/>
      <c r="E169" s="129"/>
      <c r="F169" s="129"/>
    </row>
    <row r="170" spans="1:6">
      <c r="A170" s="129"/>
      <c r="B170" s="129"/>
      <c r="C170" s="129"/>
      <c r="D170" s="129"/>
      <c r="E170" s="129"/>
      <c r="F170" s="129"/>
    </row>
    <row r="171" spans="1:6">
      <c r="A171" s="129"/>
      <c r="B171" s="129"/>
      <c r="C171" s="129"/>
      <c r="D171" s="129"/>
      <c r="E171" s="129"/>
      <c r="F171" s="129"/>
    </row>
    <row r="172" spans="1:6">
      <c r="A172" s="129"/>
      <c r="B172" s="129"/>
      <c r="C172" s="129"/>
      <c r="D172" s="129"/>
      <c r="E172" s="129"/>
      <c r="F172" s="129"/>
    </row>
    <row r="173" spans="1:6">
      <c r="A173" s="129"/>
      <c r="B173" s="129"/>
      <c r="C173" s="129"/>
      <c r="D173" s="129"/>
      <c r="E173" s="129"/>
      <c r="F173" s="129"/>
    </row>
    <row r="174" spans="1:6">
      <c r="A174" s="129"/>
      <c r="B174" s="129"/>
      <c r="C174" s="129"/>
      <c r="D174" s="129"/>
      <c r="E174" s="129"/>
      <c r="F174" s="129"/>
    </row>
    <row r="175" spans="1:6">
      <c r="A175" s="129"/>
      <c r="B175" s="129"/>
      <c r="C175" s="129"/>
      <c r="D175" s="129"/>
      <c r="E175" s="129"/>
      <c r="F175" s="129"/>
    </row>
    <row r="176" spans="1:6">
      <c r="A176" s="129"/>
      <c r="B176" s="129"/>
      <c r="C176" s="129"/>
      <c r="D176" s="129"/>
      <c r="E176" s="129"/>
      <c r="F176" s="129"/>
    </row>
    <row r="177" spans="1:6">
      <c r="A177" s="129"/>
      <c r="B177" s="129"/>
      <c r="C177" s="129"/>
      <c r="D177" s="129"/>
      <c r="E177" s="129"/>
      <c r="F177" s="129"/>
    </row>
    <row r="178" spans="1:6">
      <c r="A178" s="129"/>
      <c r="B178" s="129"/>
      <c r="C178" s="129"/>
      <c r="D178" s="129"/>
      <c r="E178" s="129"/>
      <c r="F178" s="129"/>
    </row>
    <row r="179" spans="1:6">
      <c r="A179" s="129"/>
      <c r="B179" s="129"/>
      <c r="C179" s="129"/>
      <c r="D179" s="129"/>
      <c r="E179" s="129"/>
      <c r="F179" s="129"/>
    </row>
    <row r="180" spans="1:6">
      <c r="A180" s="129"/>
      <c r="B180" s="129"/>
      <c r="C180" s="129"/>
      <c r="D180" s="129"/>
      <c r="E180" s="129"/>
      <c r="F180" s="129"/>
    </row>
    <row r="181" spans="1:6">
      <c r="A181" s="129"/>
      <c r="B181" s="129"/>
      <c r="C181" s="129"/>
      <c r="D181" s="129"/>
      <c r="E181" s="129"/>
      <c r="F181" s="129"/>
    </row>
    <row r="182" spans="1:6">
      <c r="A182" s="129"/>
      <c r="B182" s="129"/>
      <c r="C182" s="129"/>
      <c r="D182" s="129"/>
      <c r="E182" s="129"/>
      <c r="F182" s="129"/>
    </row>
    <row r="183" spans="1:6">
      <c r="A183" s="129"/>
      <c r="B183" s="129"/>
      <c r="C183" s="129"/>
      <c r="D183" s="129"/>
      <c r="E183" s="129"/>
      <c r="F183" s="129"/>
    </row>
    <row r="184" spans="1:6">
      <c r="A184" s="129"/>
      <c r="B184" s="129"/>
      <c r="C184" s="129"/>
      <c r="D184" s="129"/>
      <c r="E184" s="129"/>
      <c r="F184" s="129"/>
    </row>
    <row r="185" spans="1:6">
      <c r="A185" s="129"/>
      <c r="B185" s="129"/>
      <c r="C185" s="129"/>
      <c r="D185" s="129"/>
      <c r="E185" s="129"/>
      <c r="F185" s="129"/>
    </row>
    <row r="186" spans="1:6">
      <c r="A186" s="129"/>
      <c r="B186" s="129"/>
      <c r="C186" s="129"/>
      <c r="D186" s="129"/>
      <c r="E186" s="129"/>
      <c r="F186" s="129"/>
    </row>
    <row r="187" spans="1:6">
      <c r="A187" s="129"/>
      <c r="B187" s="129"/>
      <c r="C187" s="129"/>
      <c r="D187" s="129"/>
      <c r="E187" s="129"/>
      <c r="F187" s="129"/>
    </row>
    <row r="188" spans="1:6">
      <c r="A188" s="129"/>
      <c r="B188" s="129"/>
      <c r="C188" s="129"/>
      <c r="D188" s="129"/>
      <c r="E188" s="129"/>
      <c r="F188" s="129"/>
    </row>
    <row r="189" spans="1:6">
      <c r="A189" s="129"/>
      <c r="B189" s="129"/>
      <c r="C189" s="129"/>
      <c r="D189" s="129"/>
      <c r="E189" s="129"/>
      <c r="F189" s="129"/>
    </row>
    <row r="190" spans="1:6">
      <c r="A190" s="129"/>
      <c r="B190" s="129"/>
      <c r="C190" s="129"/>
      <c r="D190" s="129"/>
      <c r="E190" s="129"/>
      <c r="F190" s="129"/>
    </row>
    <row r="191" spans="1:6">
      <c r="A191" s="129"/>
      <c r="B191" s="129"/>
      <c r="C191" s="129"/>
      <c r="D191" s="129"/>
      <c r="E191" s="129"/>
      <c r="F191" s="129"/>
    </row>
    <row r="192" spans="1:6">
      <c r="A192" s="129"/>
      <c r="B192" s="129"/>
      <c r="C192" s="129"/>
      <c r="D192" s="129"/>
      <c r="E192" s="129"/>
      <c r="F192" s="129"/>
    </row>
    <row r="193" spans="1:6">
      <c r="A193" s="129"/>
      <c r="B193" s="129"/>
      <c r="C193" s="129"/>
      <c r="D193" s="129"/>
      <c r="E193" s="129"/>
      <c r="F193" s="129"/>
    </row>
    <row r="194" spans="1:6">
      <c r="A194" s="129"/>
      <c r="B194" s="129"/>
      <c r="C194" s="129"/>
      <c r="D194" s="129"/>
      <c r="E194" s="129"/>
      <c r="F194" s="129"/>
    </row>
    <row r="195" spans="1:6">
      <c r="A195" s="129"/>
      <c r="B195" s="129"/>
      <c r="C195" s="129"/>
      <c r="D195" s="129"/>
      <c r="E195" s="129"/>
      <c r="F195" s="129"/>
    </row>
    <row r="196" spans="1:6">
      <c r="A196" s="129"/>
      <c r="B196" s="129"/>
      <c r="C196" s="129"/>
      <c r="D196" s="129"/>
      <c r="E196" s="129"/>
      <c r="F196" s="129"/>
    </row>
    <row r="197" spans="1:6">
      <c r="A197" s="129"/>
      <c r="B197" s="129"/>
      <c r="C197" s="129"/>
      <c r="D197" s="129"/>
      <c r="E197" s="129"/>
      <c r="F197" s="129"/>
    </row>
    <row r="198" spans="1:6">
      <c r="A198" s="129"/>
      <c r="B198" s="129"/>
      <c r="C198" s="129"/>
      <c r="D198" s="129"/>
      <c r="E198" s="129"/>
      <c r="F198" s="129"/>
    </row>
    <row r="199" spans="1:6">
      <c r="A199" s="129"/>
      <c r="B199" s="129"/>
      <c r="C199" s="129"/>
      <c r="D199" s="129"/>
      <c r="E199" s="129"/>
      <c r="F199" s="129"/>
    </row>
    <row r="200" spans="1:6">
      <c r="A200" s="129"/>
      <c r="B200" s="129"/>
      <c r="C200" s="129"/>
      <c r="D200" s="129"/>
      <c r="E200" s="129"/>
      <c r="F200" s="129"/>
    </row>
    <row r="201" spans="1:6">
      <c r="A201" s="129"/>
      <c r="B201" s="129"/>
      <c r="C201" s="129"/>
      <c r="D201" s="129"/>
      <c r="E201" s="129"/>
      <c r="F201" s="129"/>
    </row>
    <row r="202" spans="1:6">
      <c r="A202" s="129"/>
      <c r="B202" s="129"/>
      <c r="C202" s="129"/>
      <c r="D202" s="129"/>
      <c r="E202" s="129"/>
      <c r="F202" s="129"/>
    </row>
    <row r="203" spans="1:6">
      <c r="A203" s="129"/>
      <c r="B203" s="129"/>
      <c r="C203" s="129"/>
      <c r="D203" s="129"/>
      <c r="E203" s="129"/>
      <c r="F203" s="129"/>
    </row>
    <row r="204" spans="1:6">
      <c r="A204" s="129"/>
      <c r="B204" s="129"/>
      <c r="C204" s="129"/>
      <c r="D204" s="129"/>
      <c r="E204" s="129"/>
      <c r="F204" s="129"/>
    </row>
    <row r="205" spans="1:6">
      <c r="A205" s="129"/>
      <c r="B205" s="129"/>
      <c r="C205" s="129"/>
      <c r="D205" s="129"/>
      <c r="E205" s="129"/>
      <c r="F205" s="129"/>
    </row>
    <row r="206" spans="1:6">
      <c r="A206" s="129"/>
      <c r="B206" s="129"/>
      <c r="C206" s="129"/>
      <c r="D206" s="129"/>
      <c r="E206" s="129"/>
      <c r="F206" s="129"/>
    </row>
    <row r="207" spans="1:6">
      <c r="A207" s="129"/>
      <c r="B207" s="129"/>
      <c r="C207" s="129"/>
      <c r="D207" s="129"/>
      <c r="E207" s="129"/>
      <c r="F207" s="129"/>
    </row>
    <row r="208" spans="1:6">
      <c r="A208" s="129"/>
      <c r="B208" s="129"/>
      <c r="C208" s="129"/>
      <c r="D208" s="129"/>
      <c r="E208" s="129"/>
      <c r="F208" s="129"/>
    </row>
    <row r="209" spans="1:6">
      <c r="A209" s="129"/>
      <c r="B209" s="129"/>
      <c r="C209" s="129"/>
      <c r="D209" s="129"/>
      <c r="E209" s="129"/>
      <c r="F209" s="129"/>
    </row>
    <row r="210" spans="1:6">
      <c r="A210" s="129"/>
      <c r="B210" s="129"/>
      <c r="C210" s="129"/>
      <c r="D210" s="129"/>
      <c r="E210" s="129"/>
      <c r="F210" s="129"/>
    </row>
    <row r="211" spans="1:6">
      <c r="A211" s="129"/>
      <c r="B211" s="129"/>
      <c r="C211" s="129"/>
      <c r="D211" s="129"/>
      <c r="E211" s="129"/>
      <c r="F211" s="129"/>
    </row>
    <row r="212" spans="1:6">
      <c r="A212" s="129"/>
      <c r="B212" s="129"/>
      <c r="C212" s="129"/>
      <c r="D212" s="129"/>
      <c r="E212" s="129"/>
      <c r="F212" s="129"/>
    </row>
    <row r="213" spans="1:6">
      <c r="A213" s="129"/>
      <c r="B213" s="129"/>
      <c r="C213" s="129"/>
      <c r="D213" s="129"/>
      <c r="E213" s="129"/>
      <c r="F213" s="129"/>
    </row>
    <row r="214" spans="1:6">
      <c r="A214" s="129"/>
      <c r="B214" s="129"/>
      <c r="C214" s="129"/>
      <c r="D214" s="129"/>
      <c r="E214" s="129"/>
      <c r="F214" s="129"/>
    </row>
    <row r="215" spans="1:6">
      <c r="A215" s="129"/>
      <c r="B215" s="129"/>
      <c r="C215" s="129"/>
      <c r="D215" s="129"/>
      <c r="E215" s="129"/>
      <c r="F215" s="129"/>
    </row>
    <row r="216" spans="1:6">
      <c r="A216" s="129"/>
      <c r="B216" s="129"/>
      <c r="C216" s="129"/>
      <c r="D216" s="129"/>
      <c r="E216" s="129"/>
      <c r="F216" s="129"/>
    </row>
    <row r="217" spans="1:6">
      <c r="A217" s="129"/>
      <c r="B217" s="129"/>
      <c r="C217" s="129"/>
      <c r="D217" s="129"/>
      <c r="E217" s="129"/>
      <c r="F217" s="129"/>
    </row>
    <row r="218" spans="1:6">
      <c r="A218" s="129"/>
      <c r="B218" s="129"/>
      <c r="C218" s="129"/>
      <c r="D218" s="129"/>
      <c r="E218" s="129"/>
      <c r="F218" s="129"/>
    </row>
    <row r="219" spans="1:6">
      <c r="A219" s="129"/>
      <c r="B219" s="129"/>
      <c r="C219" s="129"/>
      <c r="D219" s="129"/>
      <c r="E219" s="129"/>
      <c r="F219" s="129"/>
    </row>
    <row r="220" spans="1:6">
      <c r="A220" s="129"/>
      <c r="B220" s="129"/>
      <c r="C220" s="129"/>
      <c r="D220" s="129"/>
      <c r="E220" s="129"/>
      <c r="F220" s="129"/>
    </row>
    <row r="221" spans="1:6">
      <c r="A221" s="129"/>
      <c r="B221" s="129"/>
      <c r="C221" s="129"/>
      <c r="D221" s="129"/>
      <c r="E221" s="129"/>
      <c r="F221" s="129"/>
    </row>
    <row r="222" spans="1:6">
      <c r="A222" s="129"/>
      <c r="B222" s="129"/>
      <c r="C222" s="129"/>
      <c r="D222" s="129"/>
      <c r="E222" s="129"/>
      <c r="F222" s="129"/>
    </row>
    <row r="223" spans="1:6">
      <c r="A223" s="129"/>
      <c r="B223" s="129"/>
      <c r="C223" s="129"/>
      <c r="D223" s="129"/>
      <c r="E223" s="129"/>
      <c r="F223" s="129"/>
    </row>
    <row r="224" spans="1:6">
      <c r="A224" s="129"/>
      <c r="B224" s="129"/>
      <c r="C224" s="129"/>
      <c r="D224" s="129"/>
      <c r="E224" s="129"/>
      <c r="F224" s="129"/>
    </row>
    <row r="225" spans="1:6">
      <c r="A225" s="129"/>
      <c r="B225" s="129"/>
      <c r="C225" s="129"/>
      <c r="D225" s="129"/>
      <c r="E225" s="129"/>
      <c r="F225" s="129"/>
    </row>
    <row r="226" spans="1:6">
      <c r="A226" s="129"/>
      <c r="B226" s="129"/>
      <c r="C226" s="129"/>
      <c r="D226" s="129"/>
      <c r="E226" s="129"/>
      <c r="F226" s="129"/>
    </row>
    <row r="227" spans="1:6">
      <c r="A227" s="129"/>
      <c r="B227" s="129"/>
      <c r="C227" s="129"/>
      <c r="D227" s="129"/>
      <c r="E227" s="129"/>
      <c r="F227" s="129"/>
    </row>
    <row r="228" spans="1:6">
      <c r="A228" s="129"/>
      <c r="B228" s="129"/>
      <c r="C228" s="129"/>
      <c r="D228" s="129"/>
      <c r="E228" s="129"/>
      <c r="F228" s="129"/>
    </row>
    <row r="229" spans="1:6">
      <c r="A229" s="129"/>
      <c r="B229" s="129"/>
      <c r="C229" s="129"/>
      <c r="D229" s="129"/>
      <c r="E229" s="129"/>
      <c r="F229" s="129"/>
    </row>
    <row r="230" spans="1:6">
      <c r="A230" s="129"/>
      <c r="B230" s="129"/>
      <c r="C230" s="129"/>
      <c r="D230" s="129"/>
      <c r="E230" s="129"/>
      <c r="F230" s="129"/>
    </row>
    <row r="231" spans="1:6">
      <c r="A231" s="129"/>
      <c r="B231" s="129"/>
      <c r="C231" s="129"/>
      <c r="D231" s="129"/>
      <c r="E231" s="129"/>
      <c r="F231" s="129"/>
    </row>
    <row r="232" spans="1:6">
      <c r="A232" s="129"/>
      <c r="B232" s="129"/>
      <c r="C232" s="129"/>
      <c r="D232" s="129"/>
      <c r="E232" s="129"/>
      <c r="F232" s="129"/>
    </row>
    <row r="233" spans="1:6">
      <c r="A233" s="129"/>
      <c r="B233" s="129"/>
      <c r="C233" s="129"/>
      <c r="D233" s="129"/>
      <c r="E233" s="129"/>
      <c r="F233" s="129"/>
    </row>
    <row r="234" spans="1:6">
      <c r="A234" s="129"/>
      <c r="B234" s="129"/>
      <c r="C234" s="129"/>
      <c r="D234" s="129"/>
      <c r="E234" s="129"/>
      <c r="F234" s="129"/>
    </row>
    <row r="235" spans="1:6">
      <c r="A235" s="129"/>
      <c r="B235" s="129"/>
      <c r="C235" s="129"/>
      <c r="D235" s="129"/>
      <c r="E235" s="129"/>
      <c r="F235" s="129"/>
    </row>
    <row r="236" spans="1:6">
      <c r="A236" s="129"/>
      <c r="B236" s="129"/>
      <c r="C236" s="129"/>
      <c r="D236" s="129"/>
      <c r="E236" s="129"/>
      <c r="F236" s="129"/>
    </row>
    <row r="237" spans="1:6">
      <c r="A237" s="129"/>
      <c r="B237" s="129"/>
      <c r="C237" s="129"/>
      <c r="D237" s="129"/>
      <c r="E237" s="129"/>
      <c r="F237" s="129"/>
    </row>
    <row r="238" spans="1:6">
      <c r="A238" s="129"/>
      <c r="B238" s="129"/>
      <c r="C238" s="129"/>
      <c r="D238" s="129"/>
      <c r="E238" s="129"/>
      <c r="F238" s="129"/>
    </row>
    <row r="239" spans="1:6">
      <c r="A239" s="129"/>
      <c r="B239" s="129"/>
      <c r="C239" s="129"/>
      <c r="D239" s="129"/>
      <c r="E239" s="129"/>
      <c r="F239" s="129"/>
    </row>
    <row r="240" spans="1:6">
      <c r="A240" s="129"/>
      <c r="B240" s="129"/>
      <c r="C240" s="129"/>
      <c r="D240" s="129"/>
      <c r="E240" s="129"/>
      <c r="F240" s="129"/>
    </row>
    <row r="241" spans="1:6">
      <c r="A241" s="129"/>
      <c r="B241" s="129"/>
      <c r="C241" s="129"/>
      <c r="D241" s="129"/>
      <c r="E241" s="129"/>
      <c r="F241" s="129"/>
    </row>
    <row r="242" spans="1:6">
      <c r="A242" s="129"/>
      <c r="B242" s="129"/>
      <c r="C242" s="129"/>
      <c r="D242" s="129"/>
      <c r="E242" s="129"/>
      <c r="F242" s="129"/>
    </row>
    <row r="243" spans="1:6">
      <c r="A243" s="129"/>
    </row>
    <row r="244" spans="1:6">
      <c r="A244" s="129"/>
    </row>
    <row r="245" spans="1:6">
      <c r="A245" s="129"/>
    </row>
    <row r="246" spans="1:6">
      <c r="A246" s="129"/>
    </row>
    <row r="247" spans="1:6">
      <c r="A247" s="129"/>
    </row>
    <row r="248" spans="1:6">
      <c r="A248" s="129"/>
    </row>
    <row r="249" spans="1:6">
      <c r="A249" s="129"/>
    </row>
    <row r="250" spans="1:6">
      <c r="A250" s="129"/>
    </row>
  </sheetData>
  <mergeCells count="8">
    <mergeCell ref="D52:O52"/>
    <mergeCell ref="D51:O51"/>
    <mergeCell ref="D45:O45"/>
    <mergeCell ref="D46:O46"/>
    <mergeCell ref="D47:O47"/>
    <mergeCell ref="D48:O48"/>
    <mergeCell ref="D49:O49"/>
    <mergeCell ref="D50:O50"/>
  </mergeCells>
  <printOptions horizontalCentered="1"/>
  <pageMargins left="0.75" right="0.75" top="0.75" bottom="0.5" header="0.5" footer="0.5"/>
  <pageSetup scale="53"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A9A31-DA88-4DAD-8691-F647902F2FBD}">
  <sheetPr codeName="Sheet19">
    <tabColor theme="1"/>
    <pageSetUpPr fitToPage="1"/>
  </sheetPr>
  <dimension ref="A1:N70"/>
  <sheetViews>
    <sheetView view="pageBreakPreview" zoomScale="80" zoomScaleNormal="80" zoomScaleSheetLayoutView="80" workbookViewId="0"/>
  </sheetViews>
  <sheetFormatPr defaultColWidth="8.77734375" defaultRowHeight="15"/>
  <cols>
    <col min="1" max="1" width="6.109375" style="9" customWidth="1"/>
    <col min="2" max="2" width="1.21875" style="9" customWidth="1"/>
    <col min="3" max="3" width="50.33203125" style="9" customWidth="1"/>
    <col min="4" max="4" width="5.77734375" style="9" customWidth="1"/>
    <col min="5" max="5" width="17.77734375" style="9" customWidth="1"/>
    <col min="6" max="6" width="19.21875" style="9" bestFit="1" customWidth="1"/>
    <col min="7" max="7" width="3" style="9" customWidth="1"/>
    <col min="8" max="8" width="8.77734375" style="9"/>
    <col min="9" max="9" width="10.44140625" style="9" customWidth="1"/>
    <col min="10" max="10" width="8.77734375" style="9"/>
    <col min="11" max="14" width="13" style="9" customWidth="1"/>
    <col min="15" max="16384" width="8.77734375" style="9"/>
  </cols>
  <sheetData>
    <row r="1" spans="1:14" ht="15.75">
      <c r="A1" s="337" t="str">
        <f>'P1 ADIT'!A1</f>
        <v>Duke Energy Ohio and Duke Energy Kentucky</v>
      </c>
      <c r="B1" s="70"/>
      <c r="C1" s="70"/>
      <c r="D1" s="336"/>
      <c r="E1" s="336"/>
      <c r="F1" s="336"/>
      <c r="I1" s="305"/>
      <c r="J1" s="305"/>
      <c r="K1"/>
      <c r="L1"/>
    </row>
    <row r="2" spans="1:14" ht="18">
      <c r="C2" s="334"/>
      <c r="D2" s="336"/>
      <c r="E2" s="336"/>
      <c r="F2" s="336"/>
      <c r="I2" s="785"/>
      <c r="J2" s="278"/>
      <c r="K2" s="429"/>
    </row>
    <row r="3" spans="1:14" ht="15.75">
      <c r="C3" s="337"/>
      <c r="D3" s="336"/>
      <c r="E3" s="336"/>
      <c r="F3" s="260" t="s">
        <v>393</v>
      </c>
    </row>
    <row r="4" spans="1:14" ht="15.75">
      <c r="C4" s="337"/>
      <c r="D4" s="336"/>
      <c r="E4" s="336"/>
      <c r="F4" s="335" t="str">
        <f>"Page 18 of "&amp;Workpaper</f>
        <v>Page 18 of 19</v>
      </c>
    </row>
    <row r="5" spans="1:14" ht="15.75">
      <c r="C5" s="337"/>
      <c r="D5" s="336"/>
      <c r="E5" s="336"/>
      <c r="F5" s="61" t="str">
        <f>"For the 12 months ended: "&amp;TEXT(INPUT!$B$1,"mm/dd/yyyy")</f>
        <v>For the 12 months ended: 12/31/2021</v>
      </c>
    </row>
    <row r="6" spans="1:14" ht="15.75">
      <c r="C6" s="337"/>
      <c r="D6" s="336"/>
      <c r="E6" s="336"/>
      <c r="F6" s="61"/>
    </row>
    <row r="7" spans="1:14" ht="15.75">
      <c r="A7" s="337" t="s">
        <v>1001</v>
      </c>
      <c r="B7" s="70"/>
      <c r="C7" s="70"/>
      <c r="D7" s="336"/>
      <c r="E7" s="336"/>
      <c r="F7" s="336"/>
    </row>
    <row r="8" spans="1:14" ht="15.75">
      <c r="C8" s="337"/>
      <c r="D8" s="336"/>
      <c r="E8" s="336"/>
      <c r="F8" s="336"/>
    </row>
    <row r="9" spans="1:14" ht="15.75">
      <c r="C9" s="72"/>
      <c r="D9" s="71"/>
      <c r="E9" s="71"/>
      <c r="F9" s="71"/>
    </row>
    <row r="10" spans="1:14" ht="20.25">
      <c r="A10" s="436" t="s">
        <v>8</v>
      </c>
      <c r="C10" s="71"/>
      <c r="D10" s="142"/>
      <c r="E10" s="73"/>
      <c r="F10" s="73"/>
    </row>
    <row r="11" spans="1:14" ht="20.25">
      <c r="A11" s="387" t="s">
        <v>10</v>
      </c>
      <c r="C11" s="361" t="s">
        <v>416</v>
      </c>
      <c r="D11" s="74"/>
      <c r="E11" s="74" t="s">
        <v>180</v>
      </c>
      <c r="F11" s="74" t="s">
        <v>181</v>
      </c>
    </row>
    <row r="12" spans="1:14" ht="20.25">
      <c r="C12" s="561"/>
      <c r="D12" s="74"/>
      <c r="E12" s="74"/>
      <c r="F12" s="74"/>
    </row>
    <row r="13" spans="1:14" ht="20.100000000000001" customHeight="1">
      <c r="A13" s="428">
        <v>1</v>
      </c>
      <c r="C13" s="536" t="s">
        <v>999</v>
      </c>
      <c r="D13" s="143"/>
      <c r="E13" s="898">
        <v>3780</v>
      </c>
      <c r="F13" s="898">
        <v>1293933</v>
      </c>
    </row>
    <row r="14" spans="1:14" ht="20.100000000000001" customHeight="1">
      <c r="A14" s="428"/>
      <c r="C14" s="78"/>
      <c r="D14" s="71"/>
      <c r="E14" s="71"/>
      <c r="F14" s="71"/>
    </row>
    <row r="15" spans="1:14" ht="32.65" customHeight="1">
      <c r="A15" s="593">
        <v>2</v>
      </c>
      <c r="B15" s="489"/>
      <c r="C15" s="542" t="s">
        <v>1000</v>
      </c>
      <c r="D15" s="594"/>
      <c r="E15" s="332">
        <v>0</v>
      </c>
      <c r="F15" s="332">
        <v>91578</v>
      </c>
    </row>
    <row r="16" spans="1:14" ht="20.100000000000001" customHeight="1">
      <c r="A16" s="428"/>
      <c r="C16" s="78"/>
      <c r="D16" s="71"/>
      <c r="E16" s="71"/>
      <c r="F16" s="71"/>
      <c r="I16"/>
      <c r="J16" s="899"/>
      <c r="K16"/>
      <c r="L16"/>
      <c r="M16"/>
      <c r="N16"/>
    </row>
    <row r="17" spans="1:14" ht="20.100000000000001" customHeight="1">
      <c r="A17" s="428">
        <v>3</v>
      </c>
      <c r="C17" s="78" t="s">
        <v>1002</v>
      </c>
      <c r="D17" s="83"/>
      <c r="E17" s="83">
        <f>E13-E15</f>
        <v>3780</v>
      </c>
      <c r="F17" s="83">
        <f>F13-F15</f>
        <v>1202355</v>
      </c>
      <c r="I17" s="900"/>
      <c r="J17" s="904"/>
      <c r="K17" s="904"/>
      <c r="L17" s="904"/>
      <c r="M17" s="904"/>
      <c r="N17" s="904"/>
    </row>
    <row r="18" spans="1:14" ht="20.100000000000001" customHeight="1">
      <c r="C18" s="78"/>
      <c r="D18" s="83"/>
      <c r="E18" s="83"/>
      <c r="F18" s="83"/>
      <c r="I18" s="900"/>
      <c r="J18" s="901"/>
      <c r="K18" s="901"/>
      <c r="L18" s="901"/>
      <c r="M18" s="905"/>
      <c r="N18" s="905"/>
    </row>
    <row r="19" spans="1:14" ht="20.100000000000001" customHeight="1">
      <c r="I19" s="900"/>
      <c r="J19" s="906"/>
      <c r="K19" s="901"/>
      <c r="L19" s="901"/>
      <c r="M19" s="905"/>
      <c r="N19" s="905"/>
    </row>
    <row r="20" spans="1:14">
      <c r="I20" s="900"/>
      <c r="J20" s="906"/>
      <c r="K20" s="901"/>
      <c r="L20" s="901"/>
      <c r="M20" s="905"/>
      <c r="N20" s="905"/>
    </row>
    <row r="21" spans="1:14">
      <c r="I21" s="900"/>
      <c r="J21" s="906"/>
      <c r="K21" s="901"/>
      <c r="L21" s="901"/>
      <c r="M21" s="905"/>
      <c r="N21" s="905"/>
    </row>
    <row r="22" spans="1:14">
      <c r="I22" s="900"/>
      <c r="J22" s="906"/>
      <c r="K22" s="901"/>
      <c r="L22" s="901"/>
      <c r="M22" s="905"/>
      <c r="N22" s="905"/>
    </row>
    <row r="23" spans="1:14">
      <c r="I23" s="900"/>
      <c r="J23" s="906"/>
      <c r="K23" s="901"/>
      <c r="L23" s="901"/>
      <c r="M23" s="905"/>
      <c r="N23" s="905"/>
    </row>
    <row r="24" spans="1:14">
      <c r="I24" s="900"/>
      <c r="J24" s="906"/>
      <c r="K24" s="901"/>
      <c r="L24" s="901"/>
      <c r="M24" s="905"/>
      <c r="N24" s="905"/>
    </row>
    <row r="25" spans="1:14">
      <c r="I25" s="900"/>
      <c r="J25" s="906"/>
      <c r="K25" s="901"/>
      <c r="L25" s="901"/>
      <c r="M25" s="905"/>
      <c r="N25" s="905"/>
    </row>
    <row r="26" spans="1:14">
      <c r="I26" s="900"/>
      <c r="J26" s="906"/>
      <c r="K26" s="901"/>
      <c r="L26" s="901"/>
      <c r="M26" s="905"/>
      <c r="N26" s="905"/>
    </row>
    <row r="27" spans="1:14">
      <c r="I27" s="900"/>
      <c r="J27" s="906"/>
      <c r="K27" s="901"/>
      <c r="L27" s="901"/>
      <c r="M27" s="905"/>
      <c r="N27" s="905"/>
    </row>
    <row r="28" spans="1:14">
      <c r="I28" s="900"/>
      <c r="J28" s="902"/>
      <c r="K28" s="902"/>
      <c r="L28" s="902"/>
      <c r="M28" s="907"/>
      <c r="N28" s="907"/>
    </row>
    <row r="29" spans="1:14">
      <c r="I29" s="900"/>
      <c r="J29" s="908"/>
      <c r="K29" s="908"/>
      <c r="L29" s="908"/>
      <c r="M29" s="908"/>
      <c r="N29" s="908"/>
    </row>
    <row r="30" spans="1:14">
      <c r="I30" s="900"/>
      <c r="J30" s="902"/>
      <c r="K30" s="902"/>
      <c r="L30" s="902"/>
      <c r="M30" s="907"/>
      <c r="N30" s="907"/>
    </row>
    <row r="31" spans="1:14">
      <c r="I31" s="900"/>
      <c r="J31" s="900"/>
      <c r="K31" s="900"/>
      <c r="L31" s="900"/>
      <c r="M31" s="900"/>
      <c r="N31" s="900"/>
    </row>
    <row r="32" spans="1:14" ht="15.75">
      <c r="I32" s="1039"/>
      <c r="J32" s="1039"/>
      <c r="K32" s="900"/>
      <c r="L32" s="900"/>
      <c r="M32" s="900"/>
      <c r="N32" s="900"/>
    </row>
    <row r="33" spans="9:14" ht="15.75">
      <c r="I33" s="1039"/>
      <c r="J33" s="1039"/>
      <c r="K33" s="1039"/>
      <c r="L33" s="900"/>
      <c r="M33" s="900"/>
      <c r="N33" s="900"/>
    </row>
    <row r="34" spans="9:14">
      <c r="I34" s="900"/>
      <c r="J34" s="901"/>
      <c r="K34" s="902"/>
      <c r="L34" s="902"/>
      <c r="M34" s="903"/>
      <c r="N34" s="903"/>
    </row>
    <row r="35" spans="9:14">
      <c r="I35" s="900"/>
      <c r="J35" s="904"/>
      <c r="K35" s="904"/>
      <c r="L35" s="904"/>
      <c r="M35" s="904"/>
      <c r="N35" s="904"/>
    </row>
    <row r="36" spans="9:14">
      <c r="I36" s="900"/>
      <c r="J36" s="901"/>
      <c r="K36" s="901"/>
      <c r="L36" s="901"/>
      <c r="M36" s="905"/>
      <c r="N36" s="905"/>
    </row>
    <row r="37" spans="9:14">
      <c r="I37" s="900"/>
      <c r="J37" s="906"/>
      <c r="K37" s="901"/>
      <c r="L37" s="901"/>
      <c r="M37" s="905"/>
      <c r="N37" s="905"/>
    </row>
    <row r="38" spans="9:14">
      <c r="I38" s="900"/>
      <c r="J38" s="906"/>
      <c r="K38" s="901"/>
      <c r="L38" s="901"/>
      <c r="M38" s="905"/>
      <c r="N38" s="905"/>
    </row>
    <row r="39" spans="9:14">
      <c r="I39" s="900"/>
      <c r="J39" s="906"/>
      <c r="K39" s="901"/>
      <c r="L39" s="901"/>
      <c r="M39" s="905"/>
      <c r="N39" s="905"/>
    </row>
    <row r="40" spans="9:14">
      <c r="I40" s="900"/>
      <c r="J40" s="902"/>
      <c r="K40" s="902"/>
      <c r="L40" s="902"/>
      <c r="M40" s="907"/>
      <c r="N40" s="907"/>
    </row>
    <row r="41" spans="9:14">
      <c r="I41" s="900"/>
      <c r="J41" s="908"/>
      <c r="K41" s="908"/>
      <c r="L41" s="908"/>
      <c r="M41" s="908"/>
      <c r="N41" s="908"/>
    </row>
    <row r="42" spans="9:14">
      <c r="I42" s="900"/>
      <c r="J42" s="902"/>
      <c r="K42" s="902"/>
      <c r="L42" s="902"/>
      <c r="M42" s="907"/>
      <c r="N42" s="907"/>
    </row>
    <row r="43" spans="9:14">
      <c r="I43" s="900"/>
      <c r="J43" s="900"/>
      <c r="K43" s="900"/>
      <c r="L43" s="900"/>
      <c r="M43" s="900"/>
      <c r="N43" s="900"/>
    </row>
    <row r="44" spans="9:14" ht="15.75">
      <c r="I44" s="1039"/>
      <c r="J44" s="1039"/>
      <c r="K44" s="900"/>
      <c r="L44" s="900"/>
      <c r="M44" s="900"/>
      <c r="N44" s="900"/>
    </row>
    <row r="45" spans="9:14" ht="15.75">
      <c r="I45" s="1039"/>
      <c r="J45" s="1039"/>
      <c r="K45" s="1039"/>
      <c r="L45" s="900"/>
      <c r="M45" s="900"/>
      <c r="N45" s="900"/>
    </row>
    <row r="46" spans="9:14">
      <c r="I46" s="900"/>
      <c r="J46" s="901"/>
      <c r="K46" s="902"/>
      <c r="L46" s="902"/>
      <c r="M46" s="903"/>
      <c r="N46" s="903"/>
    </row>
    <row r="47" spans="9:14">
      <c r="I47" s="900"/>
      <c r="J47" s="904"/>
      <c r="K47" s="904"/>
      <c r="L47" s="904"/>
      <c r="M47" s="904"/>
      <c r="N47" s="904"/>
    </row>
    <row r="48" spans="9:14">
      <c r="I48" s="900"/>
      <c r="J48" s="901"/>
      <c r="K48" s="901"/>
      <c r="L48" s="901"/>
      <c r="M48" s="905"/>
      <c r="N48" s="905"/>
    </row>
    <row r="49" spans="9:14">
      <c r="I49" s="900"/>
      <c r="J49" s="906"/>
      <c r="K49" s="901"/>
      <c r="L49" s="901"/>
      <c r="M49" s="905"/>
      <c r="N49" s="905"/>
    </row>
    <row r="50" spans="9:14">
      <c r="I50" s="900"/>
      <c r="J50" s="906"/>
      <c r="K50" s="901"/>
      <c r="L50" s="901"/>
      <c r="M50" s="905"/>
      <c r="N50" s="905"/>
    </row>
    <row r="51" spans="9:14">
      <c r="I51" s="900"/>
      <c r="J51" s="906"/>
      <c r="K51" s="901"/>
      <c r="L51" s="901"/>
      <c r="M51" s="905"/>
      <c r="N51" s="905"/>
    </row>
    <row r="52" spans="9:14">
      <c r="I52" s="900"/>
      <c r="J52" s="906"/>
      <c r="K52" s="901"/>
      <c r="L52" s="901"/>
      <c r="M52" s="905"/>
      <c r="N52" s="905"/>
    </row>
    <row r="53" spans="9:14">
      <c r="I53" s="900"/>
      <c r="J53" s="906"/>
      <c r="K53" s="901"/>
      <c r="L53" s="901"/>
      <c r="M53" s="905"/>
      <c r="N53" s="905"/>
    </row>
    <row r="54" spans="9:14">
      <c r="I54" s="900"/>
      <c r="J54" s="906"/>
      <c r="K54" s="901"/>
      <c r="L54" s="901"/>
      <c r="M54" s="905"/>
      <c r="N54" s="905"/>
    </row>
    <row r="55" spans="9:14">
      <c r="I55" s="900"/>
      <c r="J55" s="906"/>
      <c r="K55" s="901"/>
      <c r="L55" s="901"/>
      <c r="M55" s="905"/>
      <c r="N55" s="905"/>
    </row>
    <row r="56" spans="9:14">
      <c r="I56" s="900"/>
      <c r="J56" s="906"/>
      <c r="K56" s="901"/>
      <c r="L56" s="901"/>
      <c r="M56" s="905"/>
      <c r="N56" s="905"/>
    </row>
    <row r="57" spans="9:14">
      <c r="I57" s="900"/>
      <c r="J57" s="906"/>
      <c r="K57" s="901"/>
      <c r="L57" s="901"/>
      <c r="M57" s="905"/>
      <c r="N57" s="905"/>
    </row>
    <row r="58" spans="9:14">
      <c r="I58" s="900"/>
      <c r="J58" s="902"/>
      <c r="K58" s="902"/>
      <c r="L58" s="902"/>
      <c r="M58" s="907"/>
      <c r="N58" s="907"/>
    </row>
    <row r="59" spans="9:14">
      <c r="I59" s="900"/>
      <c r="J59" s="908"/>
      <c r="K59" s="908"/>
      <c r="L59" s="908"/>
      <c r="M59" s="908"/>
      <c r="N59" s="908"/>
    </row>
    <row r="60" spans="9:14">
      <c r="I60" s="900"/>
      <c r="J60" s="902"/>
      <c r="K60" s="902"/>
      <c r="L60" s="902"/>
      <c r="M60" s="907"/>
      <c r="N60" s="907"/>
    </row>
    <row r="61" spans="9:14">
      <c r="I61" s="900"/>
      <c r="J61" s="900"/>
      <c r="K61" s="900"/>
      <c r="L61" s="900"/>
      <c r="M61" s="900"/>
      <c r="N61" s="900"/>
    </row>
    <row r="62" spans="9:14" ht="15.75">
      <c r="I62" s="1039"/>
      <c r="J62" s="1039"/>
      <c r="K62" s="900"/>
      <c r="L62" s="900"/>
      <c r="M62" s="900"/>
      <c r="N62" s="900"/>
    </row>
    <row r="63" spans="9:14" ht="15.75">
      <c r="I63" s="1039"/>
      <c r="J63" s="1039"/>
      <c r="K63" s="1039"/>
      <c r="L63" s="900"/>
      <c r="M63" s="900"/>
      <c r="N63" s="900"/>
    </row>
    <row r="64" spans="9:14">
      <c r="I64" s="900"/>
      <c r="J64" s="901"/>
      <c r="K64" s="902"/>
      <c r="L64" s="902"/>
      <c r="M64" s="903"/>
      <c r="N64" s="903"/>
    </row>
    <row r="65" spans="9:14">
      <c r="I65" s="900"/>
      <c r="J65" s="904"/>
      <c r="K65" s="904"/>
      <c r="L65" s="904"/>
      <c r="M65" s="904"/>
      <c r="N65" s="904"/>
    </row>
    <row r="66" spans="9:14">
      <c r="I66" s="900"/>
      <c r="J66" s="901"/>
      <c r="K66" s="901"/>
      <c r="L66" s="901"/>
      <c r="M66" s="905"/>
      <c r="N66" s="905"/>
    </row>
    <row r="67" spans="9:14">
      <c r="I67" s="900"/>
      <c r="J67" s="906"/>
      <c r="K67" s="901"/>
      <c r="L67" s="901"/>
      <c r="M67" s="905"/>
      <c r="N67" s="905"/>
    </row>
    <row r="68" spans="9:14">
      <c r="I68" s="900"/>
      <c r="J68" s="906"/>
      <c r="K68" s="901"/>
      <c r="L68" s="901"/>
      <c r="M68" s="905"/>
      <c r="N68" s="905"/>
    </row>
    <row r="69" spans="9:14">
      <c r="I69" s="900"/>
      <c r="J69" s="906"/>
      <c r="K69" s="901"/>
      <c r="L69" s="901"/>
      <c r="M69" s="905"/>
      <c r="N69" s="905"/>
    </row>
    <row r="70" spans="9:14">
      <c r="I70" s="900"/>
      <c r="J70" s="902"/>
      <c r="K70" s="902"/>
      <c r="L70" s="902"/>
      <c r="M70" s="907"/>
      <c r="N70" s="907"/>
    </row>
  </sheetData>
  <mergeCells count="6">
    <mergeCell ref="I62:J62"/>
    <mergeCell ref="I63:K63"/>
    <mergeCell ref="I32:J32"/>
    <mergeCell ref="I33:K33"/>
    <mergeCell ref="I44:J44"/>
    <mergeCell ref="I45:K45"/>
  </mergeCells>
  <printOptions horizontalCentered="1"/>
  <pageMargins left="1" right="0.5" top="1" bottom="0.5" header="0.25" footer="0.25"/>
  <pageSetup scale="74" orientation="portrait" blackAndWhite="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50AAD-BD46-4BD8-9E58-EDC7E32B0A28}">
  <sheetPr codeName="Sheet43">
    <tabColor theme="1"/>
    <pageSetUpPr fitToPage="1"/>
  </sheetPr>
  <dimension ref="A1:K24"/>
  <sheetViews>
    <sheetView view="pageBreakPreview" zoomScale="80" zoomScaleNormal="80" zoomScaleSheetLayoutView="80" workbookViewId="0"/>
  </sheetViews>
  <sheetFormatPr defaultColWidth="8.77734375" defaultRowHeight="15"/>
  <cols>
    <col min="1" max="1" width="4.21875" style="9" customWidth="1"/>
    <col min="2" max="2" width="1.21875" style="9" customWidth="1"/>
    <col min="3" max="3" width="50.77734375" style="9" customWidth="1"/>
    <col min="4" max="4" width="17.44140625" style="9" customWidth="1"/>
    <col min="5" max="5" width="1.21875" style="9" customWidth="1"/>
    <col min="6" max="7" width="13.88671875" style="9" customWidth="1"/>
    <col min="8" max="8" width="4.33203125" style="9" customWidth="1"/>
    <col min="9" max="9" width="10.44140625" style="9" customWidth="1"/>
    <col min="10" max="16384" width="8.77734375" style="9"/>
  </cols>
  <sheetData>
    <row r="1" spans="1:11" ht="15.75">
      <c r="A1" s="867" t="s">
        <v>389</v>
      </c>
      <c r="B1" s="868"/>
      <c r="C1" s="868"/>
      <c r="D1" s="868"/>
      <c r="E1" s="869"/>
      <c r="F1" s="869"/>
      <c r="G1" s="869"/>
      <c r="H1" s="870"/>
      <c r="I1" s="305"/>
      <c r="J1" s="305"/>
    </row>
    <row r="2" spans="1:11" ht="15.75">
      <c r="A2" s="867" t="s">
        <v>976</v>
      </c>
      <c r="B2" s="868"/>
      <c r="C2" s="868"/>
      <c r="D2" s="868"/>
      <c r="E2" s="869"/>
      <c r="F2" s="869"/>
      <c r="G2" s="869"/>
      <c r="H2" s="870"/>
      <c r="I2" s="1"/>
      <c r="J2" s="278"/>
      <c r="K2" s="429"/>
    </row>
    <row r="3" spans="1:11" ht="15.75">
      <c r="A3" s="867"/>
      <c r="B3" s="868"/>
      <c r="C3" s="868"/>
      <c r="D3" s="868"/>
      <c r="E3" s="869"/>
      <c r="F3" s="869"/>
      <c r="G3" s="869"/>
      <c r="H3" s="870"/>
    </row>
    <row r="4" spans="1:11" ht="15.75">
      <c r="A4" s="867"/>
      <c r="B4" s="868"/>
      <c r="C4" s="868"/>
      <c r="D4" s="868"/>
      <c r="E4" s="869"/>
      <c r="F4" s="869"/>
      <c r="G4" s="871" t="s">
        <v>393</v>
      </c>
      <c r="H4" s="870"/>
    </row>
    <row r="5" spans="1:11" ht="15.75">
      <c r="A5" s="870"/>
      <c r="B5" s="870"/>
      <c r="C5" s="867"/>
      <c r="D5" s="867"/>
      <c r="E5" s="869"/>
      <c r="F5" s="869"/>
      <c r="G5" s="335" t="str">
        <f>"Page 19 of "&amp;Workpaper</f>
        <v>Page 19 of 19</v>
      </c>
      <c r="H5" s="870"/>
    </row>
    <row r="6" spans="1:11" ht="15.75">
      <c r="A6" s="870"/>
      <c r="B6" s="870"/>
      <c r="C6" s="872"/>
      <c r="D6" s="872"/>
      <c r="E6" s="681"/>
      <c r="F6" s="873"/>
      <c r="G6" s="880" t="str">
        <f>"For the 12 months ended: "&amp;TEXT(INPUT!$B$1,"mm/dd/yyyy")</f>
        <v>For the 12 months ended: 12/31/2021</v>
      </c>
      <c r="H6" s="873"/>
    </row>
    <row r="7" spans="1:11" ht="15.75">
      <c r="A7" s="870"/>
      <c r="B7" s="870"/>
      <c r="C7" s="872"/>
      <c r="D7" s="872"/>
      <c r="E7" s="681"/>
      <c r="F7" s="873"/>
      <c r="G7" s="61"/>
      <c r="H7" s="873"/>
    </row>
    <row r="8" spans="1:11" ht="20.25">
      <c r="A8" s="874" t="s">
        <v>8</v>
      </c>
      <c r="B8" s="875"/>
      <c r="C8" s="539"/>
      <c r="D8" s="539"/>
      <c r="E8" s="876"/>
      <c r="F8" s="877"/>
      <c r="G8" s="877"/>
      <c r="H8" s="875"/>
    </row>
    <row r="9" spans="1:11" ht="20.25">
      <c r="A9" s="878" t="s">
        <v>10</v>
      </c>
      <c r="B9" s="875"/>
      <c r="C9" s="879" t="s">
        <v>416</v>
      </c>
      <c r="D9" s="879" t="s">
        <v>291</v>
      </c>
      <c r="E9" s="879"/>
      <c r="F9" s="879" t="s">
        <v>180</v>
      </c>
      <c r="G9" s="879" t="s">
        <v>181</v>
      </c>
      <c r="H9" s="875"/>
    </row>
    <row r="10" spans="1:11" ht="20.25">
      <c r="A10" s="875"/>
      <c r="B10" s="875"/>
      <c r="C10" s="884"/>
      <c r="D10" s="884"/>
      <c r="E10" s="879"/>
      <c r="F10" s="879"/>
      <c r="G10" s="879"/>
      <c r="H10" s="875"/>
    </row>
    <row r="11" spans="1:11">
      <c r="A11" s="885">
        <v>1</v>
      </c>
      <c r="B11" s="875"/>
      <c r="C11" s="356" t="s">
        <v>976</v>
      </c>
      <c r="D11" s="356" t="s">
        <v>977</v>
      </c>
      <c r="E11" s="886"/>
      <c r="F11" s="887">
        <v>2248775.1699999953</v>
      </c>
      <c r="G11" s="887">
        <v>669582.17000000039</v>
      </c>
      <c r="H11" s="875"/>
    </row>
    <row r="12" spans="1:11" ht="15" customHeight="1">
      <c r="A12" s="885"/>
      <c r="B12" s="875"/>
      <c r="C12" s="357"/>
      <c r="D12" s="357"/>
      <c r="E12" s="539"/>
      <c r="F12" s="539"/>
      <c r="G12" s="539"/>
      <c r="H12" s="875"/>
    </row>
    <row r="13" spans="1:11" ht="15" customHeight="1">
      <c r="A13" s="885">
        <v>2</v>
      </c>
      <c r="B13" s="875"/>
      <c r="C13" s="888" t="s">
        <v>978</v>
      </c>
      <c r="D13" s="888" t="s">
        <v>979</v>
      </c>
      <c r="E13" s="889"/>
      <c r="F13" s="890">
        <f>DEO!E148</f>
        <v>0.20999999999999996</v>
      </c>
      <c r="G13" s="890">
        <f>DEK!E148</f>
        <v>0.24950000000000006</v>
      </c>
      <c r="H13" s="875"/>
    </row>
    <row r="14" spans="1:11" ht="15" customHeight="1">
      <c r="A14" s="885"/>
      <c r="B14" s="875"/>
      <c r="C14" s="357"/>
      <c r="D14" s="357"/>
      <c r="E14" s="539"/>
      <c r="F14" s="539"/>
      <c r="G14" s="539"/>
      <c r="H14" s="875"/>
    </row>
    <row r="15" spans="1:11" ht="33.6" customHeight="1">
      <c r="A15" s="885">
        <v>3</v>
      </c>
      <c r="B15" s="875"/>
      <c r="C15" s="891" t="s">
        <v>980</v>
      </c>
      <c r="D15" s="891"/>
      <c r="E15" s="889"/>
      <c r="F15" s="892">
        <f>F11*F13</f>
        <v>472242.7856999989</v>
      </c>
      <c r="G15" s="892">
        <f>G11*G13</f>
        <v>167060.75141500012</v>
      </c>
      <c r="H15" s="893" t="s">
        <v>18</v>
      </c>
    </row>
    <row r="16" spans="1:11" ht="15" customHeight="1">
      <c r="A16" s="885"/>
      <c r="B16" s="875"/>
      <c r="C16" s="357"/>
      <c r="D16" s="357"/>
      <c r="E16" s="539"/>
      <c r="F16" s="539"/>
      <c r="G16" s="539"/>
      <c r="H16" s="875"/>
    </row>
    <row r="17" spans="1:8" ht="15" customHeight="1">
      <c r="A17" s="875"/>
      <c r="B17" s="875"/>
      <c r="C17" s="875"/>
      <c r="D17" s="875"/>
      <c r="E17" s="875"/>
      <c r="F17" s="875"/>
      <c r="G17" s="875"/>
      <c r="H17" s="875"/>
    </row>
    <row r="18" spans="1:8" ht="15" customHeight="1">
      <c r="A18" s="875"/>
      <c r="B18" s="875"/>
      <c r="C18" s="875"/>
      <c r="D18" s="875"/>
      <c r="E18" s="875"/>
      <c r="F18" s="875"/>
      <c r="G18" s="875"/>
      <c r="H18" s="875"/>
    </row>
    <row r="19" spans="1:8" ht="15" customHeight="1">
      <c r="A19" s="870"/>
      <c r="B19" s="875"/>
      <c r="C19" s="894" t="s">
        <v>981</v>
      </c>
      <c r="D19" s="895"/>
      <c r="E19" s="875"/>
      <c r="F19" s="875"/>
      <c r="G19" s="875"/>
      <c r="H19" s="875"/>
    </row>
    <row r="20" spans="1:8" ht="15" customHeight="1">
      <c r="A20" s="875"/>
      <c r="B20" s="875"/>
      <c r="C20" s="896"/>
      <c r="D20" s="896"/>
      <c r="E20" s="875"/>
      <c r="F20" s="875"/>
      <c r="G20" s="875"/>
      <c r="H20" s="875"/>
    </row>
    <row r="21" spans="1:8" ht="15" customHeight="1">
      <c r="A21" s="875"/>
      <c r="B21" s="875"/>
      <c r="C21" s="875"/>
      <c r="D21" s="875"/>
      <c r="E21" s="875"/>
      <c r="F21" s="875"/>
      <c r="G21" s="875"/>
      <c r="H21" s="875"/>
    </row>
    <row r="22" spans="1:8" ht="15" customHeight="1">
      <c r="A22" s="875"/>
      <c r="B22" s="875"/>
      <c r="C22" s="897"/>
      <c r="D22" s="875"/>
      <c r="E22" s="875"/>
      <c r="F22" s="875"/>
      <c r="G22" s="875"/>
      <c r="H22" s="875"/>
    </row>
    <row r="23" spans="1:8" ht="15" customHeight="1">
      <c r="A23" s="875"/>
      <c r="B23" s="875"/>
      <c r="C23" s="897"/>
      <c r="D23" s="875"/>
      <c r="E23" s="875"/>
      <c r="F23" s="875"/>
      <c r="G23" s="875"/>
      <c r="H23" s="875"/>
    </row>
    <row r="24" spans="1:8">
      <c r="A24" s="875"/>
      <c r="B24" s="875"/>
      <c r="C24" s="875"/>
      <c r="D24" s="875"/>
      <c r="E24" s="875"/>
      <c r="F24" s="875"/>
      <c r="G24" s="875"/>
      <c r="H24" s="870"/>
    </row>
  </sheetData>
  <printOptions horizontalCentered="1"/>
  <pageMargins left="0.56999999999999995" right="0.5" top="1" bottom="0.5" header="0.25" footer="0.25"/>
  <pageSetup scale="74"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rgb="FFFF3300"/>
    <pageSetUpPr fitToPage="1"/>
  </sheetPr>
  <dimension ref="A1:R250"/>
  <sheetViews>
    <sheetView view="pageBreakPreview" zoomScale="80" zoomScaleNormal="75" zoomScaleSheetLayoutView="80" workbookViewId="0"/>
  </sheetViews>
  <sheetFormatPr defaultRowHeight="15"/>
  <cols>
    <col min="1" max="2" width="4.77734375" customWidth="1"/>
    <col min="3" max="3" width="1.21875" customWidth="1"/>
    <col min="4" max="4" width="24.77734375" customWidth="1"/>
    <col min="5" max="5" width="8.77734375"/>
    <col min="6" max="6" width="13.77734375" customWidth="1"/>
    <col min="7" max="9" width="12.77734375" customWidth="1"/>
    <col min="10" max="10" width="15.77734375" customWidth="1"/>
    <col min="11" max="11" width="12.5546875" customWidth="1"/>
    <col min="12" max="12" width="12.77734375" customWidth="1"/>
    <col min="13" max="13" width="16.77734375" customWidth="1"/>
    <col min="14" max="14" width="12.77734375" customWidth="1"/>
    <col min="15" max="15" width="15.44140625" customWidth="1"/>
    <col min="16" max="237" width="8.77734375"/>
    <col min="238" max="238" width="6" customWidth="1"/>
    <col min="239" max="239" width="1.44140625" customWidth="1"/>
    <col min="240" max="240" width="39.109375" customWidth="1"/>
    <col min="241" max="241" width="12" customWidth="1"/>
    <col min="242" max="242" width="14.44140625" customWidth="1"/>
    <col min="243" max="243" width="11.77734375" customWidth="1"/>
    <col min="244" max="244" width="14.109375" customWidth="1"/>
    <col min="245" max="245" width="13.77734375" customWidth="1"/>
    <col min="246" max="247" width="12.77734375" customWidth="1"/>
    <col min="248" max="248" width="13.5546875" customWidth="1"/>
    <col min="249" max="249" width="15.21875" customWidth="1"/>
    <col min="250" max="250" width="12.77734375" customWidth="1"/>
    <col min="251" max="251" width="13.77734375" customWidth="1"/>
    <col min="252" max="252" width="1.77734375" customWidth="1"/>
    <col min="253" max="253" width="13" customWidth="1"/>
    <col min="254" max="493" width="8.77734375"/>
    <col min="494" max="494" width="6" customWidth="1"/>
    <col min="495" max="495" width="1.44140625" customWidth="1"/>
    <col min="496" max="496" width="39.109375" customWidth="1"/>
    <col min="497" max="497" width="12" customWidth="1"/>
    <col min="498" max="498" width="14.44140625" customWidth="1"/>
    <col min="499" max="499" width="11.77734375" customWidth="1"/>
    <col min="500" max="500" width="14.109375" customWidth="1"/>
    <col min="501" max="501" width="13.77734375" customWidth="1"/>
    <col min="502" max="503" width="12.77734375" customWidth="1"/>
    <col min="504" max="504" width="13.5546875" customWidth="1"/>
    <col min="505" max="505" width="15.21875" customWidth="1"/>
    <col min="506" max="506" width="12.77734375" customWidth="1"/>
    <col min="507" max="507" width="13.77734375" customWidth="1"/>
    <col min="508" max="508" width="1.77734375" customWidth="1"/>
    <col min="509" max="509" width="13" customWidth="1"/>
    <col min="510" max="749" width="8.77734375"/>
    <col min="750" max="750" width="6" customWidth="1"/>
    <col min="751" max="751" width="1.44140625" customWidth="1"/>
    <col min="752" max="752" width="39.109375" customWidth="1"/>
    <col min="753" max="753" width="12" customWidth="1"/>
    <col min="754" max="754" width="14.44140625" customWidth="1"/>
    <col min="755" max="755" width="11.77734375" customWidth="1"/>
    <col min="756" max="756" width="14.109375" customWidth="1"/>
    <col min="757" max="757" width="13.77734375" customWidth="1"/>
    <col min="758" max="759" width="12.77734375" customWidth="1"/>
    <col min="760" max="760" width="13.5546875" customWidth="1"/>
    <col min="761" max="761" width="15.21875" customWidth="1"/>
    <col min="762" max="762" width="12.77734375" customWidth="1"/>
    <col min="763" max="763" width="13.77734375" customWidth="1"/>
    <col min="764" max="764" width="1.77734375" customWidth="1"/>
    <col min="765" max="765" width="13" customWidth="1"/>
    <col min="766" max="1005" width="8.77734375"/>
    <col min="1006" max="1006" width="6" customWidth="1"/>
    <col min="1007" max="1007" width="1.44140625" customWidth="1"/>
    <col min="1008" max="1008" width="39.109375" customWidth="1"/>
    <col min="1009" max="1009" width="12" customWidth="1"/>
    <col min="1010" max="1010" width="14.44140625" customWidth="1"/>
    <col min="1011" max="1011" width="11.77734375" customWidth="1"/>
    <col min="1012" max="1012" width="14.109375" customWidth="1"/>
    <col min="1013" max="1013" width="13.77734375" customWidth="1"/>
    <col min="1014" max="1015" width="12.77734375" customWidth="1"/>
    <col min="1016" max="1016" width="13.5546875" customWidth="1"/>
    <col min="1017" max="1017" width="15.21875" customWidth="1"/>
    <col min="1018" max="1018" width="12.77734375" customWidth="1"/>
    <col min="1019" max="1019" width="13.77734375" customWidth="1"/>
    <col min="1020" max="1020" width="1.77734375" customWidth="1"/>
    <col min="1021" max="1021" width="13" customWidth="1"/>
    <col min="1022" max="1261" width="8.77734375"/>
    <col min="1262" max="1262" width="6" customWidth="1"/>
    <col min="1263" max="1263" width="1.44140625" customWidth="1"/>
    <col min="1264" max="1264" width="39.109375" customWidth="1"/>
    <col min="1265" max="1265" width="12" customWidth="1"/>
    <col min="1266" max="1266" width="14.44140625" customWidth="1"/>
    <col min="1267" max="1267" width="11.77734375" customWidth="1"/>
    <col min="1268" max="1268" width="14.109375" customWidth="1"/>
    <col min="1269" max="1269" width="13.77734375" customWidth="1"/>
    <col min="1270" max="1271" width="12.77734375" customWidth="1"/>
    <col min="1272" max="1272" width="13.5546875" customWidth="1"/>
    <col min="1273" max="1273" width="15.21875" customWidth="1"/>
    <col min="1274" max="1274" width="12.77734375" customWidth="1"/>
    <col min="1275" max="1275" width="13.77734375" customWidth="1"/>
    <col min="1276" max="1276" width="1.77734375" customWidth="1"/>
    <col min="1277" max="1277" width="13" customWidth="1"/>
    <col min="1278" max="1517" width="8.77734375"/>
    <col min="1518" max="1518" width="6" customWidth="1"/>
    <col min="1519" max="1519" width="1.44140625" customWidth="1"/>
    <col min="1520" max="1520" width="39.109375" customWidth="1"/>
    <col min="1521" max="1521" width="12" customWidth="1"/>
    <col min="1522" max="1522" width="14.44140625" customWidth="1"/>
    <col min="1523" max="1523" width="11.77734375" customWidth="1"/>
    <col min="1524" max="1524" width="14.109375" customWidth="1"/>
    <col min="1525" max="1525" width="13.77734375" customWidth="1"/>
    <col min="1526" max="1527" width="12.77734375" customWidth="1"/>
    <col min="1528" max="1528" width="13.5546875" customWidth="1"/>
    <col min="1529" max="1529" width="15.21875" customWidth="1"/>
    <col min="1530" max="1530" width="12.77734375" customWidth="1"/>
    <col min="1531" max="1531" width="13.77734375" customWidth="1"/>
    <col min="1532" max="1532" width="1.77734375" customWidth="1"/>
    <col min="1533" max="1533" width="13" customWidth="1"/>
    <col min="1534" max="1773" width="8.77734375"/>
    <col min="1774" max="1774" width="6" customWidth="1"/>
    <col min="1775" max="1775" width="1.44140625" customWidth="1"/>
    <col min="1776" max="1776" width="39.109375" customWidth="1"/>
    <col min="1777" max="1777" width="12" customWidth="1"/>
    <col min="1778" max="1778" width="14.44140625" customWidth="1"/>
    <col min="1779" max="1779" width="11.77734375" customWidth="1"/>
    <col min="1780" max="1780" width="14.109375" customWidth="1"/>
    <col min="1781" max="1781" width="13.77734375" customWidth="1"/>
    <col min="1782" max="1783" width="12.77734375" customWidth="1"/>
    <col min="1784" max="1784" width="13.5546875" customWidth="1"/>
    <col min="1785" max="1785" width="15.21875" customWidth="1"/>
    <col min="1786" max="1786" width="12.77734375" customWidth="1"/>
    <col min="1787" max="1787" width="13.77734375" customWidth="1"/>
    <col min="1788" max="1788" width="1.77734375" customWidth="1"/>
    <col min="1789" max="1789" width="13" customWidth="1"/>
    <col min="1790" max="2029" width="8.77734375"/>
    <col min="2030" max="2030" width="6" customWidth="1"/>
    <col min="2031" max="2031" width="1.44140625" customWidth="1"/>
    <col min="2032" max="2032" width="39.109375" customWidth="1"/>
    <col min="2033" max="2033" width="12" customWidth="1"/>
    <col min="2034" max="2034" width="14.44140625" customWidth="1"/>
    <col min="2035" max="2035" width="11.77734375" customWidth="1"/>
    <col min="2036" max="2036" width="14.109375" customWidth="1"/>
    <col min="2037" max="2037" width="13.77734375" customWidth="1"/>
    <col min="2038" max="2039" width="12.77734375" customWidth="1"/>
    <col min="2040" max="2040" width="13.5546875" customWidth="1"/>
    <col min="2041" max="2041" width="15.21875" customWidth="1"/>
    <col min="2042" max="2042" width="12.77734375" customWidth="1"/>
    <col min="2043" max="2043" width="13.77734375" customWidth="1"/>
    <col min="2044" max="2044" width="1.77734375" customWidth="1"/>
    <col min="2045" max="2045" width="13" customWidth="1"/>
    <col min="2046" max="2285" width="8.77734375"/>
    <col min="2286" max="2286" width="6" customWidth="1"/>
    <col min="2287" max="2287" width="1.44140625" customWidth="1"/>
    <col min="2288" max="2288" width="39.109375" customWidth="1"/>
    <col min="2289" max="2289" width="12" customWidth="1"/>
    <col min="2290" max="2290" width="14.44140625" customWidth="1"/>
    <col min="2291" max="2291" width="11.77734375" customWidth="1"/>
    <col min="2292" max="2292" width="14.109375" customWidth="1"/>
    <col min="2293" max="2293" width="13.77734375" customWidth="1"/>
    <col min="2294" max="2295" width="12.77734375" customWidth="1"/>
    <col min="2296" max="2296" width="13.5546875" customWidth="1"/>
    <col min="2297" max="2297" width="15.21875" customWidth="1"/>
    <col min="2298" max="2298" width="12.77734375" customWidth="1"/>
    <col min="2299" max="2299" width="13.77734375" customWidth="1"/>
    <col min="2300" max="2300" width="1.77734375" customWidth="1"/>
    <col min="2301" max="2301" width="13" customWidth="1"/>
    <col min="2302" max="2541" width="8.77734375"/>
    <col min="2542" max="2542" width="6" customWidth="1"/>
    <col min="2543" max="2543" width="1.44140625" customWidth="1"/>
    <col min="2544" max="2544" width="39.109375" customWidth="1"/>
    <col min="2545" max="2545" width="12" customWidth="1"/>
    <col min="2546" max="2546" width="14.44140625" customWidth="1"/>
    <col min="2547" max="2547" width="11.77734375" customWidth="1"/>
    <col min="2548" max="2548" width="14.109375" customWidth="1"/>
    <col min="2549" max="2549" width="13.77734375" customWidth="1"/>
    <col min="2550" max="2551" width="12.77734375" customWidth="1"/>
    <col min="2552" max="2552" width="13.5546875" customWidth="1"/>
    <col min="2553" max="2553" width="15.21875" customWidth="1"/>
    <col min="2554" max="2554" width="12.77734375" customWidth="1"/>
    <col min="2555" max="2555" width="13.77734375" customWidth="1"/>
    <col min="2556" max="2556" width="1.77734375" customWidth="1"/>
    <col min="2557" max="2557" width="13" customWidth="1"/>
    <col min="2558" max="2797" width="8.77734375"/>
    <col min="2798" max="2798" width="6" customWidth="1"/>
    <col min="2799" max="2799" width="1.44140625" customWidth="1"/>
    <col min="2800" max="2800" width="39.109375" customWidth="1"/>
    <col min="2801" max="2801" width="12" customWidth="1"/>
    <col min="2802" max="2802" width="14.44140625" customWidth="1"/>
    <col min="2803" max="2803" width="11.77734375" customWidth="1"/>
    <col min="2804" max="2804" width="14.109375" customWidth="1"/>
    <col min="2805" max="2805" width="13.77734375" customWidth="1"/>
    <col min="2806" max="2807" width="12.77734375" customWidth="1"/>
    <col min="2808" max="2808" width="13.5546875" customWidth="1"/>
    <col min="2809" max="2809" width="15.21875" customWidth="1"/>
    <col min="2810" max="2810" width="12.77734375" customWidth="1"/>
    <col min="2811" max="2811" width="13.77734375" customWidth="1"/>
    <col min="2812" max="2812" width="1.77734375" customWidth="1"/>
    <col min="2813" max="2813" width="13" customWidth="1"/>
    <col min="2814" max="3053" width="8.77734375"/>
    <col min="3054" max="3054" width="6" customWidth="1"/>
    <col min="3055" max="3055" width="1.44140625" customWidth="1"/>
    <col min="3056" max="3056" width="39.109375" customWidth="1"/>
    <col min="3057" max="3057" width="12" customWidth="1"/>
    <col min="3058" max="3058" width="14.44140625" customWidth="1"/>
    <col min="3059" max="3059" width="11.77734375" customWidth="1"/>
    <col min="3060" max="3060" width="14.109375" customWidth="1"/>
    <col min="3061" max="3061" width="13.77734375" customWidth="1"/>
    <col min="3062" max="3063" width="12.77734375" customWidth="1"/>
    <col min="3064" max="3064" width="13.5546875" customWidth="1"/>
    <col min="3065" max="3065" width="15.21875" customWidth="1"/>
    <col min="3066" max="3066" width="12.77734375" customWidth="1"/>
    <col min="3067" max="3067" width="13.77734375" customWidth="1"/>
    <col min="3068" max="3068" width="1.77734375" customWidth="1"/>
    <col min="3069" max="3069" width="13" customWidth="1"/>
    <col min="3070" max="3309" width="8.77734375"/>
    <col min="3310" max="3310" width="6" customWidth="1"/>
    <col min="3311" max="3311" width="1.44140625" customWidth="1"/>
    <col min="3312" max="3312" width="39.109375" customWidth="1"/>
    <col min="3313" max="3313" width="12" customWidth="1"/>
    <col min="3314" max="3314" width="14.44140625" customWidth="1"/>
    <col min="3315" max="3315" width="11.77734375" customWidth="1"/>
    <col min="3316" max="3316" width="14.109375" customWidth="1"/>
    <col min="3317" max="3317" width="13.77734375" customWidth="1"/>
    <col min="3318" max="3319" width="12.77734375" customWidth="1"/>
    <col min="3320" max="3320" width="13.5546875" customWidth="1"/>
    <col min="3321" max="3321" width="15.21875" customWidth="1"/>
    <col min="3322" max="3322" width="12.77734375" customWidth="1"/>
    <col min="3323" max="3323" width="13.77734375" customWidth="1"/>
    <col min="3324" max="3324" width="1.77734375" customWidth="1"/>
    <col min="3325" max="3325" width="13" customWidth="1"/>
    <col min="3326" max="3565" width="8.77734375"/>
    <col min="3566" max="3566" width="6" customWidth="1"/>
    <col min="3567" max="3567" width="1.44140625" customWidth="1"/>
    <col min="3568" max="3568" width="39.109375" customWidth="1"/>
    <col min="3569" max="3569" width="12" customWidth="1"/>
    <col min="3570" max="3570" width="14.44140625" customWidth="1"/>
    <col min="3571" max="3571" width="11.77734375" customWidth="1"/>
    <col min="3572" max="3572" width="14.109375" customWidth="1"/>
    <col min="3573" max="3573" width="13.77734375" customWidth="1"/>
    <col min="3574" max="3575" width="12.77734375" customWidth="1"/>
    <col min="3576" max="3576" width="13.5546875" customWidth="1"/>
    <col min="3577" max="3577" width="15.21875" customWidth="1"/>
    <col min="3578" max="3578" width="12.77734375" customWidth="1"/>
    <col min="3579" max="3579" width="13.77734375" customWidth="1"/>
    <col min="3580" max="3580" width="1.77734375" customWidth="1"/>
    <col min="3581" max="3581" width="13" customWidth="1"/>
    <col min="3582" max="3821" width="8.77734375"/>
    <col min="3822" max="3822" width="6" customWidth="1"/>
    <col min="3823" max="3823" width="1.44140625" customWidth="1"/>
    <col min="3824" max="3824" width="39.109375" customWidth="1"/>
    <col min="3825" max="3825" width="12" customWidth="1"/>
    <col min="3826" max="3826" width="14.44140625" customWidth="1"/>
    <col min="3827" max="3827" width="11.77734375" customWidth="1"/>
    <col min="3828" max="3828" width="14.109375" customWidth="1"/>
    <col min="3829" max="3829" width="13.77734375" customWidth="1"/>
    <col min="3830" max="3831" width="12.77734375" customWidth="1"/>
    <col min="3832" max="3832" width="13.5546875" customWidth="1"/>
    <col min="3833" max="3833" width="15.21875" customWidth="1"/>
    <col min="3834" max="3834" width="12.77734375" customWidth="1"/>
    <col min="3835" max="3835" width="13.77734375" customWidth="1"/>
    <col min="3836" max="3836" width="1.77734375" customWidth="1"/>
    <col min="3837" max="3837" width="13" customWidth="1"/>
    <col min="3838" max="4077" width="8.77734375"/>
    <col min="4078" max="4078" width="6" customWidth="1"/>
    <col min="4079" max="4079" width="1.44140625" customWidth="1"/>
    <col min="4080" max="4080" width="39.109375" customWidth="1"/>
    <col min="4081" max="4081" width="12" customWidth="1"/>
    <col min="4082" max="4082" width="14.44140625" customWidth="1"/>
    <col min="4083" max="4083" width="11.77734375" customWidth="1"/>
    <col min="4084" max="4084" width="14.109375" customWidth="1"/>
    <col min="4085" max="4085" width="13.77734375" customWidth="1"/>
    <col min="4086" max="4087" width="12.77734375" customWidth="1"/>
    <col min="4088" max="4088" width="13.5546875" customWidth="1"/>
    <col min="4089" max="4089" width="15.21875" customWidth="1"/>
    <col min="4090" max="4090" width="12.77734375" customWidth="1"/>
    <col min="4091" max="4091" width="13.77734375" customWidth="1"/>
    <col min="4092" max="4092" width="1.77734375" customWidth="1"/>
    <col min="4093" max="4093" width="13" customWidth="1"/>
    <col min="4094" max="4333" width="8.77734375"/>
    <col min="4334" max="4334" width="6" customWidth="1"/>
    <col min="4335" max="4335" width="1.44140625" customWidth="1"/>
    <col min="4336" max="4336" width="39.109375" customWidth="1"/>
    <col min="4337" max="4337" width="12" customWidth="1"/>
    <col min="4338" max="4338" width="14.44140625" customWidth="1"/>
    <col min="4339" max="4339" width="11.77734375" customWidth="1"/>
    <col min="4340" max="4340" width="14.109375" customWidth="1"/>
    <col min="4341" max="4341" width="13.77734375" customWidth="1"/>
    <col min="4342" max="4343" width="12.77734375" customWidth="1"/>
    <col min="4344" max="4344" width="13.5546875" customWidth="1"/>
    <col min="4345" max="4345" width="15.21875" customWidth="1"/>
    <col min="4346" max="4346" width="12.77734375" customWidth="1"/>
    <col min="4347" max="4347" width="13.77734375" customWidth="1"/>
    <col min="4348" max="4348" width="1.77734375" customWidth="1"/>
    <col min="4349" max="4349" width="13" customWidth="1"/>
    <col min="4350" max="4589" width="8.77734375"/>
    <col min="4590" max="4590" width="6" customWidth="1"/>
    <col min="4591" max="4591" width="1.44140625" customWidth="1"/>
    <col min="4592" max="4592" width="39.109375" customWidth="1"/>
    <col min="4593" max="4593" width="12" customWidth="1"/>
    <col min="4594" max="4594" width="14.44140625" customWidth="1"/>
    <col min="4595" max="4595" width="11.77734375" customWidth="1"/>
    <col min="4596" max="4596" width="14.109375" customWidth="1"/>
    <col min="4597" max="4597" width="13.77734375" customWidth="1"/>
    <col min="4598" max="4599" width="12.77734375" customWidth="1"/>
    <col min="4600" max="4600" width="13.5546875" customWidth="1"/>
    <col min="4601" max="4601" width="15.21875" customWidth="1"/>
    <col min="4602" max="4602" width="12.77734375" customWidth="1"/>
    <col min="4603" max="4603" width="13.77734375" customWidth="1"/>
    <col min="4604" max="4604" width="1.77734375" customWidth="1"/>
    <col min="4605" max="4605" width="13" customWidth="1"/>
    <col min="4606" max="4845" width="8.77734375"/>
    <col min="4846" max="4846" width="6" customWidth="1"/>
    <col min="4847" max="4847" width="1.44140625" customWidth="1"/>
    <col min="4848" max="4848" width="39.109375" customWidth="1"/>
    <col min="4849" max="4849" width="12" customWidth="1"/>
    <col min="4850" max="4850" width="14.44140625" customWidth="1"/>
    <col min="4851" max="4851" width="11.77734375" customWidth="1"/>
    <col min="4852" max="4852" width="14.109375" customWidth="1"/>
    <col min="4853" max="4853" width="13.77734375" customWidth="1"/>
    <col min="4854" max="4855" width="12.77734375" customWidth="1"/>
    <col min="4856" max="4856" width="13.5546875" customWidth="1"/>
    <col min="4857" max="4857" width="15.21875" customWidth="1"/>
    <col min="4858" max="4858" width="12.77734375" customWidth="1"/>
    <col min="4859" max="4859" width="13.77734375" customWidth="1"/>
    <col min="4860" max="4860" width="1.77734375" customWidth="1"/>
    <col min="4861" max="4861" width="13" customWidth="1"/>
    <col min="4862" max="5101" width="8.77734375"/>
    <col min="5102" max="5102" width="6" customWidth="1"/>
    <col min="5103" max="5103" width="1.44140625" customWidth="1"/>
    <col min="5104" max="5104" width="39.109375" customWidth="1"/>
    <col min="5105" max="5105" width="12" customWidth="1"/>
    <col min="5106" max="5106" width="14.44140625" customWidth="1"/>
    <col min="5107" max="5107" width="11.77734375" customWidth="1"/>
    <col min="5108" max="5108" width="14.109375" customWidth="1"/>
    <col min="5109" max="5109" width="13.77734375" customWidth="1"/>
    <col min="5110" max="5111" width="12.77734375" customWidth="1"/>
    <col min="5112" max="5112" width="13.5546875" customWidth="1"/>
    <col min="5113" max="5113" width="15.21875" customWidth="1"/>
    <col min="5114" max="5114" width="12.77734375" customWidth="1"/>
    <col min="5115" max="5115" width="13.77734375" customWidth="1"/>
    <col min="5116" max="5116" width="1.77734375" customWidth="1"/>
    <col min="5117" max="5117" width="13" customWidth="1"/>
    <col min="5118" max="5357" width="8.77734375"/>
    <col min="5358" max="5358" width="6" customWidth="1"/>
    <col min="5359" max="5359" width="1.44140625" customWidth="1"/>
    <col min="5360" max="5360" width="39.109375" customWidth="1"/>
    <col min="5361" max="5361" width="12" customWidth="1"/>
    <col min="5362" max="5362" width="14.44140625" customWidth="1"/>
    <col min="5363" max="5363" width="11.77734375" customWidth="1"/>
    <col min="5364" max="5364" width="14.109375" customWidth="1"/>
    <col min="5365" max="5365" width="13.77734375" customWidth="1"/>
    <col min="5366" max="5367" width="12.77734375" customWidth="1"/>
    <col min="5368" max="5368" width="13.5546875" customWidth="1"/>
    <col min="5369" max="5369" width="15.21875" customWidth="1"/>
    <col min="5370" max="5370" width="12.77734375" customWidth="1"/>
    <col min="5371" max="5371" width="13.77734375" customWidth="1"/>
    <col min="5372" max="5372" width="1.77734375" customWidth="1"/>
    <col min="5373" max="5373" width="13" customWidth="1"/>
    <col min="5374" max="5613" width="8.77734375"/>
    <col min="5614" max="5614" width="6" customWidth="1"/>
    <col min="5615" max="5615" width="1.44140625" customWidth="1"/>
    <col min="5616" max="5616" width="39.109375" customWidth="1"/>
    <col min="5617" max="5617" width="12" customWidth="1"/>
    <col min="5618" max="5618" width="14.44140625" customWidth="1"/>
    <col min="5619" max="5619" width="11.77734375" customWidth="1"/>
    <col min="5620" max="5620" width="14.109375" customWidth="1"/>
    <col min="5621" max="5621" width="13.77734375" customWidth="1"/>
    <col min="5622" max="5623" width="12.77734375" customWidth="1"/>
    <col min="5624" max="5624" width="13.5546875" customWidth="1"/>
    <col min="5625" max="5625" width="15.21875" customWidth="1"/>
    <col min="5626" max="5626" width="12.77734375" customWidth="1"/>
    <col min="5627" max="5627" width="13.77734375" customWidth="1"/>
    <col min="5628" max="5628" width="1.77734375" customWidth="1"/>
    <col min="5629" max="5629" width="13" customWidth="1"/>
    <col min="5630" max="5869" width="8.77734375"/>
    <col min="5870" max="5870" width="6" customWidth="1"/>
    <col min="5871" max="5871" width="1.44140625" customWidth="1"/>
    <col min="5872" max="5872" width="39.109375" customWidth="1"/>
    <col min="5873" max="5873" width="12" customWidth="1"/>
    <col min="5874" max="5874" width="14.44140625" customWidth="1"/>
    <col min="5875" max="5875" width="11.77734375" customWidth="1"/>
    <col min="5876" max="5876" width="14.109375" customWidth="1"/>
    <col min="5877" max="5877" width="13.77734375" customWidth="1"/>
    <col min="5878" max="5879" width="12.77734375" customWidth="1"/>
    <col min="5880" max="5880" width="13.5546875" customWidth="1"/>
    <col min="5881" max="5881" width="15.21875" customWidth="1"/>
    <col min="5882" max="5882" width="12.77734375" customWidth="1"/>
    <col min="5883" max="5883" width="13.77734375" customWidth="1"/>
    <col min="5884" max="5884" width="1.77734375" customWidth="1"/>
    <col min="5885" max="5885" width="13" customWidth="1"/>
    <col min="5886" max="6125" width="8.77734375"/>
    <col min="6126" max="6126" width="6" customWidth="1"/>
    <col min="6127" max="6127" width="1.44140625" customWidth="1"/>
    <col min="6128" max="6128" width="39.109375" customWidth="1"/>
    <col min="6129" max="6129" width="12" customWidth="1"/>
    <col min="6130" max="6130" width="14.44140625" customWidth="1"/>
    <col min="6131" max="6131" width="11.77734375" customWidth="1"/>
    <col min="6132" max="6132" width="14.109375" customWidth="1"/>
    <col min="6133" max="6133" width="13.77734375" customWidth="1"/>
    <col min="6134" max="6135" width="12.77734375" customWidth="1"/>
    <col min="6136" max="6136" width="13.5546875" customWidth="1"/>
    <col min="6137" max="6137" width="15.21875" customWidth="1"/>
    <col min="6138" max="6138" width="12.77734375" customWidth="1"/>
    <col min="6139" max="6139" width="13.77734375" customWidth="1"/>
    <col min="6140" max="6140" width="1.77734375" customWidth="1"/>
    <col min="6141" max="6141" width="13" customWidth="1"/>
    <col min="6142" max="6381" width="8.77734375"/>
    <col min="6382" max="6382" width="6" customWidth="1"/>
    <col min="6383" max="6383" width="1.44140625" customWidth="1"/>
    <col min="6384" max="6384" width="39.109375" customWidth="1"/>
    <col min="6385" max="6385" width="12" customWidth="1"/>
    <col min="6386" max="6386" width="14.44140625" customWidth="1"/>
    <col min="6387" max="6387" width="11.77734375" customWidth="1"/>
    <col min="6388" max="6388" width="14.109375" customWidth="1"/>
    <col min="6389" max="6389" width="13.77734375" customWidth="1"/>
    <col min="6390" max="6391" width="12.77734375" customWidth="1"/>
    <col min="6392" max="6392" width="13.5546875" customWidth="1"/>
    <col min="6393" max="6393" width="15.21875" customWidth="1"/>
    <col min="6394" max="6394" width="12.77734375" customWidth="1"/>
    <col min="6395" max="6395" width="13.77734375" customWidth="1"/>
    <col min="6396" max="6396" width="1.77734375" customWidth="1"/>
    <col min="6397" max="6397" width="13" customWidth="1"/>
    <col min="6398" max="6637" width="8.77734375"/>
    <col min="6638" max="6638" width="6" customWidth="1"/>
    <col min="6639" max="6639" width="1.44140625" customWidth="1"/>
    <col min="6640" max="6640" width="39.109375" customWidth="1"/>
    <col min="6641" max="6641" width="12" customWidth="1"/>
    <col min="6642" max="6642" width="14.44140625" customWidth="1"/>
    <col min="6643" max="6643" width="11.77734375" customWidth="1"/>
    <col min="6644" max="6644" width="14.109375" customWidth="1"/>
    <col min="6645" max="6645" width="13.77734375" customWidth="1"/>
    <col min="6646" max="6647" width="12.77734375" customWidth="1"/>
    <col min="6648" max="6648" width="13.5546875" customWidth="1"/>
    <col min="6649" max="6649" width="15.21875" customWidth="1"/>
    <col min="6650" max="6650" width="12.77734375" customWidth="1"/>
    <col min="6651" max="6651" width="13.77734375" customWidth="1"/>
    <col min="6652" max="6652" width="1.77734375" customWidth="1"/>
    <col min="6653" max="6653" width="13" customWidth="1"/>
    <col min="6654" max="6893" width="8.77734375"/>
    <col min="6894" max="6894" width="6" customWidth="1"/>
    <col min="6895" max="6895" width="1.44140625" customWidth="1"/>
    <col min="6896" max="6896" width="39.109375" customWidth="1"/>
    <col min="6897" max="6897" width="12" customWidth="1"/>
    <col min="6898" max="6898" width="14.44140625" customWidth="1"/>
    <col min="6899" max="6899" width="11.77734375" customWidth="1"/>
    <col min="6900" max="6900" width="14.109375" customWidth="1"/>
    <col min="6901" max="6901" width="13.77734375" customWidth="1"/>
    <col min="6902" max="6903" width="12.77734375" customWidth="1"/>
    <col min="6904" max="6904" width="13.5546875" customWidth="1"/>
    <col min="6905" max="6905" width="15.21875" customWidth="1"/>
    <col min="6906" max="6906" width="12.77734375" customWidth="1"/>
    <col min="6907" max="6907" width="13.77734375" customWidth="1"/>
    <col min="6908" max="6908" width="1.77734375" customWidth="1"/>
    <col min="6909" max="6909" width="13" customWidth="1"/>
    <col min="6910" max="7149" width="8.77734375"/>
    <col min="7150" max="7150" width="6" customWidth="1"/>
    <col min="7151" max="7151" width="1.44140625" customWidth="1"/>
    <col min="7152" max="7152" width="39.109375" customWidth="1"/>
    <col min="7153" max="7153" width="12" customWidth="1"/>
    <col min="7154" max="7154" width="14.44140625" customWidth="1"/>
    <col min="7155" max="7155" width="11.77734375" customWidth="1"/>
    <col min="7156" max="7156" width="14.109375" customWidth="1"/>
    <col min="7157" max="7157" width="13.77734375" customWidth="1"/>
    <col min="7158" max="7159" width="12.77734375" customWidth="1"/>
    <col min="7160" max="7160" width="13.5546875" customWidth="1"/>
    <col min="7161" max="7161" width="15.21875" customWidth="1"/>
    <col min="7162" max="7162" width="12.77734375" customWidth="1"/>
    <col min="7163" max="7163" width="13.77734375" customWidth="1"/>
    <col min="7164" max="7164" width="1.77734375" customWidth="1"/>
    <col min="7165" max="7165" width="13" customWidth="1"/>
    <col min="7166" max="7405" width="8.77734375"/>
    <col min="7406" max="7406" width="6" customWidth="1"/>
    <col min="7407" max="7407" width="1.44140625" customWidth="1"/>
    <col min="7408" max="7408" width="39.109375" customWidth="1"/>
    <col min="7409" max="7409" width="12" customWidth="1"/>
    <col min="7410" max="7410" width="14.44140625" customWidth="1"/>
    <col min="7411" max="7411" width="11.77734375" customWidth="1"/>
    <col min="7412" max="7412" width="14.109375" customWidth="1"/>
    <col min="7413" max="7413" width="13.77734375" customWidth="1"/>
    <col min="7414" max="7415" width="12.77734375" customWidth="1"/>
    <col min="7416" max="7416" width="13.5546875" customWidth="1"/>
    <col min="7417" max="7417" width="15.21875" customWidth="1"/>
    <col min="7418" max="7418" width="12.77734375" customWidth="1"/>
    <col min="7419" max="7419" width="13.77734375" customWidth="1"/>
    <col min="7420" max="7420" width="1.77734375" customWidth="1"/>
    <col min="7421" max="7421" width="13" customWidth="1"/>
    <col min="7422" max="7661" width="8.77734375"/>
    <col min="7662" max="7662" width="6" customWidth="1"/>
    <col min="7663" max="7663" width="1.44140625" customWidth="1"/>
    <col min="7664" max="7664" width="39.109375" customWidth="1"/>
    <col min="7665" max="7665" width="12" customWidth="1"/>
    <col min="7666" max="7666" width="14.44140625" customWidth="1"/>
    <col min="7667" max="7667" width="11.77734375" customWidth="1"/>
    <col min="7668" max="7668" width="14.109375" customWidth="1"/>
    <col min="7669" max="7669" width="13.77734375" customWidth="1"/>
    <col min="7670" max="7671" width="12.77734375" customWidth="1"/>
    <col min="7672" max="7672" width="13.5546875" customWidth="1"/>
    <col min="7673" max="7673" width="15.21875" customWidth="1"/>
    <col min="7674" max="7674" width="12.77734375" customWidth="1"/>
    <col min="7675" max="7675" width="13.77734375" customWidth="1"/>
    <col min="7676" max="7676" width="1.77734375" customWidth="1"/>
    <col min="7677" max="7677" width="13" customWidth="1"/>
    <col min="7678" max="7917" width="8.77734375"/>
    <col min="7918" max="7918" width="6" customWidth="1"/>
    <col min="7919" max="7919" width="1.44140625" customWidth="1"/>
    <col min="7920" max="7920" width="39.109375" customWidth="1"/>
    <col min="7921" max="7921" width="12" customWidth="1"/>
    <col min="7922" max="7922" width="14.44140625" customWidth="1"/>
    <col min="7923" max="7923" width="11.77734375" customWidth="1"/>
    <col min="7924" max="7924" width="14.109375" customWidth="1"/>
    <col min="7925" max="7925" width="13.77734375" customWidth="1"/>
    <col min="7926" max="7927" width="12.77734375" customWidth="1"/>
    <col min="7928" max="7928" width="13.5546875" customWidth="1"/>
    <col min="7929" max="7929" width="15.21875" customWidth="1"/>
    <col min="7930" max="7930" width="12.77734375" customWidth="1"/>
    <col min="7931" max="7931" width="13.77734375" customWidth="1"/>
    <col min="7932" max="7932" width="1.77734375" customWidth="1"/>
    <col min="7933" max="7933" width="13" customWidth="1"/>
    <col min="7934" max="8173" width="8.77734375"/>
    <col min="8174" max="8174" width="6" customWidth="1"/>
    <col min="8175" max="8175" width="1.44140625" customWidth="1"/>
    <col min="8176" max="8176" width="39.109375" customWidth="1"/>
    <col min="8177" max="8177" width="12" customWidth="1"/>
    <col min="8178" max="8178" width="14.44140625" customWidth="1"/>
    <col min="8179" max="8179" width="11.77734375" customWidth="1"/>
    <col min="8180" max="8180" width="14.109375" customWidth="1"/>
    <col min="8181" max="8181" width="13.77734375" customWidth="1"/>
    <col min="8182" max="8183" width="12.77734375" customWidth="1"/>
    <col min="8184" max="8184" width="13.5546875" customWidth="1"/>
    <col min="8185" max="8185" width="15.21875" customWidth="1"/>
    <col min="8186" max="8186" width="12.77734375" customWidth="1"/>
    <col min="8187" max="8187" width="13.77734375" customWidth="1"/>
    <col min="8188" max="8188" width="1.77734375" customWidth="1"/>
    <col min="8189" max="8189" width="13" customWidth="1"/>
    <col min="8190" max="8429" width="8.77734375"/>
    <col min="8430" max="8430" width="6" customWidth="1"/>
    <col min="8431" max="8431" width="1.44140625" customWidth="1"/>
    <col min="8432" max="8432" width="39.109375" customWidth="1"/>
    <col min="8433" max="8433" width="12" customWidth="1"/>
    <col min="8434" max="8434" width="14.44140625" customWidth="1"/>
    <col min="8435" max="8435" width="11.77734375" customWidth="1"/>
    <col min="8436" max="8436" width="14.109375" customWidth="1"/>
    <col min="8437" max="8437" width="13.77734375" customWidth="1"/>
    <col min="8438" max="8439" width="12.77734375" customWidth="1"/>
    <col min="8440" max="8440" width="13.5546875" customWidth="1"/>
    <col min="8441" max="8441" width="15.21875" customWidth="1"/>
    <col min="8442" max="8442" width="12.77734375" customWidth="1"/>
    <col min="8443" max="8443" width="13.77734375" customWidth="1"/>
    <col min="8444" max="8444" width="1.77734375" customWidth="1"/>
    <col min="8445" max="8445" width="13" customWidth="1"/>
    <col min="8446" max="8685" width="8.77734375"/>
    <col min="8686" max="8686" width="6" customWidth="1"/>
    <col min="8687" max="8687" width="1.44140625" customWidth="1"/>
    <col min="8688" max="8688" width="39.109375" customWidth="1"/>
    <col min="8689" max="8689" width="12" customWidth="1"/>
    <col min="8690" max="8690" width="14.44140625" customWidth="1"/>
    <col min="8691" max="8691" width="11.77734375" customWidth="1"/>
    <col min="8692" max="8692" width="14.109375" customWidth="1"/>
    <col min="8693" max="8693" width="13.77734375" customWidth="1"/>
    <col min="8694" max="8695" width="12.77734375" customWidth="1"/>
    <col min="8696" max="8696" width="13.5546875" customWidth="1"/>
    <col min="8697" max="8697" width="15.21875" customWidth="1"/>
    <col min="8698" max="8698" width="12.77734375" customWidth="1"/>
    <col min="8699" max="8699" width="13.77734375" customWidth="1"/>
    <col min="8700" max="8700" width="1.77734375" customWidth="1"/>
    <col min="8701" max="8701" width="13" customWidth="1"/>
    <col min="8702" max="8941" width="8.77734375"/>
    <col min="8942" max="8942" width="6" customWidth="1"/>
    <col min="8943" max="8943" width="1.44140625" customWidth="1"/>
    <col min="8944" max="8944" width="39.109375" customWidth="1"/>
    <col min="8945" max="8945" width="12" customWidth="1"/>
    <col min="8946" max="8946" width="14.44140625" customWidth="1"/>
    <col min="8947" max="8947" width="11.77734375" customWidth="1"/>
    <col min="8948" max="8948" width="14.109375" customWidth="1"/>
    <col min="8949" max="8949" width="13.77734375" customWidth="1"/>
    <col min="8950" max="8951" width="12.77734375" customWidth="1"/>
    <col min="8952" max="8952" width="13.5546875" customWidth="1"/>
    <col min="8953" max="8953" width="15.21875" customWidth="1"/>
    <col min="8954" max="8954" width="12.77734375" customWidth="1"/>
    <col min="8955" max="8955" width="13.77734375" customWidth="1"/>
    <col min="8956" max="8956" width="1.77734375" customWidth="1"/>
    <col min="8957" max="8957" width="13" customWidth="1"/>
    <col min="8958" max="9197" width="8.77734375"/>
    <col min="9198" max="9198" width="6" customWidth="1"/>
    <col min="9199" max="9199" width="1.44140625" customWidth="1"/>
    <col min="9200" max="9200" width="39.109375" customWidth="1"/>
    <col min="9201" max="9201" width="12" customWidth="1"/>
    <col min="9202" max="9202" width="14.44140625" customWidth="1"/>
    <col min="9203" max="9203" width="11.77734375" customWidth="1"/>
    <col min="9204" max="9204" width="14.109375" customWidth="1"/>
    <col min="9205" max="9205" width="13.77734375" customWidth="1"/>
    <col min="9206" max="9207" width="12.77734375" customWidth="1"/>
    <col min="9208" max="9208" width="13.5546875" customWidth="1"/>
    <col min="9209" max="9209" width="15.21875" customWidth="1"/>
    <col min="9210" max="9210" width="12.77734375" customWidth="1"/>
    <col min="9211" max="9211" width="13.77734375" customWidth="1"/>
    <col min="9212" max="9212" width="1.77734375" customWidth="1"/>
    <col min="9213" max="9213" width="13" customWidth="1"/>
    <col min="9214" max="9453" width="8.77734375"/>
    <col min="9454" max="9454" width="6" customWidth="1"/>
    <col min="9455" max="9455" width="1.44140625" customWidth="1"/>
    <col min="9456" max="9456" width="39.109375" customWidth="1"/>
    <col min="9457" max="9457" width="12" customWidth="1"/>
    <col min="9458" max="9458" width="14.44140625" customWidth="1"/>
    <col min="9459" max="9459" width="11.77734375" customWidth="1"/>
    <col min="9460" max="9460" width="14.109375" customWidth="1"/>
    <col min="9461" max="9461" width="13.77734375" customWidth="1"/>
    <col min="9462" max="9463" width="12.77734375" customWidth="1"/>
    <col min="9464" max="9464" width="13.5546875" customWidth="1"/>
    <col min="9465" max="9465" width="15.21875" customWidth="1"/>
    <col min="9466" max="9466" width="12.77734375" customWidth="1"/>
    <col min="9467" max="9467" width="13.77734375" customWidth="1"/>
    <col min="9468" max="9468" width="1.77734375" customWidth="1"/>
    <col min="9469" max="9469" width="13" customWidth="1"/>
    <col min="9470" max="9709" width="8.77734375"/>
    <col min="9710" max="9710" width="6" customWidth="1"/>
    <col min="9711" max="9711" width="1.44140625" customWidth="1"/>
    <col min="9712" max="9712" width="39.109375" customWidth="1"/>
    <col min="9713" max="9713" width="12" customWidth="1"/>
    <col min="9714" max="9714" width="14.44140625" customWidth="1"/>
    <col min="9715" max="9715" width="11.77734375" customWidth="1"/>
    <col min="9716" max="9716" width="14.109375" customWidth="1"/>
    <col min="9717" max="9717" width="13.77734375" customWidth="1"/>
    <col min="9718" max="9719" width="12.77734375" customWidth="1"/>
    <col min="9720" max="9720" width="13.5546875" customWidth="1"/>
    <col min="9721" max="9721" width="15.21875" customWidth="1"/>
    <col min="9722" max="9722" width="12.77734375" customWidth="1"/>
    <col min="9723" max="9723" width="13.77734375" customWidth="1"/>
    <col min="9724" max="9724" width="1.77734375" customWidth="1"/>
    <col min="9725" max="9725" width="13" customWidth="1"/>
    <col min="9726" max="9965" width="8.77734375"/>
    <col min="9966" max="9966" width="6" customWidth="1"/>
    <col min="9967" max="9967" width="1.44140625" customWidth="1"/>
    <col min="9968" max="9968" width="39.109375" customWidth="1"/>
    <col min="9969" max="9969" width="12" customWidth="1"/>
    <col min="9970" max="9970" width="14.44140625" customWidth="1"/>
    <col min="9971" max="9971" width="11.77734375" customWidth="1"/>
    <col min="9972" max="9972" width="14.109375" customWidth="1"/>
    <col min="9973" max="9973" width="13.77734375" customWidth="1"/>
    <col min="9974" max="9975" width="12.77734375" customWidth="1"/>
    <col min="9976" max="9976" width="13.5546875" customWidth="1"/>
    <col min="9977" max="9977" width="15.21875" customWidth="1"/>
    <col min="9978" max="9978" width="12.77734375" customWidth="1"/>
    <col min="9979" max="9979" width="13.77734375" customWidth="1"/>
    <col min="9980" max="9980" width="1.77734375" customWidth="1"/>
    <col min="9981" max="9981" width="13" customWidth="1"/>
    <col min="9982" max="10221" width="8.77734375"/>
    <col min="10222" max="10222" width="6" customWidth="1"/>
    <col min="10223" max="10223" width="1.44140625" customWidth="1"/>
    <col min="10224" max="10224" width="39.109375" customWidth="1"/>
    <col min="10225" max="10225" width="12" customWidth="1"/>
    <col min="10226" max="10226" width="14.44140625" customWidth="1"/>
    <col min="10227" max="10227" width="11.77734375" customWidth="1"/>
    <col min="10228" max="10228" width="14.109375" customWidth="1"/>
    <col min="10229" max="10229" width="13.77734375" customWidth="1"/>
    <col min="10230" max="10231" width="12.77734375" customWidth="1"/>
    <col min="10232" max="10232" width="13.5546875" customWidth="1"/>
    <col min="10233" max="10233" width="15.21875" customWidth="1"/>
    <col min="10234" max="10234" width="12.77734375" customWidth="1"/>
    <col min="10235" max="10235" width="13.77734375" customWidth="1"/>
    <col min="10236" max="10236" width="1.77734375" customWidth="1"/>
    <col min="10237" max="10237" width="13" customWidth="1"/>
    <col min="10238" max="10477" width="8.77734375"/>
    <col min="10478" max="10478" width="6" customWidth="1"/>
    <col min="10479" max="10479" width="1.44140625" customWidth="1"/>
    <col min="10480" max="10480" width="39.109375" customWidth="1"/>
    <col min="10481" max="10481" width="12" customWidth="1"/>
    <col min="10482" max="10482" width="14.44140625" customWidth="1"/>
    <col min="10483" max="10483" width="11.77734375" customWidth="1"/>
    <col min="10484" max="10484" width="14.109375" customWidth="1"/>
    <col min="10485" max="10485" width="13.77734375" customWidth="1"/>
    <col min="10486" max="10487" width="12.77734375" customWidth="1"/>
    <col min="10488" max="10488" width="13.5546875" customWidth="1"/>
    <col min="10489" max="10489" width="15.21875" customWidth="1"/>
    <col min="10490" max="10490" width="12.77734375" customWidth="1"/>
    <col min="10491" max="10491" width="13.77734375" customWidth="1"/>
    <col min="10492" max="10492" width="1.77734375" customWidth="1"/>
    <col min="10493" max="10493" width="13" customWidth="1"/>
    <col min="10494" max="10733" width="8.77734375"/>
    <col min="10734" max="10734" width="6" customWidth="1"/>
    <col min="10735" max="10735" width="1.44140625" customWidth="1"/>
    <col min="10736" max="10736" width="39.109375" customWidth="1"/>
    <col min="10737" max="10737" width="12" customWidth="1"/>
    <col min="10738" max="10738" width="14.44140625" customWidth="1"/>
    <col min="10739" max="10739" width="11.77734375" customWidth="1"/>
    <col min="10740" max="10740" width="14.109375" customWidth="1"/>
    <col min="10741" max="10741" width="13.77734375" customWidth="1"/>
    <col min="10742" max="10743" width="12.77734375" customWidth="1"/>
    <col min="10744" max="10744" width="13.5546875" customWidth="1"/>
    <col min="10745" max="10745" width="15.21875" customWidth="1"/>
    <col min="10746" max="10746" width="12.77734375" customWidth="1"/>
    <col min="10747" max="10747" width="13.77734375" customWidth="1"/>
    <col min="10748" max="10748" width="1.77734375" customWidth="1"/>
    <col min="10749" max="10749" width="13" customWidth="1"/>
    <col min="10750" max="10989" width="8.77734375"/>
    <col min="10990" max="10990" width="6" customWidth="1"/>
    <col min="10991" max="10991" width="1.44140625" customWidth="1"/>
    <col min="10992" max="10992" width="39.109375" customWidth="1"/>
    <col min="10993" max="10993" width="12" customWidth="1"/>
    <col min="10994" max="10994" width="14.44140625" customWidth="1"/>
    <col min="10995" max="10995" width="11.77734375" customWidth="1"/>
    <col min="10996" max="10996" width="14.109375" customWidth="1"/>
    <col min="10997" max="10997" width="13.77734375" customWidth="1"/>
    <col min="10998" max="10999" width="12.77734375" customWidth="1"/>
    <col min="11000" max="11000" width="13.5546875" customWidth="1"/>
    <col min="11001" max="11001" width="15.21875" customWidth="1"/>
    <col min="11002" max="11002" width="12.77734375" customWidth="1"/>
    <col min="11003" max="11003" width="13.77734375" customWidth="1"/>
    <col min="11004" max="11004" width="1.77734375" customWidth="1"/>
    <col min="11005" max="11005" width="13" customWidth="1"/>
    <col min="11006" max="11245" width="8.77734375"/>
    <col min="11246" max="11246" width="6" customWidth="1"/>
    <col min="11247" max="11247" width="1.44140625" customWidth="1"/>
    <col min="11248" max="11248" width="39.109375" customWidth="1"/>
    <col min="11249" max="11249" width="12" customWidth="1"/>
    <col min="11250" max="11250" width="14.44140625" customWidth="1"/>
    <col min="11251" max="11251" width="11.77734375" customWidth="1"/>
    <col min="11252" max="11252" width="14.109375" customWidth="1"/>
    <col min="11253" max="11253" width="13.77734375" customWidth="1"/>
    <col min="11254" max="11255" width="12.77734375" customWidth="1"/>
    <col min="11256" max="11256" width="13.5546875" customWidth="1"/>
    <col min="11257" max="11257" width="15.21875" customWidth="1"/>
    <col min="11258" max="11258" width="12.77734375" customWidth="1"/>
    <col min="11259" max="11259" width="13.77734375" customWidth="1"/>
    <col min="11260" max="11260" width="1.77734375" customWidth="1"/>
    <col min="11261" max="11261" width="13" customWidth="1"/>
    <col min="11262" max="11501" width="8.77734375"/>
    <col min="11502" max="11502" width="6" customWidth="1"/>
    <col min="11503" max="11503" width="1.44140625" customWidth="1"/>
    <col min="11504" max="11504" width="39.109375" customWidth="1"/>
    <col min="11505" max="11505" width="12" customWidth="1"/>
    <col min="11506" max="11506" width="14.44140625" customWidth="1"/>
    <col min="11507" max="11507" width="11.77734375" customWidth="1"/>
    <col min="11508" max="11508" width="14.109375" customWidth="1"/>
    <col min="11509" max="11509" width="13.77734375" customWidth="1"/>
    <col min="11510" max="11511" width="12.77734375" customWidth="1"/>
    <col min="11512" max="11512" width="13.5546875" customWidth="1"/>
    <col min="11513" max="11513" width="15.21875" customWidth="1"/>
    <col min="11514" max="11514" width="12.77734375" customWidth="1"/>
    <col min="11515" max="11515" width="13.77734375" customWidth="1"/>
    <col min="11516" max="11516" width="1.77734375" customWidth="1"/>
    <col min="11517" max="11517" width="13" customWidth="1"/>
    <col min="11518" max="11757" width="8.77734375"/>
    <col min="11758" max="11758" width="6" customWidth="1"/>
    <col min="11759" max="11759" width="1.44140625" customWidth="1"/>
    <col min="11760" max="11760" width="39.109375" customWidth="1"/>
    <col min="11761" max="11761" width="12" customWidth="1"/>
    <col min="11762" max="11762" width="14.44140625" customWidth="1"/>
    <col min="11763" max="11763" width="11.77734375" customWidth="1"/>
    <col min="11764" max="11764" width="14.109375" customWidth="1"/>
    <col min="11765" max="11765" width="13.77734375" customWidth="1"/>
    <col min="11766" max="11767" width="12.77734375" customWidth="1"/>
    <col min="11768" max="11768" width="13.5546875" customWidth="1"/>
    <col min="11769" max="11769" width="15.21875" customWidth="1"/>
    <col min="11770" max="11770" width="12.77734375" customWidth="1"/>
    <col min="11771" max="11771" width="13.77734375" customWidth="1"/>
    <col min="11772" max="11772" width="1.77734375" customWidth="1"/>
    <col min="11773" max="11773" width="13" customWidth="1"/>
    <col min="11774" max="12013" width="8.77734375"/>
    <col min="12014" max="12014" width="6" customWidth="1"/>
    <col min="12015" max="12015" width="1.44140625" customWidth="1"/>
    <col min="12016" max="12016" width="39.109375" customWidth="1"/>
    <col min="12017" max="12017" width="12" customWidth="1"/>
    <col min="12018" max="12018" width="14.44140625" customWidth="1"/>
    <col min="12019" max="12019" width="11.77734375" customWidth="1"/>
    <col min="12020" max="12020" width="14.109375" customWidth="1"/>
    <col min="12021" max="12021" width="13.77734375" customWidth="1"/>
    <col min="12022" max="12023" width="12.77734375" customWidth="1"/>
    <col min="12024" max="12024" width="13.5546875" customWidth="1"/>
    <col min="12025" max="12025" width="15.21875" customWidth="1"/>
    <col min="12026" max="12026" width="12.77734375" customWidth="1"/>
    <col min="12027" max="12027" width="13.77734375" customWidth="1"/>
    <col min="12028" max="12028" width="1.77734375" customWidth="1"/>
    <col min="12029" max="12029" width="13" customWidth="1"/>
    <col min="12030" max="12269" width="8.77734375"/>
    <col min="12270" max="12270" width="6" customWidth="1"/>
    <col min="12271" max="12271" width="1.44140625" customWidth="1"/>
    <col min="12272" max="12272" width="39.109375" customWidth="1"/>
    <col min="12273" max="12273" width="12" customWidth="1"/>
    <col min="12274" max="12274" width="14.44140625" customWidth="1"/>
    <col min="12275" max="12275" width="11.77734375" customWidth="1"/>
    <col min="12276" max="12276" width="14.109375" customWidth="1"/>
    <col min="12277" max="12277" width="13.77734375" customWidth="1"/>
    <col min="12278" max="12279" width="12.77734375" customWidth="1"/>
    <col min="12280" max="12280" width="13.5546875" customWidth="1"/>
    <col min="12281" max="12281" width="15.21875" customWidth="1"/>
    <col min="12282" max="12282" width="12.77734375" customWidth="1"/>
    <col min="12283" max="12283" width="13.77734375" customWidth="1"/>
    <col min="12284" max="12284" width="1.77734375" customWidth="1"/>
    <col min="12285" max="12285" width="13" customWidth="1"/>
    <col min="12286" max="12525" width="8.77734375"/>
    <col min="12526" max="12526" width="6" customWidth="1"/>
    <col min="12527" max="12527" width="1.44140625" customWidth="1"/>
    <col min="12528" max="12528" width="39.109375" customWidth="1"/>
    <col min="12529" max="12529" width="12" customWidth="1"/>
    <col min="12530" max="12530" width="14.44140625" customWidth="1"/>
    <col min="12531" max="12531" width="11.77734375" customWidth="1"/>
    <col min="12532" max="12532" width="14.109375" customWidth="1"/>
    <col min="12533" max="12533" width="13.77734375" customWidth="1"/>
    <col min="12534" max="12535" width="12.77734375" customWidth="1"/>
    <col min="12536" max="12536" width="13.5546875" customWidth="1"/>
    <col min="12537" max="12537" width="15.21875" customWidth="1"/>
    <col min="12538" max="12538" width="12.77734375" customWidth="1"/>
    <col min="12539" max="12539" width="13.77734375" customWidth="1"/>
    <col min="12540" max="12540" width="1.77734375" customWidth="1"/>
    <col min="12541" max="12541" width="13" customWidth="1"/>
    <col min="12542" max="12781" width="8.77734375"/>
    <col min="12782" max="12782" width="6" customWidth="1"/>
    <col min="12783" max="12783" width="1.44140625" customWidth="1"/>
    <col min="12784" max="12784" width="39.109375" customWidth="1"/>
    <col min="12785" max="12785" width="12" customWidth="1"/>
    <col min="12786" max="12786" width="14.44140625" customWidth="1"/>
    <col min="12787" max="12787" width="11.77734375" customWidth="1"/>
    <col min="12788" max="12788" width="14.109375" customWidth="1"/>
    <col min="12789" max="12789" width="13.77734375" customWidth="1"/>
    <col min="12790" max="12791" width="12.77734375" customWidth="1"/>
    <col min="12792" max="12792" width="13.5546875" customWidth="1"/>
    <col min="12793" max="12793" width="15.21875" customWidth="1"/>
    <col min="12794" max="12794" width="12.77734375" customWidth="1"/>
    <col min="12795" max="12795" width="13.77734375" customWidth="1"/>
    <col min="12796" max="12796" width="1.77734375" customWidth="1"/>
    <col min="12797" max="12797" width="13" customWidth="1"/>
    <col min="12798" max="13037" width="8.77734375"/>
    <col min="13038" max="13038" width="6" customWidth="1"/>
    <col min="13039" max="13039" width="1.44140625" customWidth="1"/>
    <col min="13040" max="13040" width="39.109375" customWidth="1"/>
    <col min="13041" max="13041" width="12" customWidth="1"/>
    <col min="13042" max="13042" width="14.44140625" customWidth="1"/>
    <col min="13043" max="13043" width="11.77734375" customWidth="1"/>
    <col min="13044" max="13044" width="14.109375" customWidth="1"/>
    <col min="13045" max="13045" width="13.77734375" customWidth="1"/>
    <col min="13046" max="13047" width="12.77734375" customWidth="1"/>
    <col min="13048" max="13048" width="13.5546875" customWidth="1"/>
    <col min="13049" max="13049" width="15.21875" customWidth="1"/>
    <col min="13050" max="13050" width="12.77734375" customWidth="1"/>
    <col min="13051" max="13051" width="13.77734375" customWidth="1"/>
    <col min="13052" max="13052" width="1.77734375" customWidth="1"/>
    <col min="13053" max="13053" width="13" customWidth="1"/>
    <col min="13054" max="13293" width="8.77734375"/>
    <col min="13294" max="13294" width="6" customWidth="1"/>
    <col min="13295" max="13295" width="1.44140625" customWidth="1"/>
    <col min="13296" max="13296" width="39.109375" customWidth="1"/>
    <col min="13297" max="13297" width="12" customWidth="1"/>
    <col min="13298" max="13298" width="14.44140625" customWidth="1"/>
    <col min="13299" max="13299" width="11.77734375" customWidth="1"/>
    <col min="13300" max="13300" width="14.109375" customWidth="1"/>
    <col min="13301" max="13301" width="13.77734375" customWidth="1"/>
    <col min="13302" max="13303" width="12.77734375" customWidth="1"/>
    <col min="13304" max="13304" width="13.5546875" customWidth="1"/>
    <col min="13305" max="13305" width="15.21875" customWidth="1"/>
    <col min="13306" max="13306" width="12.77734375" customWidth="1"/>
    <col min="13307" max="13307" width="13.77734375" customWidth="1"/>
    <col min="13308" max="13308" width="1.77734375" customWidth="1"/>
    <col min="13309" max="13309" width="13" customWidth="1"/>
    <col min="13310" max="13549" width="8.77734375"/>
    <col min="13550" max="13550" width="6" customWidth="1"/>
    <col min="13551" max="13551" width="1.44140625" customWidth="1"/>
    <col min="13552" max="13552" width="39.109375" customWidth="1"/>
    <col min="13553" max="13553" width="12" customWidth="1"/>
    <col min="13554" max="13554" width="14.44140625" customWidth="1"/>
    <col min="13555" max="13555" width="11.77734375" customWidth="1"/>
    <col min="13556" max="13556" width="14.109375" customWidth="1"/>
    <col min="13557" max="13557" width="13.77734375" customWidth="1"/>
    <col min="13558" max="13559" width="12.77734375" customWidth="1"/>
    <col min="13560" max="13560" width="13.5546875" customWidth="1"/>
    <col min="13561" max="13561" width="15.21875" customWidth="1"/>
    <col min="13562" max="13562" width="12.77734375" customWidth="1"/>
    <col min="13563" max="13563" width="13.77734375" customWidth="1"/>
    <col min="13564" max="13564" width="1.77734375" customWidth="1"/>
    <col min="13565" max="13565" width="13" customWidth="1"/>
    <col min="13566" max="13805" width="8.77734375"/>
    <col min="13806" max="13806" width="6" customWidth="1"/>
    <col min="13807" max="13807" width="1.44140625" customWidth="1"/>
    <col min="13808" max="13808" width="39.109375" customWidth="1"/>
    <col min="13809" max="13809" width="12" customWidth="1"/>
    <col min="13810" max="13810" width="14.44140625" customWidth="1"/>
    <col min="13811" max="13811" width="11.77734375" customWidth="1"/>
    <col min="13812" max="13812" width="14.109375" customWidth="1"/>
    <col min="13813" max="13813" width="13.77734375" customWidth="1"/>
    <col min="13814" max="13815" width="12.77734375" customWidth="1"/>
    <col min="13816" max="13816" width="13.5546875" customWidth="1"/>
    <col min="13817" max="13817" width="15.21875" customWidth="1"/>
    <col min="13818" max="13818" width="12.77734375" customWidth="1"/>
    <col min="13819" max="13819" width="13.77734375" customWidth="1"/>
    <col min="13820" max="13820" width="1.77734375" customWidth="1"/>
    <col min="13821" max="13821" width="13" customWidth="1"/>
    <col min="13822" max="14061" width="8.77734375"/>
    <col min="14062" max="14062" width="6" customWidth="1"/>
    <col min="14063" max="14063" width="1.44140625" customWidth="1"/>
    <col min="14064" max="14064" width="39.109375" customWidth="1"/>
    <col min="14065" max="14065" width="12" customWidth="1"/>
    <col min="14066" max="14066" width="14.44140625" customWidth="1"/>
    <col min="14067" max="14067" width="11.77734375" customWidth="1"/>
    <col min="14068" max="14068" width="14.109375" customWidth="1"/>
    <col min="14069" max="14069" width="13.77734375" customWidth="1"/>
    <col min="14070" max="14071" width="12.77734375" customWidth="1"/>
    <col min="14072" max="14072" width="13.5546875" customWidth="1"/>
    <col min="14073" max="14073" width="15.21875" customWidth="1"/>
    <col min="14074" max="14074" width="12.77734375" customWidth="1"/>
    <col min="14075" max="14075" width="13.77734375" customWidth="1"/>
    <col min="14076" max="14076" width="1.77734375" customWidth="1"/>
    <col min="14077" max="14077" width="13" customWidth="1"/>
    <col min="14078" max="14317" width="8.77734375"/>
    <col min="14318" max="14318" width="6" customWidth="1"/>
    <col min="14319" max="14319" width="1.44140625" customWidth="1"/>
    <col min="14320" max="14320" width="39.109375" customWidth="1"/>
    <col min="14321" max="14321" width="12" customWidth="1"/>
    <col min="14322" max="14322" width="14.44140625" customWidth="1"/>
    <col min="14323" max="14323" width="11.77734375" customWidth="1"/>
    <col min="14324" max="14324" width="14.109375" customWidth="1"/>
    <col min="14325" max="14325" width="13.77734375" customWidth="1"/>
    <col min="14326" max="14327" width="12.77734375" customWidth="1"/>
    <col min="14328" max="14328" width="13.5546875" customWidth="1"/>
    <col min="14329" max="14329" width="15.21875" customWidth="1"/>
    <col min="14330" max="14330" width="12.77734375" customWidth="1"/>
    <col min="14331" max="14331" width="13.77734375" customWidth="1"/>
    <col min="14332" max="14332" width="1.77734375" customWidth="1"/>
    <col min="14333" max="14333" width="13" customWidth="1"/>
    <col min="14334" max="14573" width="8.77734375"/>
    <col min="14574" max="14574" width="6" customWidth="1"/>
    <col min="14575" max="14575" width="1.44140625" customWidth="1"/>
    <col min="14576" max="14576" width="39.109375" customWidth="1"/>
    <col min="14577" max="14577" width="12" customWidth="1"/>
    <col min="14578" max="14578" width="14.44140625" customWidth="1"/>
    <col min="14579" max="14579" width="11.77734375" customWidth="1"/>
    <col min="14580" max="14580" width="14.109375" customWidth="1"/>
    <col min="14581" max="14581" width="13.77734375" customWidth="1"/>
    <col min="14582" max="14583" width="12.77734375" customWidth="1"/>
    <col min="14584" max="14584" width="13.5546875" customWidth="1"/>
    <col min="14585" max="14585" width="15.21875" customWidth="1"/>
    <col min="14586" max="14586" width="12.77734375" customWidth="1"/>
    <col min="14587" max="14587" width="13.77734375" customWidth="1"/>
    <col min="14588" max="14588" width="1.77734375" customWidth="1"/>
    <col min="14589" max="14589" width="13" customWidth="1"/>
    <col min="14590" max="14829" width="8.77734375"/>
    <col min="14830" max="14830" width="6" customWidth="1"/>
    <col min="14831" max="14831" width="1.44140625" customWidth="1"/>
    <col min="14832" max="14832" width="39.109375" customWidth="1"/>
    <col min="14833" max="14833" width="12" customWidth="1"/>
    <col min="14834" max="14834" width="14.44140625" customWidth="1"/>
    <col min="14835" max="14835" width="11.77734375" customWidth="1"/>
    <col min="14836" max="14836" width="14.109375" customWidth="1"/>
    <col min="14837" max="14837" width="13.77734375" customWidth="1"/>
    <col min="14838" max="14839" width="12.77734375" customWidth="1"/>
    <col min="14840" max="14840" width="13.5546875" customWidth="1"/>
    <col min="14841" max="14841" width="15.21875" customWidth="1"/>
    <col min="14842" max="14842" width="12.77734375" customWidth="1"/>
    <col min="14843" max="14843" width="13.77734375" customWidth="1"/>
    <col min="14844" max="14844" width="1.77734375" customWidth="1"/>
    <col min="14845" max="14845" width="13" customWidth="1"/>
    <col min="14846" max="15085" width="8.77734375"/>
    <col min="15086" max="15086" width="6" customWidth="1"/>
    <col min="15087" max="15087" width="1.44140625" customWidth="1"/>
    <col min="15088" max="15088" width="39.109375" customWidth="1"/>
    <col min="15089" max="15089" width="12" customWidth="1"/>
    <col min="15090" max="15090" width="14.44140625" customWidth="1"/>
    <col min="15091" max="15091" width="11.77734375" customWidth="1"/>
    <col min="15092" max="15092" width="14.109375" customWidth="1"/>
    <col min="15093" max="15093" width="13.77734375" customWidth="1"/>
    <col min="15094" max="15095" width="12.77734375" customWidth="1"/>
    <col min="15096" max="15096" width="13.5546875" customWidth="1"/>
    <col min="15097" max="15097" width="15.21875" customWidth="1"/>
    <col min="15098" max="15098" width="12.77734375" customWidth="1"/>
    <col min="15099" max="15099" width="13.77734375" customWidth="1"/>
    <col min="15100" max="15100" width="1.77734375" customWidth="1"/>
    <col min="15101" max="15101" width="13" customWidth="1"/>
    <col min="15102" max="15341" width="8.77734375"/>
    <col min="15342" max="15342" width="6" customWidth="1"/>
    <col min="15343" max="15343" width="1.44140625" customWidth="1"/>
    <col min="15344" max="15344" width="39.109375" customWidth="1"/>
    <col min="15345" max="15345" width="12" customWidth="1"/>
    <col min="15346" max="15346" width="14.44140625" customWidth="1"/>
    <col min="15347" max="15347" width="11.77734375" customWidth="1"/>
    <col min="15348" max="15348" width="14.109375" customWidth="1"/>
    <col min="15349" max="15349" width="13.77734375" customWidth="1"/>
    <col min="15350" max="15351" width="12.77734375" customWidth="1"/>
    <col min="15352" max="15352" width="13.5546875" customWidth="1"/>
    <col min="15353" max="15353" width="15.21875" customWidth="1"/>
    <col min="15354" max="15354" width="12.77734375" customWidth="1"/>
    <col min="15355" max="15355" width="13.77734375" customWidth="1"/>
    <col min="15356" max="15356" width="1.77734375" customWidth="1"/>
    <col min="15357" max="15357" width="13" customWidth="1"/>
    <col min="15358" max="15597" width="8.77734375"/>
    <col min="15598" max="15598" width="6" customWidth="1"/>
    <col min="15599" max="15599" width="1.44140625" customWidth="1"/>
    <col min="15600" max="15600" width="39.109375" customWidth="1"/>
    <col min="15601" max="15601" width="12" customWidth="1"/>
    <col min="15602" max="15602" width="14.44140625" customWidth="1"/>
    <col min="15603" max="15603" width="11.77734375" customWidth="1"/>
    <col min="15604" max="15604" width="14.109375" customWidth="1"/>
    <col min="15605" max="15605" width="13.77734375" customWidth="1"/>
    <col min="15606" max="15607" width="12.77734375" customWidth="1"/>
    <col min="15608" max="15608" width="13.5546875" customWidth="1"/>
    <col min="15609" max="15609" width="15.21875" customWidth="1"/>
    <col min="15610" max="15610" width="12.77734375" customWidth="1"/>
    <col min="15611" max="15611" width="13.77734375" customWidth="1"/>
    <col min="15612" max="15612" width="1.77734375" customWidth="1"/>
    <col min="15613" max="15613" width="13" customWidth="1"/>
    <col min="15614" max="15853" width="8.77734375"/>
    <col min="15854" max="15854" width="6" customWidth="1"/>
    <col min="15855" max="15855" width="1.44140625" customWidth="1"/>
    <col min="15856" max="15856" width="39.109375" customWidth="1"/>
    <col min="15857" max="15857" width="12" customWidth="1"/>
    <col min="15858" max="15858" width="14.44140625" customWidth="1"/>
    <col min="15859" max="15859" width="11.77734375" customWidth="1"/>
    <col min="15860" max="15860" width="14.109375" customWidth="1"/>
    <col min="15861" max="15861" width="13.77734375" customWidth="1"/>
    <col min="15862" max="15863" width="12.77734375" customWidth="1"/>
    <col min="15864" max="15864" width="13.5546875" customWidth="1"/>
    <col min="15865" max="15865" width="15.21875" customWidth="1"/>
    <col min="15866" max="15866" width="12.77734375" customWidth="1"/>
    <col min="15867" max="15867" width="13.77734375" customWidth="1"/>
    <col min="15868" max="15868" width="1.77734375" customWidth="1"/>
    <col min="15869" max="15869" width="13" customWidth="1"/>
    <col min="15870" max="16109" width="8.77734375"/>
    <col min="16110" max="16110" width="6" customWidth="1"/>
    <col min="16111" max="16111" width="1.44140625" customWidth="1"/>
    <col min="16112" max="16112" width="39.109375" customWidth="1"/>
    <col min="16113" max="16113" width="12" customWidth="1"/>
    <col min="16114" max="16114" width="14.44140625" customWidth="1"/>
    <col min="16115" max="16115" width="11.77734375" customWidth="1"/>
    <col min="16116" max="16116" width="14.109375" customWidth="1"/>
    <col min="16117" max="16117" width="13.77734375" customWidth="1"/>
    <col min="16118" max="16119" width="12.77734375" customWidth="1"/>
    <col min="16120" max="16120" width="13.5546875" customWidth="1"/>
    <col min="16121" max="16121" width="15.21875" customWidth="1"/>
    <col min="16122" max="16122" width="12.77734375" customWidth="1"/>
    <col min="16123" max="16123" width="13.77734375" customWidth="1"/>
    <col min="16124" max="16124" width="1.77734375" customWidth="1"/>
    <col min="16125" max="16125" width="13" customWidth="1"/>
    <col min="16126" max="16365" width="8.77734375"/>
    <col min="16366" max="16384" width="8.77734375" customWidth="1"/>
  </cols>
  <sheetData>
    <row r="1" spans="2:18">
      <c r="O1" s="50" t="s">
        <v>296</v>
      </c>
      <c r="R1" s="785"/>
    </row>
    <row r="2" spans="2:18">
      <c r="O2" s="50" t="s">
        <v>294</v>
      </c>
      <c r="Q2" s="785"/>
      <c r="R2" s="785"/>
    </row>
    <row r="3" spans="2:18">
      <c r="O3" s="107" t="s">
        <v>284</v>
      </c>
    </row>
    <row r="4" spans="2:18">
      <c r="B4" s="86"/>
      <c r="D4" s="9"/>
      <c r="E4" s="9"/>
      <c r="F4" s="9"/>
      <c r="G4" s="9"/>
      <c r="H4" s="2"/>
      <c r="I4" s="9"/>
      <c r="J4" s="9"/>
      <c r="K4" s="9"/>
      <c r="L4" s="9"/>
      <c r="N4" s="2"/>
      <c r="O4" s="107" t="str">
        <f>DEOK!G7</f>
        <v>For the 12 months ended: 12/31/2021</v>
      </c>
    </row>
    <row r="5" spans="2:18">
      <c r="B5" s="86"/>
      <c r="D5" s="9"/>
      <c r="E5" s="9"/>
      <c r="F5" s="9"/>
      <c r="G5" s="9"/>
      <c r="H5" s="2"/>
      <c r="I5" s="9"/>
      <c r="J5" s="9"/>
      <c r="K5" s="9"/>
      <c r="L5" s="9"/>
      <c r="N5" s="2"/>
    </row>
    <row r="6" spans="2:18">
      <c r="B6" s="70" t="s">
        <v>255</v>
      </c>
      <c r="C6" s="174"/>
      <c r="D6" s="174"/>
      <c r="E6" s="146"/>
      <c r="F6" s="70"/>
      <c r="G6" s="70"/>
      <c r="H6" s="174"/>
      <c r="I6" s="70"/>
      <c r="J6" s="70"/>
      <c r="K6" s="70"/>
      <c r="L6" s="70"/>
      <c r="M6" s="174"/>
      <c r="N6" s="145"/>
      <c r="O6" s="174"/>
    </row>
    <row r="7" spans="2:18">
      <c r="B7" s="70" t="s">
        <v>297</v>
      </c>
      <c r="C7" s="174"/>
      <c r="D7" s="146"/>
      <c r="E7" s="146"/>
      <c r="F7" s="70"/>
      <c r="G7" s="70"/>
      <c r="H7" s="174"/>
      <c r="I7" s="70"/>
      <c r="J7" s="70"/>
      <c r="K7" s="70"/>
      <c r="L7" s="70"/>
      <c r="M7" s="145"/>
      <c r="N7" s="145"/>
      <c r="O7" s="174"/>
    </row>
    <row r="8" spans="2:18" ht="14.25" customHeight="1">
      <c r="B8" s="173"/>
      <c r="D8" s="9"/>
      <c r="E8" s="9"/>
      <c r="F8" s="9"/>
      <c r="G8" s="9"/>
      <c r="I8" s="70"/>
      <c r="J8" s="9"/>
      <c r="K8" s="9"/>
      <c r="L8" s="9"/>
      <c r="N8" s="2"/>
    </row>
    <row r="9" spans="2:18">
      <c r="B9" s="70" t="str">
        <f>DEOK!A11</f>
        <v>DUKE ENERGY OHIO AND DUKE ENERGY KENTUCKY (DEOK)</v>
      </c>
      <c r="C9" s="174"/>
      <c r="D9" s="174"/>
      <c r="E9" s="174"/>
      <c r="F9" s="70"/>
      <c r="G9" s="70"/>
      <c r="H9" s="174"/>
      <c r="I9" s="70"/>
      <c r="J9" s="70"/>
      <c r="K9" s="70"/>
      <c r="L9" s="70"/>
      <c r="M9" s="70"/>
      <c r="N9" s="145"/>
      <c r="O9" s="145"/>
    </row>
    <row r="10" spans="2:18">
      <c r="B10" s="70" t="s">
        <v>597</v>
      </c>
      <c r="C10" s="174"/>
      <c r="D10" s="174"/>
      <c r="E10" s="174"/>
      <c r="F10" s="146"/>
      <c r="G10" s="146"/>
      <c r="H10" s="146"/>
      <c r="I10" s="146"/>
      <c r="J10" s="146"/>
      <c r="K10" s="146"/>
      <c r="L10" s="146"/>
      <c r="M10" s="146"/>
      <c r="N10" s="146"/>
      <c r="O10" s="146"/>
    </row>
    <row r="11" spans="2:18">
      <c r="B11" s="86"/>
      <c r="F11" s="1"/>
      <c r="G11" s="1"/>
      <c r="H11" s="1"/>
      <c r="I11" s="1"/>
      <c r="J11" s="1"/>
      <c r="K11" s="1"/>
      <c r="L11" s="1"/>
      <c r="M11" s="1"/>
      <c r="N11" s="1"/>
      <c r="O11" s="1"/>
    </row>
    <row r="12" spans="2:18" ht="15.75">
      <c r="B12" s="175" t="s">
        <v>269</v>
      </c>
      <c r="C12" s="174"/>
      <c r="D12" s="70"/>
      <c r="E12" s="70"/>
      <c r="F12" s="174"/>
      <c r="G12" s="175"/>
      <c r="H12" s="174"/>
      <c r="I12" s="146"/>
      <c r="J12" s="146"/>
      <c r="K12" s="146"/>
      <c r="L12" s="146"/>
      <c r="M12" s="146"/>
      <c r="N12" s="145"/>
      <c r="O12" s="145"/>
    </row>
    <row r="13" spans="2:18" ht="15.75">
      <c r="B13" s="86"/>
      <c r="D13" s="9"/>
      <c r="E13" s="9"/>
      <c r="F13" s="10"/>
      <c r="G13" s="10"/>
      <c r="I13" s="1"/>
      <c r="J13" s="1"/>
      <c r="K13" s="1"/>
      <c r="L13" s="1"/>
      <c r="M13" s="1"/>
      <c r="N13" s="2"/>
      <c r="O13" s="2"/>
    </row>
    <row r="14" spans="2:18" ht="15.75">
      <c r="B14" s="86"/>
      <c r="D14" s="108">
        <v>-1</v>
      </c>
      <c r="E14" s="108">
        <v>-2</v>
      </c>
      <c r="F14" s="108">
        <v>-3</v>
      </c>
      <c r="G14" s="108">
        <v>-4</v>
      </c>
      <c r="H14" s="108">
        <v>-5</v>
      </c>
      <c r="I14" s="108">
        <v>-6</v>
      </c>
      <c r="J14" s="108">
        <v>-7</v>
      </c>
      <c r="K14" s="108">
        <v>-8</v>
      </c>
      <c r="L14" s="108">
        <v>-9</v>
      </c>
      <c r="M14" s="108">
        <v>-10</v>
      </c>
      <c r="N14" s="108">
        <v>-11</v>
      </c>
      <c r="O14" s="108">
        <v>-12</v>
      </c>
    </row>
    <row r="15" spans="2:18" ht="61.9" customHeight="1">
      <c r="B15" s="109" t="s">
        <v>225</v>
      </c>
      <c r="C15" s="110"/>
      <c r="D15" s="110" t="s">
        <v>206</v>
      </c>
      <c r="E15" s="111" t="s">
        <v>226</v>
      </c>
      <c r="F15" s="112" t="s">
        <v>227</v>
      </c>
      <c r="G15" s="112" t="s">
        <v>220</v>
      </c>
      <c r="H15" s="113" t="s">
        <v>228</v>
      </c>
      <c r="I15" s="112" t="s">
        <v>229</v>
      </c>
      <c r="J15" s="112" t="s">
        <v>224</v>
      </c>
      <c r="K15" s="113" t="s">
        <v>230</v>
      </c>
      <c r="L15" s="112" t="s">
        <v>231</v>
      </c>
      <c r="M15" s="114" t="s">
        <v>232</v>
      </c>
      <c r="N15" s="115" t="s">
        <v>233</v>
      </c>
      <c r="O15" s="114" t="s">
        <v>234</v>
      </c>
    </row>
    <row r="16" spans="2:18" ht="46.5" customHeight="1">
      <c r="B16" s="116"/>
      <c r="C16" s="117"/>
      <c r="D16" s="117"/>
      <c r="E16" s="117"/>
      <c r="F16" s="118" t="s">
        <v>16</v>
      </c>
      <c r="G16" s="118" t="s">
        <v>694</v>
      </c>
      <c r="H16" s="119"/>
      <c r="I16" s="118" t="s">
        <v>17</v>
      </c>
      <c r="J16" s="118" t="s">
        <v>695</v>
      </c>
      <c r="K16" s="119"/>
      <c r="L16" s="118" t="s">
        <v>237</v>
      </c>
      <c r="M16" s="119" t="s">
        <v>238</v>
      </c>
      <c r="N16" s="120" t="s">
        <v>203</v>
      </c>
      <c r="O16" s="121" t="s">
        <v>239</v>
      </c>
    </row>
    <row r="17" spans="2:15">
      <c r="B17" s="122"/>
      <c r="C17" s="1"/>
      <c r="D17" s="1"/>
      <c r="E17" s="1"/>
      <c r="F17" s="1"/>
      <c r="G17" s="1"/>
      <c r="H17" s="123"/>
      <c r="I17" s="1"/>
      <c r="J17" s="1"/>
      <c r="K17" s="123"/>
      <c r="L17" s="1"/>
      <c r="M17" s="123"/>
      <c r="N17" s="2"/>
      <c r="O17" s="124"/>
    </row>
    <row r="18" spans="2:15">
      <c r="B18" s="610" t="s">
        <v>1</v>
      </c>
      <c r="C18" s="255"/>
      <c r="D18" s="255" t="str">
        <f>'Appx C - DEO(MTEP) Pg1'!M66</f>
        <v>Hillcrest 345 kV</v>
      </c>
      <c r="E18" s="607">
        <f>'Appx C - DEO(MTEP) Pg1'!N66</f>
        <v>91</v>
      </c>
      <c r="F18" s="270">
        <f>'Appx C - DEO(MTEP) Pg1'!O66+'Appx C - DEK(MTEP) Pg1'!O66</f>
        <v>17171005</v>
      </c>
      <c r="G18" s="94"/>
      <c r="H18" s="565">
        <f>'Appx C - DEO(MTEP) Pg1'!Q66+'Appx C - DEK(MTEP) Pg1'!Q66</f>
        <v>1181365</v>
      </c>
      <c r="I18" s="126">
        <f>'Appx C - DEO(MTEP) Pg1'!R66+'Appx C - DEK(MTEP) Pg1'!R66</f>
        <v>15773028</v>
      </c>
      <c r="J18" s="94"/>
      <c r="K18" s="565">
        <f>'Appx C - DEO(MTEP) Pg1'!T66+'Appx C - DEK(MTEP) Pg1'!T66</f>
        <v>1186132</v>
      </c>
      <c r="L18" s="566">
        <f>'Appx C - DEO(MTEP) Pg1'!U66+'Appx C - DEK(MTEP) Pg1'!U66</f>
        <v>308282</v>
      </c>
      <c r="M18" s="565">
        <f>H18+K18+L18</f>
        <v>2675779</v>
      </c>
      <c r="N18" s="128">
        <f>'Appx C - DEO(MTEP) Pg1'!W66+'Appx C - DEK(MTEP) Pg1'!W66</f>
        <v>0</v>
      </c>
      <c r="O18" s="565">
        <f>M18+N18</f>
        <v>2675779</v>
      </c>
    </row>
    <row r="19" spans="2:15">
      <c r="B19" s="610" t="s">
        <v>242</v>
      </c>
      <c r="C19" s="255"/>
      <c r="D19" s="271" t="s">
        <v>243</v>
      </c>
      <c r="E19" s="608" t="s">
        <v>244</v>
      </c>
      <c r="F19" s="270">
        <f>'Appx C - DEO(MTEP) Pg1'!O67+'Appx C - DEK(MTEP) Pg1'!O67</f>
        <v>0</v>
      </c>
      <c r="G19" s="94"/>
      <c r="H19" s="565">
        <f>'Appx C - DEO(MTEP) Pg1'!Q67+'Appx C - DEK(MTEP) Pg1'!Q67</f>
        <v>0</v>
      </c>
      <c r="I19" s="126">
        <f>'Appx C - DEO(MTEP) Pg1'!R67+'Appx C - DEK(MTEP) Pg1'!R67</f>
        <v>0</v>
      </c>
      <c r="J19" s="94"/>
      <c r="K19" s="565">
        <f>'Appx C - DEO(MTEP) Pg1'!T67+'Appx C - DEK(MTEP) Pg1'!T67</f>
        <v>0</v>
      </c>
      <c r="L19" s="566">
        <f>'Appx C - DEO(MTEP) Pg1'!U67+'Appx C - DEK(MTEP) Pg1'!U67</f>
        <v>0</v>
      </c>
      <c r="M19" s="565">
        <f>H19+K19+L19</f>
        <v>0</v>
      </c>
      <c r="N19" s="128">
        <f>'Appx C - DEO(MTEP) Pg1'!W67+'Appx C - DEK(MTEP) Pg1'!W67</f>
        <v>0</v>
      </c>
      <c r="O19" s="565">
        <f>M19+N19</f>
        <v>0</v>
      </c>
    </row>
    <row r="20" spans="2:15">
      <c r="B20" s="611" t="s">
        <v>245</v>
      </c>
      <c r="C20" s="255"/>
      <c r="D20" s="255" t="s">
        <v>246</v>
      </c>
      <c r="E20" s="608" t="s">
        <v>247</v>
      </c>
      <c r="F20" s="270">
        <f>'Appx C - DEO(MTEP) Pg1'!O68+'Appx C - DEK(MTEP) Pg1'!O68</f>
        <v>0</v>
      </c>
      <c r="G20" s="94"/>
      <c r="H20" s="565">
        <f>'Appx C - DEO(MTEP) Pg1'!Q68+'Appx C - DEK(MTEP) Pg1'!Q68</f>
        <v>0</v>
      </c>
      <c r="I20" s="126">
        <f>'Appx C - DEO(MTEP) Pg1'!R68+'Appx C - DEK(MTEP) Pg1'!R68</f>
        <v>0</v>
      </c>
      <c r="J20" s="94"/>
      <c r="K20" s="565">
        <f>'Appx C - DEO(MTEP) Pg1'!T68+'Appx C - DEK(MTEP) Pg1'!T68</f>
        <v>0</v>
      </c>
      <c r="L20" s="566">
        <f>'Appx C - DEO(MTEP) Pg1'!U68+'Appx C - DEK(MTEP) Pg1'!U68</f>
        <v>0</v>
      </c>
      <c r="M20" s="565">
        <f>H20+K20+L20</f>
        <v>0</v>
      </c>
      <c r="N20" s="126">
        <f>'Appx C - DEO(MTEP) Pg1'!W68+'Appx C - DEK(MTEP) Pg1'!W68</f>
        <v>0</v>
      </c>
      <c r="O20" s="565">
        <f>M20+N20</f>
        <v>0</v>
      </c>
    </row>
    <row r="21" spans="2:15">
      <c r="B21" s="125"/>
      <c r="H21" s="127"/>
      <c r="K21" s="127"/>
      <c r="M21" s="127"/>
      <c r="O21" s="127"/>
    </row>
    <row r="22" spans="2:15">
      <c r="B22" s="125"/>
      <c r="H22" s="127"/>
      <c r="K22" s="127"/>
      <c r="M22" s="127"/>
      <c r="O22" s="127"/>
    </row>
    <row r="23" spans="2:15">
      <c r="B23" s="125"/>
      <c r="H23" s="127"/>
      <c r="K23" s="127"/>
      <c r="M23" s="127"/>
      <c r="O23" s="127"/>
    </row>
    <row r="24" spans="2:15">
      <c r="B24" s="125"/>
      <c r="H24" s="127"/>
      <c r="K24" s="127"/>
      <c r="M24" s="127"/>
      <c r="O24" s="127"/>
    </row>
    <row r="25" spans="2:15">
      <c r="B25" s="125"/>
      <c r="H25" s="127"/>
      <c r="K25" s="127"/>
      <c r="M25" s="127"/>
      <c r="O25" s="127"/>
    </row>
    <row r="26" spans="2:15">
      <c r="B26" s="125"/>
      <c r="D26" s="129"/>
      <c r="E26" s="129"/>
      <c r="F26" s="129"/>
      <c r="G26" s="129"/>
      <c r="H26" s="130"/>
      <c r="I26" s="129"/>
      <c r="J26" s="129"/>
      <c r="K26" s="130"/>
      <c r="L26" s="129"/>
      <c r="M26" s="130"/>
      <c r="N26" s="129"/>
      <c r="O26" s="130"/>
    </row>
    <row r="27" spans="2:15">
      <c r="B27" s="125"/>
      <c r="D27" s="129"/>
      <c r="E27" s="129"/>
      <c r="F27" s="129"/>
      <c r="G27" s="129"/>
      <c r="H27" s="130"/>
      <c r="I27" s="129"/>
      <c r="J27" s="129"/>
      <c r="K27" s="130"/>
      <c r="L27" s="129"/>
      <c r="M27" s="130"/>
      <c r="N27" s="129"/>
      <c r="O27" s="130"/>
    </row>
    <row r="28" spans="2:15">
      <c r="B28" s="125"/>
      <c r="D28" s="129"/>
      <c r="E28" s="129"/>
      <c r="F28" s="129"/>
      <c r="G28" s="129"/>
      <c r="H28" s="130"/>
      <c r="I28" s="129"/>
      <c r="J28" s="129"/>
      <c r="K28" s="130"/>
      <c r="L28" s="129"/>
      <c r="M28" s="130"/>
      <c r="N28" s="129"/>
      <c r="O28" s="130"/>
    </row>
    <row r="29" spans="2:15">
      <c r="B29" s="125"/>
      <c r="D29" s="129"/>
      <c r="E29" s="129"/>
      <c r="F29" s="129"/>
      <c r="G29" s="129"/>
      <c r="H29" s="130"/>
      <c r="I29" s="129"/>
      <c r="J29" s="129"/>
      <c r="K29" s="130"/>
      <c r="L29" s="129"/>
      <c r="M29" s="130"/>
      <c r="N29" s="129"/>
      <c r="O29" s="130"/>
    </row>
    <row r="30" spans="2:15">
      <c r="B30" s="125"/>
      <c r="D30" s="129"/>
      <c r="E30" s="129"/>
      <c r="F30" s="129"/>
      <c r="G30" s="129"/>
      <c r="H30" s="130"/>
      <c r="I30" s="129"/>
      <c r="J30" s="129"/>
      <c r="K30" s="130"/>
      <c r="L30" s="129"/>
      <c r="M30" s="130"/>
      <c r="N30" s="129"/>
      <c r="O30" s="130"/>
    </row>
    <row r="31" spans="2:15">
      <c r="B31" s="125"/>
      <c r="D31" s="129"/>
      <c r="E31" s="129"/>
      <c r="F31" s="129"/>
      <c r="G31" s="129"/>
      <c r="H31" s="130"/>
      <c r="I31" s="129"/>
      <c r="J31" s="129"/>
      <c r="K31" s="130"/>
      <c r="L31" s="129"/>
      <c r="M31" s="130"/>
      <c r="N31" s="129"/>
      <c r="O31" s="130"/>
    </row>
    <row r="32" spans="2:15">
      <c r="B32" s="125"/>
      <c r="D32" s="129"/>
      <c r="E32" s="129"/>
      <c r="F32" s="129"/>
      <c r="G32" s="129"/>
      <c r="H32" s="130"/>
      <c r="I32" s="129"/>
      <c r="J32" s="129"/>
      <c r="K32" s="130"/>
      <c r="L32" s="129"/>
      <c r="M32" s="130"/>
      <c r="N32" s="129"/>
      <c r="O32" s="130"/>
    </row>
    <row r="33" spans="2:15">
      <c r="B33" s="125"/>
      <c r="D33" s="129"/>
      <c r="E33" s="129"/>
      <c r="F33" s="129"/>
      <c r="G33" s="129"/>
      <c r="H33" s="130"/>
      <c r="I33" s="129"/>
      <c r="J33" s="129"/>
      <c r="K33" s="130"/>
      <c r="L33" s="129"/>
      <c r="M33" s="130"/>
      <c r="N33" s="129"/>
      <c r="O33" s="130"/>
    </row>
    <row r="34" spans="2:15">
      <c r="B34" s="125"/>
      <c r="D34" s="129"/>
      <c r="E34" s="129"/>
      <c r="F34" s="129"/>
      <c r="G34" s="129"/>
      <c r="H34" s="130"/>
      <c r="I34" s="129"/>
      <c r="J34" s="129"/>
      <c r="K34" s="130"/>
      <c r="L34" s="129"/>
      <c r="M34" s="130"/>
      <c r="N34" s="129"/>
      <c r="O34" s="130"/>
    </row>
    <row r="35" spans="2:15">
      <c r="B35" s="125"/>
      <c r="D35" s="129"/>
      <c r="E35" s="129"/>
      <c r="F35" s="129"/>
      <c r="G35" s="129"/>
      <c r="H35" s="130"/>
      <c r="I35" s="129"/>
      <c r="J35" s="129"/>
      <c r="K35" s="130"/>
      <c r="L35" s="129"/>
      <c r="M35" s="130"/>
      <c r="N35" s="129"/>
      <c r="O35" s="130"/>
    </row>
    <row r="36" spans="2:15">
      <c r="B36" s="125"/>
      <c r="D36" s="129"/>
      <c r="E36" s="129"/>
      <c r="F36" s="129"/>
      <c r="G36" s="129"/>
      <c r="H36" s="130"/>
      <c r="I36" s="129"/>
      <c r="J36" s="129"/>
      <c r="K36" s="130"/>
      <c r="L36" s="129"/>
      <c r="M36" s="130"/>
      <c r="N36" s="129"/>
      <c r="O36" s="130"/>
    </row>
    <row r="37" spans="2:15">
      <c r="B37" s="131"/>
      <c r="C37" s="132"/>
      <c r="D37" s="133"/>
      <c r="E37" s="133"/>
      <c r="F37" s="133"/>
      <c r="G37" s="133"/>
      <c r="H37" s="134"/>
      <c r="I37" s="133"/>
      <c r="J37" s="133"/>
      <c r="K37" s="134"/>
      <c r="L37" s="133"/>
      <c r="M37" s="134"/>
      <c r="N37" s="133"/>
      <c r="O37" s="134"/>
    </row>
    <row r="38" spans="2:15">
      <c r="B38" s="5" t="s">
        <v>248</v>
      </c>
      <c r="C38" s="102"/>
      <c r="D38" s="1" t="s">
        <v>249</v>
      </c>
      <c r="E38" s="1"/>
      <c r="F38" s="67"/>
      <c r="G38" s="67"/>
      <c r="H38" s="2"/>
      <c r="I38" s="2"/>
      <c r="J38" s="2"/>
      <c r="K38" s="2"/>
      <c r="L38" s="2"/>
      <c r="M38" s="544">
        <f>SUM(M18:M37)</f>
        <v>2675779</v>
      </c>
      <c r="N38" s="544">
        <f>SUM(N18:N37)</f>
        <v>0</v>
      </c>
      <c r="O38" s="544">
        <f>SUM(O18:O37)</f>
        <v>2675779</v>
      </c>
    </row>
    <row r="39" spans="2:15">
      <c r="B39" s="52"/>
      <c r="C39" s="129"/>
      <c r="D39" s="129"/>
      <c r="E39" s="129"/>
      <c r="F39" s="129"/>
      <c r="G39" s="129"/>
      <c r="H39" s="129"/>
      <c r="I39" s="129"/>
      <c r="J39" s="129"/>
      <c r="K39" s="129"/>
      <c r="L39" s="129"/>
      <c r="M39" s="564"/>
      <c r="N39" s="564"/>
      <c r="O39" s="564"/>
    </row>
    <row r="40" spans="2:15">
      <c r="B40" s="135">
        <v>3</v>
      </c>
      <c r="C40" s="129"/>
      <c r="D40" s="9" t="s">
        <v>598</v>
      </c>
      <c r="E40" s="129"/>
      <c r="F40" s="129"/>
      <c r="G40" s="129"/>
      <c r="H40" s="129"/>
      <c r="I40" s="129"/>
      <c r="J40" s="129"/>
      <c r="K40" s="129"/>
      <c r="L40" s="129"/>
      <c r="M40" s="544"/>
      <c r="N40" s="564"/>
      <c r="O40" s="544">
        <f>O38</f>
        <v>2675779</v>
      </c>
    </row>
    <row r="41" spans="2:15">
      <c r="B41" s="129"/>
      <c r="C41" s="129"/>
      <c r="D41" s="129"/>
      <c r="E41" s="129"/>
      <c r="F41" s="129"/>
      <c r="G41" s="129"/>
      <c r="H41" s="129"/>
      <c r="I41" s="129"/>
      <c r="J41" s="129"/>
      <c r="K41" s="129"/>
      <c r="L41" s="129"/>
      <c r="M41" s="129"/>
      <c r="N41" s="129"/>
      <c r="O41" s="129"/>
    </row>
    <row r="42" spans="2:15">
      <c r="B42" s="129"/>
      <c r="C42" s="129"/>
      <c r="D42" s="129"/>
      <c r="E42" s="129"/>
      <c r="F42" s="129"/>
      <c r="G42" s="129"/>
      <c r="H42" s="129"/>
      <c r="I42" s="129"/>
      <c r="J42" s="129"/>
      <c r="K42" s="129"/>
      <c r="L42" s="129"/>
      <c r="M42" s="129"/>
      <c r="N42" s="129"/>
      <c r="O42" s="129"/>
    </row>
    <row r="43" spans="2:15">
      <c r="B43" s="67" t="s">
        <v>94</v>
      </c>
      <c r="C43" s="129"/>
      <c r="D43" s="129"/>
      <c r="E43" s="129"/>
      <c r="F43" s="129"/>
      <c r="G43" s="129"/>
      <c r="H43" s="129"/>
      <c r="I43" s="129"/>
      <c r="J43" s="129"/>
      <c r="K43" s="129"/>
      <c r="L43" s="129"/>
      <c r="M43" s="129"/>
      <c r="N43" s="129"/>
      <c r="O43" s="129"/>
    </row>
    <row r="44" spans="2:15" ht="15.75" thickBot="1">
      <c r="B44" s="492" t="s">
        <v>95</v>
      </c>
      <c r="C44" s="129"/>
      <c r="D44" s="129"/>
      <c r="E44" s="129"/>
      <c r="F44" s="129"/>
      <c r="G44" s="129"/>
      <c r="H44" s="129"/>
      <c r="I44" s="129"/>
      <c r="J44" s="129"/>
      <c r="K44" s="129"/>
      <c r="L44" s="129"/>
      <c r="M44" s="129"/>
      <c r="N44" s="129"/>
      <c r="O44" s="129"/>
    </row>
    <row r="45" spans="2:15">
      <c r="B45" s="136" t="s">
        <v>96</v>
      </c>
      <c r="C45" s="66"/>
      <c r="D45" s="1033" t="s">
        <v>573</v>
      </c>
      <c r="E45" s="1034"/>
      <c r="F45" s="1034"/>
      <c r="G45" s="1034"/>
      <c r="H45" s="1034"/>
      <c r="I45" s="1034"/>
      <c r="J45" s="1034"/>
      <c r="K45" s="1034"/>
      <c r="L45" s="1034"/>
      <c r="M45" s="1034"/>
      <c r="N45" s="1034"/>
      <c r="O45" s="1034"/>
    </row>
    <row r="46" spans="2:15">
      <c r="B46" s="136" t="s">
        <v>97</v>
      </c>
      <c r="C46" s="66"/>
      <c r="D46" s="1033" t="s">
        <v>574</v>
      </c>
      <c r="E46" s="1034"/>
      <c r="F46" s="1034"/>
      <c r="G46" s="1034"/>
      <c r="H46" s="1034"/>
      <c r="I46" s="1034"/>
      <c r="J46" s="1034"/>
      <c r="K46" s="1034"/>
      <c r="L46" s="1034"/>
      <c r="M46" s="1034"/>
      <c r="N46" s="1034"/>
      <c r="O46" s="1034"/>
    </row>
    <row r="47" spans="2:15" ht="27.75" customHeight="1">
      <c r="B47" s="137" t="s">
        <v>98</v>
      </c>
      <c r="C47" s="66"/>
      <c r="D47" s="1035" t="s">
        <v>250</v>
      </c>
      <c r="E47" s="1035"/>
      <c r="F47" s="1035"/>
      <c r="G47" s="1035"/>
      <c r="H47" s="1035"/>
      <c r="I47" s="1035"/>
      <c r="J47" s="1035"/>
      <c r="K47" s="1035"/>
      <c r="L47" s="1035"/>
      <c r="M47" s="1035"/>
      <c r="N47" s="1035"/>
      <c r="O47" s="1035"/>
    </row>
    <row r="48" spans="2:15" ht="15" customHeight="1">
      <c r="B48" s="137" t="s">
        <v>99</v>
      </c>
      <c r="C48" s="66"/>
      <c r="D48" s="1035" t="s">
        <v>251</v>
      </c>
      <c r="E48" s="1035"/>
      <c r="F48" s="1035"/>
      <c r="G48" s="1035"/>
      <c r="H48" s="1035"/>
      <c r="I48" s="1035"/>
      <c r="J48" s="1035"/>
      <c r="K48" s="1035"/>
      <c r="L48" s="1035"/>
      <c r="M48" s="1035"/>
      <c r="N48" s="1035"/>
      <c r="O48" s="1035"/>
    </row>
    <row r="49" spans="2:15">
      <c r="B49" s="136" t="s">
        <v>100</v>
      </c>
      <c r="C49" s="66"/>
      <c r="D49" s="1034" t="s">
        <v>312</v>
      </c>
      <c r="E49" s="1034"/>
      <c r="F49" s="1034"/>
      <c r="G49" s="1034"/>
      <c r="H49" s="1034"/>
      <c r="I49" s="1034"/>
      <c r="J49" s="1034"/>
      <c r="K49" s="1034"/>
      <c r="L49" s="1034"/>
      <c r="M49" s="1034"/>
      <c r="N49" s="1034"/>
      <c r="O49" s="1034"/>
    </row>
    <row r="50" spans="2:15">
      <c r="B50" s="136" t="s">
        <v>101</v>
      </c>
      <c r="C50" s="66"/>
      <c r="D50" s="1034" t="s">
        <v>252</v>
      </c>
      <c r="E50" s="1034"/>
      <c r="F50" s="1034"/>
      <c r="G50" s="1034"/>
      <c r="H50" s="1034"/>
      <c r="I50" s="1034"/>
      <c r="J50" s="1034"/>
      <c r="K50" s="1034"/>
      <c r="L50" s="1034"/>
      <c r="M50" s="1034"/>
      <c r="N50" s="1034"/>
      <c r="O50" s="1034"/>
    </row>
    <row r="51" spans="2:15">
      <c r="B51" s="136" t="s">
        <v>102</v>
      </c>
      <c r="C51" s="66"/>
      <c r="D51" s="1034" t="s">
        <v>253</v>
      </c>
      <c r="E51" s="1034"/>
      <c r="F51" s="1034"/>
      <c r="G51" s="1034"/>
      <c r="H51" s="1034"/>
      <c r="I51" s="1034"/>
      <c r="J51" s="1034"/>
      <c r="K51" s="1034"/>
      <c r="L51" s="1034"/>
      <c r="M51" s="1034"/>
      <c r="N51" s="1034"/>
      <c r="O51" s="1034"/>
    </row>
    <row r="52" spans="2:15">
      <c r="B52" s="248" t="s">
        <v>103</v>
      </c>
      <c r="D52" s="1033" t="s">
        <v>334</v>
      </c>
      <c r="E52" s="1033"/>
      <c r="F52" s="1033"/>
      <c r="G52" s="1033"/>
      <c r="H52" s="1033"/>
      <c r="I52" s="1033"/>
      <c r="J52" s="1033"/>
      <c r="K52" s="1033"/>
      <c r="L52" s="1033"/>
      <c r="M52" s="1033"/>
      <c r="N52" s="1033"/>
      <c r="O52" s="1033"/>
    </row>
    <row r="53" spans="2:15" ht="15.75">
      <c r="B53" s="104"/>
      <c r="C53" s="138"/>
      <c r="D53" s="139"/>
      <c r="E53" s="97"/>
      <c r="F53" s="67"/>
      <c r="G53" s="67"/>
      <c r="H53" s="2"/>
      <c r="I53" s="9"/>
      <c r="J53" s="9"/>
      <c r="K53" s="93"/>
      <c r="L53" s="9"/>
      <c r="N53" s="2"/>
      <c r="O53" s="105"/>
    </row>
    <row r="54" spans="2:15" ht="15.75">
      <c r="B54" s="104"/>
      <c r="C54" s="138"/>
      <c r="D54" s="139"/>
      <c r="E54" s="97"/>
      <c r="F54" s="67"/>
      <c r="G54" s="67"/>
      <c r="H54" s="2"/>
      <c r="I54" s="9"/>
      <c r="J54" s="9"/>
      <c r="K54" s="93"/>
      <c r="L54" s="9"/>
      <c r="N54" s="2"/>
      <c r="O54" s="95"/>
    </row>
    <row r="55" spans="2:15">
      <c r="D55" s="129"/>
      <c r="E55" s="129"/>
      <c r="F55" s="129"/>
      <c r="G55" s="129"/>
      <c r="H55" s="129"/>
      <c r="I55" s="129"/>
      <c r="J55" s="129"/>
      <c r="K55" s="129"/>
      <c r="L55" s="129"/>
      <c r="M55" s="129"/>
      <c r="N55" s="129"/>
      <c r="O55" s="129"/>
    </row>
    <row r="56" spans="2:15">
      <c r="D56" s="129"/>
      <c r="E56" s="129"/>
      <c r="F56" s="129"/>
      <c r="G56" s="129"/>
      <c r="H56" s="129"/>
      <c r="I56" s="129"/>
      <c r="J56" s="129"/>
      <c r="K56" s="129"/>
      <c r="L56" s="129"/>
      <c r="M56" s="129"/>
      <c r="N56" s="129"/>
      <c r="O56" s="129"/>
    </row>
    <row r="57" spans="2:15">
      <c r="D57" s="129"/>
      <c r="E57" s="129"/>
      <c r="F57" s="129"/>
      <c r="G57" s="129"/>
      <c r="H57" s="129"/>
      <c r="I57" s="129"/>
      <c r="J57" s="129"/>
      <c r="K57" s="129"/>
      <c r="L57" s="129"/>
      <c r="M57" s="129"/>
      <c r="N57" s="129"/>
      <c r="O57" s="129"/>
    </row>
    <row r="58" spans="2:15">
      <c r="D58" s="129"/>
      <c r="E58" s="129"/>
      <c r="F58" s="129"/>
      <c r="G58" s="129"/>
      <c r="H58" s="129"/>
      <c r="I58" s="129"/>
      <c r="J58" s="129"/>
      <c r="K58" s="129"/>
      <c r="L58" s="129"/>
      <c r="M58" s="129"/>
      <c r="N58" s="129"/>
      <c r="O58" s="129"/>
    </row>
    <row r="59" spans="2:15">
      <c r="D59" s="129"/>
      <c r="E59" s="129"/>
      <c r="F59" s="129"/>
      <c r="G59" s="129"/>
      <c r="H59" s="129"/>
      <c r="I59" s="129"/>
      <c r="J59" s="129"/>
      <c r="K59" s="129"/>
      <c r="L59" s="129"/>
      <c r="M59" s="129"/>
      <c r="N59" s="129"/>
      <c r="O59" s="129"/>
    </row>
    <row r="60" spans="2:15">
      <c r="D60" s="129"/>
      <c r="E60" s="129"/>
      <c r="F60" s="129"/>
      <c r="G60" s="129"/>
      <c r="H60" s="129"/>
      <c r="I60" s="129"/>
      <c r="J60" s="129"/>
      <c r="K60" s="129"/>
      <c r="L60" s="129"/>
      <c r="M60" s="129"/>
      <c r="N60" s="129"/>
      <c r="O60" s="129"/>
    </row>
    <row r="61" spans="2:15">
      <c r="D61" s="129"/>
      <c r="E61" s="129"/>
      <c r="F61" s="129"/>
      <c r="G61" s="129"/>
      <c r="H61" s="129"/>
      <c r="I61" s="129"/>
      <c r="J61" s="129"/>
      <c r="K61" s="129"/>
      <c r="L61" s="129"/>
      <c r="M61" s="129"/>
      <c r="N61" s="129"/>
      <c r="O61" s="129"/>
    </row>
    <row r="62" spans="2:15">
      <c r="D62" s="129"/>
      <c r="E62" s="129"/>
      <c r="F62" s="129"/>
      <c r="G62" s="129"/>
      <c r="H62" s="129"/>
      <c r="I62" s="129"/>
      <c r="J62" s="129"/>
      <c r="K62" s="129"/>
      <c r="L62" s="129"/>
      <c r="M62" s="129"/>
      <c r="N62" s="129"/>
      <c r="O62" s="129"/>
    </row>
    <row r="63" spans="2:15">
      <c r="D63" s="129"/>
      <c r="E63" s="129"/>
      <c r="F63" s="129"/>
      <c r="G63" s="129"/>
      <c r="H63" s="129"/>
      <c r="I63" s="129"/>
      <c r="J63" s="129"/>
      <c r="K63" s="129"/>
      <c r="L63" s="129"/>
      <c r="M63" s="129"/>
      <c r="N63" s="129"/>
      <c r="O63" s="129"/>
    </row>
    <row r="64" spans="2:15">
      <c r="D64" s="129"/>
      <c r="E64" s="129"/>
      <c r="F64" s="129"/>
      <c r="G64" s="129"/>
      <c r="H64" s="129"/>
      <c r="I64" s="129"/>
      <c r="J64" s="129"/>
      <c r="K64" s="129"/>
      <c r="L64" s="129"/>
      <c r="M64" s="129"/>
      <c r="N64" s="129"/>
      <c r="O64" s="129"/>
    </row>
    <row r="65" spans="4:15">
      <c r="D65" s="129"/>
      <c r="E65" s="129"/>
      <c r="F65" s="129"/>
      <c r="G65" s="129"/>
      <c r="H65" s="129"/>
      <c r="I65" s="129"/>
      <c r="J65" s="129"/>
      <c r="K65" s="129"/>
      <c r="L65" s="129"/>
      <c r="M65" s="129"/>
      <c r="N65" s="129"/>
      <c r="O65" s="129"/>
    </row>
    <row r="66" spans="4:15">
      <c r="D66" s="129"/>
      <c r="E66" s="129"/>
      <c r="F66" s="129"/>
      <c r="G66" s="129"/>
      <c r="H66" s="129"/>
      <c r="I66" s="129"/>
      <c r="J66" s="129"/>
      <c r="K66" s="129"/>
      <c r="L66" s="129"/>
      <c r="M66" s="129"/>
      <c r="N66" s="129"/>
      <c r="O66" s="129"/>
    </row>
    <row r="67" spans="4:15">
      <c r="D67" s="129"/>
      <c r="E67" s="129"/>
      <c r="F67" s="129"/>
      <c r="G67" s="129"/>
      <c r="H67" s="129"/>
      <c r="I67" s="129"/>
      <c r="J67" s="129"/>
      <c r="K67" s="129"/>
      <c r="L67" s="129"/>
      <c r="M67" s="129"/>
      <c r="N67" s="129"/>
      <c r="O67" s="129"/>
    </row>
    <row r="68" spans="4:15">
      <c r="D68" s="129"/>
      <c r="E68" s="129"/>
      <c r="F68" s="129"/>
      <c r="G68" s="129"/>
      <c r="H68" s="129"/>
      <c r="I68" s="129"/>
      <c r="J68" s="129"/>
      <c r="K68" s="129"/>
      <c r="L68" s="129"/>
      <c r="M68" s="129"/>
      <c r="N68" s="129"/>
      <c r="O68" s="129"/>
    </row>
    <row r="69" spans="4:15">
      <c r="D69" s="129"/>
      <c r="E69" s="129"/>
      <c r="F69" s="129"/>
      <c r="G69" s="129"/>
      <c r="H69" s="129"/>
      <c r="I69" s="129"/>
      <c r="J69" s="129"/>
      <c r="K69" s="129"/>
      <c r="L69" s="129"/>
      <c r="M69" s="129"/>
      <c r="N69" s="129"/>
      <c r="O69" s="129"/>
    </row>
    <row r="70" spans="4:15">
      <c r="D70" s="129"/>
      <c r="E70" s="129"/>
      <c r="F70" s="129"/>
      <c r="G70" s="129"/>
      <c r="H70" s="129"/>
      <c r="I70" s="129"/>
      <c r="J70" s="129"/>
      <c r="K70" s="129"/>
      <c r="L70" s="129"/>
      <c r="M70" s="129"/>
      <c r="N70" s="129"/>
      <c r="O70" s="129"/>
    </row>
    <row r="71" spans="4:15">
      <c r="D71" s="129"/>
      <c r="E71" s="129"/>
      <c r="F71" s="129"/>
      <c r="G71" s="129"/>
      <c r="H71" s="129"/>
      <c r="I71" s="129"/>
      <c r="J71" s="129"/>
      <c r="K71" s="129"/>
      <c r="L71" s="129"/>
      <c r="M71" s="129"/>
      <c r="N71" s="129"/>
      <c r="O71" s="129"/>
    </row>
    <row r="72" spans="4:15">
      <c r="D72" s="129"/>
      <c r="E72" s="129"/>
      <c r="F72" s="129"/>
      <c r="G72" s="129"/>
      <c r="H72" s="129"/>
      <c r="I72" s="129"/>
      <c r="J72" s="129"/>
      <c r="K72" s="129"/>
      <c r="L72" s="129"/>
      <c r="M72" s="129"/>
      <c r="N72" s="129"/>
      <c r="O72" s="129"/>
    </row>
    <row r="73" spans="4:15">
      <c r="D73" s="129"/>
      <c r="E73" s="129"/>
      <c r="F73" s="129"/>
      <c r="G73" s="129"/>
      <c r="H73" s="129"/>
      <c r="I73" s="129"/>
      <c r="J73" s="129"/>
      <c r="K73" s="129"/>
      <c r="L73" s="129"/>
      <c r="M73" s="129"/>
      <c r="N73" s="129"/>
      <c r="O73" s="129"/>
    </row>
    <row r="74" spans="4:15">
      <c r="D74" s="129"/>
      <c r="E74" s="129"/>
      <c r="F74" s="129"/>
      <c r="G74" s="129"/>
      <c r="H74" s="129"/>
      <c r="I74" s="129"/>
      <c r="J74" s="129"/>
      <c r="K74" s="129"/>
      <c r="L74" s="129"/>
      <c r="M74" s="129"/>
      <c r="N74" s="129"/>
      <c r="O74" s="129"/>
    </row>
    <row r="75" spans="4:15">
      <c r="D75" s="129"/>
      <c r="E75" s="129"/>
      <c r="F75" s="129"/>
      <c r="G75" s="129"/>
      <c r="H75" s="129"/>
      <c r="I75" s="129"/>
      <c r="J75" s="129"/>
      <c r="K75" s="129"/>
      <c r="L75" s="129"/>
      <c r="M75" s="129"/>
      <c r="N75" s="129"/>
      <c r="O75" s="129"/>
    </row>
    <row r="76" spans="4:15">
      <c r="D76" s="129"/>
      <c r="E76" s="129"/>
      <c r="F76" s="129"/>
      <c r="G76" s="129"/>
      <c r="H76" s="129"/>
      <c r="I76" s="129"/>
      <c r="J76" s="129"/>
      <c r="K76" s="129"/>
      <c r="L76" s="129"/>
      <c r="M76" s="129"/>
      <c r="N76" s="129"/>
      <c r="O76" s="129"/>
    </row>
    <row r="77" spans="4:15">
      <c r="D77" s="129"/>
      <c r="E77" s="129"/>
      <c r="F77" s="129"/>
      <c r="G77" s="129"/>
      <c r="H77" s="129"/>
      <c r="I77" s="129"/>
      <c r="J77" s="129"/>
      <c r="K77" s="129"/>
      <c r="L77" s="129"/>
      <c r="M77" s="129"/>
      <c r="N77" s="129"/>
      <c r="O77" s="129"/>
    </row>
    <row r="78" spans="4:15">
      <c r="D78" s="129"/>
      <c r="E78" s="129"/>
      <c r="F78" s="129"/>
      <c r="G78" s="129"/>
      <c r="H78" s="129"/>
      <c r="I78" s="129"/>
      <c r="J78" s="129"/>
      <c r="K78" s="129"/>
      <c r="L78" s="129"/>
      <c r="M78" s="129"/>
      <c r="N78" s="129"/>
      <c r="O78" s="129"/>
    </row>
    <row r="79" spans="4:15">
      <c r="D79" s="129"/>
      <c r="E79" s="129"/>
      <c r="F79" s="129"/>
      <c r="G79" s="129"/>
      <c r="H79" s="129"/>
      <c r="I79" s="129"/>
      <c r="J79" s="129"/>
      <c r="K79" s="129"/>
      <c r="L79" s="129"/>
      <c r="M79" s="129"/>
      <c r="N79" s="129"/>
      <c r="O79" s="129"/>
    </row>
    <row r="80" spans="4:15">
      <c r="D80" s="129"/>
      <c r="E80" s="129"/>
      <c r="F80" s="129"/>
      <c r="G80" s="129"/>
      <c r="H80" s="129"/>
      <c r="I80" s="129"/>
      <c r="J80" s="129"/>
      <c r="K80" s="129"/>
      <c r="L80" s="129"/>
      <c r="M80" s="129"/>
      <c r="N80" s="129"/>
      <c r="O80" s="129"/>
    </row>
    <row r="81" spans="1:15">
      <c r="D81" s="129"/>
      <c r="E81" s="129"/>
      <c r="F81" s="129"/>
      <c r="G81" s="129"/>
      <c r="H81" s="129"/>
      <c r="I81" s="129"/>
      <c r="J81" s="129"/>
      <c r="K81" s="129"/>
      <c r="L81" s="129"/>
      <c r="M81" s="129"/>
      <c r="N81" s="129"/>
      <c r="O81" s="129"/>
    </row>
    <row r="82" spans="1:15">
      <c r="D82" s="129"/>
      <c r="E82" s="129"/>
      <c r="F82" s="129"/>
      <c r="G82" s="129"/>
      <c r="H82" s="129"/>
      <c r="I82" s="129"/>
      <c r="J82" s="129"/>
      <c r="K82" s="129"/>
      <c r="L82" s="129"/>
      <c r="M82" s="129"/>
      <c r="N82" s="129"/>
      <c r="O82" s="129"/>
    </row>
    <row r="83" spans="1:15">
      <c r="D83" s="129"/>
      <c r="E83" s="129"/>
      <c r="F83" s="129"/>
      <c r="G83" s="129"/>
      <c r="H83" s="129"/>
      <c r="I83" s="129"/>
      <c r="J83" s="129"/>
      <c r="K83" s="129"/>
      <c r="L83" s="129"/>
      <c r="M83" s="129"/>
      <c r="N83" s="129"/>
      <c r="O83" s="129"/>
    </row>
    <row r="84" spans="1:15">
      <c r="D84" s="129"/>
      <c r="E84" s="129"/>
      <c r="F84" s="129"/>
      <c r="G84" s="129"/>
      <c r="H84" s="129"/>
      <c r="I84" s="129"/>
      <c r="J84" s="129"/>
      <c r="K84" s="129"/>
      <c r="L84" s="129"/>
      <c r="M84" s="129"/>
      <c r="N84" s="129"/>
      <c r="O84" s="129"/>
    </row>
    <row r="85" spans="1:15">
      <c r="D85" s="129"/>
      <c r="E85" s="129"/>
      <c r="F85" s="129"/>
      <c r="G85" s="129"/>
      <c r="H85" s="129"/>
      <c r="I85" s="129"/>
      <c r="J85" s="129"/>
      <c r="K85" s="129"/>
      <c r="L85" s="129"/>
      <c r="M85" s="129"/>
      <c r="N85" s="129"/>
      <c r="O85" s="129"/>
    </row>
    <row r="86" spans="1:15">
      <c r="D86" s="129"/>
      <c r="E86" s="129"/>
      <c r="F86" s="129"/>
      <c r="G86" s="129"/>
      <c r="H86" s="129"/>
      <c r="I86" s="129"/>
      <c r="J86" s="129"/>
      <c r="K86" s="129"/>
      <c r="L86" s="129"/>
      <c r="M86" s="129"/>
      <c r="N86" s="129"/>
      <c r="O86" s="129"/>
    </row>
    <row r="87" spans="1:15">
      <c r="D87" s="129"/>
      <c r="E87" s="129"/>
      <c r="F87" s="129"/>
      <c r="G87" s="129"/>
      <c r="H87" s="129"/>
      <c r="I87" s="129"/>
      <c r="J87" s="129"/>
      <c r="K87" s="129"/>
      <c r="L87" s="129"/>
      <c r="M87" s="129"/>
      <c r="N87" s="129"/>
      <c r="O87" s="129"/>
    </row>
    <row r="88" spans="1:15">
      <c r="D88" s="129"/>
      <c r="E88" s="129"/>
      <c r="F88" s="129"/>
      <c r="G88" s="129"/>
      <c r="H88" s="129"/>
      <c r="I88" s="129"/>
      <c r="J88" s="129"/>
      <c r="K88" s="129"/>
      <c r="L88" s="129"/>
      <c r="M88" s="129"/>
      <c r="N88" s="129"/>
      <c r="O88" s="129"/>
    </row>
    <row r="89" spans="1:15">
      <c r="D89" s="129"/>
      <c r="E89" s="129"/>
      <c r="F89" s="129"/>
      <c r="G89" s="129"/>
      <c r="H89" s="129"/>
      <c r="I89" s="129"/>
      <c r="J89" s="129"/>
      <c r="K89" s="129"/>
      <c r="L89" s="129"/>
      <c r="M89" s="129"/>
      <c r="N89" s="129"/>
      <c r="O89" s="129"/>
    </row>
    <row r="90" spans="1:15">
      <c r="D90" s="129"/>
      <c r="E90" s="129"/>
      <c r="F90" s="129"/>
      <c r="G90" s="129"/>
      <c r="H90" s="129"/>
      <c r="I90" s="129"/>
      <c r="J90" s="129"/>
      <c r="K90" s="129"/>
      <c r="L90" s="129"/>
      <c r="M90" s="129"/>
      <c r="N90" s="129"/>
      <c r="O90" s="129"/>
    </row>
    <row r="91" spans="1:15">
      <c r="D91" s="129"/>
      <c r="E91" s="129"/>
      <c r="F91" s="129"/>
      <c r="G91" s="129"/>
      <c r="H91" s="129"/>
      <c r="I91" s="129"/>
      <c r="J91" s="129"/>
      <c r="K91" s="129"/>
      <c r="L91" s="129"/>
      <c r="M91" s="129"/>
      <c r="N91" s="129"/>
      <c r="O91" s="129"/>
    </row>
    <row r="92" spans="1:15">
      <c r="A92" s="129"/>
      <c r="B92" s="129"/>
    </row>
    <row r="93" spans="1:15">
      <c r="A93" s="129"/>
      <c r="B93" s="129"/>
    </row>
    <row r="94" spans="1:15">
      <c r="A94" s="129"/>
      <c r="B94" s="129"/>
    </row>
    <row r="95" spans="1:15">
      <c r="A95" s="129"/>
      <c r="B95" s="129"/>
    </row>
    <row r="96" spans="1:15">
      <c r="A96" s="129"/>
      <c r="B96" s="129"/>
    </row>
    <row r="97" spans="1:2">
      <c r="A97" s="129"/>
      <c r="B97" s="129"/>
    </row>
    <row r="98" spans="1:2">
      <c r="A98" s="129"/>
      <c r="B98" s="129"/>
    </row>
    <row r="99" spans="1:2">
      <c r="A99" s="129"/>
      <c r="B99" s="129"/>
    </row>
    <row r="100" spans="1:2">
      <c r="A100" s="129"/>
      <c r="B100" s="129"/>
    </row>
    <row r="101" spans="1:2">
      <c r="A101" s="129"/>
      <c r="B101" s="129"/>
    </row>
    <row r="102" spans="1:2">
      <c r="A102" s="129"/>
      <c r="B102" s="129"/>
    </row>
    <row r="103" spans="1:2">
      <c r="A103" s="129"/>
      <c r="B103" s="129"/>
    </row>
    <row r="104" spans="1:2">
      <c r="A104" s="129"/>
      <c r="B104" s="129"/>
    </row>
    <row r="105" spans="1:2">
      <c r="A105" s="129"/>
      <c r="B105" s="129"/>
    </row>
    <row r="106" spans="1:2">
      <c r="A106" s="129"/>
      <c r="B106" s="129"/>
    </row>
    <row r="107" spans="1:2">
      <c r="A107" s="129"/>
      <c r="B107" s="129"/>
    </row>
    <row r="108" spans="1:2">
      <c r="A108" s="129"/>
      <c r="B108" s="129"/>
    </row>
    <row r="109" spans="1:2">
      <c r="A109" s="129"/>
      <c r="B109" s="129"/>
    </row>
    <row r="110" spans="1:2">
      <c r="A110" s="129"/>
      <c r="B110" s="129"/>
    </row>
    <row r="111" spans="1:2">
      <c r="A111" s="129"/>
      <c r="B111" s="129"/>
    </row>
    <row r="112" spans="1:2">
      <c r="A112" s="129"/>
      <c r="B112" s="129"/>
    </row>
    <row r="113" spans="1:2">
      <c r="A113" s="129"/>
      <c r="B113" s="129"/>
    </row>
    <row r="114" spans="1:2">
      <c r="A114" s="129"/>
      <c r="B114" s="129"/>
    </row>
    <row r="115" spans="1:2">
      <c r="A115" s="129"/>
      <c r="B115" s="129"/>
    </row>
    <row r="116" spans="1:2">
      <c r="A116" s="129"/>
      <c r="B116" s="129"/>
    </row>
    <row r="117" spans="1:2">
      <c r="A117" s="129"/>
      <c r="B117" s="129"/>
    </row>
    <row r="118" spans="1:2">
      <c r="A118" s="129"/>
      <c r="B118" s="129"/>
    </row>
    <row r="119" spans="1:2">
      <c r="A119" s="129"/>
      <c r="B119" s="129"/>
    </row>
    <row r="120" spans="1:2">
      <c r="A120" s="129"/>
      <c r="B120" s="129"/>
    </row>
    <row r="121" spans="1:2">
      <c r="A121" s="129"/>
      <c r="B121" s="129"/>
    </row>
    <row r="122" spans="1:2">
      <c r="A122" s="129"/>
      <c r="B122" s="129"/>
    </row>
    <row r="123" spans="1:2">
      <c r="A123" s="129"/>
      <c r="B123" s="129"/>
    </row>
    <row r="124" spans="1:2">
      <c r="A124" s="129"/>
      <c r="B124" s="129"/>
    </row>
    <row r="125" spans="1:2">
      <c r="A125" s="129"/>
      <c r="B125" s="129"/>
    </row>
    <row r="126" spans="1:2">
      <c r="A126" s="129"/>
      <c r="B126" s="129"/>
    </row>
    <row r="127" spans="1:2">
      <c r="A127" s="129"/>
      <c r="B127" s="129"/>
    </row>
    <row r="128" spans="1:2">
      <c r="A128" s="129"/>
      <c r="B128" s="129"/>
    </row>
    <row r="129" spans="1:2">
      <c r="A129" s="129"/>
      <c r="B129" s="129"/>
    </row>
    <row r="130" spans="1:2">
      <c r="A130" s="129"/>
      <c r="B130" s="129"/>
    </row>
    <row r="131" spans="1:2">
      <c r="A131" s="129"/>
      <c r="B131" s="129"/>
    </row>
    <row r="132" spans="1:2">
      <c r="A132" s="129"/>
      <c r="B132" s="129"/>
    </row>
    <row r="133" spans="1:2">
      <c r="A133" s="129"/>
      <c r="B133" s="129"/>
    </row>
    <row r="134" spans="1:2">
      <c r="A134" s="129"/>
      <c r="B134" s="129"/>
    </row>
    <row r="135" spans="1:2">
      <c r="A135" s="129"/>
      <c r="B135" s="129"/>
    </row>
    <row r="136" spans="1:2">
      <c r="A136" s="129"/>
      <c r="B136" s="129"/>
    </row>
    <row r="137" spans="1:2">
      <c r="A137" s="129"/>
      <c r="B137" s="129"/>
    </row>
    <row r="138" spans="1:2">
      <c r="A138" s="129"/>
      <c r="B138" s="129"/>
    </row>
    <row r="139" spans="1:2">
      <c r="A139" s="129"/>
      <c r="B139" s="129"/>
    </row>
    <row r="140" spans="1:2">
      <c r="A140" s="129"/>
      <c r="B140" s="129"/>
    </row>
    <row r="141" spans="1:2">
      <c r="A141" s="129"/>
      <c r="B141" s="129"/>
    </row>
    <row r="142" spans="1:2">
      <c r="A142" s="129"/>
      <c r="B142" s="129"/>
    </row>
    <row r="143" spans="1:2">
      <c r="A143" s="129"/>
      <c r="B143" s="129"/>
    </row>
    <row r="144" spans="1:2">
      <c r="A144" s="129"/>
      <c r="B144" s="129"/>
    </row>
    <row r="145" spans="1:2">
      <c r="A145" s="129"/>
      <c r="B145" s="129"/>
    </row>
    <row r="146" spans="1:2">
      <c r="A146" s="129"/>
      <c r="B146" s="129"/>
    </row>
    <row r="147" spans="1:2">
      <c r="A147" s="129"/>
      <c r="B147" s="129"/>
    </row>
    <row r="148" spans="1:2">
      <c r="A148" s="129"/>
      <c r="B148" s="129"/>
    </row>
    <row r="149" spans="1:2">
      <c r="A149" s="129"/>
      <c r="B149" s="129"/>
    </row>
    <row r="150" spans="1:2">
      <c r="A150" s="129"/>
      <c r="B150" s="129"/>
    </row>
    <row r="151" spans="1:2">
      <c r="A151" s="129"/>
      <c r="B151" s="129"/>
    </row>
    <row r="152" spans="1:2">
      <c r="A152" s="129"/>
      <c r="B152" s="129"/>
    </row>
    <row r="153" spans="1:2">
      <c r="A153" s="129"/>
      <c r="B153" s="129"/>
    </row>
    <row r="154" spans="1:2">
      <c r="A154" s="129"/>
      <c r="B154" s="129"/>
    </row>
    <row r="155" spans="1:2">
      <c r="A155" s="129"/>
      <c r="B155" s="129"/>
    </row>
    <row r="156" spans="1:2">
      <c r="A156" s="129"/>
      <c r="B156" s="129"/>
    </row>
    <row r="157" spans="1:2">
      <c r="A157" s="129"/>
      <c r="B157" s="129"/>
    </row>
    <row r="158" spans="1:2">
      <c r="A158" s="129"/>
      <c r="B158" s="129"/>
    </row>
    <row r="159" spans="1:2">
      <c r="A159" s="129"/>
      <c r="B159" s="129"/>
    </row>
    <row r="160" spans="1:2">
      <c r="A160" s="129"/>
      <c r="B160" s="129"/>
    </row>
    <row r="161" spans="1:2">
      <c r="A161" s="129"/>
      <c r="B161" s="129"/>
    </row>
    <row r="162" spans="1:2">
      <c r="A162" s="129"/>
      <c r="B162" s="129"/>
    </row>
    <row r="163" spans="1:2">
      <c r="A163" s="129"/>
      <c r="B163" s="129"/>
    </row>
    <row r="164" spans="1:2">
      <c r="A164" s="129"/>
      <c r="B164" s="129"/>
    </row>
    <row r="165" spans="1:2">
      <c r="A165" s="129"/>
      <c r="B165" s="129"/>
    </row>
    <row r="166" spans="1:2">
      <c r="A166" s="129"/>
      <c r="B166" s="129"/>
    </row>
    <row r="167" spans="1:2">
      <c r="A167" s="129"/>
      <c r="B167" s="129"/>
    </row>
    <row r="168" spans="1:2">
      <c r="A168" s="129"/>
      <c r="B168" s="129"/>
    </row>
    <row r="169" spans="1:2">
      <c r="A169" s="129"/>
      <c r="B169" s="129"/>
    </row>
    <row r="170" spans="1:2">
      <c r="A170" s="129"/>
      <c r="B170" s="129"/>
    </row>
    <row r="171" spans="1:2">
      <c r="A171" s="129"/>
      <c r="B171" s="129"/>
    </row>
    <row r="172" spans="1:2">
      <c r="A172" s="129"/>
      <c r="B172" s="129"/>
    </row>
    <row r="173" spans="1:2">
      <c r="A173" s="129"/>
      <c r="B173" s="129"/>
    </row>
    <row r="174" spans="1:2">
      <c r="A174" s="129"/>
      <c r="B174" s="129"/>
    </row>
    <row r="175" spans="1:2">
      <c r="A175" s="129"/>
      <c r="B175" s="129"/>
    </row>
    <row r="176" spans="1:2">
      <c r="A176" s="129"/>
      <c r="B176" s="129"/>
    </row>
    <row r="177" spans="1:2">
      <c r="A177" s="129"/>
      <c r="B177" s="129"/>
    </row>
    <row r="178" spans="1:2">
      <c r="A178" s="129"/>
      <c r="B178" s="129"/>
    </row>
    <row r="179" spans="1:2">
      <c r="A179" s="129"/>
      <c r="B179" s="129"/>
    </row>
    <row r="180" spans="1:2">
      <c r="A180" s="129"/>
      <c r="B180" s="129"/>
    </row>
    <row r="181" spans="1:2">
      <c r="A181" s="129"/>
      <c r="B181" s="129"/>
    </row>
    <row r="182" spans="1:2">
      <c r="A182" s="129"/>
      <c r="B182" s="129"/>
    </row>
    <row r="183" spans="1:2">
      <c r="A183" s="129"/>
      <c r="B183" s="129"/>
    </row>
    <row r="184" spans="1:2">
      <c r="A184" s="129"/>
      <c r="B184" s="129"/>
    </row>
    <row r="185" spans="1:2">
      <c r="A185" s="129"/>
      <c r="B185" s="129"/>
    </row>
    <row r="186" spans="1:2">
      <c r="A186" s="129"/>
      <c r="B186" s="129"/>
    </row>
    <row r="187" spans="1:2">
      <c r="A187" s="129"/>
      <c r="B187" s="129"/>
    </row>
    <row r="188" spans="1:2">
      <c r="A188" s="129"/>
      <c r="B188" s="129"/>
    </row>
    <row r="189" spans="1:2">
      <c r="A189" s="129"/>
      <c r="B189" s="129"/>
    </row>
    <row r="190" spans="1:2">
      <c r="A190" s="129"/>
      <c r="B190" s="129"/>
    </row>
    <row r="191" spans="1:2">
      <c r="A191" s="129"/>
      <c r="B191" s="129"/>
    </row>
    <row r="192" spans="1:2">
      <c r="A192" s="129"/>
      <c r="B192" s="129"/>
    </row>
    <row r="193" spans="1:2">
      <c r="A193" s="129"/>
      <c r="B193" s="129"/>
    </row>
    <row r="194" spans="1:2">
      <c r="A194" s="129"/>
      <c r="B194" s="129"/>
    </row>
    <row r="195" spans="1:2">
      <c r="A195" s="129"/>
      <c r="B195" s="129"/>
    </row>
    <row r="196" spans="1:2">
      <c r="A196" s="129"/>
      <c r="B196" s="129"/>
    </row>
    <row r="197" spans="1:2">
      <c r="A197" s="129"/>
      <c r="B197" s="129"/>
    </row>
    <row r="198" spans="1:2">
      <c r="A198" s="129"/>
      <c r="B198" s="129"/>
    </row>
    <row r="199" spans="1:2">
      <c r="A199" s="129"/>
      <c r="B199" s="129"/>
    </row>
    <row r="200" spans="1:2">
      <c r="A200" s="129"/>
      <c r="B200" s="129"/>
    </row>
    <row r="201" spans="1:2">
      <c r="A201" s="129"/>
      <c r="B201" s="129"/>
    </row>
    <row r="202" spans="1:2">
      <c r="A202" s="129"/>
      <c r="B202" s="129"/>
    </row>
    <row r="203" spans="1:2">
      <c r="A203" s="129"/>
      <c r="B203" s="129"/>
    </row>
    <row r="204" spans="1:2">
      <c r="A204" s="129"/>
      <c r="B204" s="129"/>
    </row>
    <row r="205" spans="1:2">
      <c r="A205" s="129"/>
      <c r="B205" s="129"/>
    </row>
    <row r="206" spans="1:2">
      <c r="A206" s="129"/>
      <c r="B206" s="129"/>
    </row>
    <row r="207" spans="1:2">
      <c r="A207" s="129"/>
      <c r="B207" s="129"/>
    </row>
    <row r="208" spans="1:2">
      <c r="A208" s="129"/>
      <c r="B208" s="129"/>
    </row>
    <row r="209" spans="1:2">
      <c r="A209" s="129"/>
      <c r="B209" s="129"/>
    </row>
    <row r="210" spans="1:2">
      <c r="A210" s="129"/>
      <c r="B210" s="129"/>
    </row>
    <row r="211" spans="1:2">
      <c r="A211" s="129"/>
      <c r="B211" s="129"/>
    </row>
    <row r="212" spans="1:2">
      <c r="A212" s="129"/>
      <c r="B212" s="129"/>
    </row>
    <row r="213" spans="1:2">
      <c r="A213" s="129"/>
      <c r="B213" s="129"/>
    </row>
    <row r="214" spans="1:2">
      <c r="A214" s="129"/>
      <c r="B214" s="129"/>
    </row>
    <row r="215" spans="1:2">
      <c r="A215" s="129"/>
      <c r="B215" s="129"/>
    </row>
    <row r="216" spans="1:2">
      <c r="A216" s="129"/>
      <c r="B216" s="129"/>
    </row>
    <row r="217" spans="1:2">
      <c r="A217" s="129"/>
      <c r="B217" s="129"/>
    </row>
    <row r="218" spans="1:2">
      <c r="A218" s="129"/>
      <c r="B218" s="129"/>
    </row>
    <row r="219" spans="1:2">
      <c r="A219" s="129"/>
      <c r="B219" s="129"/>
    </row>
    <row r="220" spans="1:2">
      <c r="A220" s="129"/>
      <c r="B220" s="129"/>
    </row>
    <row r="221" spans="1:2">
      <c r="A221" s="129"/>
      <c r="B221" s="129"/>
    </row>
    <row r="222" spans="1:2">
      <c r="A222" s="129"/>
      <c r="B222" s="129"/>
    </row>
    <row r="223" spans="1:2">
      <c r="A223" s="129"/>
      <c r="B223" s="129"/>
    </row>
    <row r="224" spans="1:2">
      <c r="A224" s="129"/>
      <c r="B224" s="129"/>
    </row>
    <row r="225" spans="1:2">
      <c r="A225" s="129"/>
      <c r="B225" s="129"/>
    </row>
    <row r="226" spans="1:2">
      <c r="A226" s="129"/>
      <c r="B226" s="129"/>
    </row>
    <row r="227" spans="1:2">
      <c r="A227" s="129"/>
      <c r="B227" s="129"/>
    </row>
    <row r="228" spans="1:2">
      <c r="A228" s="129"/>
      <c r="B228" s="129"/>
    </row>
    <row r="229" spans="1:2">
      <c r="A229" s="129"/>
      <c r="B229" s="129"/>
    </row>
    <row r="230" spans="1:2">
      <c r="A230" s="129"/>
      <c r="B230" s="129"/>
    </row>
    <row r="231" spans="1:2">
      <c r="A231" s="129"/>
      <c r="B231" s="129"/>
    </row>
    <row r="232" spans="1:2">
      <c r="A232" s="129"/>
      <c r="B232" s="129"/>
    </row>
    <row r="233" spans="1:2">
      <c r="A233" s="129"/>
      <c r="B233" s="129"/>
    </row>
    <row r="234" spans="1:2">
      <c r="A234" s="129"/>
      <c r="B234" s="129"/>
    </row>
    <row r="235" spans="1:2">
      <c r="A235" s="129"/>
      <c r="B235" s="129"/>
    </row>
    <row r="236" spans="1:2">
      <c r="A236" s="129"/>
      <c r="B236" s="129"/>
    </row>
    <row r="237" spans="1:2">
      <c r="A237" s="129"/>
      <c r="B237" s="129"/>
    </row>
    <row r="238" spans="1:2">
      <c r="A238" s="129"/>
      <c r="B238" s="129"/>
    </row>
    <row r="239" spans="1:2">
      <c r="A239" s="129"/>
      <c r="B239" s="129"/>
    </row>
    <row r="240" spans="1:2">
      <c r="A240" s="129"/>
      <c r="B240" s="129"/>
    </row>
    <row r="241" spans="1:2">
      <c r="A241" s="129"/>
      <c r="B241" s="129"/>
    </row>
    <row r="242" spans="1:2">
      <c r="A242" s="129"/>
      <c r="B242" s="129"/>
    </row>
    <row r="243" spans="1:2">
      <c r="A243" s="129"/>
    </row>
    <row r="244" spans="1:2">
      <c r="A244" s="129"/>
    </row>
    <row r="245" spans="1:2">
      <c r="A245" s="129"/>
    </row>
    <row r="246" spans="1:2">
      <c r="A246" s="129"/>
    </row>
    <row r="247" spans="1:2">
      <c r="A247" s="129"/>
    </row>
    <row r="248" spans="1:2">
      <c r="A248" s="129"/>
    </row>
    <row r="249" spans="1:2">
      <c r="A249" s="129"/>
    </row>
    <row r="250" spans="1:2">
      <c r="A250" s="129"/>
    </row>
  </sheetData>
  <mergeCells count="8">
    <mergeCell ref="D52:O52"/>
    <mergeCell ref="D51:O51"/>
    <mergeCell ref="D45:O45"/>
    <mergeCell ref="D46:O46"/>
    <mergeCell ref="D47:O47"/>
    <mergeCell ref="D48:O48"/>
    <mergeCell ref="D49:O49"/>
    <mergeCell ref="D50:O50"/>
  </mergeCells>
  <printOptions horizontalCentered="1"/>
  <pageMargins left="0.75" right="0.75" top="0.75" bottom="0.5" header="0.5" footer="0.5"/>
  <pageSetup scale="5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00B050"/>
  </sheetPr>
  <dimension ref="A1:I156"/>
  <sheetViews>
    <sheetView view="pageBreakPreview" zoomScale="80" zoomScaleNormal="90" zoomScaleSheetLayoutView="80" workbookViewId="0"/>
  </sheetViews>
  <sheetFormatPr defaultColWidth="8.77734375" defaultRowHeight="12.75"/>
  <cols>
    <col min="1" max="1" width="8.77734375" style="278"/>
    <col min="2" max="2" width="0.77734375" style="278" customWidth="1"/>
    <col min="3" max="3" width="8.77734375" style="278"/>
    <col min="4" max="4" width="1.5546875" style="278" customWidth="1"/>
    <col min="5" max="5" width="46.109375" style="278" customWidth="1"/>
    <col min="6" max="6" width="6" style="278" customWidth="1"/>
    <col min="7" max="7" width="9.77734375" style="278" customWidth="1"/>
    <col min="8" max="10" width="8.77734375" style="278"/>
    <col min="11" max="11" width="9.44140625" style="278" customWidth="1"/>
    <col min="12" max="16384" width="8.77734375" style="278"/>
  </cols>
  <sheetData>
    <row r="1" spans="1:9">
      <c r="F1" s="512" t="s">
        <v>296</v>
      </c>
      <c r="I1" s="787"/>
    </row>
    <row r="2" spans="1:9">
      <c r="F2" s="512" t="s">
        <v>715</v>
      </c>
      <c r="I2" s="787"/>
    </row>
    <row r="3" spans="1:9">
      <c r="F3" s="512" t="s">
        <v>717</v>
      </c>
      <c r="I3" s="552"/>
    </row>
    <row r="4" spans="1:9">
      <c r="I4" s="552"/>
    </row>
    <row r="6" spans="1:9" ht="15.75">
      <c r="A6" s="526" t="s">
        <v>409</v>
      </c>
      <c r="B6" s="277"/>
      <c r="C6" s="277"/>
      <c r="D6" s="277"/>
      <c r="E6" s="277"/>
      <c r="F6" s="277"/>
      <c r="G6" s="277"/>
    </row>
    <row r="7" spans="1:9" ht="15.75">
      <c r="A7" s="526" t="s">
        <v>410</v>
      </c>
      <c r="B7" s="277"/>
      <c r="C7" s="277"/>
      <c r="D7" s="277"/>
      <c r="E7" s="277"/>
      <c r="F7" s="277"/>
      <c r="G7" s="277"/>
    </row>
    <row r="10" spans="1:9">
      <c r="A10" s="630" t="s">
        <v>411</v>
      </c>
      <c r="B10" s="279"/>
      <c r="C10" s="630" t="s">
        <v>412</v>
      </c>
      <c r="D10" s="279"/>
      <c r="E10" s="279"/>
      <c r="F10" s="279"/>
      <c r="G10" s="630" t="s">
        <v>259</v>
      </c>
    </row>
    <row r="11" spans="1:9">
      <c r="A11" s="630" t="s">
        <v>413</v>
      </c>
      <c r="B11" s="279"/>
      <c r="C11" s="630" t="s">
        <v>413</v>
      </c>
      <c r="D11" s="279"/>
      <c r="E11" s="279"/>
      <c r="F11" s="279"/>
      <c r="G11" s="630" t="s">
        <v>414</v>
      </c>
    </row>
    <row r="12" spans="1:9">
      <c r="A12" s="631" t="s">
        <v>415</v>
      </c>
      <c r="B12" s="632"/>
      <c r="C12" s="631" t="s">
        <v>415</v>
      </c>
      <c r="D12" s="632"/>
      <c r="E12" s="631" t="s">
        <v>416</v>
      </c>
      <c r="F12" s="632"/>
      <c r="G12" s="631" t="s">
        <v>417</v>
      </c>
    </row>
    <row r="13" spans="1:9">
      <c r="A13" s="633" t="s">
        <v>386</v>
      </c>
      <c r="B13" s="279"/>
      <c r="C13" s="633" t="s">
        <v>387</v>
      </c>
      <c r="D13" s="279"/>
      <c r="E13" s="630" t="s">
        <v>388</v>
      </c>
      <c r="F13" s="279"/>
      <c r="G13" s="633" t="s">
        <v>418</v>
      </c>
    </row>
    <row r="14" spans="1:9">
      <c r="A14" s="634"/>
      <c r="B14" s="279"/>
      <c r="C14" s="634"/>
      <c r="D14" s="279"/>
      <c r="E14" s="279"/>
      <c r="F14" s="279"/>
      <c r="G14" s="630" t="s">
        <v>84</v>
      </c>
    </row>
    <row r="15" spans="1:9">
      <c r="A15" s="635" t="s">
        <v>419</v>
      </c>
      <c r="B15" s="635"/>
      <c r="C15" s="277"/>
      <c r="D15" s="277"/>
      <c r="E15" s="277"/>
      <c r="F15" s="277"/>
      <c r="G15" s="277"/>
    </row>
    <row r="16" spans="1:9">
      <c r="G16" s="636"/>
    </row>
    <row r="17" spans="1:7">
      <c r="A17" s="442">
        <v>350</v>
      </c>
      <c r="B17" s="442"/>
      <c r="C17" s="442">
        <v>3403</v>
      </c>
      <c r="E17" s="278" t="s">
        <v>420</v>
      </c>
      <c r="G17" s="525">
        <v>1.54</v>
      </c>
    </row>
    <row r="18" spans="1:7">
      <c r="A18" s="442">
        <v>352</v>
      </c>
      <c r="B18" s="442"/>
      <c r="C18" s="442">
        <v>3420</v>
      </c>
      <c r="E18" s="278" t="s">
        <v>421</v>
      </c>
      <c r="G18" s="525">
        <v>1.9</v>
      </c>
    </row>
    <row r="19" spans="1:7">
      <c r="A19" s="442">
        <v>352</v>
      </c>
      <c r="B19" s="442"/>
      <c r="C19" s="442">
        <v>3424</v>
      </c>
      <c r="E19" s="278" t="s">
        <v>422</v>
      </c>
      <c r="G19" s="525">
        <v>1.9</v>
      </c>
    </row>
    <row r="20" spans="1:7">
      <c r="A20" s="442">
        <v>353</v>
      </c>
      <c r="B20" s="442"/>
      <c r="C20" s="442">
        <v>3430</v>
      </c>
      <c r="E20" s="278" t="s">
        <v>423</v>
      </c>
      <c r="G20" s="525">
        <v>1.68</v>
      </c>
    </row>
    <row r="21" spans="1:7">
      <c r="A21" s="442">
        <v>353</v>
      </c>
      <c r="B21" s="442"/>
      <c r="C21" s="442">
        <v>3434</v>
      </c>
      <c r="E21" s="278" t="s">
        <v>424</v>
      </c>
      <c r="G21" s="525">
        <v>1.68</v>
      </c>
    </row>
    <row r="22" spans="1:7">
      <c r="A22" s="442">
        <v>354</v>
      </c>
      <c r="B22" s="442"/>
      <c r="C22" s="442">
        <v>3440</v>
      </c>
      <c r="E22" s="278" t="s">
        <v>425</v>
      </c>
      <c r="G22" s="525">
        <v>1.85</v>
      </c>
    </row>
    <row r="23" spans="1:7">
      <c r="A23" s="442">
        <v>354</v>
      </c>
      <c r="B23" s="442"/>
      <c r="C23" s="442">
        <v>3444</v>
      </c>
      <c r="E23" s="278" t="s">
        <v>426</v>
      </c>
      <c r="G23" s="525">
        <v>1.85</v>
      </c>
    </row>
    <row r="24" spans="1:7">
      <c r="A24" s="442">
        <v>355</v>
      </c>
      <c r="B24" s="442"/>
      <c r="C24" s="442">
        <v>3450</v>
      </c>
      <c r="E24" s="278" t="s">
        <v>427</v>
      </c>
      <c r="G24" s="525">
        <v>2.31</v>
      </c>
    </row>
    <row r="25" spans="1:7">
      <c r="A25" s="442">
        <v>355</v>
      </c>
      <c r="B25" s="442"/>
      <c r="C25" s="442">
        <v>3454</v>
      </c>
      <c r="E25" s="278" t="s">
        <v>428</v>
      </c>
      <c r="G25" s="525">
        <v>2.31</v>
      </c>
    </row>
    <row r="26" spans="1:7">
      <c r="A26" s="442">
        <v>356</v>
      </c>
      <c r="B26" s="442"/>
      <c r="C26" s="442">
        <v>3460</v>
      </c>
      <c r="E26" s="278" t="s">
        <v>429</v>
      </c>
      <c r="G26" s="525">
        <v>1.91</v>
      </c>
    </row>
    <row r="27" spans="1:7">
      <c r="A27" s="442">
        <v>356</v>
      </c>
      <c r="B27" s="442"/>
      <c r="C27" s="442">
        <v>3464</v>
      </c>
      <c r="E27" s="278" t="s">
        <v>430</v>
      </c>
      <c r="G27" s="525">
        <v>1.91</v>
      </c>
    </row>
    <row r="28" spans="1:7">
      <c r="A28" s="442">
        <v>357</v>
      </c>
      <c r="B28" s="442"/>
      <c r="C28" s="442">
        <v>3470</v>
      </c>
      <c r="E28" s="278" t="s">
        <v>431</v>
      </c>
      <c r="G28" s="525">
        <v>1.43</v>
      </c>
    </row>
    <row r="29" spans="1:7">
      <c r="A29" s="442">
        <v>358</v>
      </c>
      <c r="B29" s="442"/>
      <c r="C29" s="442">
        <v>3480</v>
      </c>
      <c r="E29" s="278" t="s">
        <v>432</v>
      </c>
      <c r="G29" s="525">
        <v>2.37</v>
      </c>
    </row>
    <row r="30" spans="1:7">
      <c r="A30" s="442"/>
      <c r="B30" s="442"/>
      <c r="C30" s="442"/>
      <c r="G30" s="525"/>
    </row>
    <row r="31" spans="1:7">
      <c r="A31" s="637" t="s">
        <v>433</v>
      </c>
      <c r="B31" s="638"/>
      <c r="C31" s="638"/>
      <c r="D31" s="277"/>
      <c r="E31" s="277"/>
      <c r="F31" s="277"/>
      <c r="G31" s="639"/>
    </row>
    <row r="32" spans="1:7">
      <c r="A32" s="442"/>
      <c r="B32" s="442"/>
      <c r="C32" s="442"/>
      <c r="G32" s="525"/>
    </row>
    <row r="33" spans="1:7">
      <c r="A33" s="442">
        <v>352</v>
      </c>
      <c r="B33" s="442"/>
      <c r="C33" s="442">
        <v>3421</v>
      </c>
      <c r="E33" s="278" t="s">
        <v>434</v>
      </c>
      <c r="G33" s="525">
        <v>2.5</v>
      </c>
    </row>
    <row r="34" spans="1:7">
      <c r="A34" s="442">
        <v>352</v>
      </c>
      <c r="B34" s="442"/>
      <c r="C34" s="442">
        <v>3425</v>
      </c>
      <c r="E34" s="278" t="s">
        <v>434</v>
      </c>
      <c r="G34" s="525">
        <v>2.5</v>
      </c>
    </row>
    <row r="35" spans="1:7">
      <c r="A35" s="442">
        <v>353</v>
      </c>
      <c r="B35" s="442"/>
      <c r="C35" s="442">
        <v>3431</v>
      </c>
      <c r="E35" s="278" t="s">
        <v>435</v>
      </c>
      <c r="G35" s="525">
        <v>2.86</v>
      </c>
    </row>
    <row r="36" spans="1:7">
      <c r="A36" s="442">
        <v>353</v>
      </c>
      <c r="B36" s="442"/>
      <c r="C36" s="442">
        <v>3432</v>
      </c>
      <c r="E36" s="278" t="s">
        <v>435</v>
      </c>
      <c r="G36" s="525">
        <v>2.86</v>
      </c>
    </row>
    <row r="37" spans="1:7">
      <c r="A37" s="442">
        <v>353</v>
      </c>
      <c r="B37" s="442"/>
      <c r="C37" s="442">
        <v>3435</v>
      </c>
      <c r="E37" s="278" t="s">
        <v>435</v>
      </c>
      <c r="G37" s="525">
        <v>2.86</v>
      </c>
    </row>
    <row r="38" spans="1:7">
      <c r="A38" s="442">
        <v>353</v>
      </c>
      <c r="B38" s="442"/>
      <c r="C38" s="442">
        <v>3437</v>
      </c>
      <c r="E38" s="278" t="s">
        <v>435</v>
      </c>
      <c r="G38" s="525">
        <v>2.86</v>
      </c>
    </row>
    <row r="39" spans="1:7">
      <c r="A39" s="442">
        <v>354</v>
      </c>
      <c r="B39" s="442"/>
      <c r="C39" s="442">
        <v>3441</v>
      </c>
      <c r="E39" s="278" t="s">
        <v>436</v>
      </c>
      <c r="G39" s="525">
        <v>3</v>
      </c>
    </row>
    <row r="40" spans="1:7">
      <c r="A40" s="442">
        <v>354</v>
      </c>
      <c r="B40" s="442"/>
      <c r="C40" s="442">
        <v>3442</v>
      </c>
      <c r="E40" s="278" t="s">
        <v>436</v>
      </c>
      <c r="G40" s="525">
        <v>3</v>
      </c>
    </row>
    <row r="41" spans="1:7">
      <c r="A41" s="442">
        <v>354</v>
      </c>
      <c r="B41" s="442"/>
      <c r="C41" s="442">
        <v>3445</v>
      </c>
      <c r="E41" s="278" t="s">
        <v>436</v>
      </c>
      <c r="G41" s="525">
        <v>3</v>
      </c>
    </row>
    <row r="42" spans="1:7">
      <c r="A42" s="442">
        <v>354</v>
      </c>
      <c r="B42" s="442"/>
      <c r="C42" s="442">
        <v>3446</v>
      </c>
      <c r="E42" s="278" t="s">
        <v>437</v>
      </c>
      <c r="G42" s="525">
        <v>3</v>
      </c>
    </row>
    <row r="43" spans="1:7">
      <c r="A43" s="442">
        <v>354</v>
      </c>
      <c r="B43" s="442"/>
      <c r="C43" s="442">
        <v>3448</v>
      </c>
      <c r="E43" s="278" t="s">
        <v>436</v>
      </c>
      <c r="G43" s="525">
        <v>3</v>
      </c>
    </row>
    <row r="44" spans="1:7">
      <c r="A44" s="442">
        <v>355</v>
      </c>
      <c r="B44" s="442"/>
      <c r="C44" s="442">
        <v>3451</v>
      </c>
      <c r="E44" s="278" t="s">
        <v>438</v>
      </c>
      <c r="G44" s="525">
        <v>3</v>
      </c>
    </row>
    <row r="45" spans="1:7">
      <c r="A45" s="442">
        <v>355</v>
      </c>
      <c r="B45" s="442"/>
      <c r="C45" s="442">
        <v>3455</v>
      </c>
      <c r="E45" s="278" t="s">
        <v>438</v>
      </c>
      <c r="G45" s="525">
        <v>3</v>
      </c>
    </row>
    <row r="46" spans="1:7">
      <c r="A46" s="442">
        <v>356</v>
      </c>
      <c r="B46" s="442"/>
      <c r="C46" s="442">
        <v>3461</v>
      </c>
      <c r="E46" s="278" t="s">
        <v>439</v>
      </c>
      <c r="G46" s="525">
        <v>2.5</v>
      </c>
    </row>
    <row r="47" spans="1:7">
      <c r="A47" s="442">
        <v>356</v>
      </c>
      <c r="B47" s="442"/>
      <c r="C47" s="442">
        <v>3462</v>
      </c>
      <c r="E47" s="278" t="s">
        <v>439</v>
      </c>
      <c r="G47" s="525">
        <v>2.5</v>
      </c>
    </row>
    <row r="48" spans="1:7">
      <c r="A48" s="442">
        <v>356</v>
      </c>
      <c r="B48" s="442"/>
      <c r="C48" s="442">
        <v>3465</v>
      </c>
      <c r="E48" s="278" t="s">
        <v>439</v>
      </c>
      <c r="G48" s="525">
        <v>2.5</v>
      </c>
    </row>
    <row r="49" spans="1:7">
      <c r="A49" s="442">
        <v>356</v>
      </c>
      <c r="B49" s="442"/>
      <c r="C49" s="442">
        <v>3466</v>
      </c>
      <c r="E49" s="278" t="s">
        <v>440</v>
      </c>
      <c r="G49" s="525">
        <v>2.5</v>
      </c>
    </row>
    <row r="50" spans="1:7">
      <c r="A50" s="442"/>
      <c r="B50" s="442"/>
      <c r="C50" s="442"/>
      <c r="G50" s="525"/>
    </row>
    <row r="51" spans="1:7">
      <c r="A51" s="637" t="s">
        <v>441</v>
      </c>
      <c r="B51" s="638"/>
      <c r="C51" s="638"/>
      <c r="D51" s="277"/>
      <c r="E51" s="277"/>
      <c r="F51" s="277"/>
      <c r="G51" s="639"/>
    </row>
    <row r="52" spans="1:7">
      <c r="A52" s="442"/>
      <c r="B52" s="442"/>
      <c r="C52" s="442"/>
      <c r="G52" s="525"/>
    </row>
    <row r="53" spans="1:7">
      <c r="A53" s="442">
        <v>352</v>
      </c>
      <c r="B53" s="442"/>
      <c r="C53" s="442">
        <v>3423</v>
      </c>
      <c r="E53" s="278" t="s">
        <v>442</v>
      </c>
      <c r="G53" s="525">
        <v>2.5</v>
      </c>
    </row>
    <row r="54" spans="1:7">
      <c r="A54" s="442">
        <v>353</v>
      </c>
      <c r="B54" s="442"/>
      <c r="C54" s="442">
        <v>3433</v>
      </c>
      <c r="E54" s="278" t="s">
        <v>443</v>
      </c>
      <c r="G54" s="525">
        <v>2.86</v>
      </c>
    </row>
    <row r="55" spans="1:7">
      <c r="A55" s="442">
        <v>353</v>
      </c>
      <c r="B55" s="442"/>
      <c r="C55" s="442">
        <v>3438</v>
      </c>
      <c r="E55" s="278" t="s">
        <v>443</v>
      </c>
      <c r="G55" s="525">
        <v>2.86</v>
      </c>
    </row>
    <row r="56" spans="1:7">
      <c r="A56" s="442">
        <v>354</v>
      </c>
      <c r="B56" s="442"/>
      <c r="C56" s="442">
        <v>3447</v>
      </c>
      <c r="E56" s="278" t="s">
        <v>444</v>
      </c>
      <c r="G56" s="525">
        <v>3</v>
      </c>
    </row>
    <row r="57" spans="1:7">
      <c r="A57" s="442">
        <v>356</v>
      </c>
      <c r="B57" s="442"/>
      <c r="C57" s="442">
        <v>3467</v>
      </c>
      <c r="E57" s="278" t="s">
        <v>445</v>
      </c>
      <c r="G57" s="525">
        <v>2.5</v>
      </c>
    </row>
    <row r="58" spans="1:7">
      <c r="A58" s="442"/>
      <c r="B58" s="442"/>
      <c r="C58" s="442"/>
      <c r="G58" s="640"/>
    </row>
    <row r="59" spans="1:7">
      <c r="A59" s="442"/>
      <c r="B59" s="442"/>
      <c r="C59" s="442"/>
      <c r="G59" s="640"/>
    </row>
    <row r="60" spans="1:7">
      <c r="F60" s="512" t="s">
        <v>296</v>
      </c>
    </row>
    <row r="61" spans="1:7">
      <c r="F61" s="512" t="s">
        <v>715</v>
      </c>
    </row>
    <row r="62" spans="1:7">
      <c r="F62" s="512" t="s">
        <v>718</v>
      </c>
    </row>
    <row r="65" spans="1:7" ht="15.75">
      <c r="A65" s="526" t="str">
        <f>A6</f>
        <v>DUKE ENERGY OHIO, INC.</v>
      </c>
      <c r="B65" s="277"/>
      <c r="C65" s="277"/>
      <c r="D65" s="277"/>
      <c r="E65" s="277"/>
      <c r="F65" s="277"/>
      <c r="G65" s="277"/>
    </row>
    <row r="66" spans="1:7" ht="15.75">
      <c r="A66" s="526" t="str">
        <f>A7</f>
        <v>DEPRECIATION RATES</v>
      </c>
      <c r="B66" s="277"/>
      <c r="C66" s="277"/>
      <c r="D66" s="277"/>
      <c r="E66" s="277"/>
      <c r="F66" s="277"/>
      <c r="G66" s="277"/>
    </row>
    <row r="69" spans="1:7">
      <c r="A69" s="630" t="s">
        <v>411</v>
      </c>
      <c r="B69" s="630"/>
      <c r="C69" s="630" t="s">
        <v>412</v>
      </c>
      <c r="D69" s="630"/>
      <c r="E69" s="630"/>
      <c r="F69" s="630"/>
      <c r="G69" s="630" t="s">
        <v>259</v>
      </c>
    </row>
    <row r="70" spans="1:7">
      <c r="A70" s="630" t="s">
        <v>413</v>
      </c>
      <c r="B70" s="630"/>
      <c r="C70" s="630" t="s">
        <v>413</v>
      </c>
      <c r="D70" s="630"/>
      <c r="E70" s="630"/>
      <c r="F70" s="630"/>
      <c r="G70" s="630" t="s">
        <v>414</v>
      </c>
    </row>
    <row r="71" spans="1:7">
      <c r="A71" s="631" t="s">
        <v>415</v>
      </c>
      <c r="B71" s="631"/>
      <c r="C71" s="631" t="s">
        <v>415</v>
      </c>
      <c r="D71" s="631"/>
      <c r="E71" s="631" t="s">
        <v>416</v>
      </c>
      <c r="F71" s="631"/>
      <c r="G71" s="631" t="s">
        <v>417</v>
      </c>
    </row>
    <row r="72" spans="1:7">
      <c r="A72" s="633" t="s">
        <v>386</v>
      </c>
      <c r="B72" s="630"/>
      <c r="C72" s="633" t="s">
        <v>387</v>
      </c>
      <c r="D72" s="630"/>
      <c r="E72" s="630" t="s">
        <v>388</v>
      </c>
      <c r="F72" s="630"/>
      <c r="G72" s="633" t="s">
        <v>418</v>
      </c>
    </row>
    <row r="73" spans="1:7">
      <c r="A73" s="634"/>
      <c r="B73" s="279"/>
      <c r="C73" s="634"/>
      <c r="D73" s="279"/>
      <c r="E73" s="279"/>
      <c r="F73" s="279"/>
      <c r="G73" s="630" t="s">
        <v>84</v>
      </c>
    </row>
    <row r="74" spans="1:7">
      <c r="A74" s="637" t="s">
        <v>493</v>
      </c>
      <c r="B74" s="638"/>
      <c r="C74" s="638"/>
      <c r="D74" s="277"/>
      <c r="E74" s="277"/>
      <c r="F74" s="277"/>
      <c r="G74" s="277"/>
    </row>
    <row r="75" spans="1:7">
      <c r="A75" s="442"/>
      <c r="B75" s="442"/>
      <c r="C75" s="442"/>
      <c r="G75" s="640"/>
    </row>
    <row r="76" spans="1:7">
      <c r="A76" s="443">
        <v>303</v>
      </c>
      <c r="B76" s="443">
        <v>3030</v>
      </c>
      <c r="C76" s="442">
        <v>3030</v>
      </c>
      <c r="E76" s="278" t="s">
        <v>711</v>
      </c>
      <c r="G76" s="525">
        <v>20</v>
      </c>
    </row>
    <row r="77" spans="1:7">
      <c r="A77" s="443">
        <v>303</v>
      </c>
      <c r="B77" s="443"/>
      <c r="C77" s="442">
        <v>30310</v>
      </c>
      <c r="E77" s="278" t="s">
        <v>712</v>
      </c>
      <c r="G77" s="525">
        <v>10</v>
      </c>
    </row>
    <row r="78" spans="1:7">
      <c r="A78" s="443">
        <v>389</v>
      </c>
      <c r="B78" s="443">
        <v>3890</v>
      </c>
      <c r="C78" s="442">
        <v>3890</v>
      </c>
      <c r="E78" s="278" t="s">
        <v>446</v>
      </c>
      <c r="G78" s="525" t="s">
        <v>447</v>
      </c>
    </row>
    <row r="79" spans="1:7">
      <c r="A79" s="443">
        <v>390</v>
      </c>
      <c r="B79" s="443">
        <v>3900</v>
      </c>
      <c r="C79" s="442">
        <v>3900</v>
      </c>
      <c r="E79" s="278" t="s">
        <v>448</v>
      </c>
      <c r="G79" s="525">
        <v>4.2</v>
      </c>
    </row>
    <row r="80" spans="1:7">
      <c r="A80" s="443">
        <v>391</v>
      </c>
      <c r="B80" s="443">
        <v>3910</v>
      </c>
      <c r="C80" s="442">
        <v>3910</v>
      </c>
      <c r="E80" s="278" t="s">
        <v>449</v>
      </c>
      <c r="G80" s="525">
        <v>5</v>
      </c>
    </row>
    <row r="81" spans="1:7">
      <c r="A81" s="443">
        <v>391</v>
      </c>
      <c r="B81" s="443">
        <v>3911</v>
      </c>
      <c r="C81" s="442">
        <v>3911</v>
      </c>
      <c r="E81" s="278" t="s">
        <v>450</v>
      </c>
      <c r="G81" s="525">
        <v>20</v>
      </c>
    </row>
    <row r="82" spans="1:7">
      <c r="A82" s="443">
        <v>392</v>
      </c>
      <c r="B82" s="443">
        <v>3920</v>
      </c>
      <c r="C82" s="442">
        <v>3920</v>
      </c>
      <c r="E82" s="278" t="s">
        <v>451</v>
      </c>
      <c r="G82" s="525">
        <v>9.09</v>
      </c>
    </row>
    <row r="83" spans="1:7">
      <c r="A83" s="443">
        <v>392</v>
      </c>
      <c r="B83" s="443">
        <v>3921</v>
      </c>
      <c r="C83" s="442">
        <v>3921</v>
      </c>
      <c r="E83" s="278" t="s">
        <v>452</v>
      </c>
      <c r="G83" s="525">
        <v>4.13</v>
      </c>
    </row>
    <row r="84" spans="1:7">
      <c r="A84" s="443">
        <v>393</v>
      </c>
      <c r="B84" s="443"/>
      <c r="C84" s="442">
        <v>3930</v>
      </c>
      <c r="E84" s="278" t="s">
        <v>792</v>
      </c>
      <c r="G84" s="525">
        <v>5</v>
      </c>
    </row>
    <row r="85" spans="1:7">
      <c r="A85" s="443">
        <v>394</v>
      </c>
      <c r="B85" s="443">
        <v>3940</v>
      </c>
      <c r="C85" s="442">
        <v>3940</v>
      </c>
      <c r="E85" s="278" t="s">
        <v>453</v>
      </c>
      <c r="G85" s="525">
        <v>4</v>
      </c>
    </row>
    <row r="86" spans="1:7">
      <c r="A86" s="443">
        <v>395</v>
      </c>
      <c r="B86" s="443">
        <v>3950</v>
      </c>
      <c r="C86" s="442">
        <v>3950</v>
      </c>
      <c r="E86" s="278" t="s">
        <v>454</v>
      </c>
      <c r="G86" s="525">
        <v>6.67</v>
      </c>
    </row>
    <row r="87" spans="1:7">
      <c r="A87" s="443">
        <v>396</v>
      </c>
      <c r="B87" s="443">
        <v>3960</v>
      </c>
      <c r="C87" s="442">
        <v>3960</v>
      </c>
      <c r="E87" s="278" t="s">
        <v>455</v>
      </c>
      <c r="G87" s="525">
        <v>5.29</v>
      </c>
    </row>
    <row r="88" spans="1:7">
      <c r="A88" s="443">
        <v>397</v>
      </c>
      <c r="B88" s="443">
        <v>3970</v>
      </c>
      <c r="C88" s="442">
        <v>3970</v>
      </c>
      <c r="E88" s="278" t="s">
        <v>456</v>
      </c>
      <c r="G88" s="525">
        <v>6.67</v>
      </c>
    </row>
    <row r="89" spans="1:7">
      <c r="A89" s="443">
        <v>398</v>
      </c>
      <c r="B89" s="443">
        <v>3980</v>
      </c>
      <c r="C89" s="442">
        <v>3980</v>
      </c>
      <c r="E89" s="278" t="s">
        <v>457</v>
      </c>
      <c r="G89" s="525">
        <v>5</v>
      </c>
    </row>
    <row r="90" spans="1:7">
      <c r="A90" s="443"/>
      <c r="B90" s="443"/>
      <c r="C90" s="442"/>
      <c r="G90" s="525"/>
    </row>
    <row r="91" spans="1:7">
      <c r="A91" s="443"/>
      <c r="B91" s="443"/>
      <c r="C91" s="442"/>
      <c r="G91" s="525"/>
    </row>
    <row r="92" spans="1:7">
      <c r="B92" s="443"/>
      <c r="C92" s="442"/>
      <c r="E92" s="635" t="s">
        <v>713</v>
      </c>
      <c r="G92" s="525"/>
    </row>
    <row r="93" spans="1:7">
      <c r="A93" s="443"/>
      <c r="B93" s="443"/>
      <c r="C93" s="442"/>
      <c r="G93" s="525"/>
    </row>
    <row r="94" spans="1:7">
      <c r="A94" s="443"/>
      <c r="B94" s="443"/>
      <c r="C94" s="442">
        <v>1030</v>
      </c>
      <c r="E94" s="278" t="s">
        <v>462</v>
      </c>
      <c r="G94" s="525">
        <v>20</v>
      </c>
    </row>
    <row r="95" spans="1:7">
      <c r="A95" s="443"/>
      <c r="B95" s="443"/>
      <c r="C95" s="442">
        <v>1701</v>
      </c>
      <c r="E95" s="278" t="s">
        <v>793</v>
      </c>
      <c r="G95" s="525">
        <v>6.67</v>
      </c>
    </row>
    <row r="96" spans="1:7">
      <c r="A96" s="443"/>
      <c r="B96" s="443"/>
      <c r="C96" s="442">
        <v>1890</v>
      </c>
      <c r="E96" s="278" t="s">
        <v>446</v>
      </c>
      <c r="G96" s="525" t="s">
        <v>447</v>
      </c>
    </row>
    <row r="97" spans="1:7">
      <c r="A97" s="443"/>
      <c r="B97" s="443"/>
      <c r="C97" s="442">
        <v>1900</v>
      </c>
      <c r="E97" s="278" t="s">
        <v>448</v>
      </c>
      <c r="G97" s="525">
        <v>3.29</v>
      </c>
    </row>
    <row r="98" spans="1:7">
      <c r="A98" s="443"/>
      <c r="B98" s="443"/>
      <c r="C98" s="442">
        <v>1910</v>
      </c>
      <c r="E98" s="278" t="s">
        <v>449</v>
      </c>
      <c r="G98" s="525">
        <v>5</v>
      </c>
    </row>
    <row r="99" spans="1:7">
      <c r="A99" s="443"/>
      <c r="B99" s="443"/>
      <c r="C99" s="442">
        <v>1911</v>
      </c>
      <c r="E99" s="278" t="s">
        <v>450</v>
      </c>
      <c r="G99" s="525">
        <v>20</v>
      </c>
    </row>
    <row r="100" spans="1:7">
      <c r="A100" s="443"/>
      <c r="B100" s="443"/>
      <c r="C100" s="442">
        <v>1920</v>
      </c>
      <c r="E100" s="278" t="s">
        <v>451</v>
      </c>
      <c r="G100" s="525">
        <v>8.33</v>
      </c>
    </row>
    <row r="101" spans="1:7">
      <c r="A101" s="443"/>
      <c r="B101" s="443"/>
      <c r="C101" s="442">
        <v>1921</v>
      </c>
      <c r="E101" s="278" t="s">
        <v>452</v>
      </c>
      <c r="G101" s="525">
        <v>4.13</v>
      </c>
    </row>
    <row r="102" spans="1:7">
      <c r="A102" s="443"/>
      <c r="B102" s="443"/>
      <c r="C102" s="442">
        <v>1930</v>
      </c>
      <c r="E102" s="278" t="s">
        <v>792</v>
      </c>
      <c r="G102" s="525">
        <v>5</v>
      </c>
    </row>
    <row r="103" spans="1:7">
      <c r="A103" s="443"/>
      <c r="B103" s="443"/>
      <c r="C103" s="442">
        <v>1940</v>
      </c>
      <c r="E103" s="278" t="s">
        <v>453</v>
      </c>
      <c r="G103" s="525">
        <v>4</v>
      </c>
    </row>
    <row r="104" spans="1:7">
      <c r="A104" s="443"/>
      <c r="B104" s="443"/>
      <c r="C104" s="442">
        <v>1960</v>
      </c>
      <c r="E104" s="278" t="s">
        <v>455</v>
      </c>
      <c r="G104" s="525">
        <v>5.29</v>
      </c>
    </row>
    <row r="105" spans="1:7">
      <c r="A105" s="443"/>
      <c r="B105" s="443"/>
      <c r="C105" s="442">
        <v>1970</v>
      </c>
      <c r="E105" s="278" t="s">
        <v>456</v>
      </c>
      <c r="G105" s="525">
        <v>6.67</v>
      </c>
    </row>
    <row r="106" spans="1:7">
      <c r="A106" s="443"/>
      <c r="B106" s="443"/>
      <c r="C106" s="442">
        <v>1980</v>
      </c>
      <c r="E106" s="278" t="s">
        <v>714</v>
      </c>
      <c r="G106" s="525">
        <v>5</v>
      </c>
    </row>
    <row r="107" spans="1:7">
      <c r="A107" s="443"/>
      <c r="B107" s="443"/>
      <c r="C107" s="442"/>
      <c r="G107" s="525"/>
    </row>
    <row r="108" spans="1:7">
      <c r="A108" s="443"/>
      <c r="B108" s="443"/>
      <c r="C108" s="442"/>
      <c r="G108" s="525"/>
    </row>
    <row r="109" spans="1:7">
      <c r="A109" s="443"/>
      <c r="B109" s="443"/>
      <c r="C109" s="442"/>
      <c r="G109" s="525"/>
    </row>
    <row r="110" spans="1:7">
      <c r="A110" s="443"/>
      <c r="B110" s="443"/>
      <c r="C110" s="442"/>
      <c r="G110" s="525"/>
    </row>
    <row r="111" spans="1:7">
      <c r="A111" s="443"/>
      <c r="B111" s="443"/>
      <c r="C111" s="442"/>
      <c r="G111" s="525"/>
    </row>
    <row r="112" spans="1:7">
      <c r="A112" s="443"/>
      <c r="B112" s="443"/>
      <c r="C112" s="442"/>
      <c r="G112" s="525"/>
    </row>
    <row r="113" spans="1:7">
      <c r="A113" s="443"/>
      <c r="B113" s="443"/>
      <c r="C113" s="442"/>
      <c r="G113" s="525"/>
    </row>
    <row r="114" spans="1:7">
      <c r="A114" s="443"/>
      <c r="B114" s="443"/>
      <c r="C114" s="442"/>
      <c r="G114" s="525"/>
    </row>
    <row r="115" spans="1:7">
      <c r="A115" s="443"/>
      <c r="B115" s="443"/>
      <c r="C115" s="442"/>
      <c r="G115" s="525"/>
    </row>
    <row r="116" spans="1:7">
      <c r="A116" s="443"/>
      <c r="B116" s="443"/>
      <c r="C116" s="442"/>
      <c r="G116" s="525"/>
    </row>
    <row r="117" spans="1:7">
      <c r="A117" s="443"/>
      <c r="B117" s="443"/>
      <c r="C117" s="442"/>
      <c r="G117" s="525"/>
    </row>
    <row r="118" spans="1:7">
      <c r="A118" s="443"/>
      <c r="B118" s="443"/>
      <c r="C118" s="442"/>
      <c r="G118" s="525"/>
    </row>
    <row r="119" spans="1:7">
      <c r="A119" s="443"/>
      <c r="B119" s="443"/>
      <c r="C119" s="442"/>
      <c r="G119" s="525"/>
    </row>
    <row r="120" spans="1:7">
      <c r="A120" s="443"/>
      <c r="B120" s="443"/>
      <c r="C120" s="442"/>
      <c r="G120" s="525"/>
    </row>
    <row r="121" spans="1:7">
      <c r="A121" s="443"/>
      <c r="B121" s="443"/>
      <c r="C121" s="442"/>
      <c r="G121" s="525"/>
    </row>
    <row r="122" spans="1:7">
      <c r="A122" s="443"/>
      <c r="B122" s="443"/>
      <c r="C122" s="442"/>
      <c r="G122" s="525"/>
    </row>
    <row r="123" spans="1:7">
      <c r="A123" s="443"/>
      <c r="B123" s="443"/>
      <c r="C123" s="442"/>
      <c r="G123" s="525"/>
    </row>
    <row r="124" spans="1:7">
      <c r="A124" s="443"/>
      <c r="B124" s="443"/>
      <c r="C124" s="442"/>
      <c r="G124" s="525"/>
    </row>
    <row r="125" spans="1:7">
      <c r="A125" s="443"/>
      <c r="B125" s="443"/>
      <c r="C125" s="442"/>
      <c r="G125" s="525"/>
    </row>
    <row r="126" spans="1:7">
      <c r="A126" s="443"/>
      <c r="B126" s="443"/>
      <c r="C126" s="442"/>
      <c r="G126" s="525"/>
    </row>
    <row r="127" spans="1:7">
      <c r="A127" s="443"/>
      <c r="B127" s="443"/>
      <c r="C127" s="442"/>
      <c r="G127" s="525"/>
    </row>
    <row r="128" spans="1:7">
      <c r="A128" s="443"/>
      <c r="B128" s="443"/>
      <c r="C128" s="442"/>
      <c r="G128" s="525"/>
    </row>
    <row r="129" spans="1:7">
      <c r="A129" s="443"/>
      <c r="B129" s="443"/>
      <c r="C129" s="442"/>
      <c r="G129" s="525"/>
    </row>
    <row r="130" spans="1:7">
      <c r="A130" s="443"/>
      <c r="B130" s="443"/>
      <c r="C130" s="442"/>
      <c r="G130" s="525"/>
    </row>
    <row r="131" spans="1:7">
      <c r="A131" s="443"/>
      <c r="B131" s="443"/>
      <c r="C131" s="442"/>
      <c r="G131" s="525"/>
    </row>
    <row r="132" spans="1:7">
      <c r="A132" s="443"/>
      <c r="B132" s="443"/>
      <c r="C132" s="442"/>
      <c r="G132" s="525"/>
    </row>
    <row r="133" spans="1:7">
      <c r="A133" s="443"/>
      <c r="B133" s="443"/>
      <c r="C133" s="442"/>
      <c r="G133" s="525"/>
    </row>
    <row r="134" spans="1:7">
      <c r="A134" s="443"/>
      <c r="B134" s="443"/>
      <c r="C134" s="442"/>
      <c r="G134" s="525"/>
    </row>
    <row r="135" spans="1:7">
      <c r="A135" s="443"/>
      <c r="B135" s="443"/>
      <c r="C135" s="442"/>
      <c r="G135" s="525"/>
    </row>
    <row r="136" spans="1:7">
      <c r="A136" s="279"/>
      <c r="B136" s="279"/>
      <c r="C136" s="279"/>
    </row>
    <row r="137" spans="1:7">
      <c r="A137" s="279"/>
      <c r="B137" s="279"/>
      <c r="C137" s="279"/>
    </row>
    <row r="138" spans="1:7">
      <c r="A138" s="279"/>
      <c r="B138" s="279"/>
      <c r="C138" s="279"/>
    </row>
    <row r="139" spans="1:7">
      <c r="A139" s="279"/>
      <c r="B139" s="279"/>
      <c r="C139" s="279"/>
    </row>
    <row r="140" spans="1:7">
      <c r="A140" s="279"/>
      <c r="B140" s="279"/>
      <c r="C140" s="279"/>
    </row>
    <row r="141" spans="1:7">
      <c r="A141" s="279"/>
      <c r="B141" s="279"/>
      <c r="C141" s="279"/>
    </row>
    <row r="142" spans="1:7">
      <c r="A142" s="279"/>
      <c r="B142" s="279"/>
      <c r="C142" s="279"/>
    </row>
    <row r="143" spans="1:7">
      <c r="A143" s="279"/>
      <c r="B143" s="279"/>
      <c r="C143" s="279"/>
    </row>
    <row r="144" spans="1:7">
      <c r="A144" s="279"/>
      <c r="B144" s="279"/>
      <c r="C144" s="279"/>
    </row>
    <row r="145" spans="1:3">
      <c r="A145" s="279"/>
      <c r="B145" s="279"/>
      <c r="C145" s="279"/>
    </row>
    <row r="146" spans="1:3">
      <c r="A146" s="279"/>
      <c r="B146" s="279"/>
      <c r="C146" s="279"/>
    </row>
    <row r="147" spans="1:3">
      <c r="A147" s="279"/>
      <c r="B147" s="279"/>
      <c r="C147" s="279"/>
    </row>
    <row r="148" spans="1:3">
      <c r="A148" s="279"/>
      <c r="B148" s="279"/>
      <c r="C148" s="279"/>
    </row>
    <row r="149" spans="1:3">
      <c r="A149" s="279"/>
      <c r="B149" s="279"/>
      <c r="C149" s="279"/>
    </row>
    <row r="150" spans="1:3">
      <c r="A150" s="279"/>
      <c r="B150" s="279"/>
      <c r="C150" s="279"/>
    </row>
    <row r="151" spans="1:3">
      <c r="A151" s="279"/>
      <c r="B151" s="279"/>
      <c r="C151" s="279"/>
    </row>
    <row r="152" spans="1:3">
      <c r="A152" s="279"/>
      <c r="B152" s="279"/>
      <c r="C152" s="279"/>
    </row>
    <row r="153" spans="1:3">
      <c r="A153" s="279"/>
      <c r="B153" s="279"/>
      <c r="C153" s="279"/>
    </row>
    <row r="154" spans="1:3">
      <c r="A154" s="279"/>
      <c r="B154" s="279"/>
      <c r="C154" s="279"/>
    </row>
    <row r="155" spans="1:3">
      <c r="A155" s="279"/>
      <c r="B155" s="279"/>
      <c r="C155" s="279"/>
    </row>
    <row r="156" spans="1:3">
      <c r="A156" s="279"/>
      <c r="B156" s="279"/>
      <c r="C156" s="279"/>
    </row>
  </sheetData>
  <printOptions horizontalCentered="1"/>
  <pageMargins left="0.75" right="0.75" top="0.75" bottom="0.5" header="0.75" footer="0.3"/>
  <pageSetup scale="70" orientation="portrait" blackAndWhite="1" r:id="rId1"/>
  <rowBreaks count="1" manualBreakCount="1">
    <brk id="5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7">
    <tabColor rgb="FF00B050"/>
    <pageSetUpPr fitToPage="1"/>
  </sheetPr>
  <dimension ref="A1:I102"/>
  <sheetViews>
    <sheetView view="pageBreakPreview" zoomScale="80" zoomScaleNormal="90" zoomScaleSheetLayoutView="80" workbookViewId="0"/>
  </sheetViews>
  <sheetFormatPr defaultColWidth="8.77734375" defaultRowHeight="12.75"/>
  <cols>
    <col min="1" max="1" width="8.77734375" style="278"/>
    <col min="2" max="2" width="0.77734375" style="278" customWidth="1"/>
    <col min="3" max="3" width="8.77734375" style="278"/>
    <col min="4" max="4" width="1.5546875" style="278" customWidth="1"/>
    <col min="5" max="5" width="46.109375" style="278" customWidth="1"/>
    <col min="6" max="6" width="6" style="278" customWidth="1"/>
    <col min="7" max="7" width="9.77734375" style="278" customWidth="1"/>
    <col min="8" max="10" width="8.77734375" style="278"/>
    <col min="11" max="11" width="9.5546875" style="278" customWidth="1"/>
    <col min="12" max="16384" width="8.77734375" style="278"/>
  </cols>
  <sheetData>
    <row r="1" spans="1:9">
      <c r="F1" s="512" t="s">
        <v>296</v>
      </c>
      <c r="I1" s="787"/>
    </row>
    <row r="2" spans="1:9">
      <c r="F2" s="512" t="s">
        <v>715</v>
      </c>
      <c r="I2" s="787"/>
    </row>
    <row r="3" spans="1:9">
      <c r="F3" s="512" t="s">
        <v>716</v>
      </c>
    </row>
    <row r="4" spans="1:9">
      <c r="F4" s="512"/>
    </row>
    <row r="5" spans="1:9">
      <c r="F5" s="512"/>
    </row>
    <row r="6" spans="1:9" ht="15.75">
      <c r="A6" s="526" t="s">
        <v>458</v>
      </c>
      <c r="B6" s="277"/>
      <c r="C6" s="277"/>
      <c r="D6" s="277"/>
      <c r="E6" s="277"/>
      <c r="F6" s="277"/>
      <c r="G6" s="277"/>
    </row>
    <row r="7" spans="1:9" ht="15.75">
      <c r="A7" s="526" t="s">
        <v>410</v>
      </c>
      <c r="B7" s="277"/>
      <c r="C7" s="277"/>
      <c r="D7" s="277"/>
      <c r="E7" s="277"/>
      <c r="F7" s="277"/>
      <c r="G7" s="277"/>
    </row>
    <row r="10" spans="1:9">
      <c r="A10" s="630" t="s">
        <v>411</v>
      </c>
      <c r="B10" s="279"/>
      <c r="C10" s="630" t="s">
        <v>412</v>
      </c>
      <c r="D10" s="279"/>
      <c r="E10" s="279"/>
      <c r="F10" s="279"/>
      <c r="G10" s="630" t="s">
        <v>259</v>
      </c>
    </row>
    <row r="11" spans="1:9">
      <c r="A11" s="630" t="s">
        <v>413</v>
      </c>
      <c r="B11" s="279"/>
      <c r="C11" s="630" t="s">
        <v>413</v>
      </c>
      <c r="D11" s="279"/>
      <c r="E11" s="279"/>
      <c r="F11" s="279"/>
      <c r="G11" s="630" t="s">
        <v>414</v>
      </c>
    </row>
    <row r="12" spans="1:9">
      <c r="A12" s="631" t="s">
        <v>415</v>
      </c>
      <c r="B12" s="632"/>
      <c r="C12" s="631" t="s">
        <v>415</v>
      </c>
      <c r="D12" s="632"/>
      <c r="E12" s="631" t="s">
        <v>416</v>
      </c>
      <c r="F12" s="632"/>
      <c r="G12" s="631" t="s">
        <v>417</v>
      </c>
    </row>
    <row r="13" spans="1:9">
      <c r="A13" s="633" t="s">
        <v>386</v>
      </c>
      <c r="B13" s="279"/>
      <c r="C13" s="633" t="s">
        <v>387</v>
      </c>
      <c r="D13" s="279"/>
      <c r="E13" s="630" t="s">
        <v>388</v>
      </c>
      <c r="F13" s="279"/>
      <c r="G13" s="633" t="s">
        <v>418</v>
      </c>
    </row>
    <row r="14" spans="1:9">
      <c r="A14" s="634"/>
      <c r="B14" s="279"/>
      <c r="C14" s="634"/>
      <c r="D14" s="279"/>
      <c r="E14" s="279"/>
      <c r="F14" s="279"/>
      <c r="G14" s="630" t="s">
        <v>84</v>
      </c>
    </row>
    <row r="15" spans="1:9">
      <c r="A15" s="635" t="s">
        <v>191</v>
      </c>
      <c r="B15" s="635"/>
      <c r="C15" s="277"/>
      <c r="D15" s="277"/>
      <c r="E15" s="277"/>
      <c r="F15" s="277"/>
      <c r="G15" s="277"/>
    </row>
    <row r="16" spans="1:9">
      <c r="G16" s="636"/>
    </row>
    <row r="17" spans="1:8">
      <c r="A17" s="442">
        <v>350</v>
      </c>
      <c r="B17" s="641"/>
      <c r="C17" s="442">
        <v>3501</v>
      </c>
      <c r="E17" s="278" t="s">
        <v>420</v>
      </c>
      <c r="G17" s="525">
        <v>1.27</v>
      </c>
    </row>
    <row r="18" spans="1:8">
      <c r="A18" s="442">
        <v>352</v>
      </c>
      <c r="B18" s="641"/>
      <c r="C18" s="442">
        <v>3520</v>
      </c>
      <c r="E18" s="278" t="s">
        <v>459</v>
      </c>
      <c r="G18" s="525">
        <v>1.96</v>
      </c>
    </row>
    <row r="19" spans="1:8">
      <c r="A19" s="442">
        <v>353</v>
      </c>
      <c r="B19" s="641"/>
      <c r="C19" s="442">
        <v>3530</v>
      </c>
      <c r="E19" s="278" t="s">
        <v>423</v>
      </c>
      <c r="G19" s="525">
        <v>2.16</v>
      </c>
    </row>
    <row r="20" spans="1:8">
      <c r="A20" s="442">
        <v>353</v>
      </c>
      <c r="B20" s="641"/>
      <c r="C20" s="442">
        <v>3532</v>
      </c>
      <c r="E20" s="278" t="s">
        <v>460</v>
      </c>
      <c r="G20" s="525">
        <v>1.73</v>
      </c>
    </row>
    <row r="21" spans="1:8">
      <c r="A21" s="442">
        <v>353</v>
      </c>
      <c r="B21" s="641"/>
      <c r="C21" s="442">
        <v>3535</v>
      </c>
      <c r="E21" s="278" t="s">
        <v>461</v>
      </c>
      <c r="G21" s="525">
        <v>2.16</v>
      </c>
    </row>
    <row r="22" spans="1:8">
      <c r="A22" s="442">
        <v>355</v>
      </c>
      <c r="B22" s="641"/>
      <c r="C22" s="442">
        <v>3550</v>
      </c>
      <c r="E22" s="278" t="s">
        <v>427</v>
      </c>
      <c r="G22" s="525">
        <v>1.76</v>
      </c>
    </row>
    <row r="23" spans="1:8">
      <c r="A23" s="442">
        <v>356</v>
      </c>
      <c r="B23" s="641"/>
      <c r="C23" s="442">
        <v>3560</v>
      </c>
      <c r="E23" s="278" t="s">
        <v>429</v>
      </c>
      <c r="G23" s="525">
        <v>1.91</v>
      </c>
    </row>
    <row r="24" spans="1:8">
      <c r="A24" s="442"/>
      <c r="B24" s="442"/>
      <c r="C24" s="442"/>
      <c r="G24" s="525"/>
    </row>
    <row r="25" spans="1:8">
      <c r="A25" s="442"/>
      <c r="B25" s="442"/>
      <c r="C25" s="442"/>
      <c r="G25" s="642"/>
    </row>
    <row r="26" spans="1:8">
      <c r="A26" s="637" t="s">
        <v>493</v>
      </c>
      <c r="B26" s="638"/>
      <c r="C26" s="638"/>
      <c r="D26" s="277"/>
      <c r="E26" s="277"/>
      <c r="F26" s="277"/>
      <c r="G26" s="643"/>
    </row>
    <row r="27" spans="1:8">
      <c r="A27" s="442"/>
      <c r="B27" s="442"/>
      <c r="C27" s="442"/>
      <c r="G27" s="642"/>
    </row>
    <row r="28" spans="1:8" ht="15">
      <c r="A28" s="442">
        <v>303</v>
      </c>
      <c r="B28" s="444"/>
      <c r="C28" s="442">
        <v>3030</v>
      </c>
      <c r="E28" s="278" t="s">
        <v>711</v>
      </c>
      <c r="G28" s="525">
        <v>20</v>
      </c>
      <c r="H28" s="280"/>
    </row>
    <row r="29" spans="1:8" ht="15">
      <c r="A29" s="442">
        <v>303</v>
      </c>
      <c r="B29" s="444"/>
      <c r="C29" s="442">
        <v>30310</v>
      </c>
      <c r="E29" s="278" t="s">
        <v>712</v>
      </c>
      <c r="G29" s="525">
        <v>10</v>
      </c>
    </row>
    <row r="30" spans="1:8" ht="15">
      <c r="A30" s="442">
        <v>390</v>
      </c>
      <c r="B30" s="444"/>
      <c r="C30" s="442">
        <v>3900</v>
      </c>
      <c r="E30" s="552" t="s">
        <v>448</v>
      </c>
      <c r="G30" s="525">
        <v>3.4</v>
      </c>
    </row>
    <row r="31" spans="1:8" ht="15">
      <c r="A31" s="442">
        <v>391</v>
      </c>
      <c r="B31" s="444"/>
      <c r="C31" s="442">
        <v>3910</v>
      </c>
      <c r="E31" s="552" t="s">
        <v>449</v>
      </c>
      <c r="G31" s="525">
        <v>5</v>
      </c>
    </row>
    <row r="32" spans="1:8" ht="15">
      <c r="A32" s="442">
        <v>391</v>
      </c>
      <c r="B32" s="444"/>
      <c r="C32" s="442">
        <v>3911</v>
      </c>
      <c r="E32" s="278" t="s">
        <v>450</v>
      </c>
      <c r="G32" s="525">
        <v>20</v>
      </c>
    </row>
    <row r="33" spans="1:9" ht="15">
      <c r="A33" s="442">
        <v>392</v>
      </c>
      <c r="B33" s="444"/>
      <c r="C33" s="442">
        <v>3921</v>
      </c>
      <c r="E33" s="278" t="s">
        <v>452</v>
      </c>
      <c r="G33" s="525">
        <v>3.84</v>
      </c>
    </row>
    <row r="34" spans="1:9" ht="15">
      <c r="A34" s="442">
        <v>394</v>
      </c>
      <c r="B34" s="444"/>
      <c r="C34" s="442">
        <v>3940</v>
      </c>
      <c r="E34" s="278" t="s">
        <v>453</v>
      </c>
      <c r="G34" s="525">
        <v>4</v>
      </c>
    </row>
    <row r="35" spans="1:9" ht="15">
      <c r="A35" s="442">
        <v>397</v>
      </c>
      <c r="B35" s="444"/>
      <c r="C35" s="442">
        <v>3970</v>
      </c>
      <c r="E35" s="552" t="s">
        <v>456</v>
      </c>
      <c r="G35" s="525">
        <v>6.67</v>
      </c>
    </row>
    <row r="36" spans="1:9" ht="15">
      <c r="A36" s="442"/>
      <c r="B36" s="444"/>
      <c r="C36" s="442"/>
      <c r="G36" s="644"/>
    </row>
    <row r="37" spans="1:9" ht="15">
      <c r="A37" s="442"/>
      <c r="B37" s="444"/>
      <c r="C37" s="442"/>
      <c r="G37" s="644"/>
    </row>
    <row r="38" spans="1:9">
      <c r="A38" s="635" t="s">
        <v>713</v>
      </c>
      <c r="B38" s="277"/>
      <c r="C38" s="277"/>
      <c r="D38" s="277"/>
      <c r="E38" s="277"/>
      <c r="F38" s="277"/>
      <c r="G38" s="639"/>
      <c r="H38" s="511"/>
      <c r="I38" s="511"/>
    </row>
    <row r="39" spans="1:9">
      <c r="A39" s="279"/>
      <c r="B39" s="279"/>
      <c r="C39" s="279"/>
      <c r="G39" s="525"/>
      <c r="H39" s="511"/>
      <c r="I39" s="511"/>
    </row>
    <row r="40" spans="1:9" ht="15">
      <c r="A40" s="442"/>
      <c r="B40" s="444"/>
      <c r="C40" s="442">
        <v>1030</v>
      </c>
      <c r="E40" s="278" t="s">
        <v>462</v>
      </c>
      <c r="G40" s="525">
        <v>20</v>
      </c>
      <c r="H40" s="511"/>
      <c r="I40" s="511"/>
    </row>
    <row r="41" spans="1:9" ht="15">
      <c r="A41" s="442"/>
      <c r="B41" s="444"/>
      <c r="C41" s="442">
        <v>1900</v>
      </c>
      <c r="E41" s="278" t="s">
        <v>448</v>
      </c>
      <c r="G41" s="525">
        <v>1.26</v>
      </c>
      <c r="H41" s="511"/>
      <c r="I41" s="511"/>
    </row>
    <row r="42" spans="1:9" ht="15">
      <c r="A42" s="442"/>
      <c r="B42" s="444"/>
      <c r="C42" s="442">
        <v>1910</v>
      </c>
      <c r="E42" s="278" t="s">
        <v>449</v>
      </c>
      <c r="G42" s="525">
        <v>5</v>
      </c>
      <c r="H42" s="511"/>
      <c r="I42" s="511"/>
    </row>
    <row r="43" spans="1:9" ht="15">
      <c r="A43" s="442"/>
      <c r="B43" s="444"/>
      <c r="C43" s="442">
        <v>1911</v>
      </c>
      <c r="E43" s="278" t="s">
        <v>450</v>
      </c>
      <c r="G43" s="525">
        <v>20</v>
      </c>
      <c r="H43" s="511"/>
      <c r="I43" s="511"/>
    </row>
    <row r="44" spans="1:9" ht="15">
      <c r="A44" s="442"/>
      <c r="B44" s="444"/>
      <c r="C44" s="442">
        <v>1940</v>
      </c>
      <c r="E44" s="278" t="s">
        <v>453</v>
      </c>
      <c r="G44" s="525">
        <v>4</v>
      </c>
      <c r="H44" s="511"/>
      <c r="I44" s="511"/>
    </row>
    <row r="45" spans="1:9" ht="15">
      <c r="A45" s="442"/>
      <c r="B45" s="444"/>
      <c r="C45" s="442">
        <v>1970</v>
      </c>
      <c r="E45" s="278" t="s">
        <v>456</v>
      </c>
      <c r="G45" s="525">
        <v>6.67</v>
      </c>
      <c r="H45" s="511"/>
      <c r="I45" s="511"/>
    </row>
    <row r="46" spans="1:9" ht="15">
      <c r="A46" s="442"/>
      <c r="B46" s="444"/>
      <c r="C46" s="442">
        <v>1980</v>
      </c>
      <c r="E46" s="645" t="s">
        <v>457</v>
      </c>
      <c r="G46" s="525">
        <v>6.67</v>
      </c>
      <c r="H46" s="511"/>
      <c r="I46" s="511"/>
    </row>
    <row r="47" spans="1:9" ht="15">
      <c r="A47" s="442"/>
      <c r="B47" s="444"/>
      <c r="C47" s="442"/>
      <c r="G47" s="503"/>
      <c r="I47" s="511"/>
    </row>
    <row r="48" spans="1:9" ht="15">
      <c r="A48" s="442"/>
      <c r="B48" s="444"/>
      <c r="C48" s="442"/>
      <c r="G48" s="503"/>
    </row>
    <row r="49" spans="1:7" ht="15">
      <c r="A49" s="442"/>
      <c r="B49" s="444"/>
      <c r="C49" s="442"/>
      <c r="G49" s="503"/>
    </row>
    <row r="50" spans="1:7" ht="15">
      <c r="A50" s="442"/>
      <c r="B50" s="444"/>
      <c r="C50" s="442"/>
      <c r="G50" s="503"/>
    </row>
    <row r="51" spans="1:7" ht="15">
      <c r="A51" s="442"/>
      <c r="B51" s="444"/>
      <c r="C51" s="442"/>
      <c r="G51" s="503"/>
    </row>
    <row r="52" spans="1:7" ht="15">
      <c r="A52" s="442"/>
      <c r="B52" s="444"/>
      <c r="C52" s="442"/>
      <c r="G52" s="503"/>
    </row>
    <row r="53" spans="1:7" ht="15">
      <c r="A53" s="442"/>
      <c r="B53" s="444"/>
      <c r="C53" s="442"/>
      <c r="G53" s="503"/>
    </row>
    <row r="54" spans="1:7" ht="15">
      <c r="A54" s="442"/>
      <c r="B54" s="444"/>
      <c r="C54" s="442"/>
      <c r="G54" s="503"/>
    </row>
    <row r="55" spans="1:7" ht="15">
      <c r="A55" s="442"/>
      <c r="B55" s="444"/>
      <c r="C55" s="442"/>
      <c r="G55" s="503"/>
    </row>
    <row r="56" spans="1:7" ht="15">
      <c r="A56" s="442"/>
      <c r="B56" s="444"/>
      <c r="C56" s="442"/>
      <c r="G56" s="503"/>
    </row>
    <row r="57" spans="1:7" ht="15">
      <c r="A57" s="442"/>
      <c r="B57" s="444"/>
      <c r="C57" s="442"/>
      <c r="G57" s="503"/>
    </row>
    <row r="58" spans="1:7" ht="15">
      <c r="A58" s="442"/>
      <c r="B58" s="444"/>
      <c r="C58" s="442"/>
      <c r="G58" s="503"/>
    </row>
    <row r="59" spans="1:7" ht="15">
      <c r="A59" s="442"/>
      <c r="B59" s="444"/>
      <c r="C59" s="442"/>
    </row>
    <row r="60" spans="1:7" ht="15">
      <c r="A60" s="442"/>
      <c r="B60" s="444"/>
      <c r="C60" s="442"/>
    </row>
    <row r="61" spans="1:7" ht="15">
      <c r="A61" s="442"/>
      <c r="B61" s="444"/>
      <c r="C61" s="442"/>
    </row>
    <row r="62" spans="1:7" ht="15">
      <c r="A62" s="442"/>
      <c r="B62" s="444"/>
      <c r="C62" s="442"/>
    </row>
    <row r="63" spans="1:7" ht="15">
      <c r="A63" s="442"/>
      <c r="B63" s="444"/>
      <c r="C63" s="442"/>
    </row>
    <row r="64" spans="1:7" ht="15">
      <c r="A64" s="442"/>
      <c r="B64" s="444"/>
      <c r="C64" s="442"/>
    </row>
    <row r="65" spans="1:3" ht="15">
      <c r="A65" s="442"/>
      <c r="B65" s="444"/>
      <c r="C65" s="442"/>
    </row>
    <row r="66" spans="1:3" ht="15">
      <c r="A66" s="442"/>
      <c r="B66" s="444"/>
      <c r="C66" s="442"/>
    </row>
    <row r="67" spans="1:3" ht="15">
      <c r="A67" s="442"/>
      <c r="B67" s="444"/>
      <c r="C67" s="442"/>
    </row>
    <row r="68" spans="1:3" ht="15">
      <c r="A68" s="442"/>
      <c r="B68" s="444"/>
      <c r="C68" s="442"/>
    </row>
    <row r="69" spans="1:3" ht="15">
      <c r="A69" s="442"/>
      <c r="B69" s="444"/>
      <c r="C69" s="442"/>
    </row>
    <row r="70" spans="1:3" ht="15">
      <c r="A70" s="442"/>
      <c r="B70" s="444"/>
      <c r="C70" s="442"/>
    </row>
    <row r="71" spans="1:3" ht="15">
      <c r="A71" s="442"/>
      <c r="B71" s="444"/>
      <c r="C71" s="442"/>
    </row>
    <row r="72" spans="1:3" ht="15">
      <c r="A72" s="442"/>
      <c r="B72" s="444"/>
      <c r="C72" s="442"/>
    </row>
    <row r="73" spans="1:3" ht="15">
      <c r="A73" s="442"/>
      <c r="B73" s="444"/>
      <c r="C73" s="442"/>
    </row>
    <row r="74" spans="1:3" ht="15">
      <c r="A74" s="442"/>
      <c r="B74" s="444"/>
      <c r="C74" s="442"/>
    </row>
    <row r="75" spans="1:3" ht="15">
      <c r="A75" s="442"/>
      <c r="B75" s="444"/>
      <c r="C75" s="442"/>
    </row>
    <row r="76" spans="1:3" ht="15">
      <c r="A76" s="442"/>
      <c r="B76" s="444"/>
      <c r="C76" s="442"/>
    </row>
    <row r="77" spans="1:3" ht="15">
      <c r="A77" s="442"/>
      <c r="B77" s="444"/>
      <c r="C77" s="442"/>
    </row>
    <row r="78" spans="1:3" ht="15">
      <c r="A78" s="442"/>
      <c r="B78" s="444"/>
      <c r="C78" s="442"/>
    </row>
    <row r="79" spans="1:3" ht="15">
      <c r="A79" s="442"/>
      <c r="B79" s="444"/>
      <c r="C79" s="442"/>
    </row>
    <row r="80" spans="1:3" ht="15">
      <c r="A80" s="442"/>
      <c r="B80" s="444"/>
      <c r="C80" s="442"/>
    </row>
    <row r="81" spans="1:3" ht="15">
      <c r="A81" s="442"/>
      <c r="B81" s="444"/>
      <c r="C81" s="442"/>
    </row>
    <row r="82" spans="1:3" ht="15">
      <c r="A82" s="442"/>
      <c r="B82" s="444"/>
      <c r="C82" s="442"/>
    </row>
    <row r="83" spans="1:3" ht="15">
      <c r="A83" s="442"/>
      <c r="B83" s="444"/>
      <c r="C83" s="442"/>
    </row>
    <row r="84" spans="1:3" ht="15">
      <c r="A84" s="442"/>
      <c r="B84" s="444"/>
      <c r="C84" s="442"/>
    </row>
    <row r="85" spans="1:3" ht="15">
      <c r="A85" s="442"/>
      <c r="B85" s="444"/>
      <c r="C85" s="442"/>
    </row>
    <row r="86" spans="1:3" ht="15">
      <c r="A86" s="442"/>
      <c r="B86" s="444"/>
      <c r="C86" s="442"/>
    </row>
    <row r="87" spans="1:3" ht="15">
      <c r="A87" s="442"/>
      <c r="B87" s="444"/>
      <c r="C87" s="442"/>
    </row>
    <row r="88" spans="1:3" ht="15">
      <c r="A88" s="442"/>
      <c r="B88" s="444"/>
      <c r="C88" s="442"/>
    </row>
    <row r="89" spans="1:3" ht="15">
      <c r="A89" s="442"/>
      <c r="B89" s="444"/>
      <c r="C89" s="442"/>
    </row>
    <row r="90" spans="1:3" ht="15">
      <c r="A90" s="442"/>
      <c r="B90" s="444"/>
      <c r="C90" s="442"/>
    </row>
    <row r="91" spans="1:3" ht="15">
      <c r="A91" s="442"/>
      <c r="B91" s="444"/>
      <c r="C91" s="442"/>
    </row>
    <row r="92" spans="1:3" ht="15">
      <c r="A92" s="442"/>
      <c r="B92" s="444"/>
      <c r="C92" s="442"/>
    </row>
    <row r="93" spans="1:3" ht="15">
      <c r="A93" s="442"/>
      <c r="B93" s="444"/>
      <c r="C93" s="442"/>
    </row>
    <row r="94" spans="1:3" ht="15">
      <c r="A94" s="442"/>
      <c r="B94" s="444"/>
      <c r="C94" s="442"/>
    </row>
    <row r="95" spans="1:3" ht="15">
      <c r="A95" s="442"/>
      <c r="B95" s="444"/>
      <c r="C95" s="442"/>
    </row>
    <row r="96" spans="1:3" ht="15">
      <c r="A96" s="442"/>
      <c r="B96" s="444"/>
      <c r="C96" s="442"/>
    </row>
    <row r="97" spans="1:3" ht="15">
      <c r="A97" s="442"/>
      <c r="B97" s="444"/>
      <c r="C97" s="442"/>
    </row>
    <row r="98" spans="1:3" ht="15">
      <c r="A98" s="442"/>
      <c r="B98" s="444"/>
      <c r="C98" s="442"/>
    </row>
    <row r="99" spans="1:3" ht="15">
      <c r="A99" s="442"/>
      <c r="B99" s="444"/>
      <c r="C99" s="442"/>
    </row>
    <row r="100" spans="1:3" ht="15">
      <c r="A100" s="442"/>
      <c r="B100" s="444"/>
      <c r="C100" s="442"/>
    </row>
    <row r="101" spans="1:3" ht="15">
      <c r="A101" s="442"/>
      <c r="B101" s="444"/>
      <c r="C101" s="442"/>
    </row>
    <row r="102" spans="1:3">
      <c r="A102" s="279"/>
      <c r="B102" s="279"/>
      <c r="C102" s="279"/>
    </row>
  </sheetData>
  <printOptions horizontalCentered="1"/>
  <pageMargins left="0.75" right="0.75" top="0.75" bottom="0.5" header="0.75" footer="0.3"/>
  <pageSetup scale="91"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97212-A59D-4E13-9734-5A8AFE6C88A5}">
  <sheetPr codeName="Sheet28">
    <tabColor rgb="FF0099FF"/>
    <pageSetUpPr fitToPage="1"/>
  </sheetPr>
  <dimension ref="A1:T74"/>
  <sheetViews>
    <sheetView view="pageBreakPreview" topLeftCell="A26" zoomScale="80" zoomScaleNormal="90" zoomScaleSheetLayoutView="80" workbookViewId="0">
      <selection activeCell="A5" sqref="A5:I72"/>
    </sheetView>
  </sheetViews>
  <sheetFormatPr defaultColWidth="8.77734375" defaultRowHeight="12.75"/>
  <cols>
    <col min="1" max="1" width="5.5546875" style="52" customWidth="1"/>
    <col min="2" max="2" width="1.109375" style="52" customWidth="1"/>
    <col min="3" max="3" width="28.44140625" style="52" customWidth="1"/>
    <col min="4" max="4" width="13" style="52" customWidth="1"/>
    <col min="5" max="5" width="13.21875" style="52" customWidth="1"/>
    <col min="6" max="6" width="12.6640625" style="52" customWidth="1"/>
    <col min="7" max="7" width="14.109375" style="52" customWidth="1"/>
    <col min="8" max="8" width="10.77734375" style="52" customWidth="1"/>
    <col min="9" max="9" width="14" style="52" customWidth="1"/>
    <col min="10" max="10" width="13.6640625" style="52" bestFit="1" customWidth="1"/>
    <col min="11" max="11" width="12" style="52" customWidth="1"/>
    <col min="12" max="12" width="10.77734375" style="52" customWidth="1"/>
    <col min="13" max="13" width="12.44140625" style="52" bestFit="1" customWidth="1"/>
    <col min="14" max="14" width="13.6640625" style="52" bestFit="1" customWidth="1"/>
    <col min="15" max="15" width="8.77734375" style="52"/>
    <col min="16" max="16" width="8.77734375" style="52" customWidth="1"/>
    <col min="17" max="17" width="10.77734375" style="52" customWidth="1"/>
    <col min="18" max="18" width="26" style="52" customWidth="1"/>
    <col min="19" max="19" width="8.77734375" style="52"/>
    <col min="20" max="20" width="17.77734375" style="52" bestFit="1" customWidth="1"/>
    <col min="21" max="16384" width="8.77734375" style="52"/>
  </cols>
  <sheetData>
    <row r="1" spans="1:20">
      <c r="I1" s="646" t="s">
        <v>296</v>
      </c>
      <c r="J1" s="997"/>
      <c r="L1" s="822"/>
      <c r="M1" s="823"/>
      <c r="N1" s="824"/>
      <c r="R1" s="1036"/>
      <c r="S1" s="1036"/>
    </row>
    <row r="2" spans="1:20">
      <c r="I2" s="647" t="s">
        <v>843</v>
      </c>
      <c r="J2" s="647"/>
      <c r="L2" s="822"/>
      <c r="M2" s="823"/>
      <c r="N2" s="824"/>
      <c r="R2" s="654"/>
      <c r="S2" s="654"/>
      <c r="T2" s="654"/>
    </row>
    <row r="3" spans="1:20">
      <c r="I3" s="853" t="s">
        <v>960</v>
      </c>
      <c r="J3" s="646"/>
      <c r="L3" s="822"/>
      <c r="M3" s="823"/>
      <c r="N3" s="824"/>
      <c r="S3" s="825"/>
    </row>
    <row r="4" spans="1:20">
      <c r="S4" s="826"/>
    </row>
    <row r="5" spans="1:20">
      <c r="I5" s="646" t="str">
        <f>"For the 12 months ended: "&amp;TEXT(INPUT!$B$1,"mm/dd/yyyy")</f>
        <v>For the 12 months ended: 12/31/2021</v>
      </c>
      <c r="J5" s="646"/>
      <c r="S5" s="826"/>
    </row>
    <row r="6" spans="1:20" ht="15">
      <c r="G6" s="61"/>
      <c r="S6" s="826"/>
    </row>
    <row r="7" spans="1:20">
      <c r="A7" s="635" t="s">
        <v>845</v>
      </c>
      <c r="B7" s="635"/>
      <c r="C7" s="648"/>
      <c r="D7" s="648"/>
      <c r="E7" s="648"/>
      <c r="F7" s="648"/>
      <c r="G7" s="635"/>
      <c r="S7" s="826"/>
    </row>
    <row r="8" spans="1:20">
      <c r="A8" s="635" t="s">
        <v>841</v>
      </c>
      <c r="B8" s="635"/>
      <c r="C8" s="648"/>
      <c r="D8" s="648"/>
      <c r="E8" s="648"/>
      <c r="F8" s="648"/>
      <c r="G8" s="635"/>
      <c r="S8" s="826"/>
    </row>
    <row r="9" spans="1:20">
      <c r="A9" s="635"/>
      <c r="B9" s="635"/>
      <c r="C9" s="648"/>
      <c r="D9" s="648"/>
      <c r="E9" s="648"/>
      <c r="F9" s="648"/>
      <c r="G9" s="635"/>
      <c r="S9" s="825"/>
    </row>
    <row r="10" spans="1:20">
      <c r="A10" s="635"/>
      <c r="B10" s="635"/>
      <c r="C10" s="648"/>
      <c r="D10" s="648"/>
      <c r="E10" s="648"/>
      <c r="F10" s="648"/>
      <c r="G10" s="635"/>
      <c r="S10" s="825"/>
    </row>
    <row r="11" spans="1:20">
      <c r="A11" s="651" t="s">
        <v>8</v>
      </c>
      <c r="B11" s="635"/>
      <c r="C11" s="652" t="s">
        <v>824</v>
      </c>
      <c r="D11" s="653" t="s">
        <v>825</v>
      </c>
      <c r="E11" s="653" t="s">
        <v>825</v>
      </c>
      <c r="F11" s="653" t="s">
        <v>825</v>
      </c>
      <c r="G11" s="653" t="s">
        <v>825</v>
      </c>
      <c r="S11" s="825"/>
    </row>
    <row r="12" spans="1:20">
      <c r="A12" s="654" t="s">
        <v>10</v>
      </c>
      <c r="C12" s="655" t="s">
        <v>854</v>
      </c>
      <c r="D12" s="656">
        <v>190</v>
      </c>
      <c r="E12" s="656">
        <v>282</v>
      </c>
      <c r="F12" s="657">
        <v>283</v>
      </c>
      <c r="G12" s="658" t="s">
        <v>12</v>
      </c>
      <c r="S12" s="825"/>
    </row>
    <row r="13" spans="1:20">
      <c r="A13" s="654"/>
      <c r="C13" s="659" t="s">
        <v>831</v>
      </c>
      <c r="D13" s="660" t="s">
        <v>832</v>
      </c>
      <c r="E13" s="660" t="s">
        <v>833</v>
      </c>
      <c r="F13" s="661" t="s">
        <v>834</v>
      </c>
      <c r="G13" s="659" t="s">
        <v>835</v>
      </c>
      <c r="S13" s="825"/>
    </row>
    <row r="14" spans="1:20">
      <c r="C14" s="797"/>
      <c r="D14" s="798"/>
      <c r="E14" s="798"/>
      <c r="F14" s="798"/>
      <c r="G14" s="798"/>
      <c r="S14" s="825"/>
    </row>
    <row r="15" spans="1:20">
      <c r="A15" s="827">
        <v>1</v>
      </c>
      <c r="C15" s="836" t="s">
        <v>920</v>
      </c>
      <c r="D15" s="662">
        <v>25011816</v>
      </c>
      <c r="E15" s="662">
        <v>-485389618</v>
      </c>
      <c r="F15" s="662">
        <v>0</v>
      </c>
      <c r="G15" s="837">
        <f>SUM(D15:F15)</f>
        <v>-460377802</v>
      </c>
      <c r="S15" s="825"/>
    </row>
    <row r="16" spans="1:20" ht="15">
      <c r="A16" s="827">
        <v>2</v>
      </c>
      <c r="B16" s="651"/>
      <c r="C16" s="836" t="s">
        <v>921</v>
      </c>
      <c r="D16" s="854">
        <v>9708141</v>
      </c>
      <c r="E16" s="854">
        <v>-291233771</v>
      </c>
      <c r="F16" s="663">
        <v>0</v>
      </c>
      <c r="G16" s="838">
        <f>SUM(D16:F16)</f>
        <v>-281525630</v>
      </c>
      <c r="S16" s="825"/>
    </row>
    <row r="17" spans="1:19">
      <c r="A17" s="827">
        <v>3</v>
      </c>
      <c r="B17" s="654"/>
      <c r="C17" s="836" t="s">
        <v>934</v>
      </c>
      <c r="D17" s="837">
        <f>D16-D15</f>
        <v>-15303675</v>
      </c>
      <c r="E17" s="837">
        <f>E16-E15</f>
        <v>194155847</v>
      </c>
      <c r="F17" s="837">
        <f>F16-F15</f>
        <v>0</v>
      </c>
      <c r="G17" s="837">
        <f>G16-G15</f>
        <v>178852172</v>
      </c>
      <c r="S17" s="825"/>
    </row>
    <row r="18" spans="1:19">
      <c r="A18" s="654"/>
      <c r="B18" s="654"/>
      <c r="C18" s="797"/>
      <c r="D18" s="799"/>
      <c r="E18" s="799"/>
      <c r="F18" s="799"/>
      <c r="G18" s="799"/>
      <c r="S18" s="825"/>
    </row>
    <row r="19" spans="1:19" ht="14.25">
      <c r="A19" s="827">
        <v>4</v>
      </c>
      <c r="B19" s="827"/>
      <c r="C19" s="828" t="s">
        <v>954</v>
      </c>
      <c r="D19" s="662">
        <v>0</v>
      </c>
      <c r="E19" s="662">
        <v>0</v>
      </c>
      <c r="F19" s="662">
        <v>0</v>
      </c>
      <c r="G19" s="837">
        <f>SUM(D19:F19)</f>
        <v>0</v>
      </c>
      <c r="S19" s="825"/>
    </row>
    <row r="20" spans="1:19">
      <c r="A20" s="827">
        <v>5</v>
      </c>
      <c r="B20" s="827"/>
      <c r="C20" s="828" t="s">
        <v>945</v>
      </c>
      <c r="D20" s="496">
        <v>0</v>
      </c>
      <c r="E20" s="496">
        <v>0</v>
      </c>
      <c r="F20" s="496">
        <v>0</v>
      </c>
      <c r="G20" s="748">
        <f t="shared" ref="G20" si="0">SUM(D20:F20)</f>
        <v>0</v>
      </c>
    </row>
    <row r="21" spans="1:19" ht="15">
      <c r="A21" s="827">
        <v>6</v>
      </c>
      <c r="B21" s="827"/>
      <c r="C21" s="828" t="s">
        <v>923</v>
      </c>
      <c r="D21" s="663">
        <v>0</v>
      </c>
      <c r="E21" s="663">
        <v>0</v>
      </c>
      <c r="F21" s="663">
        <v>0</v>
      </c>
      <c r="G21" s="839">
        <f t="shared" ref="G21" si="1">SUM(D21:F21)</f>
        <v>0</v>
      </c>
    </row>
    <row r="22" spans="1:19">
      <c r="A22" s="827">
        <v>7</v>
      </c>
      <c r="B22" s="827"/>
      <c r="C22" s="52" t="s">
        <v>826</v>
      </c>
      <c r="D22" s="837">
        <f>SUM(D19:D21)</f>
        <v>0</v>
      </c>
      <c r="E22" s="837">
        <f t="shared" ref="E22:F22" si="2">SUM(E19:E21)</f>
        <v>0</v>
      </c>
      <c r="F22" s="837">
        <f t="shared" si="2"/>
        <v>0</v>
      </c>
      <c r="G22" s="837">
        <f>SUM(G21)</f>
        <v>0</v>
      </c>
    </row>
    <row r="23" spans="1:19">
      <c r="A23" s="827"/>
      <c r="B23" s="827"/>
      <c r="D23" s="837"/>
      <c r="E23" s="837"/>
      <c r="F23" s="837"/>
      <c r="G23" s="837"/>
    </row>
    <row r="24" spans="1:19">
      <c r="A24" s="827">
        <v>8</v>
      </c>
      <c r="B24" s="827"/>
      <c r="C24" s="840" t="s">
        <v>924</v>
      </c>
      <c r="D24" s="662">
        <v>0</v>
      </c>
      <c r="E24" s="662">
        <v>0</v>
      </c>
      <c r="F24" s="662">
        <v>0</v>
      </c>
      <c r="G24" s="837">
        <f t="shared" ref="G24" si="3">SUM(D24:F24)</f>
        <v>0</v>
      </c>
    </row>
    <row r="25" spans="1:19">
      <c r="A25" s="841">
        <v>9</v>
      </c>
      <c r="B25" s="827"/>
      <c r="C25" s="840" t="s">
        <v>925</v>
      </c>
      <c r="D25" s="496">
        <v>0</v>
      </c>
      <c r="E25" s="496">
        <v>0</v>
      </c>
      <c r="F25" s="496">
        <v>0</v>
      </c>
      <c r="G25" s="748">
        <f t="shared" ref="G25:G26" si="4">SUM(D25:F25)</f>
        <v>0</v>
      </c>
    </row>
    <row r="26" spans="1:19">
      <c r="A26" s="827">
        <v>10</v>
      </c>
      <c r="B26" s="827"/>
      <c r="C26" s="828">
        <v>182.3</v>
      </c>
      <c r="D26" s="496">
        <v>0</v>
      </c>
      <c r="E26" s="496">
        <v>0</v>
      </c>
      <c r="F26" s="496">
        <v>0</v>
      </c>
      <c r="G26" s="748">
        <f t="shared" si="4"/>
        <v>0</v>
      </c>
    </row>
    <row r="27" spans="1:19">
      <c r="A27" s="827">
        <v>11</v>
      </c>
      <c r="B27" s="827"/>
      <c r="C27" s="840" t="s">
        <v>924</v>
      </c>
      <c r="D27" s="496">
        <v>0</v>
      </c>
      <c r="E27" s="855">
        <v>194155847</v>
      </c>
      <c r="F27" s="496">
        <v>0</v>
      </c>
      <c r="G27" s="842">
        <f>SUM(D27:F27)</f>
        <v>194155847</v>
      </c>
    </row>
    <row r="28" spans="1:19">
      <c r="A28" s="841">
        <v>12</v>
      </c>
      <c r="B28" s="827"/>
      <c r="C28" s="840" t="s">
        <v>925</v>
      </c>
      <c r="D28" s="855">
        <v>-15303675</v>
      </c>
      <c r="E28" s="496">
        <v>0</v>
      </c>
      <c r="F28" s="496">
        <v>0</v>
      </c>
      <c r="G28" s="842">
        <f>SUM(D28:F28)</f>
        <v>-15303675</v>
      </c>
    </row>
    <row r="29" spans="1:19" ht="15">
      <c r="A29" s="827">
        <v>13</v>
      </c>
      <c r="B29" s="827"/>
      <c r="C29" s="828">
        <v>254</v>
      </c>
      <c r="D29" s="663">
        <v>-15303675</v>
      </c>
      <c r="E29" s="663">
        <v>194155847</v>
      </c>
      <c r="F29" s="663">
        <v>0</v>
      </c>
      <c r="G29" s="839">
        <f t="shared" ref="G29" si="5">SUM(D29:F29)</f>
        <v>178852172</v>
      </c>
    </row>
    <row r="30" spans="1:19">
      <c r="A30" s="827">
        <v>14</v>
      </c>
      <c r="B30" s="827"/>
      <c r="C30" s="52" t="s">
        <v>946</v>
      </c>
      <c r="D30" s="837">
        <f>D29+D26</f>
        <v>-15303675</v>
      </c>
      <c r="E30" s="837">
        <f t="shared" ref="E30:G30" si="6">E29+E26</f>
        <v>194155847</v>
      </c>
      <c r="F30" s="837">
        <f t="shared" si="6"/>
        <v>0</v>
      </c>
      <c r="G30" s="837">
        <f t="shared" si="6"/>
        <v>178852172</v>
      </c>
    </row>
    <row r="31" spans="1:19">
      <c r="A31" s="827"/>
      <c r="B31" s="827"/>
      <c r="D31" s="843"/>
      <c r="E31" s="843"/>
      <c r="F31" s="843"/>
      <c r="G31" s="843"/>
    </row>
    <row r="32" spans="1:19">
      <c r="A32" s="827">
        <v>15</v>
      </c>
      <c r="B32" s="827"/>
      <c r="C32" s="818" t="s">
        <v>926</v>
      </c>
      <c r="D32" s="662">
        <v>0</v>
      </c>
      <c r="E32" s="662">
        <v>0</v>
      </c>
      <c r="F32" s="662">
        <v>0</v>
      </c>
      <c r="G32" s="837">
        <f>SUM(D32:F32)</f>
        <v>0</v>
      </c>
    </row>
    <row r="33" spans="1:14">
      <c r="A33" s="827">
        <v>16</v>
      </c>
      <c r="B33" s="827"/>
      <c r="C33" s="818" t="s">
        <v>927</v>
      </c>
      <c r="D33" s="496">
        <v>0</v>
      </c>
      <c r="E33" s="496">
        <v>0</v>
      </c>
      <c r="F33" s="496">
        <v>0</v>
      </c>
      <c r="G33" s="748">
        <f t="shared" ref="G33" si="7">SUM(D33:F33)</f>
        <v>0</v>
      </c>
    </row>
    <row r="34" spans="1:14" ht="15">
      <c r="A34" s="827">
        <v>17</v>
      </c>
      <c r="B34" s="827"/>
      <c r="C34" s="828">
        <v>411.2</v>
      </c>
      <c r="D34" s="663">
        <v>0</v>
      </c>
      <c r="E34" s="663">
        <v>0</v>
      </c>
      <c r="F34" s="663">
        <v>0</v>
      </c>
      <c r="G34" s="839">
        <f t="shared" ref="G34" si="8">SUM(D34:F34)</f>
        <v>0</v>
      </c>
    </row>
    <row r="35" spans="1:14">
      <c r="A35" s="827">
        <v>18</v>
      </c>
      <c r="B35" s="827"/>
      <c r="C35" s="828" t="s">
        <v>846</v>
      </c>
      <c r="D35" s="837">
        <f>SUM(D34)</f>
        <v>0</v>
      </c>
      <c r="E35" s="837">
        <f t="shared" ref="E35:F35" si="9">SUM(E34)</f>
        <v>0</v>
      </c>
      <c r="F35" s="837">
        <f t="shared" si="9"/>
        <v>0</v>
      </c>
      <c r="G35" s="837">
        <f>SUM(G34)</f>
        <v>0</v>
      </c>
    </row>
    <row r="36" spans="1:14">
      <c r="A36" s="827"/>
      <c r="B36" s="827"/>
      <c r="D36" s="843"/>
      <c r="E36" s="843"/>
      <c r="G36" s="844"/>
    </row>
    <row r="37" spans="1:14" ht="25.5">
      <c r="A37" s="827">
        <v>19</v>
      </c>
      <c r="B37" s="827"/>
      <c r="C37" s="845" t="s">
        <v>940</v>
      </c>
      <c r="D37" s="846">
        <f>D35+D30+D22</f>
        <v>-15303675</v>
      </c>
      <c r="E37" s="846">
        <f>E35+E30+E22</f>
        <v>194155847</v>
      </c>
      <c r="F37" s="846">
        <f>F35+F30+F22</f>
        <v>0</v>
      </c>
      <c r="G37" s="846">
        <f>G35+G30+G22</f>
        <v>178852172</v>
      </c>
    </row>
    <row r="38" spans="1:14">
      <c r="A38" s="737"/>
      <c r="B38" s="737"/>
      <c r="C38" s="649"/>
      <c r="D38" s="649"/>
      <c r="E38" s="664"/>
      <c r="F38" s="649"/>
      <c r="G38" s="649"/>
    </row>
    <row r="39" spans="1:14">
      <c r="A39" s="606"/>
      <c r="B39" s="606"/>
      <c r="C39" s="649"/>
      <c r="D39" s="649"/>
      <c r="E39" s="664"/>
      <c r="F39" s="649"/>
      <c r="G39" s="649"/>
    </row>
    <row r="40" spans="1:14">
      <c r="A40" s="606"/>
      <c r="B40" s="606"/>
      <c r="C40" s="801"/>
      <c r="D40" s="801"/>
      <c r="E40" s="801"/>
      <c r="F40" s="805"/>
      <c r="G40" s="801"/>
      <c r="H40" s="801"/>
      <c r="I40" s="806"/>
      <c r="J40" s="806"/>
    </row>
    <row r="41" spans="1:14" ht="39.75">
      <c r="A41" s="827"/>
      <c r="B41" s="827"/>
      <c r="C41" s="847" t="s">
        <v>831</v>
      </c>
      <c r="D41" s="848" t="s">
        <v>955</v>
      </c>
      <c r="E41" s="848" t="s">
        <v>833</v>
      </c>
      <c r="F41" s="849" t="s">
        <v>956</v>
      </c>
      <c r="G41" s="849" t="s">
        <v>957</v>
      </c>
      <c r="H41" s="848" t="s">
        <v>958</v>
      </c>
      <c r="I41" s="651" t="s">
        <v>959</v>
      </c>
      <c r="J41" s="810"/>
    </row>
    <row r="42" spans="1:14">
      <c r="A42" s="827"/>
      <c r="B42" s="827"/>
      <c r="D42" s="651" t="s">
        <v>827</v>
      </c>
      <c r="E42" s="651" t="s">
        <v>928</v>
      </c>
      <c r="F42" s="651" t="s">
        <v>929</v>
      </c>
      <c r="G42" s="651" t="s">
        <v>929</v>
      </c>
      <c r="H42" s="651" t="s">
        <v>948</v>
      </c>
      <c r="I42" s="651" t="s">
        <v>828</v>
      </c>
      <c r="J42" s="806"/>
    </row>
    <row r="43" spans="1:14">
      <c r="A43" s="827"/>
      <c r="B43" s="827"/>
      <c r="C43" s="850" t="s">
        <v>702</v>
      </c>
      <c r="D43" s="850" t="s">
        <v>829</v>
      </c>
      <c r="E43" s="850" t="s">
        <v>930</v>
      </c>
      <c r="F43" s="850" t="s">
        <v>932</v>
      </c>
      <c r="G43" s="850" t="s">
        <v>933</v>
      </c>
      <c r="H43" s="850" t="s">
        <v>931</v>
      </c>
      <c r="I43" s="850" t="s">
        <v>830</v>
      </c>
      <c r="J43" s="806"/>
    </row>
    <row r="44" spans="1:14">
      <c r="A44" s="827">
        <v>20</v>
      </c>
      <c r="B44" s="827"/>
      <c r="C44" s="827">
        <v>2018</v>
      </c>
      <c r="D44" s="851">
        <v>0</v>
      </c>
      <c r="E44" s="837">
        <f>G30</f>
        <v>178852172</v>
      </c>
      <c r="F44" s="662">
        <v>0</v>
      </c>
      <c r="G44" s="662">
        <v>0</v>
      </c>
      <c r="H44" s="662">
        <v>4411417.8893472729</v>
      </c>
      <c r="I44" s="837">
        <f>E44-F44-G44-H44</f>
        <v>174440754.11065271</v>
      </c>
      <c r="J44" s="834"/>
      <c r="K44" s="835"/>
      <c r="L44" s="835"/>
      <c r="M44" s="835"/>
      <c r="N44" s="835"/>
    </row>
    <row r="45" spans="1:14">
      <c r="A45" s="606">
        <v>21</v>
      </c>
      <c r="B45" s="606"/>
      <c r="C45" s="606">
        <f>C44+1</f>
        <v>2019</v>
      </c>
      <c r="D45" s="802">
        <f>+F45/E45</f>
        <v>8.8466118273459685E-3</v>
      </c>
      <c r="E45" s="803">
        <f>I44</f>
        <v>174440754.11065271</v>
      </c>
      <c r="F45" s="808">
        <v>1543209.6384864501</v>
      </c>
      <c r="G45" s="496">
        <v>0</v>
      </c>
      <c r="H45" s="496">
        <v>-1114767.6857503706</v>
      </c>
      <c r="I45" s="831">
        <f t="shared" ref="I45:I47" si="10">E45-F45-G45-H45</f>
        <v>174012312.15791664</v>
      </c>
      <c r="J45" s="834"/>
      <c r="K45" s="835"/>
      <c r="L45" s="835"/>
      <c r="M45" s="835"/>
      <c r="N45" s="835"/>
    </row>
    <row r="46" spans="1:14">
      <c r="A46" s="606">
        <v>22</v>
      </c>
      <c r="B46" s="606"/>
      <c r="C46" s="606">
        <f t="shared" ref="C46" si="11">C45+1</f>
        <v>2020</v>
      </c>
      <c r="D46" s="802">
        <f>+F46/E46</f>
        <v>3.7709431974311931E-2</v>
      </c>
      <c r="E46" s="803">
        <f>I45</f>
        <v>174012312.15791664</v>
      </c>
      <c r="F46" s="808">
        <v>6561905.4480116908</v>
      </c>
      <c r="G46" s="496">
        <v>0</v>
      </c>
      <c r="H46" s="496">
        <v>984485.51680178812</v>
      </c>
      <c r="I46" s="831">
        <f t="shared" si="10"/>
        <v>166465921.19310316</v>
      </c>
      <c r="J46" s="834"/>
      <c r="K46" s="835"/>
      <c r="L46" s="835"/>
      <c r="M46" s="835"/>
      <c r="N46" s="835"/>
    </row>
    <row r="47" spans="1:14">
      <c r="A47" s="606">
        <v>23</v>
      </c>
      <c r="B47" s="606"/>
      <c r="C47" s="606">
        <v>2021</v>
      </c>
      <c r="D47" s="802">
        <f>+F47/E47</f>
        <v>3.545890065242107E-2</v>
      </c>
      <c r="E47" s="803">
        <f>I46</f>
        <v>166465921.19310316</v>
      </c>
      <c r="F47" s="809">
        <v>5902698.5615999997</v>
      </c>
      <c r="G47" s="496">
        <v>0</v>
      </c>
      <c r="H47" s="496">
        <v>0</v>
      </c>
      <c r="I47" s="831">
        <f t="shared" si="10"/>
        <v>160563222.63150316</v>
      </c>
      <c r="J47" s="834"/>
      <c r="K47" s="835"/>
      <c r="L47" s="835"/>
      <c r="M47" s="835"/>
      <c r="N47" s="835"/>
    </row>
    <row r="48" spans="1:14">
      <c r="A48" s="606"/>
      <c r="B48" s="606"/>
      <c r="C48" s="606"/>
      <c r="D48" s="802"/>
      <c r="E48" s="803"/>
      <c r="F48" s="809"/>
      <c r="G48" s="811"/>
      <c r="H48" s="831"/>
      <c r="I48" s="831"/>
      <c r="J48" s="804"/>
    </row>
    <row r="49" spans="1:19">
      <c r="A49" s="606"/>
      <c r="B49" s="606"/>
      <c r="C49" s="606"/>
      <c r="D49" s="802"/>
      <c r="E49" s="803"/>
      <c r="F49" s="809"/>
      <c r="G49" s="811"/>
      <c r="H49" s="811"/>
      <c r="I49" s="804"/>
      <c r="J49" s="804"/>
    </row>
    <row r="50" spans="1:19">
      <c r="A50" s="827"/>
      <c r="B50" s="827"/>
      <c r="C50" s="828" t="s">
        <v>164</v>
      </c>
      <c r="E50" s="829"/>
      <c r="F50" s="830"/>
      <c r="G50" s="831"/>
    </row>
    <row r="51" spans="1:19">
      <c r="A51" s="832" t="s">
        <v>18</v>
      </c>
      <c r="C51" s="833" t="s">
        <v>939</v>
      </c>
      <c r="E51" s="829"/>
      <c r="G51" s="831"/>
    </row>
    <row r="52" spans="1:19">
      <c r="A52" s="827"/>
      <c r="B52" s="827"/>
      <c r="C52" s="818" t="s">
        <v>938</v>
      </c>
      <c r="E52" s="829"/>
      <c r="G52" s="831"/>
    </row>
    <row r="53" spans="1:19">
      <c r="A53" s="827"/>
      <c r="B53" s="827"/>
      <c r="C53" s="818"/>
      <c r="E53" s="829"/>
      <c r="G53" s="831"/>
    </row>
    <row r="54" spans="1:19">
      <c r="A54" s="832" t="s">
        <v>19</v>
      </c>
      <c r="C54" s="818" t="s">
        <v>941</v>
      </c>
      <c r="E54" s="829"/>
      <c r="G54" s="831"/>
      <c r="J54" s="800"/>
      <c r="K54" s="606"/>
      <c r="L54" s="606"/>
      <c r="M54" s="606"/>
      <c r="N54" s="802"/>
      <c r="O54" s="803"/>
      <c r="P54" s="809"/>
      <c r="Q54" s="811"/>
    </row>
    <row r="55" spans="1:19">
      <c r="A55" s="827"/>
      <c r="B55" s="827"/>
      <c r="C55" s="818" t="s">
        <v>947</v>
      </c>
      <c r="E55" s="829"/>
      <c r="G55" s="831"/>
      <c r="J55" s="800"/>
    </row>
    <row r="56" spans="1:19">
      <c r="A56" s="827"/>
      <c r="B56" s="827"/>
      <c r="C56" s="818" t="s">
        <v>949</v>
      </c>
      <c r="E56" s="829"/>
      <c r="G56" s="831"/>
      <c r="R56" s="811"/>
      <c r="S56" s="804"/>
    </row>
    <row r="57" spans="1:19">
      <c r="A57" s="827"/>
      <c r="B57" s="827"/>
      <c r="C57" s="818"/>
      <c r="E57" s="829"/>
      <c r="G57" s="831"/>
    </row>
    <row r="58" spans="1:19">
      <c r="A58" s="832" t="s">
        <v>20</v>
      </c>
      <c r="C58" s="818" t="s">
        <v>950</v>
      </c>
      <c r="E58" s="829"/>
      <c r="G58" s="831"/>
    </row>
    <row r="59" spans="1:19">
      <c r="A59" s="827"/>
      <c r="B59" s="827"/>
      <c r="C59" s="818" t="s">
        <v>951</v>
      </c>
      <c r="E59" s="829"/>
      <c r="G59" s="831"/>
    </row>
    <row r="60" spans="1:19">
      <c r="A60" s="827"/>
      <c r="B60" s="827"/>
      <c r="C60" s="818"/>
      <c r="E60" s="829"/>
      <c r="G60" s="831"/>
    </row>
    <row r="61" spans="1:19">
      <c r="A61" s="832" t="s">
        <v>21</v>
      </c>
      <c r="C61" s="52" t="s">
        <v>850</v>
      </c>
      <c r="E61" s="829"/>
      <c r="G61" s="831"/>
    </row>
    <row r="62" spans="1:19">
      <c r="A62" s="832"/>
      <c r="E62" s="829"/>
      <c r="G62" s="831"/>
    </row>
    <row r="63" spans="1:19">
      <c r="A63" s="832" t="s">
        <v>22</v>
      </c>
      <c r="C63" s="52" t="s">
        <v>851</v>
      </c>
      <c r="E63" s="829"/>
    </row>
    <row r="64" spans="1:19">
      <c r="A64" s="832"/>
      <c r="E64" s="829"/>
    </row>
    <row r="65" spans="1:7">
      <c r="A65" s="832" t="s">
        <v>952</v>
      </c>
      <c r="C65" s="52" t="s">
        <v>953</v>
      </c>
      <c r="E65" s="829"/>
    </row>
    <row r="66" spans="1:7">
      <c r="A66" s="606"/>
      <c r="B66" s="606"/>
      <c r="C66" s="649"/>
      <c r="D66" s="812"/>
      <c r="E66" s="806"/>
      <c r="F66" s="806"/>
      <c r="G66" s="812"/>
    </row>
    <row r="67" spans="1:7">
      <c r="A67" s="606"/>
      <c r="B67" s="606"/>
      <c r="C67" s="812"/>
      <c r="D67" s="812"/>
      <c r="E67" s="806"/>
      <c r="F67" s="806"/>
      <c r="G67" s="812"/>
    </row>
    <row r="68" spans="1:7">
      <c r="A68" s="606"/>
      <c r="B68" s="606"/>
      <c r="C68" s="606"/>
      <c r="D68" s="813"/>
      <c r="E68" s="814"/>
      <c r="F68" s="815"/>
      <c r="G68" s="816"/>
    </row>
    <row r="69" spans="1:7">
      <c r="A69" s="606"/>
      <c r="B69" s="606"/>
      <c r="C69" s="606"/>
      <c r="D69" s="813"/>
      <c r="E69" s="814"/>
      <c r="F69" s="815"/>
      <c r="G69" s="816"/>
    </row>
    <row r="70" spans="1:7">
      <c r="C70" s="737"/>
      <c r="D70" s="665"/>
      <c r="E70" s="751"/>
      <c r="F70" s="752"/>
      <c r="G70" s="753"/>
    </row>
    <row r="71" spans="1:7">
      <c r="C71" s="737"/>
      <c r="D71" s="665"/>
      <c r="E71" s="751"/>
      <c r="F71" s="752"/>
      <c r="G71" s="753"/>
    </row>
    <row r="72" spans="1:7">
      <c r="C72" s="606"/>
      <c r="D72" s="604"/>
      <c r="E72" s="605"/>
      <c r="F72" s="603"/>
      <c r="G72" s="613"/>
    </row>
    <row r="73" spans="1:7">
      <c r="A73" s="737"/>
    </row>
    <row r="74" spans="1:7">
      <c r="A74" s="736"/>
    </row>
  </sheetData>
  <mergeCells count="1">
    <mergeCell ref="R1:S1"/>
  </mergeCells>
  <printOptions horizontalCentered="1"/>
  <pageMargins left="1" right="0.75" top="1" bottom="0.5" header="0.3" footer="0.3"/>
  <pageSetup scale="63" orientation="portrait" r:id="rId1"/>
  <ignoredErrors>
    <ignoredError sqref="G26 G29 G3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9F900-5869-45E9-962E-9CC900D49E6E}">
  <sheetPr codeName="Sheet32">
    <tabColor rgb="FF0099FF"/>
    <pageSetUpPr fitToPage="1"/>
  </sheetPr>
  <dimension ref="A1:K64"/>
  <sheetViews>
    <sheetView view="pageBreakPreview" zoomScale="80" zoomScaleNormal="90" zoomScaleSheetLayoutView="80" workbookViewId="0"/>
  </sheetViews>
  <sheetFormatPr defaultColWidth="8.77734375" defaultRowHeight="12.75"/>
  <cols>
    <col min="1" max="1" width="6" style="52" customWidth="1"/>
    <col min="2" max="2" width="1.77734375" style="52" customWidth="1"/>
    <col min="3" max="3" width="27.21875" style="52" customWidth="1"/>
    <col min="4" max="4" width="11.44140625" style="52" customWidth="1"/>
    <col min="5" max="5" width="12.88671875" style="52" customWidth="1"/>
    <col min="6" max="6" width="13.44140625" style="52" customWidth="1"/>
    <col min="7" max="7" width="14.44140625" style="52" customWidth="1"/>
    <col min="8" max="8" width="11.88671875" style="52" customWidth="1"/>
    <col min="9" max="9" width="12" style="52" bestFit="1" customWidth="1"/>
    <col min="10" max="16384" width="8.77734375" style="52"/>
  </cols>
  <sheetData>
    <row r="1" spans="1:11">
      <c r="I1" s="646" t="s">
        <v>296</v>
      </c>
      <c r="K1" s="997"/>
    </row>
    <row r="2" spans="1:11">
      <c r="I2" s="646" t="str">
        <f>'DEO DIT Protected'!I2</f>
        <v>Excess/Deficient DIT Permanent Worksheet</v>
      </c>
    </row>
    <row r="3" spans="1:11">
      <c r="I3" s="853" t="s">
        <v>962</v>
      </c>
    </row>
    <row r="5" spans="1:11">
      <c r="I5" s="646" t="str">
        <f>"For the 12 months ended: "&amp;TEXT(INPUT!$B$1,"mm/dd/yyyy")</f>
        <v>For the 12 months ended: 12/31/2021</v>
      </c>
    </row>
    <row r="6" spans="1:11" ht="15">
      <c r="G6" s="61"/>
    </row>
    <row r="7" spans="1:11">
      <c r="A7" s="635" t="s">
        <v>845</v>
      </c>
      <c r="B7" s="635"/>
      <c r="C7" s="648"/>
      <c r="D7" s="648"/>
      <c r="E7" s="648"/>
      <c r="F7" s="648"/>
      <c r="G7" s="635"/>
    </row>
    <row r="8" spans="1:11">
      <c r="A8" s="635" t="s">
        <v>853</v>
      </c>
      <c r="B8" s="635"/>
      <c r="C8" s="648"/>
      <c r="D8" s="648"/>
      <c r="E8" s="648"/>
      <c r="F8" s="648"/>
      <c r="G8" s="635"/>
    </row>
    <row r="9" spans="1:11">
      <c r="A9" s="635"/>
      <c r="B9" s="635"/>
      <c r="C9" s="648"/>
      <c r="D9" s="648"/>
      <c r="E9" s="648"/>
      <c r="F9" s="648"/>
      <c r="G9" s="635"/>
    </row>
    <row r="10" spans="1:11">
      <c r="A10" s="635"/>
      <c r="B10" s="635"/>
      <c r="C10" s="648"/>
      <c r="D10" s="648"/>
      <c r="E10" s="648"/>
      <c r="F10" s="648"/>
      <c r="G10" s="650"/>
    </row>
    <row r="11" spans="1:11">
      <c r="A11" s="651" t="s">
        <v>8</v>
      </c>
      <c r="B11" s="635"/>
      <c r="C11" s="652" t="s">
        <v>824</v>
      </c>
      <c r="D11" s="653" t="s">
        <v>825</v>
      </c>
      <c r="E11" s="653" t="s">
        <v>825</v>
      </c>
      <c r="F11" s="653" t="s">
        <v>825</v>
      </c>
      <c r="G11" s="653" t="s">
        <v>825</v>
      </c>
    </row>
    <row r="12" spans="1:11">
      <c r="A12" s="654" t="s">
        <v>10</v>
      </c>
      <c r="C12" s="655" t="s">
        <v>854</v>
      </c>
      <c r="D12" s="656">
        <v>190</v>
      </c>
      <c r="E12" s="656">
        <v>282</v>
      </c>
      <c r="F12" s="657">
        <v>283</v>
      </c>
      <c r="G12" s="658" t="s">
        <v>12</v>
      </c>
    </row>
    <row r="13" spans="1:11">
      <c r="A13" s="654"/>
      <c r="C13" s="659" t="s">
        <v>831</v>
      </c>
      <c r="D13" s="660" t="s">
        <v>832</v>
      </c>
      <c r="E13" s="660" t="s">
        <v>833</v>
      </c>
      <c r="F13" s="661" t="s">
        <v>834</v>
      </c>
      <c r="G13" s="659" t="s">
        <v>835</v>
      </c>
    </row>
    <row r="14" spans="1:11">
      <c r="C14" s="797"/>
      <c r="D14" s="798"/>
      <c r="E14" s="798"/>
      <c r="F14" s="798"/>
      <c r="G14" s="798"/>
    </row>
    <row r="15" spans="1:11">
      <c r="A15" s="606">
        <v>1</v>
      </c>
      <c r="C15" s="836" t="s">
        <v>920</v>
      </c>
      <c r="D15" s="662">
        <v>14987165</v>
      </c>
      <c r="E15" s="662">
        <v>-309037092.77529997</v>
      </c>
      <c r="F15" s="662">
        <v>-40578234</v>
      </c>
      <c r="G15" s="837">
        <f>SUM(D15:F15)</f>
        <v>-334628161.77529997</v>
      </c>
    </row>
    <row r="16" spans="1:11" ht="15">
      <c r="A16" s="606">
        <v>2</v>
      </c>
      <c r="B16" s="651"/>
      <c r="C16" s="836" t="s">
        <v>921</v>
      </c>
      <c r="D16" s="854">
        <v>90463734.080000013</v>
      </c>
      <c r="E16" s="854">
        <v>-184747540.95529997</v>
      </c>
      <c r="F16" s="663">
        <v>-25373493.980000004</v>
      </c>
      <c r="G16" s="838">
        <f>SUM(D16:F16)</f>
        <v>-119657300.85529996</v>
      </c>
    </row>
    <row r="17" spans="1:7">
      <c r="A17" s="606">
        <v>3</v>
      </c>
      <c r="B17" s="654"/>
      <c r="C17" s="836" t="s">
        <v>934</v>
      </c>
      <c r="D17" s="837">
        <f>D16-D15</f>
        <v>75476569.080000013</v>
      </c>
      <c r="E17" s="837">
        <f>E16-E15</f>
        <v>124289551.81999999</v>
      </c>
      <c r="F17" s="837">
        <f>F16-F15</f>
        <v>15204740.019999996</v>
      </c>
      <c r="G17" s="837">
        <f>G16-G15</f>
        <v>214970860.92000002</v>
      </c>
    </row>
    <row r="18" spans="1:7">
      <c r="A18" s="654"/>
      <c r="B18" s="654"/>
      <c r="C18" s="797"/>
      <c r="D18" s="799"/>
      <c r="E18" s="799"/>
      <c r="F18" s="799"/>
      <c r="G18" s="799"/>
    </row>
    <row r="19" spans="1:7" ht="14.25">
      <c r="A19" s="606">
        <v>4</v>
      </c>
      <c r="B19" s="606"/>
      <c r="C19" s="828" t="s">
        <v>954</v>
      </c>
      <c r="D19" s="662">
        <v>0</v>
      </c>
      <c r="E19" s="662">
        <v>32534619</v>
      </c>
      <c r="F19" s="662">
        <v>0</v>
      </c>
      <c r="G19" s="837">
        <f>SUM(D19:F19)</f>
        <v>32534619</v>
      </c>
    </row>
    <row r="20" spans="1:7">
      <c r="A20" s="606">
        <v>5</v>
      </c>
      <c r="B20" s="606"/>
      <c r="C20" s="828" t="s">
        <v>922</v>
      </c>
      <c r="D20" s="496">
        <v>79217273</v>
      </c>
      <c r="E20" s="496">
        <v>0</v>
      </c>
      <c r="F20" s="496">
        <v>0</v>
      </c>
      <c r="G20" s="748">
        <f t="shared" ref="G20:G21" si="0">SUM(D20:F20)</f>
        <v>79217273</v>
      </c>
    </row>
    <row r="21" spans="1:7" ht="15">
      <c r="A21" s="606">
        <v>6</v>
      </c>
      <c r="B21" s="606"/>
      <c r="C21" s="828" t="s">
        <v>923</v>
      </c>
      <c r="D21" s="663">
        <v>-236711</v>
      </c>
      <c r="E21" s="663">
        <v>0</v>
      </c>
      <c r="F21" s="663">
        <v>0</v>
      </c>
      <c r="G21" s="839">
        <f t="shared" si="0"/>
        <v>-236711</v>
      </c>
    </row>
    <row r="22" spans="1:7">
      <c r="A22" s="606">
        <v>7</v>
      </c>
      <c r="B22" s="606"/>
      <c r="C22" s="52" t="s">
        <v>826</v>
      </c>
      <c r="D22" s="837">
        <f>SUM(D19:D21)</f>
        <v>78980562</v>
      </c>
      <c r="E22" s="837">
        <f t="shared" ref="E22:F22" si="1">SUM(E19:E21)</f>
        <v>32534619</v>
      </c>
      <c r="F22" s="837">
        <f t="shared" si="1"/>
        <v>0</v>
      </c>
      <c r="G22" s="837">
        <f>SUM(G19:G21)</f>
        <v>111515181</v>
      </c>
    </row>
    <row r="23" spans="1:7">
      <c r="A23" s="606"/>
      <c r="B23" s="606"/>
      <c r="D23" s="837"/>
      <c r="E23" s="837"/>
      <c r="F23" s="837"/>
      <c r="G23" s="837"/>
    </row>
    <row r="24" spans="1:7">
      <c r="A24" s="606">
        <v>8</v>
      </c>
      <c r="B24" s="606"/>
      <c r="C24" s="840" t="s">
        <v>924</v>
      </c>
      <c r="D24" s="662">
        <v>0</v>
      </c>
      <c r="E24" s="662">
        <v>0</v>
      </c>
      <c r="F24" s="662">
        <v>0</v>
      </c>
      <c r="G24" s="837">
        <f t="shared" ref="G24:G26" si="2">SUM(D24:F24)</f>
        <v>0</v>
      </c>
    </row>
    <row r="25" spans="1:7">
      <c r="A25" s="666">
        <v>9</v>
      </c>
      <c r="B25" s="606"/>
      <c r="C25" s="840" t="s">
        <v>925</v>
      </c>
      <c r="D25" s="496">
        <v>0</v>
      </c>
      <c r="E25" s="496">
        <v>0</v>
      </c>
      <c r="F25" s="496">
        <v>0</v>
      </c>
      <c r="G25" s="748">
        <f t="shared" si="2"/>
        <v>0</v>
      </c>
    </row>
    <row r="26" spans="1:7">
      <c r="A26" s="606">
        <v>10</v>
      </c>
      <c r="B26" s="606"/>
      <c r="C26" s="828">
        <v>182.3</v>
      </c>
      <c r="D26" s="496">
        <v>0</v>
      </c>
      <c r="E26" s="496">
        <v>0</v>
      </c>
      <c r="F26" s="496">
        <v>0</v>
      </c>
      <c r="G26" s="748">
        <f t="shared" si="2"/>
        <v>0</v>
      </c>
    </row>
    <row r="27" spans="1:7">
      <c r="A27" s="606">
        <v>11</v>
      </c>
      <c r="B27" s="606"/>
      <c r="C27" s="840" t="s">
        <v>924</v>
      </c>
      <c r="D27" s="496">
        <v>3360269</v>
      </c>
      <c r="E27" s="855">
        <v>121481175.26168156</v>
      </c>
      <c r="F27" s="496">
        <v>17985166.579999998</v>
      </c>
      <c r="G27" s="842">
        <f>SUM(D27:F27)</f>
        <v>142826610.84168154</v>
      </c>
    </row>
    <row r="28" spans="1:7">
      <c r="A28" s="666">
        <v>12</v>
      </c>
      <c r="B28" s="606"/>
      <c r="C28" s="840" t="s">
        <v>925</v>
      </c>
      <c r="D28" s="855">
        <v>-6864261.9199999999</v>
      </c>
      <c r="E28" s="496">
        <v>-29413472.26168156</v>
      </c>
      <c r="F28" s="496">
        <v>-2722830</v>
      </c>
      <c r="G28" s="842">
        <f>SUM(D28:F28)</f>
        <v>-39000564.181681558</v>
      </c>
    </row>
    <row r="29" spans="1:7" ht="15">
      <c r="A29" s="606">
        <v>13</v>
      </c>
      <c r="B29" s="606"/>
      <c r="C29" s="828">
        <v>254</v>
      </c>
      <c r="D29" s="663">
        <v>-3503992.92</v>
      </c>
      <c r="E29" s="663">
        <v>92067703</v>
      </c>
      <c r="F29" s="663">
        <v>15262336.58</v>
      </c>
      <c r="G29" s="839">
        <f t="shared" ref="G29" si="3">SUM(D29:F29)</f>
        <v>103826046.66</v>
      </c>
    </row>
    <row r="30" spans="1:7">
      <c r="A30" s="606">
        <v>14</v>
      </c>
      <c r="B30" s="606"/>
      <c r="C30" s="52" t="s">
        <v>946</v>
      </c>
      <c r="D30" s="837">
        <f>D29+D26</f>
        <v>-3503992.92</v>
      </c>
      <c r="E30" s="837">
        <f t="shared" ref="E30:G30" si="4">E29+E26</f>
        <v>92067703</v>
      </c>
      <c r="F30" s="837">
        <f t="shared" si="4"/>
        <v>15262336.58</v>
      </c>
      <c r="G30" s="837">
        <f t="shared" si="4"/>
        <v>103826046.66</v>
      </c>
    </row>
    <row r="31" spans="1:7">
      <c r="A31" s="606"/>
      <c r="B31" s="606"/>
      <c r="D31" s="843"/>
      <c r="E31" s="843"/>
      <c r="F31" s="843"/>
      <c r="G31" s="843"/>
    </row>
    <row r="32" spans="1:7">
      <c r="A32" s="606">
        <v>15</v>
      </c>
      <c r="B32" s="606"/>
      <c r="C32" s="818" t="s">
        <v>926</v>
      </c>
      <c r="D32" s="662">
        <v>0</v>
      </c>
      <c r="E32" s="662">
        <v>0</v>
      </c>
      <c r="F32" s="662">
        <v>0</v>
      </c>
      <c r="G32" s="837">
        <f>SUM(D32:F32)</f>
        <v>0</v>
      </c>
    </row>
    <row r="33" spans="1:9">
      <c r="A33" s="606">
        <v>16</v>
      </c>
      <c r="B33" s="606"/>
      <c r="C33" s="818" t="s">
        <v>927</v>
      </c>
      <c r="D33" s="496">
        <v>0</v>
      </c>
      <c r="E33" s="496">
        <v>0</v>
      </c>
      <c r="F33" s="496">
        <v>0</v>
      </c>
      <c r="G33" s="748">
        <f t="shared" ref="G33:G34" si="5">SUM(D33:F33)</f>
        <v>0</v>
      </c>
    </row>
    <row r="34" spans="1:9" ht="15">
      <c r="A34" s="606">
        <v>17</v>
      </c>
      <c r="B34" s="606"/>
      <c r="C34" s="828">
        <v>411.2</v>
      </c>
      <c r="D34" s="663">
        <v>0</v>
      </c>
      <c r="E34" s="663">
        <v>-312770.17999999993</v>
      </c>
      <c r="F34" s="663">
        <v>-57596.56</v>
      </c>
      <c r="G34" s="839">
        <f t="shared" si="5"/>
        <v>-370366.73999999993</v>
      </c>
    </row>
    <row r="35" spans="1:9">
      <c r="A35" s="606">
        <v>18</v>
      </c>
      <c r="B35" s="606"/>
      <c r="C35" s="828" t="s">
        <v>846</v>
      </c>
      <c r="D35" s="837">
        <f>SUM(D34)</f>
        <v>0</v>
      </c>
      <c r="E35" s="837">
        <f t="shared" ref="E35:F35" si="6">SUM(E34)</f>
        <v>-312770.17999999993</v>
      </c>
      <c r="F35" s="837">
        <f t="shared" si="6"/>
        <v>-57596.56</v>
      </c>
      <c r="G35" s="837">
        <f>SUM(G34)</f>
        <v>-370366.73999999993</v>
      </c>
    </row>
    <row r="36" spans="1:9">
      <c r="A36" s="606"/>
      <c r="B36" s="606"/>
      <c r="D36" s="843"/>
      <c r="E36" s="843"/>
      <c r="G36" s="844"/>
    </row>
    <row r="37" spans="1:9" ht="36.75" customHeight="1">
      <c r="A37" s="737">
        <v>19</v>
      </c>
      <c r="B37" s="737"/>
      <c r="C37" s="845" t="s">
        <v>940</v>
      </c>
      <c r="D37" s="846">
        <f>D35+D30+D22</f>
        <v>75476569.079999998</v>
      </c>
      <c r="E37" s="846">
        <f>E35+E30+E22</f>
        <v>124289551.81999999</v>
      </c>
      <c r="F37" s="846">
        <f>F35+F30+F22</f>
        <v>15204740.02</v>
      </c>
      <c r="G37" s="846">
        <f>G35+G30+G22</f>
        <v>214970860.92000002</v>
      </c>
    </row>
    <row r="38" spans="1:9">
      <c r="A38" s="737"/>
      <c r="B38" s="737"/>
      <c r="E38" s="843"/>
    </row>
    <row r="39" spans="1:9">
      <c r="A39" s="606"/>
      <c r="B39" s="606"/>
      <c r="E39" s="843"/>
    </row>
    <row r="40" spans="1:9">
      <c r="A40" s="606"/>
      <c r="B40" s="606"/>
      <c r="C40" s="801"/>
      <c r="D40" s="801"/>
      <c r="E40" s="801"/>
      <c r="F40" s="805"/>
      <c r="G40" s="801"/>
      <c r="H40" s="801"/>
      <c r="I40" s="806"/>
    </row>
    <row r="41" spans="1:9" ht="39.75">
      <c r="A41" s="606"/>
      <c r="B41" s="606"/>
      <c r="C41" s="659" t="s">
        <v>831</v>
      </c>
      <c r="D41" s="738" t="s">
        <v>937</v>
      </c>
      <c r="E41" s="848" t="s">
        <v>833</v>
      </c>
      <c r="F41" s="849" t="s">
        <v>956</v>
      </c>
      <c r="G41" s="849" t="s">
        <v>957</v>
      </c>
      <c r="H41" s="848" t="s">
        <v>958</v>
      </c>
      <c r="I41" s="651" t="s">
        <v>959</v>
      </c>
    </row>
    <row r="42" spans="1:9">
      <c r="A42" s="606"/>
      <c r="B42" s="606"/>
      <c r="C42" s="801"/>
      <c r="D42" s="806" t="s">
        <v>827</v>
      </c>
      <c r="E42" s="651" t="s">
        <v>928</v>
      </c>
      <c r="F42" s="651" t="s">
        <v>929</v>
      </c>
      <c r="G42" s="651" t="s">
        <v>929</v>
      </c>
      <c r="H42" s="651" t="s">
        <v>948</v>
      </c>
      <c r="I42" s="651" t="s">
        <v>828</v>
      </c>
    </row>
    <row r="43" spans="1:9">
      <c r="A43" s="606"/>
      <c r="B43" s="606"/>
      <c r="C43" s="807" t="s">
        <v>702</v>
      </c>
      <c r="D43" s="807" t="s">
        <v>829</v>
      </c>
      <c r="E43" s="850" t="s">
        <v>930</v>
      </c>
      <c r="F43" s="850" t="s">
        <v>932</v>
      </c>
      <c r="G43" s="850" t="s">
        <v>933</v>
      </c>
      <c r="H43" s="850" t="s">
        <v>931</v>
      </c>
      <c r="I43" s="850" t="s">
        <v>830</v>
      </c>
    </row>
    <row r="44" spans="1:9">
      <c r="A44" s="606">
        <v>20</v>
      </c>
      <c r="B44" s="606"/>
      <c r="C44" s="606">
        <v>2018</v>
      </c>
      <c r="D44" s="820">
        <v>0.1</v>
      </c>
      <c r="E44" s="837">
        <f>G30</f>
        <v>103826046.66</v>
      </c>
      <c r="F44" s="662">
        <v>0</v>
      </c>
      <c r="G44" s="662">
        <v>0</v>
      </c>
      <c r="H44" s="662">
        <v>-4411417.8893472701</v>
      </c>
      <c r="I44" s="837">
        <f>E44-SUM(F44:H44)</f>
        <v>108237464.54934727</v>
      </c>
    </row>
    <row r="45" spans="1:9">
      <c r="A45" s="606">
        <v>21</v>
      </c>
      <c r="B45" s="606"/>
      <c r="C45" s="606">
        <f>C44+1</f>
        <v>2019</v>
      </c>
      <c r="D45" s="820">
        <v>0.1</v>
      </c>
      <c r="E45" s="852">
        <f>I44</f>
        <v>108237464.54934727</v>
      </c>
      <c r="F45" s="808">
        <v>6657667.4962818138</v>
      </c>
      <c r="G45" s="496">
        <v>0</v>
      </c>
      <c r="H45" s="496">
        <v>1114767.6857503699</v>
      </c>
      <c r="I45" s="831">
        <f t="shared" ref="I45:I46" si="7">E45-SUM(F45:H45)</f>
        <v>100465029.36731508</v>
      </c>
    </row>
    <row r="46" spans="1:9">
      <c r="A46" s="606">
        <v>22</v>
      </c>
      <c r="B46" s="606"/>
      <c r="C46" s="606">
        <f t="shared" ref="C46" si="8">C45+1</f>
        <v>2020</v>
      </c>
      <c r="D46" s="820">
        <v>0.1</v>
      </c>
      <c r="E46" s="852">
        <f>I45</f>
        <v>100465029.36731508</v>
      </c>
      <c r="F46" s="808">
        <v>9183400.0016248953</v>
      </c>
      <c r="G46" s="496">
        <v>0</v>
      </c>
      <c r="H46" s="496">
        <v>-984485.51680178801</v>
      </c>
      <c r="I46" s="831">
        <f t="shared" si="7"/>
        <v>92266114.882491976</v>
      </c>
    </row>
    <row r="47" spans="1:9">
      <c r="A47" s="606">
        <v>23</v>
      </c>
      <c r="B47" s="606"/>
      <c r="C47" s="606">
        <v>2021</v>
      </c>
      <c r="D47" s="820">
        <v>0.1</v>
      </c>
      <c r="E47" s="852">
        <f>I46</f>
        <v>92266114.882491976</v>
      </c>
      <c r="F47" s="809">
        <v>10845681.646156779</v>
      </c>
      <c r="G47" s="496">
        <v>0</v>
      </c>
      <c r="H47" s="496">
        <v>0</v>
      </c>
      <c r="I47" s="831">
        <f>E47-SUM(F47:H47)</f>
        <v>81420433.236335203</v>
      </c>
    </row>
    <row r="48" spans="1:9">
      <c r="A48" s="606"/>
      <c r="B48" s="606"/>
      <c r="C48" s="606"/>
      <c r="D48" s="802"/>
      <c r="E48" s="803"/>
      <c r="F48" s="809"/>
      <c r="G48" s="811"/>
      <c r="H48" s="811"/>
      <c r="I48" s="804"/>
    </row>
    <row r="49" spans="1:10">
      <c r="A49" s="606"/>
      <c r="B49" s="606"/>
      <c r="C49" s="606"/>
      <c r="D49" s="802"/>
      <c r="E49" s="803"/>
      <c r="F49" s="809"/>
      <c r="G49" s="811"/>
      <c r="H49" s="811"/>
      <c r="I49" s="804"/>
    </row>
    <row r="50" spans="1:10">
      <c r="A50" s="827"/>
      <c r="B50" s="827"/>
      <c r="C50" s="828" t="s">
        <v>164</v>
      </c>
      <c r="E50" s="829"/>
      <c r="F50" s="830"/>
      <c r="G50" s="831"/>
    </row>
    <row r="51" spans="1:10">
      <c r="A51" s="832" t="s">
        <v>18</v>
      </c>
      <c r="C51" s="833" t="s">
        <v>961</v>
      </c>
      <c r="E51" s="829"/>
      <c r="G51" s="831"/>
      <c r="J51" s="819"/>
    </row>
    <row r="52" spans="1:10">
      <c r="A52" s="827"/>
      <c r="B52" s="827"/>
      <c r="C52" s="818"/>
      <c r="E52" s="829"/>
      <c r="G52" s="831"/>
      <c r="J52" s="800"/>
    </row>
    <row r="53" spans="1:10">
      <c r="A53" s="832" t="s">
        <v>19</v>
      </c>
      <c r="C53" s="818" t="s">
        <v>941</v>
      </c>
      <c r="E53" s="829"/>
      <c r="G53" s="831"/>
      <c r="J53" s="800"/>
    </row>
    <row r="54" spans="1:10">
      <c r="A54" s="827"/>
      <c r="B54" s="827"/>
      <c r="C54" s="818" t="s">
        <v>947</v>
      </c>
      <c r="E54" s="829"/>
      <c r="G54" s="831"/>
      <c r="J54" s="800"/>
    </row>
    <row r="55" spans="1:10">
      <c r="A55" s="827"/>
      <c r="B55" s="827"/>
      <c r="C55" s="818" t="s">
        <v>949</v>
      </c>
      <c r="E55" s="829"/>
      <c r="G55" s="831"/>
      <c r="J55" s="800"/>
    </row>
    <row r="56" spans="1:10">
      <c r="A56" s="827"/>
      <c r="B56" s="827"/>
      <c r="C56" s="818"/>
      <c r="E56" s="829"/>
      <c r="G56" s="831"/>
    </row>
    <row r="57" spans="1:10">
      <c r="A57" s="832" t="s">
        <v>20</v>
      </c>
      <c r="B57" s="827"/>
      <c r="C57" s="818" t="s">
        <v>950</v>
      </c>
      <c r="E57" s="829"/>
      <c r="G57" s="831"/>
    </row>
    <row r="58" spans="1:10">
      <c r="A58" s="827"/>
      <c r="B58" s="827"/>
      <c r="C58" s="818" t="s">
        <v>951</v>
      </c>
      <c r="E58" s="829"/>
      <c r="G58" s="831"/>
    </row>
    <row r="59" spans="1:10">
      <c r="A59" s="827"/>
      <c r="B59" s="827"/>
      <c r="C59" s="818"/>
      <c r="E59" s="829"/>
      <c r="G59" s="831"/>
    </row>
    <row r="60" spans="1:10">
      <c r="A60" s="832" t="s">
        <v>21</v>
      </c>
      <c r="C60" s="52" t="s">
        <v>850</v>
      </c>
      <c r="E60" s="829"/>
      <c r="G60" s="831"/>
    </row>
    <row r="61" spans="1:10">
      <c r="A61" s="832"/>
      <c r="E61" s="829"/>
      <c r="G61" s="831"/>
    </row>
    <row r="62" spans="1:10">
      <c r="A62" s="832" t="s">
        <v>22</v>
      </c>
      <c r="C62" s="52" t="s">
        <v>851</v>
      </c>
      <c r="E62" s="829"/>
    </row>
    <row r="63" spans="1:10">
      <c r="A63" s="832"/>
      <c r="E63" s="829"/>
    </row>
    <row r="64" spans="1:10">
      <c r="A64" s="832" t="s">
        <v>952</v>
      </c>
      <c r="C64" s="52" t="s">
        <v>953</v>
      </c>
      <c r="E64" s="829"/>
    </row>
  </sheetData>
  <pageMargins left="0.48" right="0.44" top="0.73" bottom="0.7" header="0.3" footer="0.16"/>
  <pageSetup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9C2A40CB48BD4DA68B2DC67ADC4D2A" ma:contentTypeVersion="15" ma:contentTypeDescription="Create a new document." ma:contentTypeScope="" ma:versionID="9188e3516279636411379ab1d0d6f60f">
  <xsd:schema xmlns:xsd="http://www.w3.org/2001/XMLSchema" xmlns:xs="http://www.w3.org/2001/XMLSchema" xmlns:p="http://schemas.microsoft.com/office/2006/metadata/properties" xmlns:ns1="http://schemas.microsoft.com/sharepoint/v3" xmlns:ns3="d4642a65-0259-4627-9104-e5163e3bfa7f" xmlns:ns4="c01c7c2d-a1ce-4356-8960-d589ab557c5d" targetNamespace="http://schemas.microsoft.com/office/2006/metadata/properties" ma:root="true" ma:fieldsID="fcf7a3289fe9ec2c1c51c649c29a843d" ns1:_="" ns3:_="" ns4:_="">
    <xsd:import namespace="http://schemas.microsoft.com/sharepoint/v3"/>
    <xsd:import namespace="d4642a65-0259-4627-9104-e5163e3bfa7f"/>
    <xsd:import namespace="c01c7c2d-a1ce-4356-8960-d589ab557c5d"/>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642a65-0259-4627-9104-e5163e3bfa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1c7c2d-a1ce-4356-8960-d589ab557c5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1B44D-873A-45AA-930B-335335E46184}">
  <ds:schemaRefs>
    <ds:schemaRef ds:uri="http://schemas.microsoft.com/sharepoint/v3/contenttype/forms"/>
  </ds:schemaRefs>
</ds:datastoreItem>
</file>

<file path=customXml/itemProps2.xml><?xml version="1.0" encoding="utf-8"?>
<ds:datastoreItem xmlns:ds="http://schemas.openxmlformats.org/officeDocument/2006/customXml" ds:itemID="{48896EED-02A9-4DBA-87DA-8B8FFE4DD993}">
  <ds:schemaRefs>
    <ds:schemaRef ds:uri="http://purl.org/dc/elements/1.1/"/>
    <ds:schemaRef ds:uri="http://schemas.microsoft.com/office/2006/metadata/properties"/>
    <ds:schemaRef ds:uri="http://schemas.microsoft.com/sharepoint/v3"/>
    <ds:schemaRef ds:uri="c01c7c2d-a1ce-4356-8960-d589ab557c5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4642a65-0259-4627-9104-e5163e3bfa7f"/>
    <ds:schemaRef ds:uri="http://www.w3.org/XML/1998/namespace"/>
    <ds:schemaRef ds:uri="http://purl.org/dc/dcmitype/"/>
  </ds:schemaRefs>
</ds:datastoreItem>
</file>

<file path=customXml/itemProps3.xml><?xml version="1.0" encoding="utf-8"?>
<ds:datastoreItem xmlns:ds="http://schemas.openxmlformats.org/officeDocument/2006/customXml" ds:itemID="{BC1AB557-CE24-49E3-99FD-BB03122E6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642a65-0259-4627-9104-e5163e3bfa7f"/>
    <ds:schemaRef ds:uri="c01c7c2d-a1ce-4356-8960-d589ab557c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41</vt:i4>
      </vt:variant>
      <vt:variant>
        <vt:lpstr>Named Ranges</vt:lpstr>
      </vt:variant>
      <vt:variant>
        <vt:i4>130</vt:i4>
      </vt:variant>
    </vt:vector>
  </HeadingPairs>
  <TitlesOfParts>
    <vt:vector size="171" baseType="lpstr">
      <vt:lpstr>INPUT</vt:lpstr>
      <vt:lpstr>DEOK</vt:lpstr>
      <vt:lpstr>Sch 1A - Appx A</vt:lpstr>
      <vt:lpstr>Appx B - DEOK(RTEP)</vt:lpstr>
      <vt:lpstr>Appx C - DEOK(MTEP)</vt:lpstr>
      <vt:lpstr>Appx D DEO</vt:lpstr>
      <vt:lpstr>Appx D DEK</vt:lpstr>
      <vt:lpstr>DEO DIT Protected</vt:lpstr>
      <vt:lpstr>DEO DIT Unprotected</vt:lpstr>
      <vt:lpstr>DEK DIT Protected</vt:lpstr>
      <vt:lpstr>DEK DIT Unprotected</vt:lpstr>
      <vt:lpstr>DEK DIT Unprotected State</vt:lpstr>
      <vt:lpstr>DEO</vt:lpstr>
      <vt:lpstr>Appx B - DEO(RTEP) Pg1</vt:lpstr>
      <vt:lpstr>Appx B - DEO(RTEP) Pg2</vt:lpstr>
      <vt:lpstr>Appx C - DEO(MTEP) Pg1</vt:lpstr>
      <vt:lpstr>Appx C - DEO(MTEP) Pg2</vt:lpstr>
      <vt:lpstr>DEK</vt:lpstr>
      <vt:lpstr>Appx B - DEK(RTEP) Pg1</vt:lpstr>
      <vt:lpstr>Appx B - DEK(RTEP) Pg2</vt:lpstr>
      <vt:lpstr>Appx C - DEK(MTEP) Pg1</vt:lpstr>
      <vt:lpstr>Appx C - DEK(MTEP) Pg2</vt:lpstr>
      <vt:lpstr>P1 ADIT</vt:lpstr>
      <vt:lpstr>P2 Allocate M&amp;S</vt:lpstr>
      <vt:lpstr>P3 Land Held for Future Use</vt:lpstr>
      <vt:lpstr>P4 Advertising - EPRI Adj.</vt:lpstr>
      <vt:lpstr>P5 A&amp;G Adjusments</vt:lpstr>
      <vt:lpstr>P6 Statetax</vt:lpstr>
      <vt:lpstr>P7 Trans Plant In OATT</vt:lpstr>
      <vt:lpstr>P8 Rev Cred Support</vt:lpstr>
      <vt:lpstr>P9 Capital Structure</vt:lpstr>
      <vt:lpstr>P10 KW Demand</vt:lpstr>
      <vt:lpstr>P11 PBOP - DEO</vt:lpstr>
      <vt:lpstr>P12 PBOP - DEK</vt:lpstr>
      <vt:lpstr>P13 Sch 1A Denominator</vt:lpstr>
      <vt:lpstr>P14 Sch 1A Rev Cr</vt:lpstr>
      <vt:lpstr>P15 Pole Counts</vt:lpstr>
      <vt:lpstr>P16 Prior Yr Corr</vt:lpstr>
      <vt:lpstr>P17 LSE Expenses</vt:lpstr>
      <vt:lpstr>P18 Prepayment Adjusments</vt:lpstr>
      <vt:lpstr>P19 Perm Tax Diff</vt:lpstr>
      <vt:lpstr>'P1 ADIT'!_ftn1</vt:lpstr>
      <vt:lpstr>'P1 ADIT'!_ftnref1</vt:lpstr>
      <vt:lpstr>ADIT_DEK_P3</vt:lpstr>
      <vt:lpstr>'DEK DIT Unprotected State'!ADIT_DEK_P4</vt:lpstr>
      <vt:lpstr>ADIT_DEK_P4</vt:lpstr>
      <vt:lpstr>ADIT_DEO_P1</vt:lpstr>
      <vt:lpstr>ADIT_DEO_P2</vt:lpstr>
      <vt:lpstr>ADIT_STATE_DEK_P5</vt:lpstr>
      <vt:lpstr>Appendix_A</vt:lpstr>
      <vt:lpstr>'Appx B - DEK(RTEP) Pg2'!AppxB_DEK_Pg1_RTEP</vt:lpstr>
      <vt:lpstr>AppxB_DEK_Pg1_RTEP</vt:lpstr>
      <vt:lpstr>'Appx B - DEK(RTEP) Pg2'!AppxB_DEK_Pg2_RTEP</vt:lpstr>
      <vt:lpstr>AppxB_DEK_Pg2_RTEP</vt:lpstr>
      <vt:lpstr>'Appx B - DEO(RTEP) Pg2'!AppxB_DEO_Pg1_RTEP</vt:lpstr>
      <vt:lpstr>AppxB_DEO_Pg1_RTEP</vt:lpstr>
      <vt:lpstr>'Appx B - DEO(RTEP) Pg2'!AppxB_DEO_Pg2_RTEP</vt:lpstr>
      <vt:lpstr>AppxB_DEO_Pg2_RTEP</vt:lpstr>
      <vt:lpstr>AppxB_DEOK_Pg1_RTEP</vt:lpstr>
      <vt:lpstr>'Appx C - DEK(MTEP) Pg2'!AppxC_DEK_Pg1_MTEP</vt:lpstr>
      <vt:lpstr>AppxC_DEK_Pg1_MTEP</vt:lpstr>
      <vt:lpstr>'Appx C - DEK(MTEP) Pg2'!AppxC_DEK_Pg2_MTEP</vt:lpstr>
      <vt:lpstr>AppxC_DEK_Pg2_MTEP</vt:lpstr>
      <vt:lpstr>'Appx C - DEO(MTEP) Pg2'!AppxC_DEO_Pg1_MTEP</vt:lpstr>
      <vt:lpstr>AppxC_DEO_Pg1_MTEP</vt:lpstr>
      <vt:lpstr>'Appx C - DEO(MTEP) Pg2'!AppxC_DEO_Pg2_MTEP</vt:lpstr>
      <vt:lpstr>AppxC_DEO_Pg2_MTEP</vt:lpstr>
      <vt:lpstr>AppxC_DEOK_Pg1_MTEP</vt:lpstr>
      <vt:lpstr>AppxD_DEK</vt:lpstr>
      <vt:lpstr>AppxD_DEO_P1</vt:lpstr>
      <vt:lpstr>AppxD_DEO_P2</vt:lpstr>
      <vt:lpstr>DEK_1of6</vt:lpstr>
      <vt:lpstr>DEK_2of6</vt:lpstr>
      <vt:lpstr>DEK_3of6</vt:lpstr>
      <vt:lpstr>DEK_4of6</vt:lpstr>
      <vt:lpstr>DEK_5of6</vt:lpstr>
      <vt:lpstr>DEK_6of6</vt:lpstr>
      <vt:lpstr>DEK_CE_Alloc</vt:lpstr>
      <vt:lpstr>DEK_GP_Alloc</vt:lpstr>
      <vt:lpstr>DEK_NP_Alloc</vt:lpstr>
      <vt:lpstr>DEK_TE_Alloc</vt:lpstr>
      <vt:lpstr>DEK_TP_Alloc</vt:lpstr>
      <vt:lpstr>DEK_WS_Alloc</vt:lpstr>
      <vt:lpstr>DEO_1of6</vt:lpstr>
      <vt:lpstr>DEO_2of6</vt:lpstr>
      <vt:lpstr>DEO_3of6</vt:lpstr>
      <vt:lpstr>DEO_4of6</vt:lpstr>
      <vt:lpstr>DEO_5of6</vt:lpstr>
      <vt:lpstr>DEO_6of6</vt:lpstr>
      <vt:lpstr>DEO_CE_Alloc</vt:lpstr>
      <vt:lpstr>DEO_GP_Alloc</vt:lpstr>
      <vt:lpstr>DEO_NP_Alloc</vt:lpstr>
      <vt:lpstr>DEO_TE_Alloc</vt:lpstr>
      <vt:lpstr>DEO_TP_Alloc</vt:lpstr>
      <vt:lpstr>DEO_WS_Alloc</vt:lpstr>
      <vt:lpstr>DEOK_1of1</vt:lpstr>
      <vt:lpstr>Duke_Energy_Ohio_and_Duke_Energy_Kentucky</vt:lpstr>
      <vt:lpstr>FERCrefund</vt:lpstr>
      <vt:lpstr>FIT</vt:lpstr>
      <vt:lpstr>PeakKW_DEOK</vt:lpstr>
      <vt:lpstr>'P16 Prior Yr Corr'!PG1_Support_Corrections</vt:lpstr>
      <vt:lpstr>'Appx B - DEK(RTEP) Pg1'!Print_Area</vt:lpstr>
      <vt:lpstr>'Appx B - DEK(RTEP) Pg2'!Print_Area</vt:lpstr>
      <vt:lpstr>'Appx B - DEO(RTEP) Pg1'!Print_Area</vt:lpstr>
      <vt:lpstr>'Appx B - DEO(RTEP) Pg2'!Print_Area</vt:lpstr>
      <vt:lpstr>'Appx B - DEOK(RTEP)'!Print_Area</vt:lpstr>
      <vt:lpstr>'Appx C - DEK(MTEP) Pg1'!Print_Area</vt:lpstr>
      <vt:lpstr>'Appx C - DEK(MTEP) Pg2'!Print_Area</vt:lpstr>
      <vt:lpstr>'Appx C - DEO(MTEP) Pg1'!Print_Area</vt:lpstr>
      <vt:lpstr>'Appx C - DEO(MTEP) Pg2'!Print_Area</vt:lpstr>
      <vt:lpstr>'Appx C - DEOK(MTEP)'!Print_Area</vt:lpstr>
      <vt:lpstr>'Appx D DEK'!Print_Area</vt:lpstr>
      <vt:lpstr>'Appx D DEO'!Print_Area</vt:lpstr>
      <vt:lpstr>DEK!Print_Area</vt:lpstr>
      <vt:lpstr>'DEK DIT Protected'!Print_Area</vt:lpstr>
      <vt:lpstr>'DEK DIT Unprotected'!Print_Area</vt:lpstr>
      <vt:lpstr>'DEK DIT Unprotected State'!Print_Area</vt:lpstr>
      <vt:lpstr>DEO!Print_Area</vt:lpstr>
      <vt:lpstr>'DEO DIT Protected'!Print_Area</vt:lpstr>
      <vt:lpstr>'DEO DIT Unprotected'!Print_Area</vt:lpstr>
      <vt:lpstr>DEOK!Print_Area</vt:lpstr>
      <vt:lpstr>'P1 ADIT'!Print_Area</vt:lpstr>
      <vt:lpstr>'P10 KW Demand'!Print_Area</vt:lpstr>
      <vt:lpstr>'P11 PBOP - DEO'!Print_Area</vt:lpstr>
      <vt:lpstr>'P12 PBOP - DEK'!Print_Area</vt:lpstr>
      <vt:lpstr>'P13 Sch 1A Denominator'!Print_Area</vt:lpstr>
      <vt:lpstr>'P14 Sch 1A Rev Cr'!Print_Area</vt:lpstr>
      <vt:lpstr>'P15 Pole Counts'!Print_Area</vt:lpstr>
      <vt:lpstr>'P16 Prior Yr Corr'!Print_Area</vt:lpstr>
      <vt:lpstr>'P17 LSE Expenses'!Print_Area</vt:lpstr>
      <vt:lpstr>'P18 Prepayment Adjusments'!Print_Area</vt:lpstr>
      <vt:lpstr>'P19 Perm Tax Diff'!Print_Area</vt:lpstr>
      <vt:lpstr>'P2 Allocate M&amp;S'!Print_Area</vt:lpstr>
      <vt:lpstr>'P3 Land Held for Future Use'!Print_Area</vt:lpstr>
      <vt:lpstr>'P4 Advertising - EPRI Adj.'!Print_Area</vt:lpstr>
      <vt:lpstr>'P5 A&amp;G Adjusments'!Print_Area</vt:lpstr>
      <vt:lpstr>'P6 Statetax'!Print_Area</vt:lpstr>
      <vt:lpstr>'P7 Trans Plant In OATT'!Print_Area</vt:lpstr>
      <vt:lpstr>'P8 Rev Cred Support'!Print_Area</vt:lpstr>
      <vt:lpstr>'P9 Capital Structure'!Print_Area</vt:lpstr>
      <vt:lpstr>'Sch 1A - Appx A'!Print_Area</vt:lpstr>
      <vt:lpstr>INPUT!Print_Titles</vt:lpstr>
      <vt:lpstr>PriorYrCorr</vt:lpstr>
      <vt:lpstr>R_DEK</vt:lpstr>
      <vt:lpstr>R_DEO</vt:lpstr>
      <vt:lpstr>ROE</vt:lpstr>
      <vt:lpstr>SCH_1A</vt:lpstr>
      <vt:lpstr>SIT_DEK</vt:lpstr>
      <vt:lpstr>SIT_DEO</vt:lpstr>
      <vt:lpstr>WCLTD_DEK</vt:lpstr>
      <vt:lpstr>WCLTD_DEO</vt:lpstr>
      <vt:lpstr>Workpaper</vt:lpstr>
      <vt:lpstr>Workpaper_P1</vt:lpstr>
      <vt:lpstr>Workpaper_P10</vt:lpstr>
      <vt:lpstr>Workpaper_P11</vt:lpstr>
      <vt:lpstr>Workpaper_P12</vt:lpstr>
      <vt:lpstr>Workpaper_P13</vt:lpstr>
      <vt:lpstr>Workpaper_P14</vt:lpstr>
      <vt:lpstr>Workpaper_P15</vt:lpstr>
      <vt:lpstr>Workpaper_P16</vt:lpstr>
      <vt:lpstr>Workpaper_P17</vt:lpstr>
      <vt:lpstr>Workpaper_P18</vt:lpstr>
      <vt:lpstr>Workpaper_P19</vt:lpstr>
      <vt:lpstr>Workpaper_P2</vt:lpstr>
      <vt:lpstr>Workpaper_P3</vt:lpstr>
      <vt:lpstr>Workpaper_P4</vt:lpstr>
      <vt:lpstr>Workpaper_P5</vt:lpstr>
      <vt:lpstr>Workpaper_P6</vt:lpstr>
      <vt:lpstr>Workpaper_P7</vt:lpstr>
      <vt:lpstr>Workpaper_P8</vt:lpstr>
      <vt:lpstr>Workpaper_P9</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Preferred Customer</dc:creator>
  <cp:lastModifiedBy>Miller, Libbie</cp:lastModifiedBy>
  <cp:lastPrinted>2022-05-03T12:58:31Z</cp:lastPrinted>
  <dcterms:created xsi:type="dcterms:W3CDTF">1997-04-03T19:40:56Z</dcterms:created>
  <dcterms:modified xsi:type="dcterms:W3CDTF">2026-07-15T20:08:48Z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ContentTypeId">
    <vt:lpwstr>0x010100A19C2A40CB48BD4DA68B2DC67ADC4D2A</vt:lpwstr>
  </property>
  <property fmtid="{D5CDD505-2E9C-101B-9397-08002B2CF9AE}" pid="5" name="MSIP_Label_662cb729-ddbd-42d6-997e-2658e5557404_Enabled">
    <vt:lpwstr>true</vt:lpwstr>
  </property>
  <property fmtid="{D5CDD505-2E9C-101B-9397-08002B2CF9AE}" pid="6" name="MSIP_Label_662cb729-ddbd-42d6-997e-2658e5557404_SetDate">
    <vt:lpwstr>2026-07-08T17:25:52Z</vt:lpwstr>
  </property>
  <property fmtid="{D5CDD505-2E9C-101B-9397-08002B2CF9AE}" pid="7" name="MSIP_Label_662cb729-ddbd-42d6-997e-2658e5557404_Method">
    <vt:lpwstr>Standard</vt:lpwstr>
  </property>
  <property fmtid="{D5CDD505-2E9C-101B-9397-08002B2CF9AE}" pid="8" name="MSIP_Label_662cb729-ddbd-42d6-997e-2658e5557404_Name">
    <vt:lpwstr>INTERNAL – NO MARKING</vt:lpwstr>
  </property>
  <property fmtid="{D5CDD505-2E9C-101B-9397-08002B2CF9AE}" pid="9" name="MSIP_Label_662cb729-ddbd-42d6-997e-2658e5557404_SiteId">
    <vt:lpwstr>2ede383a-7e1f-4357-a846-85886b2c0c4d</vt:lpwstr>
  </property>
  <property fmtid="{D5CDD505-2E9C-101B-9397-08002B2CF9AE}" pid="10" name="MSIP_Label_662cb729-ddbd-42d6-997e-2658e5557404_ActionId">
    <vt:lpwstr>b07a6721-8d9f-49ba-b833-cc0ffa202837</vt:lpwstr>
  </property>
  <property fmtid="{D5CDD505-2E9C-101B-9397-08002B2CF9AE}" pid="11" name="MSIP_Label_662cb729-ddbd-42d6-997e-2658e5557404_ContentBits">
    <vt:lpwstr>0</vt:lpwstr>
  </property>
  <property fmtid="{D5CDD505-2E9C-101B-9397-08002B2CF9AE}" pid="12" name="MSIP_Label_662cb729-ddbd-42d6-997e-2658e5557404_Tag">
    <vt:lpwstr>10, 3, 0, 1</vt:lpwstr>
  </property>
</Properties>
</file>