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272018E6-856A-4DB3-B3EA-64AD70AC25A6}" xr6:coauthVersionLast="47" xr6:coauthVersionMax="47" xr10:uidLastSave="{00000000-0000-0000-0000-000000000000}"/>
  <x:bookViews>
    <x:workbookView xWindow="-120" yWindow="-120" windowWidth="29040" windowHeight="15720" tabRatio="929" xr2:uid="{0CA22184-ABC8-4187-AC98-57AE2BE78F25}"/>
  </x:bookViews>
  <x:sheets>
    <x:sheet name="ATT H-3D" sheetId="1" r:id="rId1"/>
    <x:sheet name="1A - ADIT Summary" sheetId="49" r:id="rId2"/>
    <x:sheet name="1B - ADIT EOY" sheetId="50" r:id="rId3"/>
    <x:sheet name="1C - ADIT BOY" sheetId="51" r:id="rId4"/>
    <x:sheet name="1D - ADIT Rate Base Adjustment" sheetId="52" r:id="rId5"/>
    <x:sheet name="1E - EDIT Amortization" sheetId="53" r:id="rId6"/>
    <x:sheet name="1F - ADIT Remeasurement" sheetId="54" r:id="rId7"/>
    <x:sheet name="2 - Other Tax" sheetId="5" r:id="rId8"/>
    <x:sheet name="3 - Revenue Credits" sheetId="55" r:id="rId9"/>
    <x:sheet name="3a - Shared Revenues" sheetId="56" r:id="rId10"/>
    <x:sheet name="4 - 100 Basis Pt ROE" sheetId="8" r:id="rId11"/>
    <x:sheet name="5 - Cost Support 1" sheetId="9" r:id="rId12"/>
    <x:sheet name="5a - Affiliate Allocations" sheetId="10" r:id="rId13"/>
    <x:sheet name="5b - EBSC Affiliate Allocations" sheetId="31" r:id="rId14"/>
    <x:sheet name="6 - Project Rev Req" sheetId="12" r:id="rId15"/>
    <x:sheet name="6A - Project True-up" sheetId="13" r:id="rId16"/>
    <x:sheet name="6B - True-Up Interest " sheetId="14" r:id="rId17"/>
    <x:sheet name="7 - Cap Add WS " sheetId="57"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#REF!</x:definedName>
    <x:definedName name="\O">#REF!</x:definedName>
    <x:definedName name="\P" localSheetId="17">#REF!</x:definedName>
    <x:definedName name="\P">#REF!</x:definedName>
    <x:definedName name="\P2">#REF!</x:definedName>
    <x:definedName name="\q" localSheetId="9">#REF!</x:definedName>
    <x:definedName name="\q" localSheetId="17">#REF!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H-3D'!$A$1:$H$389</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4" hidden="1">{#N/A,#N/A,FALSE,"EMPPAY"}</x:definedName>
    <x:definedName name="A" localSheetId="15"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#REF!</x:definedName>
    <x:definedName name="Annualization_Rate">#REF!</x:definedName>
    <x:definedName name="anscount" hidden="1">1</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 localSheetId="17">#REF!</x:definedName>
    <x:definedName name="Citizens_Gas_YR_2007">#REF!</x:definedName>
    <x:definedName name="Citizens_Gas_YR_2008" localSheetId="1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 localSheetId="17">#REF!</x:definedName>
    <x:definedName name="CoEnergy___Purch_Acct_Sub_Total_YR_2007">#REF!</x:definedName>
    <x:definedName name="CoEnergy___Purch_Acct_Sub_Total_YR_2008" localSheetId="1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 localSheetId="17">#REF!</x:definedName>
    <x:definedName name="CoEnergy_Trading_YR_2007">#REF!</x:definedName>
    <x:definedName name="CoEnergy_Trading_YR_2008" localSheetId="1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#REF!</x:definedName>
    <x:definedName name="DATA4" localSheetId="9">#REF!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4" hidden="1">{#N/A,#N/A,FALSE,"ARREC"}</x:definedName>
    <x:definedName name="DEC00" localSheetId="15" hidden="1">{#N/A,#N/A,FALSE,"ARREC"}</x:definedName>
    <x:definedName name="DEC00" localSheetId="16"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 localSheetId="17">#REF!</x:definedName>
    <x:definedName name="Detroit_Edison_Consolidated_YR_2007">#REF!</x:definedName>
    <x:definedName name="Detroit_Edison_Consolidated_YR_2008" localSheetId="1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#REF!</x:definedName>
    <x:definedName name="elec2">#REF!</x:definedName>
    <x:definedName name="ELECTACT" localSheetId="9">#REF!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#REF!</x:definedName>
    <x:definedName name="end_CWIP" localSheetId="9">#REF!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4" hidden="1">{#N/A,#N/A,FALSE,"ARREC"}</x:definedName>
    <x:definedName name="FEB00" localSheetId="15" hidden="1">{#N/A,#N/A,FALSE,"ARREC"}</x:definedName>
    <x:definedName name="FEB00" localSheetId="16"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 localSheetId="17">#REF!</x:definedName>
    <x:definedName name="FEDNO">#REF!</x:definedName>
    <x:definedName name="FEDRATE" localSheetId="17">#REF!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 localSheetId="17">#REF!</x:definedName>
    <x:definedName name="IBMDirDoc">#REF!</x:definedName>
    <x:definedName name="IBMDirDollars" localSheetId="17">#REF!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 localSheetId="17">#REF!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 localSheetId="17">#REF!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#REF!</x:definedName>
    <x:definedName name="Millennium_Pipeline_YR_2005">#REF!</x:definedName>
    <x:definedName name="Millennium_Pipeline_YR_2006">#REF!</x:definedName>
    <x:definedName name="Millennium_Pipeline_YR_200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 localSheetId="17">#REF!</x:definedName>
    <x:definedName name="MonthDate">#REF!</x:definedName>
    <x:definedName name="MONTHLY" localSheetId="9">#REF!</x:definedName>
    <x:definedName name="MONTHLY" localSheetId="17">#REF!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'3a - Shared Revenues'!$E$56</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 localSheetId="17">#REF!</x:definedName>
    <x:definedName name="OLDTOT">#REF!</x:definedName>
    <x:definedName name="one">1</x:definedName>
    <x:definedName name="Operating_Expenses_CPM" localSheetId="17">#REF!</x:definedName>
    <x:definedName name="Operating_Expenses_CPM">#REF!</x:definedName>
    <x:definedName name="Operating_Labor_in_Cost_of_Sales__Non_Reg" localSheetId="17">#REF!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2">'11A - O&amp;M'!$A$1:$G$37</x:definedName>
    <x:definedName name="_xlnm.Print_Area" localSheetId="23">'11B - A&amp;G'!$A$1:$J$34</x:definedName>
    <x:definedName name="_xlnm.Print_Area" localSheetId="24">'12 - Depreciation Rates'!$A$1:$E$87</x:definedName>
    <x:definedName name="_xlnm.Print_Area" localSheetId="1">'1A - ADIT Summary'!$A$1:$R$213</x:definedName>
    <x:definedName name="_xlnm.Print_Area" localSheetId="2">'1B - ADIT EOY'!$A$1:$J$325</x:definedName>
    <x:definedName name="_xlnm.Print_Area" localSheetId="3">'1C - ADIT BOY'!$A$1:$J$325</x:definedName>
    <x:definedName name="_xlnm.Print_Area" localSheetId="4">'1D - ADIT Rate Base Adjustment'!$A$1:$R$277</x:definedName>
    <x:definedName name="_xlnm.Print_Area" localSheetId="5">'1E - EDIT Amortization'!$A$1:$S$272</x:definedName>
    <x:definedName name="_xlnm.Print_Area" localSheetId="6">'1F - ADIT Remeasurement'!$A$1:$AI$212</x:definedName>
    <x:definedName name="_xlnm.Print_Area" localSheetId="8">'3 - Revenue Credits'!$A$1:$G$36</x:definedName>
    <x:definedName name="_xlnm.Print_Area" localSheetId="11">'5 - Cost Support 1'!$A$1:$AF$355</x:definedName>
    <x:definedName name="_xlnm.Print_Area" localSheetId="12">'5a - Affiliate Allocations'!$A$1:$P$161</x:definedName>
    <x:definedName name="_xlnm.Print_Area" localSheetId="13">'5b - EBSC Affiliate Allocations'!$A$1:$P$29</x:definedName>
    <x:definedName name="_xlnm.Print_Area" localSheetId="14">'6 - Project Rev Req'!$A$1:$Q$90</x:definedName>
    <x:definedName name="_xlnm.Print_Area" localSheetId="16">'6B - True-Up Interest '!$A$1:$G$60</x:definedName>
    <x:definedName name="_xlnm.Print_Area" localSheetId="17">'7 - Cap Add WS '!$A$1:$BH$75</x:definedName>
    <x:definedName name="_xlnm.Print_Area" localSheetId="19">'9 - Rate Base'!$A$1:$M$60</x:definedName>
    <x:definedName name="_xlnm.Print_Area" localSheetId="0">'ATT H-3D'!$A$2:$H$389</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4">'12 - Depreciation Rates'!$1:$8</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Adjustment'!$1:$6</x:definedName>
    <x:definedName name="_xlnm.Print_Titles" localSheetId="5">'1E - EDIT Amortization'!$1:$3</x:definedName>
    <x:definedName name="_xlnm.Print_Titles" localSheetId="6">'1F - ADIT Remeasurement'!$A:$E,'1F - ADIT Remeasurement'!$1:$9</x:definedName>
    <x:definedName name="_xlnm.Print_Titles" localSheetId="11">'5 - Cost Support 1'!$1:$3</x:definedName>
    <x:definedName name="_xlnm.Print_Titles" localSheetId="12">'5a - Affiliate Allocations'!$1:$4</x:definedName>
    <x:definedName name="_xlnm.Print_Titles" localSheetId="17">'7 - Cap Add WS '!$A:$D,'7 - Cap Add WS '!$1:$2</x:definedName>
    <x:definedName name="_xlnm.Print_Titles" localSheetId="19">'9 - Rate Base'!$1:$4</x:definedName>
    <x:definedName name="_xlnm.Print_Titles" localSheetId="0">'ATT H-3D'!$2:$5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 localSheetId="17">#REF!</x:definedName>
    <x:definedName name="Syndeco_Realty_YR_2007">#REF!</x:definedName>
    <x:definedName name="Syndeco_Realty_YR_2008" localSheetId="1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 localSheetId="17">#REF!</x:definedName>
    <x:definedName name="t_and_d_exp">#REF!</x:definedName>
    <x:definedName name="TABLE" localSheetId="17">#REF!</x:definedName>
    <x:definedName name="TABLE">#REF!</x:definedName>
    <x:definedName name="TABLE_A" localSheetId="17">#REF!</x:definedName>
    <x:definedName name="TABLE_A">#REF!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4" hidden="1">{#N/A,#N/A,FALSE,"EMPPAY"}</x:definedName>
    <x:definedName name="TEST" localSheetId="15" hidden="1">{#N/A,#N/A,FALSE,"EMPPAY"}</x:definedName>
    <x:definedName name="test" localSheetId="16">{"'Metretek HTML'!$A$7:$W$42"}</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4" hidden="1">{#N/A,#N/A,FALSE,"EMPPAY"}</x:definedName>
    <x:definedName name="xx" localSheetId="15" hidden="1">{#N/A,#N/A,FALSE,"EMPPAY"}</x:definedName>
    <x:definedName name="xx" localSheetId="16">{"'Metretek HTML'!$A$7:$W$42"}</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 '!$Q:$AB</x:definedName>
    <x:definedName name="Z_28948E05_8F34_4F1E_96FB_A80A6A844600_.wvu.PrintTitles" localSheetId="17" hidden="1">'7 - Cap Add WS '!$C:$D</x:definedName>
    <x:definedName name="Z_63011E91_4609_4523_98FE_FD252E915668_.wvu.Cols" localSheetId="17" hidden="1">'7 - Cap Add WS '!$Q:$AB</x:definedName>
    <x:definedName name="Z_63011E91_4609_4523_98FE_FD252E915668_.wvu.PrintArea" localSheetId="17" hidden="1">'7 - Cap Add WS '!$C$1:$BH$77</x:definedName>
    <x:definedName name="Z_63011E91_4609_4523_98FE_FD252E915668_.wvu.PrintTitles" localSheetId="17" hidden="1">'7 - Cap Add WS '!$C:$D</x:definedName>
    <x:definedName name="Z_71B42B22_A376_44B5_B0C1_23FC1AA3DBA2_.wvu.Cols" localSheetId="17" hidden="1">'7 - Cap Add WS '!$Q:$AB</x:definedName>
    <x:definedName name="Z_71B42B22_A376_44B5_B0C1_23FC1AA3DBA2_.wvu.PrintTitles" localSheetId="17" hidden="1">'7 - Cap Add WS '!$C:$D</x:definedName>
    <x:definedName name="Z_B647CB7F_C846_4278_B6B1_1EF7F3C004F5_.wvu.Cols" localSheetId="17" hidden="1">'7 - Cap Add WS '!$Q:$AB</x:definedName>
    <x:definedName name="Z_B647CB7F_C846_4278_B6B1_1EF7F3C004F5_.wvu.PrintTitles" localSheetId="17" hidden="1">'7 - Cap Add WS '!$C:$D</x:definedName>
    <x:definedName name="Z_DC91DEF3_837B_4BB9_A81E_3B78C5914E6C_.wvu.Cols" localSheetId="17" hidden="1">'7 - Cap Add WS '!$Q:$AB</x:definedName>
    <x:definedName name="Z_DC91DEF3_837B_4BB9_A81E_3B78C5914E6C_.wvu.PrintTitles" localSheetId="17" hidden="1">'7 - Cap Add WS '!$C:$D</x:definedName>
    <x:definedName name="Z_E6D9E970_926F_4F3B_8D36_41EB74ECFD6A_.wvu.PrintArea" localSheetId="14" hidden="1">'6 - Project Rev Req'!$A$1:$Q$90</x:definedName>
    <x:definedName name="Z_E6D9E970_926F_4F3B_8D36_41EB74ECFD6A_.wvu.Rows" localSheetId="11" hidden="1">'5 - Cost Support 1'!#REF!</x:definedName>
    <x:definedName name="Z_F04A2B9A_C6FE_4FEB_AD1E_2CF9AC309BE4_.wvu.PrintArea" localSheetId="14" hidden="1">'6 - Project Rev Req'!$A$1:$Q$86</x:definedName>
    <x:definedName name="Z_F04A2B9A_C6FE_4FEB_AD1E_2CF9AC309BE4_.wvu.PrintArea" localSheetId="15" hidden="1">'6A - Project True-up'!$A$1:$L$18</x:definedName>
    <x:definedName name="Z_F04A2B9A_C6FE_4FEB_AD1E_2CF9AC309BE4_.wvu.PrintArea" localSheetId="19" hidden="1">'9 - Rate Base'!$A$1:$M$48</x:definedName>
    <x:definedName name="Z_F04A2B9A_C6FE_4FEB_AD1E_2CF9AC309BE4_.wvu.PrintArea" localSheetId="20" hidden="1">'9A - Gross Plant &amp; ARO'!$A$1:$O$25</x:definedName>
    <x:definedName name="Z_FAAD9AAC_1337_43AB_BF1F_CCF9DFCF5B78_.wvu.Cols" localSheetId="17" hidden="1">'7 - Cap Add WS '!$Q:$AB</x:definedName>
    <x:definedName name="Z_FAAD9AAC_1337_43AB_BF1F_CCF9DFCF5B78_.wvu.PrintTitles" localSheetId="17" hidden="1">'7 - Cap Add WS '!$C:$D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58" i="13" l="1"/>
  <x:c r="B52" i="14"/>
  <x:c r="G77" i="8"/>
  <x:c r="G79" i="8"/>
  <x:c r="J38" i="49"/>
  <x:c r="N178" i="49"/>
  <x:c r="J178" i="49"/>
  <x:c r="N143" i="49"/>
  <x:c r="J143" i="49"/>
  <x:c r="N108" i="49"/>
  <x:c r="J108" i="49"/>
  <x:c r="N73" i="49"/>
  <x:c r="J73" i="49"/>
  <x:c r="N38" i="49"/>
  <x:c r="J51" i="52" l="1"/>
  <x:c r="J49" i="52"/>
  <x:c r="D52" i="14" l="1"/>
  <x:c r="B12" i="5" l="1"/>
  <x:c r="B13" i="5" s="1"/>
  <x:c r="B14" i="5" s="1"/>
  <x:c r="B15" i="5" s="1"/>
  <x:c r="B21" i="5" s="1"/>
  <x:c r="B22" i="5" s="1"/>
  <x:c r="B23" i="5" s="1"/>
  <x:c r="B24" i="5" s="1"/>
  <x:c r="B25" i="5" s="1"/>
  <x:c r="B31" i="5" s="1"/>
  <x:c r="B40" i="5" s="1"/>
  <x:c r="B41" i="5" s="1"/>
  <x:c r="B42" i="5" s="1"/>
  <x:c r="B43" i="5" s="1"/>
  <x:c r="B44" i="5" s="1"/>
  <x:c r="B45" i="5" s="1"/>
  <x:c r="B46" i="5" s="1"/>
  <x:c r="B47" i="5" s="1"/>
  <x:c r="B48" i="5" s="1"/>
  <x:c r="B49" i="5" s="1"/>
  <x:c r="B50" i="5" s="1"/>
  <x:c r="B52" i="5" s="1"/>
  <x:c r="B54" i="5" s="1"/>
  <x:c r="B56" i="5" s="1"/>
  <x:c r="F164" i="1"/>
  <x:c r="F64" i="1"/>
  <x:c r="F58" i="1"/>
  <x:c r="P25" i="31" l="1"/>
  <x:c r="P26" i="31"/>
  <x:c r="C362" i="1" l="1"/>
  <x:c r="E22" i="50" l="1"/>
  <x:c r="L14" i="52"/>
  <x:c r="I142" i="50"/>
  <x:c r="H142" i="50"/>
  <x:c r="G142" i="50"/>
  <x:c r="F142" i="50"/>
  <x:c r="I141" i="50"/>
  <x:c r="H141" i="50"/>
  <x:c r="G141" i="50"/>
  <x:c r="F141" i="50"/>
  <x:c r="I73" i="50"/>
  <x:c r="H73" i="50"/>
  <x:c r="G73" i="50"/>
  <x:c r="F73" i="50"/>
  <x:c r="I72" i="50"/>
  <x:c r="H72" i="50"/>
  <x:c r="G72" i="50"/>
  <x:c r="F72" i="50"/>
  <x:c r="I70" i="50"/>
  <x:c r="H70" i="50"/>
  <x:c r="G70" i="50"/>
  <x:c r="F70" i="50"/>
  <x:c r="M17" i="53" l="1"/>
  <x:c r="M18" i="53"/>
  <x:c r="E338" i="1" l="1"/>
  <x:c r="B13" i="54" l="1"/>
  <x:c r="B14" i="54" s="1"/>
  <x:c r="B15" i="54" s="1"/>
  <x:c r="B16" i="54" s="1"/>
  <x:c r="B17" i="54" s="1"/>
  <x:c r="B18" i="54" s="1"/>
  <x:c r="B19" i="54" s="1"/>
  <x:c r="B20" i="54" s="1"/>
  <x:c r="B21" i="54" s="1"/>
  <x:c r="B22" i="54" s="1"/>
  <x:c r="B23" i="54" s="1"/>
  <x:c r="B24" i="54" s="1"/>
  <x:c r="B25" i="54" s="1"/>
  <x:c r="B26" i="54" s="1"/>
  <x:c r="B27" i="54" s="1"/>
  <x:c r="B28" i="54" s="1"/>
  <x:c r="B29" i="54" s="1"/>
  <x:c r="B30" i="54" s="1"/>
  <x:c r="B31" i="54" s="1"/>
  <x:c r="B32" i="54" s="1"/>
  <x:c r="B33" i="54" s="1"/>
  <x:c r="B34" i="54" s="1"/>
  <x:c r="B35" i="54" s="1"/>
  <x:c r="B36" i="54" s="1"/>
  <x:c r="B37" i="54" s="1"/>
  <x:c r="B38" i="54" s="1"/>
  <x:c r="B39" i="54" s="1"/>
  <x:c r="B40" i="54" s="1"/>
  <x:c r="B41" i="54" s="1"/>
  <x:c r="B42" i="54" s="1"/>
  <x:c r="B43" i="54" s="1"/>
  <x:c r="B44" i="54" s="1"/>
  <x:c r="B45" i="54" s="1"/>
  <x:c r="B46" i="54" s="1"/>
  <x:c r="B47" i="54" s="1"/>
  <x:c r="B48" i="54" s="1"/>
  <x:c r="B49" i="54" s="1"/>
  <x:c r="B50" i="54" s="1"/>
  <x:c r="B51" i="54" s="1"/>
  <x:c r="B52" i="54" s="1"/>
  <x:c r="B53" i="54" s="1"/>
  <x:c r="B54" i="54" s="1"/>
  <x:c r="B55" i="54" s="1"/>
  <x:c r="B56" i="54" s="1"/>
  <x:c r="B57" i="54" s="1"/>
  <x:c r="B58" i="54" s="1"/>
  <x:c r="B59" i="54" s="1"/>
  <x:c r="B60" i="54" s="1"/>
  <x:c r="B61" i="54" s="1"/>
  <x:c r="B62" i="54" s="1"/>
  <x:c r="B63" i="54" s="1"/>
  <x:c r="B64" i="54" s="1"/>
  <x:c r="B65" i="54" s="1"/>
  <x:c r="B66" i="54" s="1"/>
  <x:c r="B67" i="54" s="1"/>
  <x:c r="B68" i="54" s="1"/>
  <x:c r="B69" i="54" s="1"/>
  <x:c r="B70" i="54" s="1"/>
  <x:c r="B71" i="54" s="1"/>
  <x:c r="B72" i="54" s="1"/>
  <x:c r="B73" i="54" s="1"/>
  <x:c r="B74" i="54" s="1"/>
  <x:c r="B75" i="54" s="1"/>
  <x:c r="B76" i="54" s="1"/>
  <x:c r="B77" i="54" s="1"/>
  <x:c r="B78" i="54" s="1"/>
  <x:c r="B79" i="54" s="1"/>
  <x:c r="B80" i="54" s="1"/>
  <x:c r="B81" i="54" s="1"/>
  <x:c r="B82" i="54" s="1"/>
  <x:c r="B83" i="54" s="1"/>
  <x:c r="B84" i="54" s="1"/>
  <x:c r="B85" i="54" s="1"/>
  <x:c r="B86" i="54" s="1"/>
  <x:c r="B87" i="54" s="1"/>
  <x:c r="F85" i="54"/>
  <x:c r="F86" i="54" s="1"/>
  <x:c r="E136" i="50" l="1"/>
  <x:c r="E135" i="50"/>
  <x:c r="E136" i="51"/>
  <x:c r="E135" i="51"/>
  <x:c r="B88" i="54" l="1"/>
  <x:c r="B89" i="54" s="1"/>
  <x:c r="B90" i="54" s="1"/>
  <x:c r="B91" i="54" s="1"/>
  <x:c r="B92" i="54" s="1"/>
  <x:c r="B96" i="54" s="1"/>
  <x:c r="B97" i="54" s="1"/>
  <x:c r="B98" i="54" s="1"/>
  <x:c r="B99" i="54" s="1"/>
  <x:c r="B100" i="54" s="1"/>
  <x:c r="B101" i="54" s="1"/>
  <x:c r="B102" i="54" s="1"/>
  <x:c r="B103" i="54" s="1"/>
  <x:c r="B104" i="54" s="1"/>
  <x:c r="B105" i="54" s="1"/>
  <x:c r="B106" i="54" s="1"/>
  <x:c r="B107" i="54" s="1"/>
  <x:c r="B108" i="54" s="1"/>
  <x:c r="B109" i="54" s="1"/>
  <x:c r="B110" i="54" s="1"/>
  <x:c r="B111" i="54" s="1"/>
  <x:c r="B112" i="54" s="1"/>
  <x:c r="B115" i="54" s="1"/>
  <x:c r="B116" i="54" s="1"/>
  <x:c r="B117" i="54" s="1"/>
  <x:c r="B118" i="54" s="1"/>
  <x:c r="B119" i="54" s="1"/>
  <x:c r="B120" i="54" s="1"/>
  <x:c r="B121" i="54" s="1"/>
  <x:c r="B122" i="54" s="1"/>
  <x:c r="B123" i="54" s="1"/>
  <x:c r="B124" i="54" s="1"/>
  <x:c r="B125" i="54" s="1"/>
  <x:c r="B126" i="54" s="1"/>
  <x:c r="B127" i="54" s="1"/>
  <x:c r="B128" i="54" s="1"/>
  <x:c r="B129" i="54" s="1"/>
  <x:c r="B130" i="54" s="1"/>
  <x:c r="B131" i="54" s="1"/>
  <x:c r="B132" i="54" s="1"/>
  <x:c r="B133" i="54" s="1"/>
  <x:c r="B134" i="54" s="1"/>
  <x:c r="B135" i="54" s="1"/>
  <x:c r="B136" i="54" s="1"/>
  <x:c r="B137" i="54" s="1"/>
  <x:c r="B138" i="54" s="1"/>
  <x:c r="B139" i="54" s="1"/>
  <x:c r="B140" i="54" s="1"/>
  <x:c r="B141" i="54" s="1"/>
  <x:c r="B142" i="54" s="1"/>
  <x:c r="B143" i="54" s="1"/>
  <x:c r="B144" i="54" s="1"/>
  <x:c r="B145" i="54" s="1"/>
  <x:c r="B146" i="54" s="1"/>
  <x:c r="B147" i="54" s="1"/>
  <x:c r="B148" i="54" s="1"/>
  <x:c r="B149" i="54" s="1"/>
  <x:c r="B150" i="54" s="1"/>
  <x:c r="B151" i="54" s="1"/>
  <x:c r="B152" i="54" s="1"/>
  <x:c r="B153" i="54" s="1"/>
  <x:c r="B154" i="54" s="1"/>
  <x:c r="B155" i="54" s="1"/>
  <x:c r="B156" i="54" s="1"/>
  <x:c r="B157" i="54" s="1"/>
  <x:c r="B158" i="54" s="1"/>
  <x:c r="B159" i="54" s="1"/>
  <x:c r="B160" i="54" s="1"/>
  <x:c r="B161" i="54" s="1"/>
  <x:c r="B162" i="54" s="1"/>
  <x:c r="B163" i="54" s="1"/>
  <x:c r="B164" i="54" s="1"/>
  <x:c r="B165" i="54" s="1"/>
  <x:c r="B166" i="54" s="1"/>
  <x:c r="B167" i="54" s="1"/>
  <x:c r="B168" i="54" s="1"/>
  <x:c r="B169" i="54" s="1"/>
  <x:c r="B170" i="54" s="1"/>
  <x:c r="B171" i="54" s="1"/>
  <x:c r="B173" i="54" s="1"/>
  <x:c r="O86" i="54" l="1"/>
  <x:c r="L86" i="54"/>
  <x:c r="M86" i="54" s="1"/>
  <x:c r="I86" i="54"/>
  <x:c r="G86" i="54"/>
  <x:c r="L85" i="54"/>
  <x:c r="M85" i="54" s="1"/>
  <x:c r="O85" i="54"/>
  <x:c r="I85" i="54"/>
  <x:c r="P86" i="54" l="1"/>
  <x:c r="P85" i="54"/>
  <x:c r="J86" i="54"/>
  <x:c r="R86" i="54" s="1"/>
  <x:c r="G85" i="54"/>
  <x:c r="J85" i="54" s="1"/>
  <x:c r="R85" i="54" s="1"/>
  <x:c r="X85" i="54" s="1"/>
  <x:c r="AF85" i="54" s="1"/>
  <x:c r="T86" i="54" l="1"/>
  <x:c r="X86" i="54" s="1"/>
  <x:c r="AF86" i="54" s="1"/>
  <x:c r="E89" i="50" l="1"/>
  <x:c r="E89" i="51"/>
  <x:c r="E23" i="32" l="1"/>
  <x:c r="E21" i="33"/>
  <x:c r="S106" i="9" l="1"/>
  <x:c r="R106" i="9"/>
  <x:c r="Q106" i="9"/>
  <x:c r="P106" i="9"/>
  <x:c r="O106" i="9"/>
  <x:c r="N106" i="9"/>
  <x:c r="M106" i="9"/>
  <x:c r="L106" i="9"/>
  <x:c r="K106" i="9"/>
  <x:c r="J106" i="9"/>
  <x:c r="I106" i="9"/>
  <x:c r="H106" i="9"/>
  <x:c r="G106" i="9"/>
  <x:c r="G223" i="9" l="1"/>
  <x:c r="I145" i="9" l="1"/>
  <x:c r="J27" i="33" l="1"/>
  <x:c r="E27" i="33"/>
  <x:c r="G229" i="9" s="1"/>
  <x:c r="C360" i="1"/>
  <x:c r="K30" i="13" l="1"/>
  <x:c r="E209" i="50"/>
  <x:c r="F212" i="50"/>
  <x:c r="G212" i="50"/>
  <x:c r="H212" i="50"/>
  <x:c r="I212" i="50"/>
  <x:c r="E209" i="51" l="1"/>
  <x:c r="F212" i="51"/>
  <x:c r="G212" i="51"/>
  <x:c r="H212" i="51"/>
  <x:c r="I212" i="51"/>
  <x:c r="E88" i="51"/>
  <x:c r="E5" i="52"/>
  <x:c r="E23" i="57" l="1"/>
  <x:c r="BA23" i="57" s="1"/>
  <x:c r="AC23" i="57" l="1"/>
  <x:c r="AG23" i="57"/>
  <x:c r="AK23" i="57"/>
  <x:c r="I23" i="57"/>
  <x:c r="AO23" i="57"/>
  <x:c r="Y23" i="57"/>
  <x:c r="M23" i="57"/>
  <x:c r="AS23" i="57"/>
  <x:c r="Q23" i="57"/>
  <x:c r="AW23" i="57"/>
  <x:c r="U23" i="57"/>
  <x:c r="N30" i="49"/>
  <x:c r="J86" i="52"/>
  <x:c r="J84" i="52"/>
  <x:c r="J71" i="52"/>
  <x:c r="J67" i="52"/>
  <x:c r="N11" i="18" l="1"/>
  <x:c r="J223" i="9" l="1"/>
  <x:c r="J221" i="9"/>
  <x:c r="J219" i="9"/>
  <x:c r="G10" i="33" l="1"/>
  <x:c r="G11" i="33"/>
  <x:c r="H229" i="9" l="1"/>
  <x:c r="G58" i="9"/>
  <x:c r="H50" i="9"/>
  <x:c r="H52" i="9" s="1"/>
  <x:c r="G52" i="9"/>
  <x:c r="G50" i="9"/>
  <x:c r="C58" i="13" l="1"/>
  <x:c r="E63" i="13" l="1"/>
  <x:c r="D50" i="14"/>
  <x:c r="D51" i="14"/>
  <x:c r="B38" i="14"/>
  <x:c r="C38" i="14"/>
  <x:c r="B39" i="14"/>
  <x:c r="C39" i="14"/>
  <x:c r="B40" i="14"/>
  <x:c r="C40" i="14"/>
  <x:c r="B41" i="14"/>
  <x:c r="C41" i="14"/>
  <x:c r="B42" i="14"/>
  <x:c r="C42" i="14"/>
  <x:c r="B43" i="14"/>
  <x:c r="C43" i="14"/>
  <x:c r="B44" i="14"/>
  <x:c r="C44" i="14"/>
  <x:c r="B45" i="14"/>
  <x:c r="C45" i="14"/>
  <x:c r="B46" i="14"/>
  <x:c r="C46" i="14"/>
  <x:c r="B47" i="14"/>
  <x:c r="C47" i="14"/>
  <x:c r="B48" i="14"/>
  <x:c r="C48" i="14"/>
  <x:c r="B49" i="14"/>
  <x:c r="C49" i="14"/>
  <x:c r="B50" i="14"/>
  <x:c r="B51" i="14"/>
  <x:c r="C37" i="14"/>
  <x:c r="B37" i="14"/>
  <x:c r="E88" i="50" l="1"/>
  <x:c r="F68" i="50"/>
  <x:c r="G68" i="50"/>
  <x:c r="H68" i="50"/>
  <x:c r="I68" i="50"/>
  <x:c r="F219" i="51"/>
  <x:c r="G219" i="51"/>
  <x:c r="H219" i="51"/>
  <x:c r="I219" i="51"/>
  <x:c r="F139" i="51"/>
  <x:c r="G139" i="51"/>
  <x:c r="H139" i="51"/>
  <x:c r="I139" i="51"/>
  <x:c r="G72" i="51"/>
  <x:c r="H72" i="51"/>
  <x:c r="I72" i="51"/>
  <x:c r="F72" i="51"/>
  <x:c r="V171" i="54"/>
  <x:c r="T171" i="54"/>
  <x:c r="N171" i="54"/>
  <x:c r="H171" i="54"/>
  <x:c r="F112" i="54"/>
  <x:c r="H112" i="54"/>
  <x:c r="N112" i="54"/>
  <x:c r="T112" i="54"/>
  <x:c r="V112" i="54"/>
  <x:c r="T92" i="54"/>
  <x:c r="N92" i="54"/>
  <x:c r="H92" i="54"/>
  <x:c r="F92" i="54"/>
  <x:c r="K12" i="18" l="1"/>
  <x:c r="L12" i="18"/>
  <x:c r="M12" i="18"/>
  <x:c r="N12" i="18"/>
  <x:c r="G70" i="51" l="1"/>
  <x:c r="H70" i="51"/>
  <x:c r="I70" i="51"/>
  <x:c r="G73" i="51"/>
  <x:c r="H73" i="51"/>
  <x:c r="I73" i="51"/>
  <x:c r="F73" i="51"/>
  <x:c r="F70" i="51"/>
  <x:c r="E43" i="51"/>
  <x:c r="E44" i="51"/>
  <x:c r="E45" i="51"/>
  <x:c r="E46" i="51"/>
  <x:c r="E47" i="51"/>
  <x:c r="E48" i="51"/>
  <x:c r="E49" i="51"/>
  <x:c r="E46" i="50" l="1"/>
  <x:c r="E47" i="50"/>
  <x:c r="E48" i="50"/>
  <x:c r="E49" i="50"/>
  <x:c r="I21" i="33" l="1"/>
  <x:c r="G21" i="33" l="1"/>
  <x:c r="G16" i="33"/>
  <x:c r="G15" i="33"/>
  <x:c r="Q230" i="9" l="1"/>
  <x:c r="F23" i="32" l="1"/>
  <x:c r="G23" i="33" l="1"/>
  <x:c r="I20" i="33"/>
  <x:c r="I18" i="33"/>
  <x:c r="G17" i="33"/>
  <x:c r="H14" i="33"/>
  <x:c r="H27" i="33" s="1"/>
  <x:c r="G12" i="33"/>
  <x:c r="R229" i="9" l="1"/>
  <x:c r="H139" i="50" l="1"/>
  <x:c r="E38" i="50"/>
  <x:c r="E39" i="50"/>
  <x:c r="E40" i="50"/>
  <x:c r="E41" i="50"/>
  <x:c r="E42" i="50"/>
  <x:c r="E43" i="50"/>
  <x:c r="E44" i="50"/>
  <x:c r="E45" i="50"/>
  <x:c r="E50" i="50"/>
  <x:c r="E51" i="50"/>
  <x:c r="E52" i="50"/>
  <x:c r="E53" i="50"/>
  <x:c r="E54" i="50"/>
  <x:c r="E55" i="50"/>
  <x:c r="E56" i="50"/>
  <x:c r="E57" i="50"/>
  <x:c r="E58" i="50"/>
  <x:c r="E59" i="50"/>
  <x:c r="E60" i="50"/>
  <x:c r="E61" i="50"/>
  <x:c r="E62" i="50"/>
  <x:c r="E63" i="50"/>
  <x:c r="E64" i="50"/>
  <x:c r="E65" i="50"/>
  <x:c r="E66" i="50"/>
  <x:c r="E67" i="50"/>
  <x:c r="H141" i="51"/>
  <x:c r="G142" i="51"/>
  <x:c r="H142" i="51"/>
  <x:c r="I142" i="51"/>
  <x:c r="F142" i="51"/>
  <x:c r="G141" i="51"/>
  <x:c r="I141" i="51"/>
  <x:c r="F141" i="51"/>
  <x:c r="E40" i="51"/>
  <x:c r="E41" i="51"/>
  <x:c r="E42" i="51"/>
  <x:c r="E50" i="51"/>
  <x:c r="E51" i="51"/>
  <x:c r="E52" i="51"/>
  <x:c r="E53" i="51"/>
  <x:c r="E54" i="51"/>
  <x:c r="E55" i="51"/>
  <x:c r="E56" i="51"/>
  <x:c r="E57" i="51"/>
  <x:c r="E58" i="51"/>
  <x:c r="E59" i="51"/>
  <x:c r="L90" i="54"/>
  <x:c r="L12" i="54"/>
  <x:c r="L170" i="54"/>
  <x:c r="H146" i="50" l="1"/>
  <x:c r="H17" i="1" l="1"/>
  <x:c r="H13" i="1"/>
  <x:c r="H22" i="1" l="1"/>
  <x:c r="H24" i="1" l="1"/>
  <x:c r="E144" i="51"/>
  <x:c r="E143" i="51"/>
  <x:c r="E138" i="51"/>
  <x:c r="E137" i="51"/>
  <x:c r="E134" i="51"/>
  <x:c r="E133" i="51"/>
  <x:c r="E132" i="51"/>
  <x:c r="E141" i="50"/>
  <x:c r="E144" i="50"/>
  <x:c r="E143" i="50"/>
  <x:c r="E138" i="50"/>
  <x:c r="E137" i="50"/>
  <x:c r="E134" i="50"/>
  <x:c r="E133" i="50"/>
  <x:c r="E132" i="50"/>
  <x:c r="E139" i="51" l="1"/>
  <x:c r="E141" i="51"/>
  <x:c r="E142" i="51"/>
  <x:c r="E142" i="50"/>
  <x:c r="U97" i="9" l="1"/>
  <x:c r="U98" i="9" s="1"/>
  <x:c r="U99" i="9" s="1"/>
  <x:c r="U100" i="9" s="1"/>
  <x:c r="U101" i="9" s="1"/>
  <x:c r="U103" i="9" l="1"/>
  <x:c r="U102" i="9"/>
  <x:c r="T117" i="9"/>
  <x:c r="Y117" i="9" s="1"/>
  <x:c r="T118" i="9"/>
  <x:c r="Y118" i="9" s="1"/>
  <x:c r="T119" i="9"/>
  <x:c r="Y119" i="9" s="1"/>
  <x:c r="T120" i="9"/>
  <x:c r="Y120" i="9" s="1"/>
  <x:c r="T121" i="9"/>
  <x:c r="Y121" i="9" s="1"/>
  <x:c r="T122" i="9"/>
  <x:c r="Y122" i="9" s="1"/>
  <x:c r="T123" i="9"/>
  <x:c r="Y123" i="9" s="1"/>
  <x:c r="T124" i="9"/>
  <x:c r="Y124" i="9" s="1"/>
  <x:c r="T125" i="9"/>
  <x:c r="Y125" i="9" s="1"/>
  <x:c r="T126" i="9"/>
  <x:c r="Y126" i="9" s="1"/>
  <x:c r="T127" i="9"/>
  <x:c r="Y127" i="9" s="1"/>
  <x:c r="T128" i="9"/>
  <x:c r="Y128" i="9" s="1"/>
  <x:c r="T129" i="9"/>
  <x:c r="Y129" i="9" s="1"/>
  <x:c r="T130" i="9"/>
  <x:c r="Y130" i="9" s="1"/>
  <x:c r="T131" i="9"/>
  <x:c r="Y131" i="9" s="1"/>
  <x:c r="T132" i="9"/>
  <x:c r="AB132" i="9" s="1"/>
  <x:c r="H158" i="1" l="1"/>
  <x:c r="E211" i="51" l="1"/>
  <x:c r="E210" i="51"/>
  <x:c r="E208" i="51"/>
  <x:c r="E207" i="51"/>
  <x:c r="E206" i="51"/>
  <x:c r="E205" i="51"/>
  <x:c r="E204" i="51"/>
  <x:c r="E203" i="51"/>
  <x:c r="E202" i="51"/>
  <x:c r="E159" i="51"/>
  <x:c r="E72" i="51"/>
  <x:c r="E71" i="51"/>
  <x:c r="E67" i="51"/>
  <x:c r="E66" i="51"/>
  <x:c r="E65" i="51"/>
  <x:c r="E64" i="51"/>
  <x:c r="E63" i="51"/>
  <x:c r="E62" i="51"/>
  <x:c r="E61" i="51"/>
  <x:c r="E60" i="51"/>
  <x:c r="E39" i="51"/>
  <x:c r="E38" i="51"/>
  <x:c r="E37" i="51"/>
  <x:c r="E36" i="51"/>
  <x:c r="E73" i="51" l="1"/>
  <x:c r="E70" i="51"/>
  <x:c r="K58" i="12"/>
  <x:c r="K59" i="12"/>
  <x:c r="K57" i="12"/>
  <x:c r="K56" i="12"/>
  <x:c r="K55" i="12"/>
  <x:c r="K54" i="12"/>
  <x:c r="K53" i="12"/>
  <x:c r="K52" i="12"/>
  <x:c r="K51" i="12"/>
  <x:c r="K50" i="12"/>
  <x:c r="K49" i="12"/>
  <x:c r="K48" i="12"/>
  <x:c r="K47" i="12"/>
  <x:c r="M59" i="12"/>
  <x:c r="M58" i="12"/>
  <x:c r="M57" i="12"/>
  <x:c r="M56" i="12"/>
  <x:c r="M55" i="12"/>
  <x:c r="M54" i="12"/>
  <x:c r="M53" i="12"/>
  <x:c r="M52" i="12"/>
  <x:c r="M51" i="12"/>
  <x:c r="M50" i="12"/>
  <x:c r="M49" i="12"/>
  <x:c r="M48" i="12"/>
  <x:c r="M47" i="12"/>
  <x:c r="E59" i="12"/>
  <x:c r="E58" i="12"/>
  <x:c r="E57" i="12"/>
  <x:c r="E56" i="12"/>
  <x:c r="E55" i="12"/>
  <x:c r="E54" i="12"/>
  <x:c r="E53" i="12"/>
  <x:c r="E52" i="12"/>
  <x:c r="E50" i="12"/>
  <x:c r="E49" i="12"/>
  <x:c r="E48" i="12"/>
  <x:c r="E47" i="12"/>
  <x:c r="P23" i="31" l="1"/>
  <x:c r="P22" i="31"/>
  <x:c r="I52" i="9" l="1"/>
  <x:c r="I50" i="9"/>
  <x:c r="I23" i="9"/>
  <x:c r="E305" i="50" l="1"/>
  <x:c r="E278" i="50" l="1"/>
  <x:c r="I13" i="33"/>
  <x:c r="G13" i="33" l="1"/>
  <x:c r="G27" i="33" s="1"/>
  <x:c r="I27" i="33"/>
  <x:c r="I239" i="9"/>
  <x:c r="I238" i="9"/>
  <x:c r="I235" i="9"/>
  <x:c r="G15" i="57" l="1"/>
  <x:c r="F15" i="57"/>
  <x:c r="G10" i="57"/>
  <x:c r="F10" i="57"/>
  <x:c r="G9" i="57"/>
  <x:c r="F9" i="57"/>
  <x:c r="BF74" i="57"/>
  <x:c r="BG73" i="57"/>
  <x:c r="D68" i="57" s="1"/>
  <x:c r="D70" i="57" s="1"/>
  <x:c r="D72" i="57" s="1"/>
  <x:c r="C68" i="57" s="1"/>
  <x:c r="C70" i="57" s="1"/>
  <x:c r="C72" i="57" s="1"/>
  <x:c r="D67" i="57" s="1"/>
  <x:c r="D69" i="57" s="1"/>
  <x:c r="D71" i="57" s="1"/>
  <x:c r="C67" i="57" s="1"/>
  <x:c r="C69" i="57" s="1"/>
  <x:c r="C71" i="57" s="1"/>
  <x:c r="A67" i="57" s="1"/>
  <x:c r="A68" i="57" s="1"/>
  <x:c r="A69" i="57" s="1"/>
  <x:c r="A70" i="57" s="1"/>
  <x:c r="A71" i="57" s="1"/>
  <x:c r="A72" i="57" s="1"/>
  <x:c r="A73" i="57" s="1"/>
  <x:c r="A74" i="57" s="1"/>
  <x:c r="A75" i="57" s="1"/>
  <x:c r="A30" i="57"/>
  <x:c r="BA29" i="57"/>
  <x:c r="AW29" i="57"/>
  <x:c r="AS29" i="57"/>
  <x:c r="AO29" i="57"/>
  <x:c r="AK29" i="57"/>
  <x:c r="AL67" i="57" s="1"/>
  <x:c r="AL68" i="57" s="1"/>
  <x:c r="AG29" i="57"/>
  <x:c r="AC29" i="57"/>
  <x:c r="Y29" i="57"/>
  <x:c r="Z69" i="57" s="1"/>
  <x:c r="Z70" i="57" s="1"/>
  <x:c r="Q29" i="57"/>
  <x:c r="R69" i="57" s="1"/>
  <x:c r="R70" i="57" s="1"/>
  <x:c r="M29" i="57"/>
  <x:c r="I29" i="57"/>
  <x:c r="J69" i="57" s="1"/>
  <x:c r="J70" i="57" s="1"/>
  <x:c r="E29" i="57"/>
  <x:c r="U28" i="57"/>
  <x:c r="C98" i="19"/>
  <x:c r="U29" i="57" l="1"/>
  <x:c r="E51" i="12"/>
  <x:c r="V71" i="57"/>
  <x:c r="V72" i="57" s="1"/>
  <x:c r="V69" i="57"/>
  <x:c r="V70" i="57" s="1"/>
  <x:c r="V67" i="57"/>
  <x:c r="V68" i="57" s="1"/>
  <x:c r="AH71" i="57"/>
  <x:c r="AH72" i="57" s="1"/>
  <x:c r="AH67" i="57"/>
  <x:c r="AH68" i="57" s="1"/>
  <x:c r="N67" i="57"/>
  <x:c r="N68" i="57" s="1"/>
  <x:c r="J71" i="57"/>
  <x:c r="J72" i="57" s="1"/>
  <x:c r="J67" i="57"/>
  <x:c r="J68" i="57" s="1"/>
  <x:c r="AP71" i="57"/>
  <x:c r="AP72" i="57" s="1"/>
  <x:c r="AP67" i="57"/>
  <x:c r="AP68" i="57" s="1"/>
  <x:c r="AH69" i="57"/>
  <x:c r="AH70" i="57" s="1"/>
  <x:c r="F71" i="57"/>
  <x:c r="F72" i="57" s="1"/>
  <x:c r="F69" i="57"/>
  <x:c r="F70" i="57" s="1"/>
  <x:c r="AL71" i="57"/>
  <x:c r="AL72" i="57" s="1"/>
  <x:c r="AL69" i="57"/>
  <x:c r="AL70" i="57" s="1"/>
  <x:c r="N71" i="57"/>
  <x:c r="N72" i="57" s="1"/>
  <x:c r="N69" i="57"/>
  <x:c r="N70" i="57" s="1"/>
  <x:c r="R71" i="57"/>
  <x:c r="R72" i="57" s="1"/>
  <x:c r="R67" i="57"/>
  <x:c r="R68" i="57" s="1"/>
  <x:c r="AX71" i="57"/>
  <x:c r="AX72" i="57" s="1"/>
  <x:c r="AX67" i="57"/>
  <x:c r="AX68" i="57" s="1"/>
  <x:c r="AP69" i="57"/>
  <x:c r="AP70" i="57" s="1"/>
  <x:c r="AD71" i="57"/>
  <x:c r="AD72" i="57" s="1"/>
  <x:c r="AD69" i="57"/>
  <x:c r="AD70" i="57" s="1"/>
  <x:c r="AD67" i="57"/>
  <x:c r="AD68" i="57" s="1"/>
  <x:c r="AT67" i="57"/>
  <x:c r="AT68" i="57" s="1"/>
  <x:c r="AT71" i="57"/>
  <x:c r="AT72" i="57" s="1"/>
  <x:c r="AT69" i="57"/>
  <x:c r="AT70" i="57" s="1"/>
  <x:c r="BB67" i="57"/>
  <x:c r="BB68" i="57" s="1"/>
  <x:c r="BB71" i="57"/>
  <x:c r="BB72" i="57" s="1"/>
  <x:c r="BB69" i="57"/>
  <x:c r="BB70" i="57" s="1"/>
  <x:c r="AX69" i="57"/>
  <x:c r="AX70" i="57" s="1"/>
  <x:c r="Z71" i="57"/>
  <x:c r="Z72" i="57" s="1"/>
  <x:c r="Z67" i="57"/>
  <x:c r="Z68" i="57" s="1"/>
  <x:c r="F67" i="57"/>
  <x:c r="F68" i="57" s="1"/>
  <x:c r="H53" i="12" l="1"/>
  <x:c r="H48" i="12" l="1"/>
  <x:c r="H47" i="12"/>
  <x:c r="H50" i="12"/>
  <x:c r="H55" i="12"/>
  <x:c r="H49" i="12"/>
  <x:c r="H58" i="12"/>
  <x:c r="H57" i="12"/>
  <x:c r="I221" i="9"/>
  <x:c r="I224" i="9"/>
  <x:c r="I223" i="9"/>
  <x:c r="M11" i="18" s="1"/>
  <x:c r="I222" i="9"/>
  <x:c r="L11" i="18" s="1"/>
  <x:c r="I220" i="9"/>
  <x:c r="I219" i="9"/>
  <x:c r="H51" i="18"/>
  <x:c r="G51" i="18"/>
  <x:c r="G33" i="9" l="1"/>
  <x:c r="K11" i="18"/>
  <x:c r="H52" i="12"/>
  <x:c r="H54" i="12"/>
  <x:c r="H56" i="12"/>
  <x:c r="H59" i="12"/>
  <x:c r="F166" i="49"/>
  <x:c r="F165" i="49" s="1"/>
  <x:c r="F164" i="49" s="1"/>
  <x:c r="F163" i="49" s="1"/>
  <x:c r="F162" i="49" s="1"/>
  <x:c r="F161" i="49" s="1"/>
  <x:c r="F131" i="49"/>
  <x:c r="F130" i="49" s="1"/>
  <x:c r="F129" i="49" s="1"/>
  <x:c r="F128" i="49" s="1"/>
  <x:c r="F127" i="49" s="1"/>
  <x:c r="F126" i="49" s="1"/>
  <x:c r="F96" i="49"/>
  <x:c r="F95" i="49" s="1"/>
  <x:c r="F94" i="49" s="1"/>
  <x:c r="F93" i="49" s="1"/>
  <x:c r="F92" i="49" s="1"/>
  <x:c r="F91" i="49" s="1"/>
  <x:c r="F61" i="49"/>
  <x:c r="F60" i="49" s="1"/>
  <x:c r="F59" i="49" s="1"/>
  <x:c r="F58" i="49" s="1"/>
  <x:c r="F57" i="49" s="1"/>
  <x:c r="F56" i="49" s="1"/>
  <x:c r="F26" i="49"/>
  <x:c r="F25" i="49" s="1"/>
  <x:c r="F24" i="49" s="1"/>
  <x:c r="F23" i="49" s="1"/>
  <x:c r="F22" i="49" s="1"/>
  <x:c r="F21" i="49" s="1"/>
  <x:c r="N174" i="49"/>
  <x:c r="J174" i="49"/>
  <x:c r="N170" i="49"/>
  <x:c r="J170" i="49"/>
  <x:c r="N154" i="49"/>
  <x:c r="J154" i="49"/>
  <x:c r="N152" i="49"/>
  <x:c r="J152" i="49"/>
  <x:c r="N139" i="49"/>
  <x:c r="N135" i="49"/>
  <x:c r="J139" i="49"/>
  <x:c r="J135" i="49"/>
  <x:c r="N119" i="49"/>
  <x:c r="N117" i="49"/>
  <x:c r="J119" i="49"/>
  <x:c r="J117" i="49"/>
  <x:c r="N104" i="49"/>
  <x:c r="J104" i="49"/>
  <x:c r="N100" i="49"/>
  <x:c r="J100" i="49"/>
  <x:c r="N84" i="49"/>
  <x:c r="N82" i="49"/>
  <x:c r="J84" i="49"/>
  <x:c r="J82" i="49"/>
  <x:c r="N69" i="49"/>
  <x:c r="J69" i="49"/>
  <x:c r="N65" i="49"/>
  <x:c r="J65" i="49"/>
  <x:c r="N49" i="49"/>
  <x:c r="N47" i="49"/>
  <x:c r="J49" i="49"/>
  <x:c r="J47" i="49"/>
  <x:c r="N34" i="49"/>
  <x:c r="J34" i="49"/>
  <x:c r="J30" i="49"/>
  <x:c r="E73" i="50"/>
  <x:c r="E72" i="50"/>
  <x:c r="E71" i="50"/>
  <x:c r="E70" i="50"/>
  <x:c r="E305" i="51"/>
  <x:c r="E278" i="51"/>
  <x:c r="F146" i="51"/>
  <x:c r="E94" i="51"/>
  <x:c r="F94" i="51"/>
  <x:c r="G94" i="51"/>
  <x:c r="H94" i="51"/>
  <x:c r="I94" i="51"/>
  <x:c r="F322" i="51"/>
  <x:c r="G321" i="51"/>
  <x:c r="H320" i="51"/>
  <x:c r="I319" i="51"/>
  <x:c r="F297" i="51"/>
  <x:c r="G296" i="51"/>
  <x:c r="H295" i="51"/>
  <x:c r="I294" i="51"/>
  <x:c r="F251" i="51"/>
  <x:c r="G250" i="51"/>
  <x:c r="H249" i="51"/>
  <x:c r="I248" i="51"/>
  <x:c r="F224" i="51"/>
  <x:c r="G223" i="51"/>
  <x:c r="H222" i="51"/>
  <x:c r="I221" i="51"/>
  <x:c r="F175" i="51"/>
  <x:c r="G174" i="51"/>
  <x:c r="H173" i="51"/>
  <x:c r="I172" i="51"/>
  <x:c r="F151" i="51"/>
  <x:c r="G150" i="51"/>
  <x:c r="H149" i="51"/>
  <x:c r="I148" i="51"/>
  <x:c r="I103" i="51"/>
  <x:c r="H104" i="51"/>
  <x:c r="G105" i="51"/>
  <x:c r="F106" i="51"/>
  <x:c r="I68" i="51"/>
  <x:c r="H68" i="51"/>
  <x:c r="G68" i="51"/>
  <x:c r="F68" i="51"/>
  <x:c r="R67" i="52"/>
  <x:c r="F217" i="52"/>
  <x:c r="F216" i="52" s="1"/>
  <x:c r="F215" i="52" s="1"/>
  <x:c r="F214" i="52" s="1"/>
  <x:c r="F213" i="52" s="1"/>
  <x:c r="F212" i="52" s="1"/>
  <x:c r="F182" i="52"/>
  <x:c r="F181" i="52" s="1"/>
  <x:c r="F180" i="52" s="1"/>
  <x:c r="F179" i="52" s="1"/>
  <x:c r="F178" i="52" s="1"/>
  <x:c r="F177" i="52" s="1"/>
  <x:c r="F147" i="52"/>
  <x:c r="F146" i="52" s="1"/>
  <x:c r="F145" i="52" s="1"/>
  <x:c r="F144" i="52" s="1"/>
  <x:c r="F143" i="52" s="1"/>
  <x:c r="F142" i="52" s="1"/>
  <x:c r="F98" i="52"/>
  <x:c r="F97" i="52" s="1"/>
  <x:c r="F96" i="52" s="1"/>
  <x:c r="F95" i="52" s="1"/>
  <x:c r="F94" i="52" s="1"/>
  <x:c r="F93" i="52" s="1"/>
  <x:c r="F63" i="52"/>
  <x:c r="F62" i="52" s="1"/>
  <x:c r="F61" i="52" s="1"/>
  <x:c r="F60" i="52" s="1"/>
  <x:c r="F59" i="52" s="1"/>
  <x:c r="F58" i="52" s="1"/>
  <x:c r="F28" i="52"/>
  <x:c r="F27" i="52" s="1"/>
  <x:c r="F26" i="52" s="1"/>
  <x:c r="F25" i="52" s="1"/>
  <x:c r="F24" i="52" s="1"/>
  <x:c r="F23" i="52" s="1"/>
  <x:c r="N225" i="52"/>
  <x:c r="J225" i="52"/>
  <x:c r="N221" i="52"/>
  <x:c r="J221" i="52"/>
  <x:c r="N205" i="52"/>
  <x:c r="J205" i="52"/>
  <x:c r="N203" i="52"/>
  <x:c r="J203" i="52"/>
  <x:c r="N190" i="52"/>
  <x:c r="J190" i="52"/>
  <x:c r="N186" i="52"/>
  <x:c r="J186" i="52"/>
  <x:c r="N170" i="52"/>
  <x:c r="J170" i="52"/>
  <x:c r="N168" i="52"/>
  <x:c r="J168" i="52"/>
  <x:c r="N155" i="52"/>
  <x:c r="J155" i="52"/>
  <x:c r="N151" i="52"/>
  <x:c r="J151" i="52"/>
  <x:c r="N135" i="52"/>
  <x:c r="N133" i="52"/>
  <x:c r="J135" i="52"/>
  <x:c r="J133" i="52"/>
  <x:c r="J106" i="52"/>
  <x:c r="J102" i="52"/>
  <x:c r="N106" i="52"/>
  <x:c r="N102" i="52"/>
  <x:c r="N86" i="52"/>
  <x:c r="N84" i="52"/>
  <x:c r="N71" i="52"/>
  <x:c r="N67" i="52"/>
  <x:c r="N51" i="52"/>
  <x:c r="N49" i="52"/>
  <x:c r="N36" i="52"/>
  <x:c r="N32" i="52"/>
  <x:c r="J36" i="52"/>
  <x:c r="J32" i="52"/>
  <x:c r="H51" i="12" l="1"/>
  <x:c r="E203" i="50"/>
  <x:c r="E159" i="50"/>
  <x:c r="E207" i="50"/>
  <x:c r="E210" i="50"/>
  <x:c r="E37" i="50"/>
  <x:c r="E205" i="50"/>
  <x:c r="E202" i="50"/>
  <x:c r="E206" i="50"/>
  <x:c r="E208" i="50"/>
  <x:c r="E211" i="50"/>
  <x:c r="E204" i="50"/>
  <x:c r="E36" i="50"/>
  <x:c r="H146" i="51"/>
  <x:c r="H152" i="51" s="1"/>
  <x:c r="I146" i="51"/>
  <x:c r="I152" i="51" s="1"/>
  <x:c r="G146" i="51"/>
  <x:c r="G152" i="51" s="1"/>
  <x:c r="E146" i="51"/>
  <x:c r="F152" i="51"/>
  <x:c r="E68" i="51"/>
  <x:c r="S55" i="53"/>
  <x:c r="S54" i="53"/>
  <x:c r="S53" i="53"/>
  <x:c r="S52" i="53"/>
  <x:c r="S37" i="53"/>
  <x:c r="S36" i="53"/>
  <x:c r="S35" i="53"/>
  <x:c r="S34" i="53"/>
  <x:c r="E68" i="50" l="1"/>
  <x:c r="BA67" i="57" l="1"/>
  <x:c r="AC67" i="57"/>
  <x:c r="U67" i="57" l="1"/>
  <x:c r="U68" i="57" s="1"/>
  <x:c r="W68" i="57" s="1"/>
  <x:c r="E67" i="57"/>
  <x:c r="AC68" i="57"/>
  <x:c r="AE68" i="57" s="1"/>
  <x:c r="AE67" i="57"/>
  <x:c r="BA68" i="57"/>
  <x:c r="BC68" i="57" s="1"/>
  <x:c r="BC67" i="57"/>
  <x:c r="W67" i="57" l="1"/>
  <x:c r="Y67" i="57"/>
  <x:c r="E68" i="57"/>
  <x:c r="G68" i="57" s="1"/>
  <x:c r="G67" i="57"/>
  <x:c r="BA69" i="57"/>
  <x:c r="AC69" i="57"/>
  <x:c r="U69" i="57"/>
  <x:c r="U107" i="9"/>
  <x:c r="AS67" i="57" l="1"/>
  <x:c r="Q67" i="57"/>
  <x:c r="AE69" i="57"/>
  <x:c r="AC70" i="57"/>
  <x:c r="AE70" i="57" s="1"/>
  <x:c r="AG67" i="57"/>
  <x:c r="AK67" i="57"/>
  <x:c r="I67" i="57"/>
  <x:c r="M67" i="57"/>
  <x:c r="BC69" i="57"/>
  <x:c r="BA70" i="57"/>
  <x:c r="BC70" i="57" s="1"/>
  <x:c r="AW67" i="57"/>
  <x:c r="E69" i="57"/>
  <x:c r="W69" i="57"/>
  <x:c r="U70" i="57"/>
  <x:c r="W70" i="57" s="1"/>
  <x:c r="AO67" i="57"/>
  <x:c r="Y68" i="57"/>
  <x:c r="AA68" i="57" s="1"/>
  <x:c r="AA67" i="57"/>
  <x:c r="AG68" i="57" l="1"/>
  <x:c r="AI68" i="57" s="1"/>
  <x:c r="AI67" i="57"/>
  <x:c r="G69" i="57"/>
  <x:c r="E70" i="57"/>
  <x:c r="G70" i="57" s="1"/>
  <x:c r="I68" i="57"/>
  <x:c r="K68" i="57" s="1"/>
  <x:c r="K67" i="57"/>
  <x:c r="U71" i="57"/>
  <x:c r="Y69" i="57"/>
  <x:c r="AW68" i="57"/>
  <x:c r="AY68" i="57" s="1"/>
  <x:c r="AY67" i="57"/>
  <x:c r="AK68" i="57"/>
  <x:c r="AM68" i="57" s="1"/>
  <x:c r="AM67" i="57"/>
  <x:c r="Q68" i="57"/>
  <x:c r="S68" i="57" s="1"/>
  <x:c r="S67" i="57"/>
  <x:c r="M68" i="57"/>
  <x:c r="O68" i="57" s="1"/>
  <x:c r="O67" i="57"/>
  <x:c r="AC71" i="57"/>
  <x:c r="BA71" i="57"/>
  <x:c r="AO68" i="57"/>
  <x:c r="AQ68" i="57" s="1"/>
  <x:c r="AQ67" i="57"/>
  <x:c r="AS68" i="57"/>
  <x:c r="AU68" i="57" s="1"/>
  <x:c r="AU67" i="57"/>
  <x:c r="I69" i="57" l="1"/>
  <x:c r="BC71" i="57"/>
  <x:c r="BA72" i="57"/>
  <x:c r="BC72" i="57" s="1"/>
  <x:c r="AE71" i="57"/>
  <x:c r="AC72" i="57"/>
  <x:c r="AE72" i="57" s="1"/>
  <x:c r="AW69" i="57"/>
  <x:c r="E71" i="57"/>
  <x:c r="AK69" i="57"/>
  <x:c r="AS69" i="57"/>
  <x:c r="M69" i="57"/>
  <x:c r="AA69" i="57"/>
  <x:c r="Y70" i="57"/>
  <x:c r="AA70" i="57" s="1"/>
  <x:c r="W71" i="57"/>
  <x:c r="U72" i="57"/>
  <x:c r="W72" i="57" s="1"/>
  <x:c r="AO69" i="57"/>
  <x:c r="Q69" i="57"/>
  <x:c r="AG69" i="57"/>
  <x:c r="P28" i="10"/>
  <x:c r="P27" i="10"/>
  <x:c r="P26" i="10"/>
  <x:c r="P25" i="10"/>
  <x:c r="P24" i="10"/>
  <x:c r="P23" i="10"/>
  <x:c r="P22" i="10"/>
  <x:c r="P21" i="10"/>
  <x:c r="P20" i="10"/>
  <x:c r="P19" i="10"/>
  <x:c r="P18" i="10"/>
  <x:c r="P17" i="10"/>
  <x:c r="P16" i="10"/>
  <x:c r="P15" i="10"/>
  <x:c r="P14" i="10"/>
  <x:c r="P13" i="10"/>
  <x:c r="P12" i="10"/>
  <x:c r="P11" i="10"/>
  <x:c r="P10" i="10"/>
  <x:c r="P9" i="10"/>
  <x:c r="P8" i="10"/>
  <x:c r="S69" i="57" l="1"/>
  <x:c r="Q70" i="57"/>
  <x:c r="S70" i="57" s="1"/>
  <x:c r="AU69" i="57"/>
  <x:c r="AS70" i="57"/>
  <x:c r="AU70" i="57" s="1"/>
  <x:c r="AM69" i="57"/>
  <x:c r="AK70" i="57"/>
  <x:c r="AM70" i="57" s="1"/>
  <x:c r="AY69" i="57"/>
  <x:c r="AW70" i="57"/>
  <x:c r="AY70" i="57" s="1"/>
  <x:c r="O69" i="57"/>
  <x:c r="M70" i="57"/>
  <x:c r="O70" i="57" s="1"/>
  <x:c r="AQ69" i="57"/>
  <x:c r="AO70" i="57"/>
  <x:c r="AQ70" i="57" s="1"/>
  <x:c r="Y71" i="57"/>
  <x:c r="AI69" i="57"/>
  <x:c r="AG70" i="57"/>
  <x:c r="AI70" i="57" s="1"/>
  <x:c r="G71" i="57"/>
  <x:c r="E72" i="57"/>
  <x:c r="G72" i="57" s="1"/>
  <x:c r="K69" i="57"/>
  <x:c r="I70" i="57"/>
  <x:c r="K70" i="57" s="1"/>
  <x:c r="E49" i="56"/>
  <x:c r="M71" i="57" l="1"/>
  <x:c r="AW71" i="57"/>
  <x:c r="AK71" i="57"/>
  <x:c r="Q71" i="57"/>
  <x:c r="Y72" i="57"/>
  <x:c r="AA72" i="57" s="1"/>
  <x:c r="AA71" i="57"/>
  <x:c r="AO71" i="57"/>
  <x:c r="AG71" i="57"/>
  <x:c r="AS71" i="57"/>
  <x:c r="I71" i="57"/>
  <x:c r="AG72" i="57" l="1"/>
  <x:c r="AI72" i="57" s="1"/>
  <x:c r="AI71" i="57"/>
  <x:c r="AM71" i="57"/>
  <x:c r="AK72" i="57"/>
  <x:c r="AM72" i="57" s="1"/>
  <x:c r="Q72" i="57"/>
  <x:c r="S72" i="57" s="1"/>
  <x:c r="S71" i="57"/>
  <x:c r="AU71" i="57"/>
  <x:c r="AS72" i="57"/>
  <x:c r="AU72" i="57" s="1"/>
  <x:c r="AO72" i="57"/>
  <x:c r="AQ72" i="57" s="1"/>
  <x:c r="AQ71" i="57"/>
  <x:c r="AW72" i="57"/>
  <x:c r="AY72" i="57" s="1"/>
  <x:c r="AY71" i="57"/>
  <x:c r="I72" i="57"/>
  <x:c r="K72" i="57" s="1"/>
  <x:c r="K71" i="57"/>
  <x:c r="O71" i="57"/>
  <x:c r="M72" i="57"/>
  <x:c r="O72" i="57" s="1"/>
  <x:c r="D50" i="34"/>
  <x:c r="D78" i="34" l="1"/>
  <x:c r="B16" i="52" l="1"/>
  <x:c r="B18" i="52" s="1"/>
  <x:c r="B14" i="49"/>
  <x:c r="B16" i="49" s="1"/>
  <x:c r="A1" i="18"/>
  <x:c r="A1" i="17"/>
  <x:c r="A1" i="14"/>
  <x:c r="A1" i="13"/>
  <x:c r="A1" i="12"/>
  <x:c r="I310" i="50"/>
  <x:c r="I317" i="50" s="1"/>
  <x:c r="E47" i="56"/>
  <x:c r="G89" i="9" l="1"/>
  <x:c r="H299" i="1" s="1"/>
  <x:c r="A1" i="55" l="1"/>
  <x:c r="C53" i="56" l="1"/>
  <x:c r="E52" i="56"/>
  <x:c r="A46" i="56"/>
  <x:c r="A44" i="56"/>
  <x:c r="A42" i="56"/>
  <x:c r="A40" i="56"/>
  <x:c r="C34" i="56"/>
  <x:c r="A27" i="56"/>
  <x:c r="L26" i="56"/>
  <x:c r="J26" i="56"/>
  <x:c r="H26" i="56"/>
  <x:c r="A25" i="56"/>
  <x:c r="M22" i="56"/>
  <x:c r="K22" i="56"/>
  <x:c r="I22" i="56"/>
  <x:c r="G22" i="56"/>
  <x:c r="E22" i="56"/>
  <x:c r="A19" i="56"/>
  <x:c r="M16" i="56"/>
  <x:c r="L16" i="56"/>
  <x:c r="K16" i="56"/>
  <x:c r="J16" i="56"/>
  <x:c r="I16" i="56"/>
  <x:c r="H16" i="56"/>
  <x:c r="G16" i="56"/>
  <x:c r="E16" i="56"/>
  <x:c r="A13" i="56"/>
  <x:c r="M11" i="56"/>
  <x:c r="K11" i="56"/>
  <x:c r="I11" i="56"/>
  <x:c r="G11" i="56"/>
  <x:c r="E11" i="56"/>
  <x:c r="M10" i="56"/>
  <x:c r="L10" i="56"/>
  <x:c r="K10" i="56"/>
  <x:c r="K30" i="56" s="1"/>
  <x:c r="K31" i="56" s="1"/>
  <x:c r="J10" i="56"/>
  <x:c r="I10" i="56"/>
  <x:c r="H10" i="56"/>
  <x:c r="G10" i="56"/>
  <x:c r="E10" i="56"/>
  <x:c r="A7" i="56"/>
  <x:c r="A19" i="55"/>
  <x:c r="G18" i="55"/>
  <x:c r="G17" i="55"/>
  <x:c r="G16" i="55"/>
  <x:c r="G15" i="55"/>
  <x:c r="G14" i="55"/>
  <x:c r="G13" i="55"/>
  <x:c r="G12" i="55"/>
  <x:c r="G11" i="55"/>
  <x:c r="D8" i="55"/>
  <x:c r="G7" i="55"/>
  <x:c r="G8" i="55" s="1"/>
  <x:c r="F325" i="1"/>
  <x:c r="F241" i="1"/>
  <x:c r="F240" i="1"/>
  <x:c r="F239" i="1"/>
  <x:c r="G30" i="56" l="1"/>
  <x:c r="G31" i="56" s="1"/>
  <x:c r="M30" i="56"/>
  <x:c r="M31" i="56" s="1"/>
  <x:c r="I30" i="56"/>
  <x:c r="I31" i="56" s="1"/>
  <x:c r="E12" i="56"/>
  <x:c r="G12" i="56"/>
  <x:c r="I12" i="56"/>
  <x:c r="E30" i="56"/>
  <x:c r="E31" i="56" s="1"/>
  <x:c r="K12" i="56"/>
  <x:c r="M12" i="56"/>
  <x:c r="A8" i="56"/>
  <x:c r="A9" i="56" s="1"/>
  <x:c r="F280" i="1"/>
  <x:c r="F278" i="1"/>
  <x:c r="F276" i="1"/>
  <x:c r="F275" i="1"/>
  <x:c r="F274" i="1"/>
  <x:c r="F267" i="1"/>
  <x:c r="F266" i="1"/>
  <x:c r="A79" i="8"/>
  <x:c r="A77" i="8"/>
  <x:c r="A75" i="8"/>
  <x:c r="A74" i="8"/>
  <x:c r="A73" i="8"/>
  <x:c r="A72" i="8"/>
  <x:c r="A71" i="8"/>
  <x:c r="A70" i="8"/>
  <x:c r="A69" i="8"/>
  <x:c r="A66" i="8"/>
  <x:c r="A65" i="8"/>
  <x:c r="A64" i="8"/>
  <x:c r="A61" i="8"/>
  <x:c r="G65" i="8" s="1"/>
  <x:c r="A60" i="8"/>
  <x:c r="A59" i="8"/>
  <x:c r="A58" i="8"/>
  <x:c r="A57" i="8"/>
  <x:c r="A56" i="8"/>
  <x:c r="G75" i="8" l="1"/>
  <x:c r="G66" i="8"/>
  <x:c r="G73" i="8"/>
  <x:c r="A10" i="56"/>
  <x:c r="A11" i="56" s="1"/>
  <x:c r="G74" i="8"/>
  <x:c r="E103" i="1"/>
  <x:c r="E102" i="1"/>
  <x:c r="E98" i="1"/>
  <x:c r="E97" i="1"/>
  <x:c r="E96" i="1"/>
  <x:c r="E95" i="1"/>
  <x:c r="E94" i="1"/>
  <x:c r="F106" i="1"/>
  <x:c r="F104" i="1"/>
  <x:c r="F99" i="1"/>
  <x:c r="A12" i="56" l="1"/>
  <x:c r="H232" i="1"/>
  <x:c r="E232" i="1" l="1"/>
  <x:c r="A14" i="56"/>
  <x:c r="A15" i="56" s="1"/>
  <x:c r="A258" i="9"/>
  <x:c r="A257" i="9"/>
  <x:c r="F273" i="1" s="1"/>
  <x:c r="G72" i="8" s="1"/>
  <x:c r="A256" i="9"/>
  <x:c r="F272" i="1" s="1"/>
  <x:c r="G71" i="8" s="1"/>
  <x:c r="A255" i="9"/>
  <x:c r="F271" i="1" s="1"/>
  <x:c r="G70" i="8" s="1"/>
  <x:c r="A253" i="9"/>
  <x:c r="F270" i="1" s="1"/>
  <x:c r="G69" i="8" s="1"/>
  <x:c r="A16" i="56" l="1"/>
  <x:c r="A17" i="56" s="1"/>
  <x:c r="D94" i="1"/>
  <x:c r="D102" i="1" s="1"/>
  <x:c r="A18" i="56" l="1"/>
  <x:c r="G12" i="54"/>
  <x:c r="I12" i="54"/>
  <x:c r="O12" i="54"/>
  <x:c r="G13" i="54"/>
  <x:c r="I13" i="54"/>
  <x:c r="L13" i="54"/>
  <x:c r="O13" i="54"/>
  <x:c r="G14" i="54"/>
  <x:c r="I14" i="54"/>
  <x:c r="L14" i="54"/>
  <x:c r="M14" i="54" s="1"/>
  <x:c r="O14" i="54"/>
  <x:c r="G15" i="54"/>
  <x:c r="I15" i="54"/>
  <x:c r="L15" i="54"/>
  <x:c r="M15" i="54" s="1"/>
  <x:c r="O15" i="54"/>
  <x:c r="G16" i="54"/>
  <x:c r="I16" i="54"/>
  <x:c r="L16" i="54"/>
  <x:c r="M16" i="54" s="1"/>
  <x:c r="O16" i="54"/>
  <x:c r="G17" i="54"/>
  <x:c r="I17" i="54"/>
  <x:c r="L17" i="54"/>
  <x:c r="M17" i="54" s="1"/>
  <x:c r="O17" i="54"/>
  <x:c r="G18" i="54"/>
  <x:c r="I18" i="54"/>
  <x:c r="L18" i="54"/>
  <x:c r="M18" i="54" s="1"/>
  <x:c r="O18" i="54"/>
  <x:c r="G19" i="54"/>
  <x:c r="I19" i="54"/>
  <x:c r="L19" i="54"/>
  <x:c r="M19" i="54" s="1"/>
  <x:c r="O19" i="54"/>
  <x:c r="G20" i="54"/>
  <x:c r="I20" i="54"/>
  <x:c r="L20" i="54"/>
  <x:c r="M20" i="54" s="1"/>
  <x:c r="O20" i="54"/>
  <x:c r="G21" i="54"/>
  <x:c r="I21" i="54"/>
  <x:c r="J21" i="54" s="1"/>
  <x:c r="L21" i="54"/>
  <x:c r="M21" i="54" s="1"/>
  <x:c r="O21" i="54"/>
  <x:c r="G22" i="54"/>
  <x:c r="I22" i="54"/>
  <x:c r="L22" i="54"/>
  <x:c r="M22" i="54" s="1"/>
  <x:c r="O22" i="54"/>
  <x:c r="G23" i="54"/>
  <x:c r="I23" i="54"/>
  <x:c r="L23" i="54"/>
  <x:c r="M23" i="54" s="1"/>
  <x:c r="O23" i="54"/>
  <x:c r="G24" i="54"/>
  <x:c r="I24" i="54"/>
  <x:c r="L24" i="54"/>
  <x:c r="M24" i="54" s="1"/>
  <x:c r="O24" i="54"/>
  <x:c r="G25" i="54"/>
  <x:c r="I25" i="54"/>
  <x:c r="L25" i="54"/>
  <x:c r="M25" i="54" s="1"/>
  <x:c r="O25" i="54"/>
  <x:c r="G26" i="54"/>
  <x:c r="I26" i="54"/>
  <x:c r="L26" i="54"/>
  <x:c r="M26" i="54" s="1"/>
  <x:c r="O26" i="54"/>
  <x:c r="G27" i="54"/>
  <x:c r="I27" i="54"/>
  <x:c r="L27" i="54"/>
  <x:c r="M27" i="54" s="1"/>
  <x:c r="O27" i="54"/>
  <x:c r="G28" i="54"/>
  <x:c r="I28" i="54"/>
  <x:c r="L28" i="54"/>
  <x:c r="M28" i="54" s="1"/>
  <x:c r="O28" i="54"/>
  <x:c r="G29" i="54"/>
  <x:c r="I29" i="54"/>
  <x:c r="L29" i="54"/>
  <x:c r="M29" i="54" s="1"/>
  <x:c r="O29" i="54"/>
  <x:c r="G30" i="54"/>
  <x:c r="I30" i="54"/>
  <x:c r="L30" i="54"/>
  <x:c r="M30" i="54" s="1"/>
  <x:c r="O30" i="54"/>
  <x:c r="G31" i="54"/>
  <x:c r="I31" i="54"/>
  <x:c r="L31" i="54"/>
  <x:c r="M31" i="54" s="1"/>
  <x:c r="O31" i="54"/>
  <x:c r="G32" i="54"/>
  <x:c r="I32" i="54"/>
  <x:c r="L32" i="54"/>
  <x:c r="M32" i="54" s="1"/>
  <x:c r="O32" i="54"/>
  <x:c r="G33" i="54"/>
  <x:c r="I33" i="54"/>
  <x:c r="L33" i="54"/>
  <x:c r="M33" i="54" s="1"/>
  <x:c r="O33" i="54"/>
  <x:c r="G34" i="54"/>
  <x:c r="I34" i="54"/>
  <x:c r="L34" i="54"/>
  <x:c r="M34" i="54" s="1"/>
  <x:c r="O34" i="54"/>
  <x:c r="G35" i="54"/>
  <x:c r="I35" i="54"/>
  <x:c r="L35" i="54"/>
  <x:c r="M35" i="54" s="1"/>
  <x:c r="O35" i="54"/>
  <x:c r="G36" i="54"/>
  <x:c r="I36" i="54"/>
  <x:c r="L36" i="54"/>
  <x:c r="M36" i="54" s="1"/>
  <x:c r="O36" i="54"/>
  <x:c r="G37" i="54"/>
  <x:c r="I37" i="54"/>
  <x:c r="L37" i="54"/>
  <x:c r="M37" i="54" s="1"/>
  <x:c r="O37" i="54"/>
  <x:c r="G38" i="54"/>
  <x:c r="I38" i="54"/>
  <x:c r="L38" i="54"/>
  <x:c r="M38" i="54" s="1"/>
  <x:c r="O38" i="54"/>
  <x:c r="G39" i="54"/>
  <x:c r="I39" i="54"/>
  <x:c r="L39" i="54"/>
  <x:c r="M39" i="54" s="1"/>
  <x:c r="O39" i="54"/>
  <x:c r="G40" i="54"/>
  <x:c r="I40" i="54"/>
  <x:c r="L40" i="54"/>
  <x:c r="M40" i="54" s="1"/>
  <x:c r="O40" i="54"/>
  <x:c r="G41" i="54"/>
  <x:c r="I41" i="54"/>
  <x:c r="L41" i="54"/>
  <x:c r="M41" i="54" s="1"/>
  <x:c r="O41" i="54"/>
  <x:c r="G42" i="54"/>
  <x:c r="I42" i="54"/>
  <x:c r="L42" i="54"/>
  <x:c r="M42" i="54" s="1"/>
  <x:c r="O42" i="54"/>
  <x:c r="G43" i="54"/>
  <x:c r="I43" i="54"/>
  <x:c r="L43" i="54"/>
  <x:c r="M43" i="54" s="1"/>
  <x:c r="O43" i="54"/>
  <x:c r="G44" i="54"/>
  <x:c r="I44" i="54"/>
  <x:c r="L44" i="54"/>
  <x:c r="M44" i="54" s="1"/>
  <x:c r="O44" i="54"/>
  <x:c r="G45" i="54"/>
  <x:c r="I45" i="54"/>
  <x:c r="L45" i="54"/>
  <x:c r="M45" i="54" s="1"/>
  <x:c r="O45" i="54"/>
  <x:c r="G46" i="54"/>
  <x:c r="I46" i="54"/>
  <x:c r="L46" i="54"/>
  <x:c r="M46" i="54" s="1"/>
  <x:c r="O46" i="54"/>
  <x:c r="G47" i="54"/>
  <x:c r="I47" i="54"/>
  <x:c r="L47" i="54"/>
  <x:c r="M47" i="54" s="1"/>
  <x:c r="O47" i="54"/>
  <x:c r="G48" i="54"/>
  <x:c r="I48" i="54"/>
  <x:c r="L48" i="54"/>
  <x:c r="M48" i="54" s="1"/>
  <x:c r="O48" i="54"/>
  <x:c r="G49" i="54"/>
  <x:c r="I49" i="54"/>
  <x:c r="L49" i="54"/>
  <x:c r="M49" i="54" s="1"/>
  <x:c r="O49" i="54"/>
  <x:c r="G50" i="54"/>
  <x:c r="I50" i="54"/>
  <x:c r="L50" i="54"/>
  <x:c r="M50" i="54" s="1"/>
  <x:c r="O50" i="54"/>
  <x:c r="G51" i="54"/>
  <x:c r="I51" i="54"/>
  <x:c r="L51" i="54"/>
  <x:c r="M51" i="54" s="1"/>
  <x:c r="O51" i="54"/>
  <x:c r="G52" i="54"/>
  <x:c r="I52" i="54"/>
  <x:c r="L52" i="54"/>
  <x:c r="M52" i="54" s="1"/>
  <x:c r="O52" i="54"/>
  <x:c r="G53" i="54"/>
  <x:c r="I53" i="54"/>
  <x:c r="L53" i="54"/>
  <x:c r="M53" i="54" s="1"/>
  <x:c r="O53" i="54"/>
  <x:c r="G54" i="54"/>
  <x:c r="I54" i="54"/>
  <x:c r="L54" i="54"/>
  <x:c r="M54" i="54" s="1"/>
  <x:c r="O54" i="54"/>
  <x:c r="G55" i="54"/>
  <x:c r="I55" i="54"/>
  <x:c r="L55" i="54"/>
  <x:c r="M55" i="54" s="1"/>
  <x:c r="O55" i="54"/>
  <x:c r="G56" i="54"/>
  <x:c r="I56" i="54"/>
  <x:c r="L56" i="54"/>
  <x:c r="M56" i="54" s="1"/>
  <x:c r="O56" i="54"/>
  <x:c r="G57" i="54"/>
  <x:c r="I57" i="54"/>
  <x:c r="L57" i="54"/>
  <x:c r="M57" i="54" s="1"/>
  <x:c r="O57" i="54"/>
  <x:c r="G58" i="54"/>
  <x:c r="I58" i="54"/>
  <x:c r="L58" i="54"/>
  <x:c r="M58" i="54" s="1"/>
  <x:c r="O58" i="54"/>
  <x:c r="G59" i="54"/>
  <x:c r="I59" i="54"/>
  <x:c r="L59" i="54"/>
  <x:c r="M59" i="54" s="1"/>
  <x:c r="O59" i="54"/>
  <x:c r="G60" i="54"/>
  <x:c r="I60" i="54"/>
  <x:c r="L60" i="54"/>
  <x:c r="M60" i="54" s="1"/>
  <x:c r="O60" i="54"/>
  <x:c r="G61" i="54"/>
  <x:c r="I61" i="54"/>
  <x:c r="L61" i="54"/>
  <x:c r="M61" i="54" s="1"/>
  <x:c r="O61" i="54"/>
  <x:c r="G62" i="54"/>
  <x:c r="I62" i="54"/>
  <x:c r="L62" i="54"/>
  <x:c r="M62" i="54" s="1"/>
  <x:c r="O62" i="54"/>
  <x:c r="G63" i="54"/>
  <x:c r="I63" i="54"/>
  <x:c r="L63" i="54"/>
  <x:c r="M63" i="54" s="1"/>
  <x:c r="O63" i="54"/>
  <x:c r="G64" i="54"/>
  <x:c r="I64" i="54"/>
  <x:c r="L64" i="54"/>
  <x:c r="M64" i="54" s="1"/>
  <x:c r="O64" i="54"/>
  <x:c r="G65" i="54"/>
  <x:c r="I65" i="54"/>
  <x:c r="L65" i="54"/>
  <x:c r="M65" i="54" s="1"/>
  <x:c r="O65" i="54"/>
  <x:c r="G66" i="54"/>
  <x:c r="I66" i="54"/>
  <x:c r="L66" i="54"/>
  <x:c r="M66" i="54" s="1"/>
  <x:c r="O66" i="54"/>
  <x:c r="G67" i="54"/>
  <x:c r="I67" i="54"/>
  <x:c r="L67" i="54"/>
  <x:c r="M67" i="54" s="1"/>
  <x:c r="O67" i="54"/>
  <x:c r="G68" i="54"/>
  <x:c r="I68" i="54"/>
  <x:c r="L68" i="54"/>
  <x:c r="M68" i="54" s="1"/>
  <x:c r="O68" i="54"/>
  <x:c r="G69" i="54"/>
  <x:c r="I69" i="54"/>
  <x:c r="L69" i="54"/>
  <x:c r="M69" i="54" s="1"/>
  <x:c r="O69" i="54"/>
  <x:c r="G70" i="54"/>
  <x:c r="I70" i="54"/>
  <x:c r="L70" i="54"/>
  <x:c r="M70" i="54" s="1"/>
  <x:c r="O70" i="54"/>
  <x:c r="G71" i="54"/>
  <x:c r="I71" i="54"/>
  <x:c r="L71" i="54"/>
  <x:c r="M71" i="54" s="1"/>
  <x:c r="O71" i="54"/>
  <x:c r="G72" i="54"/>
  <x:c r="I72" i="54"/>
  <x:c r="L72" i="54"/>
  <x:c r="M72" i="54" s="1"/>
  <x:c r="O72" i="54"/>
  <x:c r="G73" i="54"/>
  <x:c r="I73" i="54"/>
  <x:c r="L73" i="54"/>
  <x:c r="M73" i="54" s="1"/>
  <x:c r="O73" i="54"/>
  <x:c r="G74" i="54"/>
  <x:c r="I74" i="54"/>
  <x:c r="L74" i="54"/>
  <x:c r="M74" i="54" s="1"/>
  <x:c r="O74" i="54"/>
  <x:c r="G75" i="54"/>
  <x:c r="I75" i="54"/>
  <x:c r="L75" i="54"/>
  <x:c r="M75" i="54" s="1"/>
  <x:c r="O75" i="54"/>
  <x:c r="G76" i="54"/>
  <x:c r="I76" i="54"/>
  <x:c r="L76" i="54"/>
  <x:c r="M76" i="54" s="1"/>
  <x:c r="O76" i="54"/>
  <x:c r="G77" i="54"/>
  <x:c r="I77" i="54"/>
  <x:c r="L77" i="54"/>
  <x:c r="M77" i="54" s="1"/>
  <x:c r="O77" i="54"/>
  <x:c r="G78" i="54"/>
  <x:c r="I78" i="54"/>
  <x:c r="L78" i="54"/>
  <x:c r="M78" i="54" s="1"/>
  <x:c r="O78" i="54"/>
  <x:c r="G79" i="54"/>
  <x:c r="I79" i="54"/>
  <x:c r="L79" i="54"/>
  <x:c r="M79" i="54" s="1"/>
  <x:c r="O79" i="54"/>
  <x:c r="G80" i="54"/>
  <x:c r="I80" i="54"/>
  <x:c r="L80" i="54"/>
  <x:c r="M80" i="54" s="1"/>
  <x:c r="O80" i="54"/>
  <x:c r="G81" i="54"/>
  <x:c r="I81" i="54"/>
  <x:c r="L81" i="54"/>
  <x:c r="M81" i="54" s="1"/>
  <x:c r="O81" i="54"/>
  <x:c r="G82" i="54"/>
  <x:c r="I82" i="54"/>
  <x:c r="L82" i="54"/>
  <x:c r="M82" i="54" s="1"/>
  <x:c r="O82" i="54"/>
  <x:c r="G83" i="54"/>
  <x:c r="I83" i="54"/>
  <x:c r="L83" i="54"/>
  <x:c r="M83" i="54" s="1"/>
  <x:c r="O83" i="54"/>
  <x:c r="G84" i="54"/>
  <x:c r="I84" i="54"/>
  <x:c r="L84" i="54"/>
  <x:c r="M84" i="54" s="1"/>
  <x:c r="O84" i="54"/>
  <x:c r="G87" i="54"/>
  <x:c r="I87" i="54"/>
  <x:c r="L87" i="54"/>
  <x:c r="M87" i="54" s="1"/>
  <x:c r="O87" i="54"/>
  <x:c r="G88" i="54"/>
  <x:c r="I88" i="54"/>
  <x:c r="L88" i="54"/>
  <x:c r="M88" i="54" s="1"/>
  <x:c r="O88" i="54"/>
  <x:c r="G89" i="54"/>
  <x:c r="I89" i="54"/>
  <x:c r="L89" i="54"/>
  <x:c r="M89" i="54" s="1"/>
  <x:c r="O89" i="54"/>
  <x:c r="G90" i="54"/>
  <x:c r="I90" i="54"/>
  <x:c r="M90" i="54"/>
  <x:c r="O90" i="54"/>
  <x:c r="M91" i="54"/>
  <x:c r="O91" i="54"/>
  <x:c r="G96" i="54"/>
  <x:c r="I96" i="54"/>
  <x:c r="L96" i="54"/>
  <x:c r="O96" i="54"/>
  <x:c r="G97" i="54"/>
  <x:c r="I97" i="54"/>
  <x:c r="L97" i="54"/>
  <x:c r="M97" i="54" s="1"/>
  <x:c r="O97" i="54"/>
  <x:c r="G98" i="54"/>
  <x:c r="I98" i="54"/>
  <x:c r="L98" i="54"/>
  <x:c r="M98" i="54" s="1"/>
  <x:c r="O98" i="54"/>
  <x:c r="G99" i="54"/>
  <x:c r="I99" i="54"/>
  <x:c r="L99" i="54"/>
  <x:c r="M99" i="54" s="1"/>
  <x:c r="O99" i="54"/>
  <x:c r="G100" i="54"/>
  <x:c r="I100" i="54"/>
  <x:c r="L100" i="54"/>
  <x:c r="M100" i="54" s="1"/>
  <x:c r="O100" i="54"/>
  <x:c r="G101" i="54"/>
  <x:c r="I101" i="54"/>
  <x:c r="L101" i="54"/>
  <x:c r="M101" i="54" s="1"/>
  <x:c r="O101" i="54"/>
  <x:c r="G102" i="54"/>
  <x:c r="I102" i="54"/>
  <x:c r="L102" i="54"/>
  <x:c r="M102" i="54" s="1"/>
  <x:c r="O102" i="54"/>
  <x:c r="G103" i="54"/>
  <x:c r="I103" i="54"/>
  <x:c r="L103" i="54"/>
  <x:c r="M103" i="54" s="1"/>
  <x:c r="O103" i="54"/>
  <x:c r="G104" i="54"/>
  <x:c r="I104" i="54"/>
  <x:c r="L104" i="54"/>
  <x:c r="M104" i="54" s="1"/>
  <x:c r="O104" i="54"/>
  <x:c r="G105" i="54"/>
  <x:c r="I105" i="54"/>
  <x:c r="L105" i="54"/>
  <x:c r="M105" i="54" s="1"/>
  <x:c r="O105" i="54"/>
  <x:c r="G106" i="54"/>
  <x:c r="I106" i="54"/>
  <x:c r="L106" i="54"/>
  <x:c r="M106" i="54" s="1"/>
  <x:c r="O106" i="54"/>
  <x:c r="G107" i="54"/>
  <x:c r="I107" i="54"/>
  <x:c r="L107" i="54"/>
  <x:c r="M107" i="54" s="1"/>
  <x:c r="O107" i="54"/>
  <x:c r="G108" i="54"/>
  <x:c r="I108" i="54"/>
  <x:c r="L108" i="54"/>
  <x:c r="M108" i="54" s="1"/>
  <x:c r="O108" i="54"/>
  <x:c r="G109" i="54"/>
  <x:c r="I109" i="54"/>
  <x:c r="L109" i="54"/>
  <x:c r="M109" i="54" s="1"/>
  <x:c r="O109" i="54"/>
  <x:c r="G110" i="54"/>
  <x:c r="I110" i="54"/>
  <x:c r="L110" i="54"/>
  <x:c r="M110" i="54" s="1"/>
  <x:c r="O110" i="54"/>
  <x:c r="G111" i="54"/>
  <x:c r="I111" i="54"/>
  <x:c r="L111" i="54"/>
  <x:c r="M111" i="54" s="1"/>
  <x:c r="O111" i="54"/>
  <x:c r="G115" i="54"/>
  <x:c r="I115" i="54"/>
  <x:c r="L115" i="54"/>
  <x:c r="O115" i="54"/>
  <x:c r="G116" i="54"/>
  <x:c r="I116" i="54"/>
  <x:c r="L116" i="54"/>
  <x:c r="M116" i="54" s="1"/>
  <x:c r="O116" i="54"/>
  <x:c r="G117" i="54"/>
  <x:c r="I117" i="54"/>
  <x:c r="L117" i="54"/>
  <x:c r="M117" i="54" s="1"/>
  <x:c r="O117" i="54"/>
  <x:c r="G118" i="54"/>
  <x:c r="I118" i="54"/>
  <x:c r="L118" i="54"/>
  <x:c r="M118" i="54" s="1"/>
  <x:c r="O118" i="54"/>
  <x:c r="G119" i="54"/>
  <x:c r="I119" i="54"/>
  <x:c r="L119" i="54"/>
  <x:c r="M119" i="54" s="1"/>
  <x:c r="O119" i="54"/>
  <x:c r="G120" i="54"/>
  <x:c r="I120" i="54"/>
  <x:c r="L120" i="54"/>
  <x:c r="M120" i="54" s="1"/>
  <x:c r="O120" i="54"/>
  <x:c r="G121" i="54"/>
  <x:c r="I121" i="54"/>
  <x:c r="L121" i="54"/>
  <x:c r="M121" i="54" s="1"/>
  <x:c r="O121" i="54"/>
  <x:c r="G122" i="54"/>
  <x:c r="I122" i="54"/>
  <x:c r="L122" i="54"/>
  <x:c r="M122" i="54" s="1"/>
  <x:c r="O122" i="54"/>
  <x:c r="G123" i="54"/>
  <x:c r="I123" i="54"/>
  <x:c r="L123" i="54"/>
  <x:c r="M123" i="54" s="1"/>
  <x:c r="O123" i="54"/>
  <x:c r="G124" i="54"/>
  <x:c r="I124" i="54"/>
  <x:c r="L124" i="54"/>
  <x:c r="M124" i="54" s="1"/>
  <x:c r="O124" i="54"/>
  <x:c r="G125" i="54"/>
  <x:c r="I125" i="54"/>
  <x:c r="L125" i="54"/>
  <x:c r="M125" i="54" s="1"/>
  <x:c r="O125" i="54"/>
  <x:c r="G126" i="54"/>
  <x:c r="I126" i="54"/>
  <x:c r="L126" i="54"/>
  <x:c r="M126" i="54" s="1"/>
  <x:c r="O126" i="54"/>
  <x:c r="G127" i="54"/>
  <x:c r="I127" i="54"/>
  <x:c r="L127" i="54"/>
  <x:c r="M127" i="54" s="1"/>
  <x:c r="O127" i="54"/>
  <x:c r="G128" i="54"/>
  <x:c r="I128" i="54"/>
  <x:c r="L128" i="54"/>
  <x:c r="M128" i="54" s="1"/>
  <x:c r="O128" i="54"/>
  <x:c r="G129" i="54"/>
  <x:c r="I129" i="54"/>
  <x:c r="L129" i="54"/>
  <x:c r="M129" i="54" s="1"/>
  <x:c r="O129" i="54"/>
  <x:c r="G130" i="54"/>
  <x:c r="I130" i="54"/>
  <x:c r="L130" i="54"/>
  <x:c r="M130" i="54" s="1"/>
  <x:c r="O130" i="54"/>
  <x:c r="G131" i="54"/>
  <x:c r="I131" i="54"/>
  <x:c r="L131" i="54"/>
  <x:c r="M131" i="54" s="1"/>
  <x:c r="O131" i="54"/>
  <x:c r="G132" i="54"/>
  <x:c r="I132" i="54"/>
  <x:c r="L132" i="54"/>
  <x:c r="M132" i="54" s="1"/>
  <x:c r="O132" i="54"/>
  <x:c r="G133" i="54"/>
  <x:c r="I133" i="54"/>
  <x:c r="L133" i="54"/>
  <x:c r="M133" i="54" s="1"/>
  <x:c r="O133" i="54"/>
  <x:c r="G134" i="54"/>
  <x:c r="I134" i="54"/>
  <x:c r="L134" i="54"/>
  <x:c r="M134" i="54" s="1"/>
  <x:c r="O134" i="54"/>
  <x:c r="G135" i="54"/>
  <x:c r="I135" i="54"/>
  <x:c r="L135" i="54"/>
  <x:c r="M135" i="54" s="1"/>
  <x:c r="O135" i="54"/>
  <x:c r="G136" i="54"/>
  <x:c r="I136" i="54"/>
  <x:c r="L136" i="54"/>
  <x:c r="M136" i="54" s="1"/>
  <x:c r="O136" i="54"/>
  <x:c r="G137" i="54"/>
  <x:c r="I137" i="54"/>
  <x:c r="L137" i="54"/>
  <x:c r="M137" i="54" s="1"/>
  <x:c r="O137" i="54"/>
  <x:c r="G138" i="54"/>
  <x:c r="I138" i="54"/>
  <x:c r="L138" i="54"/>
  <x:c r="M138" i="54" s="1"/>
  <x:c r="O138" i="54"/>
  <x:c r="G139" i="54"/>
  <x:c r="I139" i="54"/>
  <x:c r="L139" i="54"/>
  <x:c r="M139" i="54" s="1"/>
  <x:c r="O139" i="54"/>
  <x:c r="G140" i="54"/>
  <x:c r="I140" i="54"/>
  <x:c r="L140" i="54"/>
  <x:c r="M140" i="54" s="1"/>
  <x:c r="O140" i="54"/>
  <x:c r="G141" i="54"/>
  <x:c r="I141" i="54"/>
  <x:c r="L141" i="54"/>
  <x:c r="M141" i="54" s="1"/>
  <x:c r="O141" i="54"/>
  <x:c r="G142" i="54"/>
  <x:c r="I142" i="54"/>
  <x:c r="L142" i="54"/>
  <x:c r="M142" i="54" s="1"/>
  <x:c r="O142" i="54"/>
  <x:c r="G143" i="54"/>
  <x:c r="I143" i="54"/>
  <x:c r="L143" i="54"/>
  <x:c r="M143" i="54" s="1"/>
  <x:c r="O143" i="54"/>
  <x:c r="G144" i="54"/>
  <x:c r="I144" i="54"/>
  <x:c r="L144" i="54"/>
  <x:c r="M144" i="54" s="1"/>
  <x:c r="O144" i="54"/>
  <x:c r="G145" i="54"/>
  <x:c r="I145" i="54"/>
  <x:c r="L145" i="54"/>
  <x:c r="M145" i="54" s="1"/>
  <x:c r="O145" i="54"/>
  <x:c r="G146" i="54"/>
  <x:c r="I146" i="54"/>
  <x:c r="L146" i="54"/>
  <x:c r="M146" i="54" s="1"/>
  <x:c r="O146" i="54"/>
  <x:c r="G147" i="54"/>
  <x:c r="I147" i="54"/>
  <x:c r="L147" i="54"/>
  <x:c r="M147" i="54" s="1"/>
  <x:c r="O147" i="54"/>
  <x:c r="G148" i="54"/>
  <x:c r="I148" i="54"/>
  <x:c r="L148" i="54"/>
  <x:c r="M148" i="54" s="1"/>
  <x:c r="O148" i="54"/>
  <x:c r="G149" i="54"/>
  <x:c r="I149" i="54"/>
  <x:c r="L149" i="54"/>
  <x:c r="M149" i="54" s="1"/>
  <x:c r="O149" i="54"/>
  <x:c r="G150" i="54"/>
  <x:c r="I150" i="54"/>
  <x:c r="L150" i="54"/>
  <x:c r="M150" i="54" s="1"/>
  <x:c r="O150" i="54"/>
  <x:c r="G151" i="54"/>
  <x:c r="I151" i="54"/>
  <x:c r="L151" i="54"/>
  <x:c r="M151" i="54" s="1"/>
  <x:c r="O151" i="54"/>
  <x:c r="G152" i="54"/>
  <x:c r="I152" i="54"/>
  <x:c r="L152" i="54"/>
  <x:c r="M152" i="54" s="1"/>
  <x:c r="O152" i="54"/>
  <x:c r="G153" i="54"/>
  <x:c r="I153" i="54"/>
  <x:c r="L153" i="54"/>
  <x:c r="M153" i="54" s="1"/>
  <x:c r="O153" i="54"/>
  <x:c r="G154" i="54"/>
  <x:c r="I154" i="54"/>
  <x:c r="L154" i="54"/>
  <x:c r="M154" i="54" s="1"/>
  <x:c r="O154" i="54"/>
  <x:c r="G155" i="54"/>
  <x:c r="I155" i="54"/>
  <x:c r="L155" i="54"/>
  <x:c r="M155" i="54" s="1"/>
  <x:c r="O155" i="54"/>
  <x:c r="G156" i="54"/>
  <x:c r="I156" i="54"/>
  <x:c r="L156" i="54"/>
  <x:c r="M156" i="54" s="1"/>
  <x:c r="O156" i="54"/>
  <x:c r="G157" i="54"/>
  <x:c r="I157" i="54"/>
  <x:c r="L157" i="54"/>
  <x:c r="M157" i="54" s="1"/>
  <x:c r="O157" i="54"/>
  <x:c r="G158" i="54"/>
  <x:c r="I158" i="54"/>
  <x:c r="L158" i="54"/>
  <x:c r="M158" i="54" s="1"/>
  <x:c r="O158" i="54"/>
  <x:c r="G159" i="54"/>
  <x:c r="I159" i="54"/>
  <x:c r="L159" i="54"/>
  <x:c r="M159" i="54" s="1"/>
  <x:c r="O159" i="54"/>
  <x:c r="G160" i="54"/>
  <x:c r="I160" i="54"/>
  <x:c r="L160" i="54"/>
  <x:c r="M160" i="54" s="1"/>
  <x:c r="O160" i="54"/>
  <x:c r="G161" i="54"/>
  <x:c r="I161" i="54"/>
  <x:c r="L161" i="54"/>
  <x:c r="M161" i="54" s="1"/>
  <x:c r="O161" i="54"/>
  <x:c r="G162" i="54"/>
  <x:c r="I162" i="54"/>
  <x:c r="L162" i="54"/>
  <x:c r="M162" i="54" s="1"/>
  <x:c r="O162" i="54"/>
  <x:c r="G163" i="54"/>
  <x:c r="I163" i="54"/>
  <x:c r="L163" i="54"/>
  <x:c r="M163" i="54" s="1"/>
  <x:c r="O163" i="54"/>
  <x:c r="G164" i="54"/>
  <x:c r="I164" i="54"/>
  <x:c r="L164" i="54"/>
  <x:c r="M164" i="54" s="1"/>
  <x:c r="O164" i="54"/>
  <x:c r="G165" i="54"/>
  <x:c r="I165" i="54"/>
  <x:c r="L165" i="54"/>
  <x:c r="M165" i="54" s="1"/>
  <x:c r="O165" i="54"/>
  <x:c r="G166" i="54"/>
  <x:c r="I166" i="54"/>
  <x:c r="L166" i="54"/>
  <x:c r="M166" i="54" s="1"/>
  <x:c r="O166" i="54"/>
  <x:c r="G167" i="54"/>
  <x:c r="I167" i="54"/>
  <x:c r="L167" i="54"/>
  <x:c r="M167" i="54" s="1"/>
  <x:c r="O167" i="54"/>
  <x:c r="G168" i="54"/>
  <x:c r="I168" i="54"/>
  <x:c r="L168" i="54"/>
  <x:c r="M168" i="54" s="1"/>
  <x:c r="O168" i="54"/>
  <x:c r="G169" i="54"/>
  <x:c r="I169" i="54"/>
  <x:c r="L169" i="54"/>
  <x:c r="M169" i="54" s="1"/>
  <x:c r="O169" i="54"/>
  <x:c r="G170" i="54"/>
  <x:c r="I170" i="54"/>
  <x:c r="M170" i="54"/>
  <x:c r="O170" i="54"/>
  <x:c r="F171" i="54"/>
  <x:c r="C16" i="53"/>
  <x:c r="C17" i="53" s="1"/>
  <x:c r="C18" i="53" s="1"/>
  <x:c r="C19" i="53" s="1"/>
  <x:c r="C21" i="53" s="1"/>
  <x:c r="C23" i="53" s="1"/>
  <x:c r="C25" i="53" s="1"/>
  <x:c r="C26" i="53" s="1"/>
  <x:c r="C27" i="53" s="1"/>
  <x:c r="C28" i="53" s="1"/>
  <x:c r="C30" i="53" s="1"/>
  <x:c r="C32" i="53" s="1"/>
  <x:c r="C34" i="53" s="1"/>
  <x:c r="C35" i="53" s="1"/>
  <x:c r="C36" i="53" s="1"/>
  <x:c r="C37" i="53" s="1"/>
  <x:c r="C39" i="53" s="1"/>
  <x:c r="C41" i="53" s="1"/>
  <x:c r="C50" i="53" s="1"/>
  <x:c r="C52" i="53" s="1"/>
  <x:c r="C53" i="53" s="1"/>
  <x:c r="C54" i="53" s="1"/>
  <x:c r="C55" i="53" s="1"/>
  <x:c r="C57" i="53" s="1"/>
  <x:c r="C59" i="53" s="1"/>
  <x:c r="C68" i="53" s="1"/>
  <x:c r="C70" i="53" s="1"/>
  <x:c r="C71" i="53" s="1"/>
  <x:c r="C72" i="53" s="1"/>
  <x:c r="C73" i="53" s="1"/>
  <x:c r="C75" i="53" s="1"/>
  <x:c r="C77" i="53" s="1"/>
  <x:c r="C79" i="53" s="1"/>
  <x:c r="C80" i="53" s="1"/>
  <x:c r="C81" i="53" s="1"/>
  <x:c r="C82" i="53" s="1"/>
  <x:c r="C84" i="53" s="1"/>
  <x:c r="C86" i="53" s="1"/>
  <x:c r="C88" i="53" s="1"/>
  <x:c r="C89" i="53" s="1"/>
  <x:c r="C90" i="53" s="1"/>
  <x:c r="C91" i="53" s="1"/>
  <x:c r="C93" i="53" s="1"/>
  <x:c r="C95" i="53" s="1"/>
  <x:c r="C104" i="53" s="1"/>
  <x:c r="C105" i="53" s="1"/>
  <x:c r="C106" i="53" s="1"/>
  <x:c r="C107" i="53" s="1"/>
  <x:c r="C109" i="53" s="1"/>
  <x:c r="C111" i="53" s="1"/>
  <x:c r="C113" i="53" s="1"/>
  <x:c r="C122" i="53" s="1"/>
  <x:c r="C123" i="53" s="1"/>
  <x:c r="C125" i="53" s="1"/>
  <x:c r="C136" i="53" s="1"/>
  <x:c r="C138" i="53" s="1"/>
  <x:c r="C139" i="53" s="1"/>
  <x:c r="C140" i="53" s="1"/>
  <x:c r="C141" i="53" s="1"/>
  <x:c r="C143" i="53" s="1"/>
  <x:c r="C145" i="53" s="1"/>
  <x:c r="C147" i="53" s="1"/>
  <x:c r="C148" i="53" s="1"/>
  <x:c r="C149" i="53" s="1"/>
  <x:c r="C150" i="53" s="1"/>
  <x:c r="C152" i="53" s="1"/>
  <x:c r="C154" i="53" s="1"/>
  <x:c r="C156" i="53" s="1"/>
  <x:c r="C157" i="53" s="1"/>
  <x:c r="C158" i="53" s="1"/>
  <x:c r="C159" i="53" s="1"/>
  <x:c r="C161" i="53" s="1"/>
  <x:c r="C163" i="53" s="1"/>
  <x:c r="C172" i="53" s="1"/>
  <x:c r="C174" i="53" s="1"/>
  <x:c r="C175" i="53" s="1"/>
  <x:c r="C176" i="53" s="1"/>
  <x:c r="C177" i="53" s="1"/>
  <x:c r="C179" i="53" s="1"/>
  <x:c r="C181" i="53" s="1"/>
  <x:c r="C183" i="53" s="1"/>
  <x:c r="C184" i="53" s="1"/>
  <x:c r="C185" i="53" s="1"/>
  <x:c r="C186" i="53" s="1"/>
  <x:c r="C188" i="53" s="1"/>
  <x:c r="C190" i="53" s="1"/>
  <x:c r="C192" i="53" s="1"/>
  <x:c r="C193" i="53" s="1"/>
  <x:c r="C194" i="53" s="1"/>
  <x:c r="C195" i="53" s="1"/>
  <x:c r="C197" i="53" s="1"/>
  <x:c r="C199" i="53" s="1"/>
  <x:c r="C208" i="53" s="1"/>
  <x:c r="C209" i="53" s="1"/>
  <x:c r="C210" i="53" s="1"/>
  <x:c r="C211" i="53" s="1"/>
  <x:c r="C213" i="53" s="1"/>
  <x:c r="C215" i="53" s="1"/>
  <x:c r="C217" i="53" s="1"/>
  <x:c r="C226" i="53" s="1"/>
  <x:c r="C227" i="53" s="1"/>
  <x:c r="C229" i="53" s="1"/>
  <x:c r="C240" i="53" s="1"/>
  <x:c r="C241" i="53" s="1"/>
  <x:c r="C243" i="53" s="1"/>
  <x:c r="Q17" i="53"/>
  <x:c r="O21" i="53"/>
  <x:c r="M25" i="53"/>
  <x:c r="Q25" i="53" s="1"/>
  <x:c r="S25" i="53" s="1"/>
  <x:c r="M26" i="53"/>
  <x:c r="Q26" i="53" s="1"/>
  <x:c r="S26" i="53" s="1"/>
  <x:c r="M28" i="53"/>
  <x:c r="O30" i="53"/>
  <x:c r="M35" i="53"/>
  <x:c r="M89" i="53" s="1"/>
  <x:c r="M37" i="53"/>
  <x:c r="M91" i="53" s="1"/>
  <x:c r="O39" i="53"/>
  <x:c r="Q39" i="53"/>
  <x:c r="M57" i="53"/>
  <x:c r="M59" i="53" s="1"/>
  <x:c r="O57" i="53"/>
  <x:c r="O59" i="53" s="1"/>
  <x:c r="Q57" i="53"/>
  <x:c r="Q59" i="53" s="1"/>
  <x:c r="O70" i="53"/>
  <x:c r="O71" i="53"/>
  <x:c r="O72" i="53"/>
  <x:c r="O73" i="53"/>
  <x:c r="O79" i="53"/>
  <x:c r="O80" i="53"/>
  <x:c r="O81" i="53"/>
  <x:c r="O82" i="53"/>
  <x:c r="O88" i="53"/>
  <x:c r="Q88" i="53"/>
  <x:c r="O89" i="53"/>
  <x:c r="Q89" i="53"/>
  <x:c r="O90" i="53"/>
  <x:c r="L49" i="52" s="1"/>
  <x:c r="Q90" i="53"/>
  <x:c r="O91" i="53"/>
  <x:c r="Q91" i="53"/>
  <x:c r="O104" i="53"/>
  <x:c r="O105" i="53"/>
  <x:c r="O106" i="53"/>
  <x:c r="O107" i="53"/>
  <x:c r="S122" i="53"/>
  <x:c r="Q138" i="53"/>
  <x:c r="Q174" i="53" s="1"/>
  <x:c r="S138" i="53"/>
  <x:c r="Q139" i="53"/>
  <x:c r="Q140" i="53"/>
  <x:c r="Q141" i="53"/>
  <x:c r="Q177" i="53" s="1"/>
  <x:c r="S141" i="53"/>
  <x:c r="M143" i="53"/>
  <x:c r="O143" i="53"/>
  <x:c r="Q147" i="53"/>
  <x:c r="Q148" i="53"/>
  <x:c r="Q149" i="53"/>
  <x:c r="S149" i="53" s="1"/>
  <x:c r="Q150" i="53"/>
  <x:c r="S150" i="53" s="1"/>
  <x:c r="M152" i="53"/>
  <x:c r="O152" i="53"/>
  <x:c r="Q156" i="53"/>
  <x:c r="S156" i="53" s="1"/>
  <x:c r="Q157" i="53"/>
  <x:c r="S157" i="53" s="1"/>
  <x:c r="Q158" i="53"/>
  <x:c r="Q159" i="53"/>
  <x:c r="M161" i="53"/>
  <x:c r="O161" i="53"/>
  <x:c r="M174" i="53"/>
  <x:c r="O174" i="53"/>
  <x:c r="M175" i="53"/>
  <x:c r="O175" i="53"/>
  <x:c r="M176" i="53"/>
  <x:c r="O176" i="53"/>
  <x:c r="M177" i="53"/>
  <x:c r="O177" i="53"/>
  <x:c r="M183" i="53"/>
  <x:c r="O183" i="53"/>
  <x:c r="M184" i="53"/>
  <x:c r="O184" i="53"/>
  <x:c r="M185" i="53"/>
  <x:c r="O185" i="53"/>
  <x:c r="M186" i="53"/>
  <x:c r="O186" i="53"/>
  <x:c r="M192" i="53"/>
  <x:c r="O192" i="53"/>
  <x:c r="M193" i="53"/>
  <x:c r="O193" i="53"/>
  <x:c r="Q193" i="53"/>
  <x:c r="M194" i="53"/>
  <x:c r="O194" i="53"/>
  <x:c r="M195" i="53"/>
  <x:c r="O195" i="53"/>
  <x:c r="L203" i="52" s="1"/>
  <x:c r="M240" i="53"/>
  <x:c r="O240" i="53"/>
  <x:c r="Q240" i="53"/>
  <x:c r="S240" i="53"/>
  <x:c r="H18" i="52"/>
  <x:c r="H29" i="52"/>
  <x:c r="H19" i="52"/>
  <x:c r="H20" i="52"/>
  <x:c r="H21" i="52"/>
  <x:c r="H22" i="52"/>
  <x:c r="E30" i="52"/>
  <x:c r="H53" i="52"/>
  <x:c r="H64" i="52"/>
  <x:c r="H54" i="52"/>
  <x:c r="H55" i="52"/>
  <x:c r="H56" i="52"/>
  <x:c r="H57" i="52"/>
  <x:c r="E65" i="52"/>
  <x:c r="L67" i="52"/>
  <x:c r="L69" i="52" s="1"/>
  <x:c r="R69" i="52"/>
  <x:c r="H88" i="52"/>
  <x:c r="H99" i="52"/>
  <x:c r="H89" i="52"/>
  <x:c r="H90" i="52"/>
  <x:c r="H91" i="52"/>
  <x:c r="H92" i="52"/>
  <x:c r="E100" i="52"/>
  <x:c r="N100" i="52"/>
  <x:c r="R108" i="52"/>
  <x:c r="H137" i="52"/>
  <x:c r="H138" i="52"/>
  <x:c r="H139" i="52"/>
  <x:c r="H148" i="52"/>
  <x:c r="H140" i="52"/>
  <x:c r="H141" i="52"/>
  <x:c r="E149" i="52"/>
  <x:c r="N149" i="52"/>
  <x:c r="R153" i="52"/>
  <x:c r="R157" i="52"/>
  <x:c r="L168" i="52"/>
  <x:c r="H172" i="52"/>
  <x:c r="H183" i="52"/>
  <x:c r="H173" i="52"/>
  <x:c r="H174" i="52"/>
  <x:c r="H175" i="52"/>
  <x:c r="H176" i="52"/>
  <x:c r="E184" i="52"/>
  <x:c r="N184" i="52"/>
  <x:c r="R188" i="52"/>
  <x:c r="R192" i="52"/>
  <x:c r="H207" i="52"/>
  <x:c r="H218" i="52"/>
  <x:c r="H208" i="52"/>
  <x:c r="H209" i="52"/>
  <x:c r="H210" i="52"/>
  <x:c r="H211" i="52"/>
  <x:c r="E219" i="52"/>
  <x:c r="N219" i="52"/>
  <x:c r="R223" i="52"/>
  <x:c r="R227" i="52"/>
  <x:c r="D249" i="52"/>
  <x:c r="B12" i="51"/>
  <x:c r="B13" i="51" s="1"/>
  <x:c r="B14" i="51" s="1"/>
  <x:c r="B15" i="51" s="1"/>
  <x:c r="E12" i="51"/>
  <x:c r="B17" i="51"/>
  <x:c r="B22" i="51" s="1"/>
  <x:c r="G114" i="51"/>
  <x:c r="H114" i="51"/>
  <x:c r="E101" i="51"/>
  <x:c r="F101" i="51"/>
  <x:c r="F107" i="51" s="1"/>
  <x:c r="G115" i="51"/>
  <x:c r="H115" i="51"/>
  <x:c r="I115" i="51"/>
  <x:c r="E163" i="51"/>
  <x:c r="E170" i="51" s="1"/>
  <x:c r="F163" i="51"/>
  <x:c r="F170" i="51" s="1"/>
  <x:c r="F176" i="51" s="1"/>
  <x:c r="G163" i="51"/>
  <x:c r="H163" i="51"/>
  <x:c r="H170" i="51" s="1"/>
  <x:c r="H176" i="51" s="1"/>
  <x:c r="I163" i="51"/>
  <x:c r="E214" i="51"/>
  <x:c r="E215" i="51"/>
  <x:c r="E216" i="51"/>
  <x:c r="E217" i="51"/>
  <x:c r="E239" i="51"/>
  <x:c r="E246" i="51" s="1"/>
  <x:c r="F239" i="51"/>
  <x:c r="F246" i="51" s="1"/>
  <x:c r="G239" i="51"/>
  <x:c r="H239" i="51"/>
  <x:c r="I239" i="51"/>
  <x:c r="E285" i="51"/>
  <x:c r="E292" i="51" s="1"/>
  <x:c r="F285" i="51"/>
  <x:c r="G285" i="51"/>
  <x:c r="H285" i="51"/>
  <x:c r="I285" i="51"/>
  <x:c r="E310" i="51"/>
  <x:c r="E317" i="51" s="1"/>
  <x:c r="F310" i="51"/>
  <x:c r="G310" i="51"/>
  <x:c r="H310" i="51"/>
  <x:c r="I310" i="51"/>
  <x:c r="B12" i="50"/>
  <x:c r="B13" i="50" s="1"/>
  <x:c r="B14" i="50" s="1"/>
  <x:c r="B15" i="50" s="1"/>
  <x:c r="E12" i="50"/>
  <x:c r="B17" i="50"/>
  <x:c r="B22" i="50" s="1"/>
  <x:c r="F232" i="1" s="1"/>
  <x:c r="G114" i="50"/>
  <x:c r="I114" i="50"/>
  <x:c r="E94" i="50"/>
  <x:c r="E101" i="50" s="1"/>
  <x:c r="F94" i="50"/>
  <x:c r="F115" i="50" s="1"/>
  <x:c r="G94" i="50"/>
  <x:c r="H94" i="50"/>
  <x:c r="H101" i="50" s="1"/>
  <x:c r="I94" i="50"/>
  <x:c r="I101" i="50" s="1"/>
  <x:c r="F139" i="50"/>
  <x:c r="I139" i="50"/>
  <x:c r="I183" i="50" s="1"/>
  <x:c r="E163" i="50"/>
  <x:c r="E170" i="50" s="1"/>
  <x:c r="F163" i="50"/>
  <x:c r="F170" i="50" s="1"/>
  <x:c r="F176" i="50" s="1"/>
  <x:c r="G163" i="50"/>
  <x:c r="G184" i="50" s="1"/>
  <x:c r="H163" i="50"/>
  <x:c r="H184" i="50" s="1"/>
  <x:c r="I163" i="50"/>
  <x:c r="I170" i="50" s="1"/>
  <x:c r="F259" i="50"/>
  <x:c r="H219" i="50"/>
  <x:c r="E239" i="50"/>
  <x:c r="E246" i="50" s="1"/>
  <x:c r="F239" i="50"/>
  <x:c r="F246" i="50" s="1"/>
  <x:c r="G239" i="50"/>
  <x:c r="H239" i="50"/>
  <x:c r="I239" i="50"/>
  <x:c r="E285" i="50"/>
  <x:c r="G13" i="9" s="1"/>
  <x:c r="H13" i="9" s="1"/>
  <x:c r="F285" i="50"/>
  <x:c r="F292" i="50" s="1"/>
  <x:c r="F298" i="50" s="1"/>
  <x:c r="G285" i="50"/>
  <x:c r="G292" i="50" s="1"/>
  <x:c r="G298" i="50" s="1"/>
  <x:c r="G15" i="50" s="1"/>
  <x:c r="H285" i="50"/>
  <x:c r="H292" i="50" s="1"/>
  <x:c r="I285" i="50"/>
  <x:c r="I292" i="50" s="1"/>
  <x:c r="E310" i="50"/>
  <x:c r="E317" i="50" s="1"/>
  <x:c r="F310" i="50"/>
  <x:c r="G310" i="50"/>
  <x:c r="H310" i="50"/>
  <x:c r="H317" i="50" s="1"/>
  <x:c r="B17" i="49"/>
  <x:c r="B18" i="49" s="1"/>
  <x:c r="B19" i="49" s="1"/>
  <x:c r="B20" i="49" s="1"/>
  <x:c r="B21" i="49" s="1"/>
  <x:c r="B22" i="49" s="1"/>
  <x:c r="B23" i="49" s="1"/>
  <x:c r="B24" i="49" s="1"/>
  <x:c r="B25" i="49" s="1"/>
  <x:c r="B26" i="49" s="1"/>
  <x:c r="B27" i="49" s="1"/>
  <x:c r="H16" i="49"/>
  <x:c r="H17" i="49"/>
  <x:c r="H18" i="49"/>
  <x:c r="H19" i="49"/>
  <x:c r="H20" i="49"/>
  <x:c r="H21" i="49"/>
  <x:c r="H22" i="49"/>
  <x:c r="H23" i="49"/>
  <x:c r="H24" i="49"/>
  <x:c r="H25" i="49"/>
  <x:c r="H26" i="49"/>
  <x:c r="H27" i="49"/>
  <x:c r="E28" i="49"/>
  <x:c r="H51" i="49"/>
  <x:c r="K51" i="49" s="1"/>
  <x:c r="L51" i="49" s="1"/>
  <x:c r="O51" i="49"/>
  <x:c r="P51" i="49" s="1"/>
  <x:c r="Q51" i="49"/>
  <x:c r="H52" i="49"/>
  <x:c r="K52" i="49" s="1"/>
  <x:c r="O52" i="49"/>
  <x:c r="P52" i="49" s="1"/>
  <x:c r="Q52" i="49"/>
  <x:c r="H53" i="49"/>
  <x:c r="K53" i="49" s="1"/>
  <x:c r="O53" i="49"/>
  <x:c r="P53" i="49" s="1"/>
  <x:c r="Q53" i="49"/>
  <x:c r="H54" i="49"/>
  <x:c r="K54" i="49" s="1"/>
  <x:c r="O54" i="49"/>
  <x:c r="Q54" i="49"/>
  <x:c r="H55" i="49"/>
  <x:c r="K55" i="49" s="1"/>
  <x:c r="O55" i="49"/>
  <x:c r="Q55" i="49"/>
  <x:c r="H56" i="49"/>
  <x:c r="K56" i="49" s="1"/>
  <x:c r="O56" i="49"/>
  <x:c r="Q56" i="49"/>
  <x:c r="H57" i="49"/>
  <x:c r="K57" i="49" s="1"/>
  <x:c r="O57" i="49"/>
  <x:c r="Q57" i="49"/>
  <x:c r="H58" i="49"/>
  <x:c r="K58" i="49" s="1"/>
  <x:c r="O58" i="49"/>
  <x:c r="Q58" i="49"/>
  <x:c r="H59" i="49"/>
  <x:c r="K59" i="49" s="1"/>
  <x:c r="O59" i="49"/>
  <x:c r="Q59" i="49"/>
  <x:c r="H60" i="49"/>
  <x:c r="K60" i="49" s="1"/>
  <x:c r="O60" i="49"/>
  <x:c r="P60" i="49" s="1"/>
  <x:c r="Q60" i="49"/>
  <x:c r="H61" i="49"/>
  <x:c r="K61" i="49" s="1"/>
  <x:c r="O61" i="49"/>
  <x:c r="P61" i="49" s="1"/>
  <x:c r="Q61" i="49"/>
  <x:c r="H62" i="49"/>
  <x:c r="K62" i="49" s="1"/>
  <x:c r="O62" i="49"/>
  <x:c r="Q62" i="49"/>
  <x:c r="E63" i="49"/>
  <x:c r="J63" i="49"/>
  <x:c r="N63" i="49"/>
  <x:c r="L67" i="49"/>
  <x:c r="R67" i="49"/>
  <x:c r="L71" i="49"/>
  <x:c r="R71" i="49"/>
  <x:c r="H86" i="49"/>
  <x:c r="H87" i="49"/>
  <x:c r="H88" i="49"/>
  <x:c r="H89" i="49"/>
  <x:c r="H90" i="49"/>
  <x:c r="H91" i="49"/>
  <x:c r="H92" i="49"/>
  <x:c r="H93" i="49"/>
  <x:c r="H94" i="49"/>
  <x:c r="H95" i="49"/>
  <x:c r="H96" i="49"/>
  <x:c r="H97" i="49"/>
  <x:c r="E98" i="49"/>
  <x:c r="H121" i="49"/>
  <x:c r="K121" i="49" s="1"/>
  <x:c r="O121" i="49"/>
  <x:c r="P121" i="49" s="1"/>
  <x:c r="Q121" i="49"/>
  <x:c r="H122" i="49"/>
  <x:c r="K122" i="49" s="1"/>
  <x:c r="O122" i="49"/>
  <x:c r="P122" i="49" s="1"/>
  <x:c r="Q122" i="49"/>
  <x:c r="H123" i="49"/>
  <x:c r="K123" i="49" s="1"/>
  <x:c r="O123" i="49"/>
  <x:c r="P123" i="49" s="1"/>
  <x:c r="Q123" i="49"/>
  <x:c r="H124" i="49"/>
  <x:c r="K124" i="49" s="1"/>
  <x:c r="O124" i="49"/>
  <x:c r="Q124" i="49"/>
  <x:c r="H125" i="49"/>
  <x:c r="K125" i="49" s="1"/>
  <x:c r="O125" i="49"/>
  <x:c r="Q125" i="49"/>
  <x:c r="H126" i="49"/>
  <x:c r="K126" i="49" s="1"/>
  <x:c r="O126" i="49"/>
  <x:c r="Q126" i="49"/>
  <x:c r="H127" i="49"/>
  <x:c r="K127" i="49" s="1"/>
  <x:c r="O127" i="49"/>
  <x:c r="Q127" i="49"/>
  <x:c r="H128" i="49"/>
  <x:c r="K128" i="49" s="1"/>
  <x:c r="O128" i="49"/>
  <x:c r="Q128" i="49"/>
  <x:c r="H129" i="49"/>
  <x:c r="K129" i="49" s="1"/>
  <x:c r="O129" i="49"/>
  <x:c r="P129" i="49" s="1"/>
  <x:c r="Q129" i="49"/>
  <x:c r="H130" i="49"/>
  <x:c r="K130" i="49" s="1"/>
  <x:c r="O130" i="49"/>
  <x:c r="Q130" i="49"/>
  <x:c r="H131" i="49"/>
  <x:c r="K131" i="49" s="1"/>
  <x:c r="O131" i="49"/>
  <x:c r="P131" i="49" s="1"/>
  <x:c r="Q131" i="49"/>
  <x:c r="H132" i="49"/>
  <x:c r="K132" i="49" s="1"/>
  <x:c r="O132" i="49"/>
  <x:c r="Q132" i="49"/>
  <x:c r="E133" i="49"/>
  <x:c r="J133" i="49"/>
  <x:c r="N133" i="49"/>
  <x:c r="H156" i="49"/>
  <x:c r="K156" i="49" s="1"/>
  <x:c r="L156" i="49" s="1"/>
  <x:c r="O156" i="49"/>
  <x:c r="P156" i="49" s="1"/>
  <x:c r="Q156" i="49"/>
  <x:c r="H157" i="49"/>
  <x:c r="K157" i="49" s="1"/>
  <x:c r="O157" i="49"/>
  <x:c r="P157" i="49" s="1"/>
  <x:c r="Q157" i="49"/>
  <x:c r="H158" i="49"/>
  <x:c r="K158" i="49" s="1"/>
  <x:c r="O158" i="49"/>
  <x:c r="P158" i="49" s="1"/>
  <x:c r="Q158" i="49"/>
  <x:c r="H159" i="49"/>
  <x:c r="K159" i="49" s="1"/>
  <x:c r="O159" i="49"/>
  <x:c r="Q159" i="49"/>
  <x:c r="H160" i="49"/>
  <x:c r="K160" i="49" s="1"/>
  <x:c r="O160" i="49"/>
  <x:c r="Q160" i="49"/>
  <x:c r="H161" i="49"/>
  <x:c r="K161" i="49" s="1"/>
  <x:c r="O161" i="49"/>
  <x:c r="Q161" i="49"/>
  <x:c r="H162" i="49"/>
  <x:c r="K162" i="49" s="1"/>
  <x:c r="O162" i="49"/>
  <x:c r="Q162" i="49"/>
  <x:c r="H163" i="49"/>
  <x:c r="K163" i="49" s="1"/>
  <x:c r="O163" i="49"/>
  <x:c r="Q163" i="49"/>
  <x:c r="H164" i="49"/>
  <x:c r="K164" i="49" s="1"/>
  <x:c r="O164" i="49"/>
  <x:c r="P164" i="49" s="1"/>
  <x:c r="Q164" i="49"/>
  <x:c r="H165" i="49"/>
  <x:c r="K165" i="49" s="1"/>
  <x:c r="O165" i="49"/>
  <x:c r="P165" i="49" s="1"/>
  <x:c r="Q165" i="49"/>
  <x:c r="H166" i="49"/>
  <x:c r="K166" i="49" s="1"/>
  <x:c r="O166" i="49"/>
  <x:c r="P166" i="49" s="1"/>
  <x:c r="Q166" i="49"/>
  <x:c r="H167" i="49"/>
  <x:c r="K167" i="49" s="1"/>
  <x:c r="O167" i="49"/>
  <x:c r="P167" i="49" s="1"/>
  <x:c r="Q167" i="49"/>
  <x:c r="E168" i="49"/>
  <x:c r="J168" i="49"/>
  <x:c r="N168" i="49"/>
  <x:c r="E187" i="49"/>
  <x:c r="Q185" i="53" l="1"/>
  <x:c r="M209" i="53"/>
  <x:c r="R102" i="52"/>
  <x:c r="R104" i="52" s="1"/>
  <x:c r="L32" i="52"/>
  <x:c r="L34" i="52" s="1"/>
  <x:c r="R32" i="52"/>
  <x:c r="R34" i="52" s="1"/>
  <x:c r="J64" i="52"/>
  <x:c r="J60" i="52"/>
  <x:c r="J63" i="52"/>
  <x:c r="J53" i="52"/>
  <x:c r="J62" i="52"/>
  <x:c r="J54" i="52"/>
  <x:c r="J61" i="52"/>
  <x:c r="J59" i="52"/>
  <x:c r="J58" i="52"/>
  <x:c r="J57" i="52"/>
  <x:c r="J56" i="52"/>
  <x:c r="J55" i="52"/>
  <x:c r="J25" i="52"/>
  <x:c r="Q25" i="52" s="1"/>
  <x:c r="J24" i="52"/>
  <x:c r="Q24" i="52" s="1"/>
  <x:c r="J23" i="52"/>
  <x:c r="Q23" i="52" s="1"/>
  <x:c r="J22" i="52"/>
  <x:c r="K22" i="52" s="1"/>
  <x:c r="J29" i="52"/>
  <x:c r="K29" i="52" s="1"/>
  <x:c r="J21" i="52"/>
  <x:c r="J28" i="52"/>
  <x:c r="Q28" i="52" s="1"/>
  <x:c r="J20" i="52"/>
  <x:c r="Q20" i="52" s="1"/>
  <x:c r="J27" i="52"/>
  <x:c r="Q27" i="52" s="1"/>
  <x:c r="J19" i="52"/>
  <x:c r="K19" i="52" s="1"/>
  <x:c r="J18" i="52"/>
  <x:c r="J26" i="52"/>
  <x:c r="Q26" i="52" s="1"/>
  <x:c r="M208" i="53"/>
  <x:c r="Q161" i="53"/>
  <x:c r="Q192" i="53"/>
  <x:c r="S192" i="53" s="1"/>
  <x:c r="L82" i="49"/>
  <x:c r="O29" i="52"/>
  <x:c r="P29" i="52" s="1"/>
  <x:c r="O18" i="52"/>
  <x:c r="S88" i="53"/>
  <x:c r="M115" i="54"/>
  <x:c r="M171" i="54" s="1"/>
  <x:c r="L171" i="54"/>
  <x:c r="I171" i="54"/>
  <x:c r="I112" i="54"/>
  <x:c r="O92" i="54"/>
  <x:c r="L92" i="54"/>
  <x:c r="M96" i="54"/>
  <x:c r="M112" i="54" s="1"/>
  <x:c r="L112" i="54"/>
  <x:c r="G171" i="54"/>
  <x:c r="G112" i="54"/>
  <x:c r="I92" i="54"/>
  <x:c r="O171" i="54"/>
  <x:c r="G92" i="54"/>
  <x:c r="O112" i="54"/>
  <x:c r="P130" i="49"/>
  <x:c r="F183" i="50"/>
  <x:c r="O61" i="52"/>
  <x:c r="R156" i="49"/>
  <x:c r="R157" i="49" s="1"/>
  <x:c r="R158" i="49" s="1"/>
  <x:c r="P49" i="54"/>
  <x:c r="P47" i="54"/>
  <x:c r="P31" i="54"/>
  <x:c r="P27" i="54"/>
  <x:c r="P25" i="54"/>
  <x:c r="P23" i="54"/>
  <x:c r="P21" i="54"/>
  <x:c r="M13" i="54"/>
  <x:c r="Q28" i="53"/>
  <x:c r="S28" i="53" s="1"/>
  <x:c r="Q18" i="53"/>
  <x:c r="S18" i="53" s="1"/>
  <x:c r="E292" i="50"/>
  <x:c r="H259" i="50"/>
  <x:c r="P162" i="49"/>
  <x:c r="P159" i="49"/>
  <x:c r="P161" i="49"/>
  <x:c r="P163" i="49"/>
  <x:c r="P160" i="49"/>
  <x:c r="P125" i="49"/>
  <x:c r="P127" i="49"/>
  <x:c r="P132" i="49"/>
  <x:c r="P124" i="49"/>
  <x:c r="P126" i="49"/>
  <x:c r="P128" i="49"/>
  <x:c r="P55" i="49"/>
  <x:c r="P57" i="49"/>
  <x:c r="P62" i="49"/>
  <x:c r="P54" i="49"/>
  <x:c r="P59" i="49"/>
  <x:c r="P56" i="49"/>
  <x:c r="P58" i="49"/>
  <x:c r="F184" i="50"/>
  <x:c r="G317" i="50"/>
  <x:c r="G323" i="50" s="1"/>
  <x:c r="F317" i="50"/>
  <x:c r="F323" i="50" s="1"/>
  <x:c r="I260" i="50"/>
  <x:c r="I246" i="50"/>
  <x:c r="H260" i="50"/>
  <x:c r="H246" i="50"/>
  <x:c r="G260" i="50"/>
  <x:c r="G246" i="50"/>
  <x:c r="G252" i="50" s="1"/>
  <x:c r="F317" i="51"/>
  <x:c r="F323" i="51" s="1"/>
  <x:c r="H246" i="51"/>
  <x:c r="H252" i="51" s="1"/>
  <x:c r="G260" i="51"/>
  <x:c r="G246" i="51"/>
  <x:c r="G252" i="51" s="1"/>
  <x:c r="I292" i="51"/>
  <x:c r="I298" i="51" s="1"/>
  <x:c r="I15" i="51" s="1"/>
  <x:c r="H292" i="51"/>
  <x:c r="H298" i="51" s="1"/>
  <x:c r="H15" i="51" s="1"/>
  <x:c r="G292" i="51"/>
  <x:c r="G298" i="51" s="1"/>
  <x:c r="G15" i="51" s="1"/>
  <x:c r="I317" i="51"/>
  <x:c r="I323" i="51" s="1"/>
  <x:c r="F292" i="51"/>
  <x:c r="F298" i="51" s="1"/>
  <x:c r="H317" i="51"/>
  <x:c r="H323" i="51" s="1"/>
  <x:c r="G317" i="51"/>
  <x:c r="G323" i="51" s="1"/>
  <x:c r="I246" i="51"/>
  <x:c r="I252" i="51" s="1"/>
  <x:c r="Q19" i="52"/>
  <x:c r="Q29" i="52"/>
  <x:c r="Q21" i="52"/>
  <x:c r="J95" i="52"/>
  <x:c r="Q95" i="52" s="1"/>
  <x:c r="J94" i="52"/>
  <x:c r="Q94" i="52" s="1"/>
  <x:c r="J93" i="52"/>
  <x:c r="Q93" i="52" s="1"/>
  <x:c r="J92" i="52"/>
  <x:c r="J88" i="52"/>
  <x:c r="K88" i="52" s="1"/>
  <x:c r="L88" i="52" s="1"/>
  <x:c r="J99" i="52"/>
  <x:c r="Q99" i="52" s="1"/>
  <x:c r="J91" i="52"/>
  <x:c r="Q91" i="52" s="1"/>
  <x:c r="J98" i="52"/>
  <x:c r="Q98" i="52" s="1"/>
  <x:c r="J90" i="52"/>
  <x:c r="Q90" i="52" s="1"/>
  <x:c r="J96" i="52"/>
  <x:c r="Q96" i="52" s="1"/>
  <x:c r="J97" i="52"/>
  <x:c r="Q97" i="52" s="1"/>
  <x:c r="J89" i="52"/>
  <x:c r="Q89" i="52" s="1"/>
  <x:c r="P167" i="54"/>
  <x:c r="P131" i="54"/>
  <x:c r="P127" i="54"/>
  <x:c r="P123" i="54"/>
  <x:c r="P130" i="54"/>
  <x:c r="P128" i="54"/>
  <x:c r="P78" i="54"/>
  <x:c r="P30" i="54"/>
  <x:c r="P28" i="54"/>
  <x:c r="P26" i="54"/>
  <x:c r="P24" i="54"/>
  <x:c r="P22" i="54"/>
  <x:c r="J51" i="54"/>
  <x:c r="J84" i="54"/>
  <x:c r="J170" i="54"/>
  <x:c r="J168" i="54"/>
  <x:c r="J134" i="54"/>
  <x:c r="J98" i="54"/>
  <x:c r="J105" i="54"/>
  <x:c r="J103" i="54"/>
  <x:c r="J99" i="54"/>
  <x:c r="J109" i="54"/>
  <x:c r="P77" i="54"/>
  <x:c r="P48" i="54"/>
  <x:c r="J33" i="54"/>
  <x:c r="J154" i="54"/>
  <x:c r="J152" i="54"/>
  <x:c r="J150" i="54"/>
  <x:c r="P151" i="54"/>
  <x:c r="O84" i="53"/>
  <x:c r="F259" i="51"/>
  <x:c r="F225" i="51"/>
  <x:c r="I170" i="51"/>
  <x:c r="I176" i="51" s="1"/>
  <x:c r="G184" i="51"/>
  <x:c r="G170" i="51"/>
  <x:c r="G176" i="51" s="1"/>
  <x:c r="H225" i="51"/>
  <x:c r="H14" i="51" s="1"/>
  <x:c r="I225" i="51"/>
  <x:c r="I14" i="51" s="1"/>
  <x:c r="I183" i="51"/>
  <x:c r="G183" i="51"/>
  <x:c r="I146" i="50"/>
  <x:c r="R121" i="49"/>
  <x:c r="R122" i="49" s="1"/>
  <x:c r="R123" i="49" s="1"/>
  <x:c r="H170" i="50"/>
  <x:c r="G170" i="50"/>
  <x:c r="G176" i="50" s="1"/>
  <x:c r="F219" i="50"/>
  <x:c r="I115" i="50"/>
  <x:c r="H101" i="51"/>
  <x:c r="H107" i="51" s="1"/>
  <x:c r="L12" i="49" s="1"/>
  <x:c r="A20" i="56"/>
  <x:c r="A21" i="56" s="1"/>
  <x:c r="A22" i="56" s="1"/>
  <x:c r="O168" i="49"/>
  <x:c r="R51" i="49"/>
  <x:c r="R52" i="49" s="1"/>
  <x:c r="R53" i="49" s="1"/>
  <x:c r="G101" i="51"/>
  <x:c r="G107" i="51" s="1"/>
  <x:c r="T173" i="54"/>
  <x:c r="P159" i="54"/>
  <x:c r="P156" i="54"/>
  <x:c r="P69" i="54"/>
  <x:c r="P52" i="54"/>
  <x:c r="H260" i="51"/>
  <x:c r="I101" i="51"/>
  <x:c r="I107" i="51" s="1"/>
  <x:c r="M163" i="53"/>
  <x:c r="Q143" i="53"/>
  <x:c r="H173" i="54"/>
  <x:c r="P164" i="54"/>
  <x:c r="P146" i="54"/>
  <x:c r="J142" i="54"/>
  <x:c r="J138" i="54"/>
  <x:c r="L102" i="52"/>
  <x:c r="L104" i="52" s="1"/>
  <x:c r="G75" i="51"/>
  <x:c r="G81" i="51" s="1"/>
  <x:c r="G11" i="51" s="1"/>
  <x:c r="R159" i="52"/>
  <x:c r="R110" i="52"/>
  <x:c r="M188" i="53"/>
  <x:c r="P143" i="54"/>
  <x:c r="P83" i="54"/>
  <x:c r="P51" i="54"/>
  <x:c r="J49" i="54"/>
  <x:c r="P35" i="54"/>
  <x:c r="J25" i="54"/>
  <x:c r="J23" i="54"/>
  <x:c r="J22" i="54"/>
  <x:c r="I260" i="51"/>
  <x:c r="O109" i="53"/>
  <x:c r="J162" i="54"/>
  <x:c r="J160" i="54"/>
  <x:c r="P139" i="54"/>
  <x:c r="P135" i="54"/>
  <x:c r="J111" i="54"/>
  <x:c r="P63" i="54"/>
  <x:c r="P62" i="54"/>
  <x:c r="P50" i="54"/>
  <x:c r="J47" i="54"/>
  <x:c r="J45" i="54"/>
  <x:c r="J43" i="54"/>
  <x:c r="P33" i="54"/>
  <x:c r="P102" i="54"/>
  <x:c r="P101" i="54"/>
  <x:c r="N173" i="54"/>
  <x:c r="J131" i="54"/>
  <x:c r="R131" i="54" s="1"/>
  <x:c r="X131" i="54" s="1"/>
  <x:c r="AF131" i="54" s="1"/>
  <x:c r="J129" i="54"/>
  <x:c r="J127" i="54"/>
  <x:c r="J122" i="54"/>
  <x:c r="J130" i="54"/>
  <x:c r="J128" i="54"/>
  <x:c r="J123" i="54"/>
  <x:c r="P162" i="54"/>
  <x:c r="J158" i="54"/>
  <x:c r="J117" i="54"/>
  <x:c r="P170" i="54"/>
  <x:c r="R170" i="54" s="1"/>
  <x:c r="X170" i="54" s="1"/>
  <x:c r="AF170" i="54" s="1"/>
  <x:c r="J166" i="54"/>
  <x:c r="P148" i="54"/>
  <x:c r="J146" i="54"/>
  <x:c r="R146" i="54" s="1"/>
  <x:c r="X146" i="54" s="1"/>
  <x:c r="AF146" i="54" s="1"/>
  <x:c r="J144" i="54"/>
  <x:c r="P154" i="54"/>
  <x:c r="J101" i="54"/>
  <x:c r="M80" i="53"/>
  <x:c r="M72" i="53"/>
  <x:c r="P84" i="54"/>
  <x:c r="R84" i="54" s="1"/>
  <x:c r="X84" i="54" s="1"/>
  <x:c r="AF84" i="54" s="1"/>
  <x:c r="P74" i="54"/>
  <x:c r="P72" i="54"/>
  <x:c r="P71" i="54"/>
  <x:c r="P56" i="54"/>
  <x:c r="P55" i="54"/>
  <x:c r="P54" i="54"/>
  <x:c r="P53" i="54"/>
  <x:c r="P45" i="54"/>
  <x:c r="P44" i="54"/>
  <x:c r="P43" i="54"/>
  <x:c r="P19" i="54"/>
  <x:c r="P16" i="54"/>
  <x:c r="M82" i="53"/>
  <x:c r="J31" i="54"/>
  <x:c r="J27" i="54"/>
  <x:c r="J76" i="54"/>
  <x:c r="J71" i="54"/>
  <x:c r="J53" i="54"/>
  <x:c r="J41" i="54"/>
  <x:c r="J39" i="54"/>
  <x:c r="J19" i="54"/>
  <x:c r="J18" i="54"/>
  <x:c r="J12" i="54"/>
  <x:c r="M79" i="53"/>
  <x:c r="J16" i="54"/>
  <x:c r="J88" i="54"/>
  <x:c r="S39" i="53"/>
  <x:c r="O41" i="53"/>
  <x:c r="H116" i="51"/>
  <x:c r="F75" i="50"/>
  <x:c r="F81" i="50" s="1"/>
  <x:c r="F11" i="50" s="1"/>
  <x:c r="I184" i="51"/>
  <x:c r="H259" i="51"/>
  <x:c r="H75" i="51"/>
  <x:c r="H81" i="51" s="1"/>
  <x:c r="H11" i="51" s="1"/>
  <x:c r="Q133" i="49"/>
  <x:c r="R73" i="49"/>
  <x:c r="H115" i="50"/>
  <x:c r="O163" i="53"/>
  <x:c r="Q79" i="53"/>
  <x:c r="S79" i="53" s="1"/>
  <x:c r="S57" i="53"/>
  <x:c r="S59" i="53" s="1"/>
  <x:c r="P165" i="54"/>
  <x:c r="P157" i="54"/>
  <x:c r="P149" i="54"/>
  <x:c r="P141" i="54"/>
  <x:c r="P138" i="54"/>
  <x:c r="J136" i="54"/>
  <x:c r="P133" i="54"/>
  <x:c r="J89" i="54"/>
  <x:c r="P82" i="54"/>
  <x:c r="P81" i="54"/>
  <x:c r="J80" i="54"/>
  <x:c r="P67" i="54"/>
  <x:c r="J65" i="54"/>
  <x:c r="P60" i="54"/>
  <x:c r="J42" i="54"/>
  <x:c r="P39" i="54"/>
  <x:c r="J37" i="54"/>
  <x:c r="P140" i="54"/>
  <x:c r="P132" i="54"/>
  <x:c r="L73" i="49"/>
  <x:c r="I259" i="51"/>
  <x:c r="R194" i="52"/>
  <x:c r="S89" i="53"/>
  <x:c r="P168" i="54"/>
  <x:c r="R168" i="54" s="1"/>
  <x:c r="X168" i="54" s="1"/>
  <x:c r="AF168" i="54" s="1"/>
  <x:c r="P163" i="54"/>
  <x:c r="P160" i="54"/>
  <x:c r="R160" i="54" s="1"/>
  <x:c r="X160" i="54" s="1"/>
  <x:c r="AF160" i="54" s="1"/>
  <x:c r="P155" i="54"/>
  <x:c r="P152" i="54"/>
  <x:c r="P147" i="54"/>
  <x:c r="P144" i="54"/>
  <x:c r="P136" i="54"/>
  <x:c r="J119" i="54"/>
  <x:c r="J72" i="54"/>
  <x:c r="J69" i="54"/>
  <x:c r="P65" i="54"/>
  <x:c r="J63" i="54"/>
  <x:c r="R63" i="54" s="1"/>
  <x:c r="X63" i="54" s="1"/>
  <x:c r="AF63" i="54" s="1"/>
  <x:c r="P58" i="54"/>
  <x:c r="J44" i="54"/>
  <x:c r="O63" i="49"/>
  <x:c r="F114" i="50"/>
  <x:c r="F116" i="50" s="1"/>
  <x:c r="G116" i="51"/>
  <x:c r="O211" i="53"/>
  <x:c r="P169" i="54"/>
  <x:c r="P166" i="54"/>
  <x:c r="J164" i="54"/>
  <x:c r="P161" i="54"/>
  <x:c r="P158" i="54"/>
  <x:c r="J156" i="54"/>
  <x:c r="R156" i="54" s="1"/>
  <x:c r="X156" i="54" s="1"/>
  <x:c r="AF156" i="54" s="1"/>
  <x:c r="P153" i="54"/>
  <x:c r="P150" i="54"/>
  <x:c r="J148" i="54"/>
  <x:c r="P145" i="54"/>
  <x:c r="P142" i="54"/>
  <x:c r="J140" i="54"/>
  <x:c r="P137" i="54"/>
  <x:c r="P134" i="54"/>
  <x:c r="R134" i="54" s="1"/>
  <x:c r="X134" i="54" s="1"/>
  <x:c r="AF134" i="54" s="1"/>
  <x:c r="J132" i="54"/>
  <x:c r="J125" i="54"/>
  <x:c r="J118" i="54"/>
  <x:c r="J107" i="54"/>
  <x:c r="P91" i="54"/>
  <x:c r="R91" i="54" s="1"/>
  <x:c r="V91" i="54" s="1"/>
  <x:c r="X91" i="54" s="1"/>
  <x:c r="AF91" i="54" s="1"/>
  <x:c r="P73" i="54"/>
  <x:c r="J67" i="54"/>
  <x:c r="J61" i="54"/>
  <x:c r="J46" i="54"/>
  <x:c r="P41" i="54"/>
  <x:c r="J40" i="54"/>
  <x:c r="P37" i="54"/>
  <x:c r="J35" i="54"/>
  <x:c r="N39" i="49"/>
  <x:c r="B28" i="49"/>
  <x:c r="B30" i="49" s="1"/>
  <x:c r="B31" i="49" s="1"/>
  <x:c r="J32" i="49" s="1"/>
  <x:c r="J39" i="49"/>
  <x:c r="F183" i="51"/>
  <x:c r="F13" i="51"/>
  <x:c r="F75" i="51"/>
  <x:c r="F81" i="51" s="1"/>
  <x:c r="F11" i="51" s="1"/>
  <x:c r="F114" i="51"/>
  <x:c r="O57" i="52"/>
  <x:c r="Q175" i="53"/>
  <x:c r="S175" i="53" s="1"/>
  <x:c r="S174" i="53"/>
  <x:c r="O208" i="53"/>
  <x:c r="L151" i="52"/>
  <x:c r="L153" i="52" s="1"/>
  <x:c r="I219" i="50"/>
  <x:c r="I259" i="50"/>
  <x:c r="M211" i="53"/>
  <x:c r="F252" i="51"/>
  <x:c r="F260" i="51"/>
  <x:c r="Q184" i="53"/>
  <x:c r="S184" i="53" s="1"/>
  <x:c r="S148" i="53"/>
  <x:c r="L133" i="52"/>
  <x:c r="P115" i="54"/>
  <x:c r="F101" i="50"/>
  <x:c r="F107" i="50" s="1"/>
  <x:c r="E249" i="52"/>
  <x:c r="O96" i="52"/>
  <x:c r="O24" i="52"/>
  <x:c r="Q186" i="53"/>
  <x:c r="S186" i="53" s="1"/>
  <x:c r="S185" i="53"/>
  <x:c r="L186" i="52"/>
  <x:c r="L188" i="52" s="1"/>
  <x:c r="O188" i="53"/>
  <x:c r="S139" i="53"/>
  <x:c r="S17" i="53"/>
  <x:c r="M71" i="53"/>
  <x:c r="P119" i="54"/>
  <x:c r="P103" i="54"/>
  <x:c r="J97" i="54"/>
  <x:c r="P76" i="54"/>
  <x:c r="J75" i="54"/>
  <x:c r="J68" i="54"/>
  <x:c r="J64" i="54"/>
  <x:c r="P61" i="54"/>
  <x:c r="J59" i="54"/>
  <x:c r="P46" i="54"/>
  <x:c r="J38" i="54"/>
  <x:c r="J34" i="54"/>
  <x:c r="L157" i="49"/>
  <x:c r="L158" i="49" s="1"/>
  <x:c r="L159" i="49" s="1"/>
  <x:c r="L160" i="49" s="1"/>
  <x:c r="L161" i="49" s="1"/>
  <x:c r="L162" i="49" s="1"/>
  <x:c r="L163" i="49" s="1"/>
  <x:c r="L164" i="49" s="1"/>
  <x:c r="L165" i="49" s="1"/>
  <x:c r="L166" i="49" s="1"/>
  <x:c r="L167" i="49" s="1"/>
  <x:c r="L179" i="49" s="1"/>
  <x:c r="G139" i="50"/>
  <x:c r="I13" i="51"/>
  <x:c r="S177" i="53"/>
  <x:c r="O93" i="53"/>
  <x:c r="P125" i="54"/>
  <x:c r="P107" i="54"/>
  <x:c r="P98" i="54"/>
  <x:c r="R98" i="54" s="1"/>
  <x:c r="X98" i="54" s="1"/>
  <x:c r="AF98" i="54" s="1"/>
  <x:c r="J87" i="54"/>
  <x:c r="P80" i="54"/>
  <x:c r="J79" i="54"/>
  <x:c r="P59" i="54"/>
  <x:c r="J57" i="54"/>
  <x:c r="P40" i="54"/>
  <x:c r="J29" i="54"/>
  <x:c r="J14" i="54"/>
  <x:c r="R229" i="52"/>
  <x:c r="M197" i="53"/>
  <x:c r="J121" i="54"/>
  <x:c r="J115" i="54"/>
  <x:c r="P111" i="54"/>
  <x:c r="J100" i="54"/>
  <x:c r="P87" i="54"/>
  <x:c r="J83" i="54"/>
  <x:c r="J70" i="54"/>
  <x:c r="J66" i="54"/>
  <x:c r="P57" i="54"/>
  <x:c r="J55" i="54"/>
  <x:c r="P42" i="54"/>
  <x:c r="J36" i="54"/>
  <x:c r="J32" i="54"/>
  <x:c r="P29" i="54"/>
  <x:c r="J20" i="54"/>
  <x:c r="P129" i="54"/>
  <x:c r="P121" i="54"/>
  <x:c r="J102" i="54"/>
  <x:c r="P100" i="54"/>
  <x:c r="P97" i="54"/>
  <x:c r="J96" i="54"/>
  <x:c r="P89" i="54"/>
  <x:c r="J82" i="54"/>
  <x:c r="P79" i="54"/>
  <x:c r="J78" i="54"/>
  <x:c r="R78" i="54" s="1"/>
  <x:c r="X78" i="54" s="1"/>
  <x:c r="AF78" i="54" s="1"/>
  <x:c r="P75" i="54"/>
  <x:c r="J74" i="54"/>
  <x:c r="P70" i="54"/>
  <x:c r="P68" i="54"/>
  <x:c r="P66" i="54"/>
  <x:c r="P64" i="54"/>
  <x:c r="J62" i="54"/>
  <x:c r="J60" i="54"/>
  <x:c r="J58" i="54"/>
  <x:c r="J56" i="54"/>
  <x:c r="P38" i="54"/>
  <x:c r="P36" i="54"/>
  <x:c r="P34" i="54"/>
  <x:c r="P32" i="54"/>
  <x:c r="J30" i="54"/>
  <x:c r="R30" i="54" s="1"/>
  <x:c r="X30" i="54" s="1"/>
  <x:c r="AF30" i="54" s="1"/>
  <x:c r="P20" i="54"/>
  <x:c r="P18" i="54"/>
  <x:c r="P14" i="54"/>
  <x:c r="J169" i="54"/>
  <x:c r="J167" i="54"/>
  <x:c r="R167" i="54" s="1"/>
  <x:c r="X167" i="54" s="1"/>
  <x:c r="AF167" i="54" s="1"/>
  <x:c r="J165" i="54"/>
  <x:c r="J163" i="54"/>
  <x:c r="J161" i="54"/>
  <x:c r="J159" i="54"/>
  <x:c r="J157" i="54"/>
  <x:c r="J155" i="54"/>
  <x:c r="J153" i="54"/>
  <x:c r="J151" i="54"/>
  <x:c r="J149" i="54"/>
  <x:c r="J147" i="54"/>
  <x:c r="J145" i="54"/>
  <x:c r="J143" i="54"/>
  <x:c r="J141" i="54"/>
  <x:c r="J139" i="54"/>
  <x:c r="J137" i="54"/>
  <x:c r="J135" i="54"/>
  <x:c r="J133" i="54"/>
  <x:c r="J126" i="54"/>
  <x:c r="P117" i="54"/>
  <x:c r="F173" i="54"/>
  <x:c r="P109" i="54"/>
  <x:c r="P105" i="54"/>
  <x:c r="P99" i="54"/>
  <x:c r="J90" i="54"/>
  <x:c r="P88" i="54"/>
  <x:c r="M34" i="53"/>
  <x:c r="M88" i="53" s="1"/>
  <x:c r="J81" i="54"/>
  <x:c r="J77" i="54"/>
  <x:c r="J73" i="54"/>
  <x:c r="J54" i="54"/>
  <x:c r="J52" i="54"/>
  <x:c r="R52" i="54" s="1"/>
  <x:c r="X52" i="54" s="1"/>
  <x:c r="AF52" i="54" s="1"/>
  <x:c r="J50" i="54"/>
  <x:c r="J48" i="54"/>
  <x:c r="J28" i="54"/>
  <x:c r="J26" i="54"/>
  <x:c r="L121" i="49"/>
  <x:c r="L122" i="49" s="1"/>
  <x:c r="L123" i="49" s="1"/>
  <x:c r="L124" i="49" s="1"/>
  <x:c r="L125" i="49" s="1"/>
  <x:c r="L126" i="49" s="1"/>
  <x:c r="L127" i="49" s="1"/>
  <x:c r="L128" i="49" s="1"/>
  <x:c r="L129" i="49" s="1"/>
  <x:c r="L130" i="49" s="1"/>
  <x:c r="L131" i="49" s="1"/>
  <x:c r="L132" i="49" s="1"/>
  <x:c r="L144" i="49" s="1"/>
  <x:c r="K133" i="49"/>
  <x:c r="F15" i="50"/>
  <x:c r="G101" i="50"/>
  <x:c r="G107" i="50" s="1"/>
  <x:c r="G115" i="50"/>
  <x:c r="Q63" i="49"/>
  <x:c r="Q168" i="49"/>
  <x:c r="I75" i="50"/>
  <x:c r="E212" i="51"/>
  <x:c r="E219" i="51" s="1"/>
  <x:c r="H217" i="52"/>
  <x:c r="L52" i="49"/>
  <x:c r="L53" i="49" s="1"/>
  <x:c r="L54" i="49" s="1"/>
  <x:c r="L55" i="49" s="1"/>
  <x:c r="L56" i="49" s="1"/>
  <x:c r="L57" i="49" s="1"/>
  <x:c r="L58" i="49" s="1"/>
  <x:c r="L59" i="49" s="1"/>
  <x:c r="L60" i="49" s="1"/>
  <x:c r="L61" i="49" s="1"/>
  <x:c r="L62" i="49" s="1"/>
  <x:c r="L74" i="49" s="1"/>
  <x:c r="K63" i="49"/>
  <x:c r="D28" i="49"/>
  <x:c r="F252" i="50"/>
  <x:c r="F260" i="50"/>
  <x:c r="G219" i="50"/>
  <x:c r="G259" i="50"/>
  <x:c r="E212" i="50"/>
  <x:c r="E139" i="50"/>
  <x:c r="H75" i="50"/>
  <x:c r="H114" i="50"/>
  <x:c r="E75" i="51"/>
  <x:c r="S158" i="53"/>
  <x:c r="Q194" i="53"/>
  <x:c r="K168" i="49"/>
  <x:c r="O133" i="49"/>
  <x:c r="I184" i="50"/>
  <x:c r="I185" i="50" s="1"/>
  <x:c r="F146" i="50"/>
  <x:c r="I116" i="50"/>
  <x:c r="G75" i="50"/>
  <x:c r="G81" i="50" s="1"/>
  <x:c r="G11" i="50" s="1"/>
  <x:c r="G225" i="51"/>
  <x:c r="G14" i="51" s="1"/>
  <x:c r="G259" i="51"/>
  <x:c r="F184" i="51"/>
  <x:c r="F115" i="51"/>
  <x:c r="E115" i="51" s="1"/>
  <x:c r="H184" i="51"/>
  <x:c r="I75" i="51"/>
  <x:c r="I81" i="51" s="1"/>
  <x:c r="I11" i="51" s="1"/>
  <x:c r="O19" i="52"/>
  <x:c r="P19" i="52" s="1"/>
  <x:c r="O91" i="52"/>
  <x:c r="O20" i="52"/>
  <x:c r="O23" i="52"/>
  <x:c r="O27" i="52"/>
  <x:c r="O92" i="52"/>
  <x:c r="O94" i="52"/>
  <x:c r="O28" i="52"/>
  <x:c r="P28" i="52" s="1"/>
  <x:c r="O90" i="52"/>
  <x:c r="O93" i="52"/>
  <x:c r="O99" i="52"/>
  <x:c r="O26" i="52"/>
  <x:c r="O89" i="52"/>
  <x:c r="O97" i="52"/>
  <x:c r="O98" i="52"/>
  <x:c r="O21" i="52"/>
  <x:c r="S193" i="53"/>
  <x:c r="O197" i="53"/>
  <x:c r="H98" i="52"/>
  <x:c r="M179" i="53"/>
  <x:c r="M210" i="53"/>
  <x:c r="S147" i="53"/>
  <x:c r="Q183" i="53"/>
  <x:c r="S183" i="53" s="1"/>
  <x:c r="Q152" i="53"/>
  <x:c r="S90" i="53"/>
  <x:c r="I114" i="51"/>
  <x:c r="I116" i="51" s="1"/>
  <x:c r="H182" i="52"/>
  <x:c r="H147" i="52"/>
  <x:c r="O95" i="52"/>
  <x:c r="B19" i="52"/>
  <x:c r="B20" i="52" s="1"/>
  <x:c r="B21" i="52" s="1"/>
  <x:c r="B22" i="52" s="1"/>
  <x:c r="B23" i="52" s="1"/>
  <x:c r="B24" i="52" s="1"/>
  <x:c r="B25" i="52" s="1"/>
  <x:c r="B26" i="52" s="1"/>
  <x:c r="B27" i="52" s="1"/>
  <x:c r="B28" i="52" s="1"/>
  <x:c r="B29" i="52" s="1"/>
  <x:c r="Q195" i="53"/>
  <x:c r="S159" i="53"/>
  <x:c r="H28" i="52"/>
  <x:c r="O209" i="53"/>
  <x:c r="O179" i="53"/>
  <x:c r="L84" i="52"/>
  <x:c r="S91" i="53"/>
  <x:c r="H63" i="52"/>
  <x:c r="O210" i="53"/>
  <x:c r="S140" i="53"/>
  <x:c r="Q176" i="53"/>
  <x:c r="S176" i="53" s="1"/>
  <x:c r="Q93" i="53"/>
  <x:c r="O56" i="52" s="1"/>
  <x:c r="O75" i="53"/>
  <x:c r="Q80" i="53"/>
  <x:c r="S80" i="53" s="1"/>
  <x:c r="J24" i="54"/>
  <x:c r="M12" i="54"/>
  <x:c r="M92" i="54" s="1"/>
  <x:c r="P126" i="54"/>
  <x:c r="P122" i="54"/>
  <x:c r="P118" i="54"/>
  <x:c r="J110" i="54"/>
  <x:c r="J108" i="54"/>
  <x:c r="J106" i="54"/>
  <x:c r="J104" i="54"/>
  <x:c r="P90" i="54"/>
  <x:c r="J124" i="54"/>
  <x:c r="J120" i="54"/>
  <x:c r="J116" i="54"/>
  <x:c r="P110" i="54"/>
  <x:c r="P108" i="54"/>
  <x:c r="P106" i="54"/>
  <x:c r="P104" i="54"/>
  <x:c r="P124" i="54"/>
  <x:c r="P120" i="54"/>
  <x:c r="P116" i="54"/>
  <x:c r="J17" i="54"/>
  <x:c r="J15" i="54"/>
  <x:c r="J13" i="54"/>
  <x:c r="R21" i="54"/>
  <x:c r="X21" i="54" s="1"/>
  <x:c r="AF21" i="54" s="1"/>
  <x:c r="P17" i="54"/>
  <x:c r="P15" i="54"/>
  <x:c r="P13" i="54"/>
  <x:c r="R33" i="54" l="1"/>
  <x:c r="X33" i="54" s="1"/>
  <x:c r="AF33" i="54" s="1"/>
  <x:c r="R144" i="54"/>
  <x:c r="X144" i="54" s="1"/>
  <x:c r="AF144" i="54" s="1"/>
  <x:c r="R127" i="54"/>
  <x:c r="X127" i="54" s="1"/>
  <x:c r="AF127" i="54" s="1"/>
  <x:c r="R26" i="54"/>
  <x:c r="X26" i="54" s="1"/>
  <x:c r="AF26" i="54" s="1"/>
  <x:c r="R31" i="54"/>
  <x:c r="X31" i="54" s="1"/>
  <x:c r="AF31" i="54" s="1"/>
  <x:c r="R47" i="54"/>
  <x:c r="X47" i="54" s="1"/>
  <x:c r="AF47" i="54" s="1"/>
  <x:c r="R128" i="54"/>
  <x:c r="X128" i="54" s="1"/>
  <x:c r="AF128" i="54" s="1"/>
  <x:c r="R54" i="54"/>
  <x:c r="X54" i="54" s="1"/>
  <x:c r="AF54" i="54" s="1"/>
  <x:c r="R143" i="54"/>
  <x:c r="X143" i="54" s="1"/>
  <x:c r="AF143" i="54" s="1"/>
  <x:c r="R23" i="54"/>
  <x:c r="X23" i="54" s="1"/>
  <x:c r="AF23" i="54" s="1"/>
  <x:c r="R150" i="54"/>
  <x:c r="X150" i="54" s="1"/>
  <x:c r="AF150" i="54" s="1"/>
  <x:c r="R101" i="54"/>
  <x:c r="X101" i="54" s="1"/>
  <x:c r="AF101" i="54" s="1"/>
  <x:c r="R138" i="54"/>
  <x:c r="X138" i="54" s="1"/>
  <x:c r="AF138" i="54" s="1"/>
  <x:c r="R45" i="54"/>
  <x:c r="X45" i="54" s="1"/>
  <x:c r="AF45" i="54" s="1"/>
  <x:c r="R77" i="54"/>
  <x:c r="X77" i="54" s="1"/>
  <x:c r="AF77" i="54" s="1"/>
  <x:c r="R28" i="54"/>
  <x:c r="X28" i="54" s="1"/>
  <x:c r="AF28" i="54" s="1"/>
  <x:c r="R109" i="54"/>
  <x:c r="X109" i="54" s="1"/>
  <x:c r="AF109" i="54" s="1"/>
  <x:c r="R149" i="54"/>
  <x:c r="X149" i="54" s="1"/>
  <x:c r="AF149" i="54" s="1"/>
  <x:c r="R18" i="54"/>
  <x:c r="X18" i="54" s="1"/>
  <x:c r="R49" i="54"/>
  <x:c r="X49" i="54" s="1"/>
  <x:c r="AF49" i="54" s="1"/>
  <x:c r="S152" i="53"/>
  <x:c r="G261" i="51"/>
  <x:c r="Q22" i="52"/>
  <x:c r="M199" i="53"/>
  <x:c r="S143" i="53"/>
  <x:c r="K98" i="52"/>
  <x:c r="Q163" i="53"/>
  <x:c r="K28" i="52"/>
  <x:c r="F185" i="50"/>
  <x:c r="O88" i="52"/>
  <x:c r="P88" i="52" s="1"/>
  <x:c r="O22" i="52"/>
  <x:c r="P22" i="52" s="1"/>
  <x:c r="J212" i="52"/>
  <x:c r="J211" i="52"/>
  <x:c r="J210" i="52"/>
  <x:c r="J209" i="52"/>
  <x:c r="J208" i="52"/>
  <x:c r="J215" i="52"/>
  <x:c r="J218" i="52"/>
  <x:c r="J217" i="52"/>
  <x:c r="J216" i="52"/>
  <x:c r="J207" i="52"/>
  <x:c r="J214" i="52"/>
  <x:c r="J213" i="52"/>
  <x:c r="L190" i="52"/>
  <x:c r="L192" i="52" s="1"/>
  <x:c r="L194" i="52" s="1"/>
  <x:c r="S194" i="53"/>
  <x:c r="J181" i="52"/>
  <x:c r="J173" i="52"/>
  <x:c r="J179" i="52"/>
  <x:c r="J178" i="52"/>
  <x:c r="J177" i="52"/>
  <x:c r="J183" i="52"/>
  <x:c r="J174" i="52"/>
  <x:c r="J180" i="52"/>
  <x:c r="J172" i="52"/>
  <x:c r="J182" i="52"/>
  <x:c r="K182" i="52" s="1"/>
  <x:c r="J176" i="52"/>
  <x:c r="J175" i="52"/>
  <x:c r="K99" i="52"/>
  <x:c r="P99" i="52" s="1"/>
  <x:c r="J142" i="52"/>
  <x:c r="J140" i="52"/>
  <x:c r="J147" i="52"/>
  <x:c r="J141" i="52"/>
  <x:c r="J145" i="52"/>
  <x:c r="J148" i="52"/>
  <x:c r="J139" i="52"/>
  <x:c r="J138" i="52"/>
  <x:c r="J146" i="52"/>
  <x:c r="J137" i="52"/>
  <x:c r="J144" i="52"/>
  <x:c r="J143" i="52"/>
  <x:c r="R24" i="54"/>
  <x:c r="X24" i="54" s="1"/>
  <x:c r="AF24" i="54" s="1"/>
  <x:c r="R53" i="54"/>
  <x:c r="X53" i="54" s="1"/>
  <x:c r="AF53" i="54" s="1"/>
  <x:c r="R51" i="54"/>
  <x:c r="X51" i="54" s="1"/>
  <x:c r="AF51" i="54" s="1"/>
  <x:c r="R27" i="54"/>
  <x:c r="X27" i="54" s="1"/>
  <x:c r="AF27" i="54" s="1"/>
  <x:c r="N30" i="52"/>
  <x:c r="O25" i="52"/>
  <x:c r="M105" i="53"/>
  <x:c r="R35" i="54"/>
  <x:c r="X35" i="54" s="1"/>
  <x:c r="AF35" i="54" s="1"/>
  <x:c r="R97" i="54"/>
  <x:c r="X97" i="54" s="1"/>
  <x:c r="R105" i="54"/>
  <x:c r="X105" i="54" s="1"/>
  <x:c r="AF105" i="54" s="1"/>
  <x:c r="J92" i="54"/>
  <x:c r="J112" i="54"/>
  <x:c r="J171" i="54"/>
  <x:c r="R130" i="54"/>
  <x:c r="X130" i="54" s="1"/>
  <x:c r="AF130" i="54" s="1"/>
  <x:c r="P171" i="54"/>
  <x:c r="R57" i="54"/>
  <x:c r="X57" i="54" s="1"/>
  <x:c r="AF57" i="54" s="1"/>
  <x:c r="P96" i="54"/>
  <x:c r="P112" i="54" s="1"/>
  <x:c r="R161" i="54"/>
  <x:c r="X161" i="54" s="1"/>
  <x:c r="AF161" i="54" s="1"/>
  <x:c r="R152" i="54"/>
  <x:c r="X152" i="54" s="1"/>
  <x:c r="AF152" i="54" s="1"/>
  <x:c r="R154" i="54"/>
  <x:c r="X154" i="54" s="1"/>
  <x:c r="AF154" i="54" s="1"/>
  <x:c r="R25" i="54"/>
  <x:c r="X25" i="54" s="1"/>
  <x:c r="AF25" i="54" s="1"/>
  <x:c r="R99" i="54"/>
  <x:c r="X99" i="54" s="1"/>
  <x:c r="AF99" i="54" s="1"/>
  <x:c r="R147" i="54"/>
  <x:c r="X147" i="54" s="1"/>
  <x:c r="AF147" i="54" s="1"/>
  <x:c r="R163" i="54"/>
  <x:c r="X163" i="54" s="1"/>
  <x:c r="AF163" i="54" s="1"/>
  <x:c r="G225" i="50"/>
  <x:c r="F225" i="50"/>
  <x:c r="E219" i="50"/>
  <x:c r="G183" i="50"/>
  <x:c r="F152" i="50"/>
  <x:c r="F13" i="50" s="1"/>
  <x:c r="O62" i="52"/>
  <x:c r="O60" i="52"/>
  <x:c r="O59" i="52"/>
  <x:c r="O64" i="52"/>
  <x:c r="O55" i="52"/>
  <x:c r="O53" i="52"/>
  <x:c r="O63" i="52"/>
  <x:c r="O54" i="52"/>
  <x:c r="O58" i="52"/>
  <x:c r="R54" i="49"/>
  <x:c r="R55" i="49" s="1"/>
  <x:c r="R56" i="49" s="1"/>
  <x:c r="R57" i="49" s="1"/>
  <x:c r="R58" i="49" s="1"/>
  <x:c r="R59" i="49" s="1"/>
  <x:c r="R60" i="49" s="1"/>
  <x:c r="R61" i="49" s="1"/>
  <x:c r="R62" i="49" s="1"/>
  <x:c r="R74" i="49" s="1"/>
  <x:c r="R75" i="49" s="1"/>
  <x:c r="R159" i="49"/>
  <x:c r="R160" i="49" s="1"/>
  <x:c r="R161" i="49" s="1"/>
  <x:c r="R162" i="49" s="1"/>
  <x:c r="R163" i="49" s="1"/>
  <x:c r="R164" i="49" s="1"/>
  <x:c r="R165" i="49" s="1"/>
  <x:c r="R166" i="49" s="1"/>
  <x:c r="R167" i="49" s="1"/>
  <x:c r="R179" i="49" s="1"/>
  <x:c r="I261" i="50"/>
  <x:c r="F261" i="51"/>
  <x:c r="Q61" i="52"/>
  <x:c r="P168" i="49"/>
  <x:c r="P63" i="49"/>
  <x:c r="K55" i="52"/>
  <x:c r="K64" i="52"/>
  <x:c r="I261" i="51"/>
  <x:c r="R61" i="54"/>
  <x:c r="X61" i="54" s="1"/>
  <x:c r="AF61" i="54" s="1"/>
  <x:c r="R123" i="54"/>
  <x:c r="X123" i="54" s="1"/>
  <x:c r="AF123" i="54" s="1"/>
  <x:c r="R22" i="54"/>
  <x:c r="X22" i="54" s="1"/>
  <x:c r="AF22" i="54" s="1"/>
  <x:c r="R139" i="54"/>
  <x:c r="X139" i="54" s="1"/>
  <x:c r="AF139" i="54" s="1"/>
  <x:c r="R103" i="54"/>
  <x:c r="X103" i="54" s="1"/>
  <x:c r="AF103" i="54" s="1"/>
  <x:c r="H261" i="50"/>
  <x:c r="P133" i="49"/>
  <x:c r="E260" i="50"/>
  <x:c r="G185" i="51"/>
  <x:c r="Q72" i="53"/>
  <x:c r="S72" i="53" s="1"/>
  <x:c r="Q82" i="53"/>
  <x:c r="S82" i="53" s="1"/>
  <x:c r="R124" i="49"/>
  <x:c r="R125" i="49" s="1"/>
  <x:c r="R126" i="49" s="1"/>
  <x:c r="R127" i="49" s="1"/>
  <x:c r="R128" i="49" s="1"/>
  <x:c r="R129" i="49" s="1"/>
  <x:c r="R130" i="49" s="1"/>
  <x:c r="R131" i="49" s="1"/>
  <x:c r="R132" i="49" s="1"/>
  <x:c r="R144" i="49" s="1"/>
  <x:c r="I185" i="51"/>
  <x:c r="F15" i="51"/>
  <x:c r="E15" i="51" s="1"/>
  <x:c r="E298" i="51"/>
  <x:c r="E323" i="51"/>
  <x:c r="P98" i="52"/>
  <x:c r="K89" i="52"/>
  <x:c r="L89" i="52" s="1"/>
  <x:c r="K90" i="52"/>
  <x:c r="P90" i="52" s="1"/>
  <x:c r="Q88" i="52"/>
  <x:c r="J100" i="52"/>
  <x:c r="K92" i="52"/>
  <x:c r="P92" i="52" s="1"/>
  <x:c r="Q92" i="52"/>
  <x:c r="K91" i="52"/>
  <x:c r="P91" i="52" s="1"/>
  <x:c r="J30" i="52"/>
  <x:c r="Q18" i="52"/>
  <x:c r="K21" i="52"/>
  <x:c r="P21" i="52" s="1"/>
  <x:c r="K20" i="52"/>
  <x:c r="P20" i="52" s="1"/>
  <x:c r="K18" i="52"/>
  <x:c r="R140" i="54"/>
  <x:c r="X140" i="54" s="1"/>
  <x:c r="AF140" i="54" s="1"/>
  <x:c r="R164" i="54"/>
  <x:c r="X164" i="54" s="1"/>
  <x:c r="AF164" i="54" s="1"/>
  <x:c r="R80" i="54"/>
  <x:c r="X80" i="54" s="1"/>
  <x:c r="AF80" i="54" s="1"/>
  <x:c r="R43" i="54"/>
  <x:c r="X43" i="54" s="1"/>
  <x:c r="AF43" i="54" s="1"/>
  <x:c r="R125" i="54"/>
  <x:c r="X125" i="54" s="1"/>
  <x:c r="AF125" i="54" s="1"/>
  <x:c r="R135" i="54"/>
  <x:c r="X135" i="54" s="1"/>
  <x:c r="AF135" i="54" s="1"/>
  <x:c r="R159" i="54"/>
  <x:c r="X159" i="54" s="1"/>
  <x:c r="AF159" i="54" s="1"/>
  <x:c r="R151" i="54"/>
  <x:c r="X151" i="54" s="1"/>
  <x:c r="AF151" i="54" s="1"/>
  <x:c r="R72" i="54"/>
  <x:c r="X72" i="54" s="1"/>
  <x:c r="AF72" i="54" s="1"/>
  <x:c r="R46" i="54"/>
  <x:c r="X46" i="54" s="1"/>
  <x:c r="AF46" i="54" s="1"/>
  <x:c r="R133" i="54"/>
  <x:c r="X133" i="54" s="1"/>
  <x:c r="AF133" i="54" s="1"/>
  <x:c r="R16" i="54"/>
  <x:c r="X16" i="54" s="1"/>
  <x:c r="AF16" i="54" s="1"/>
  <x:c r="R87" i="54"/>
  <x:c r="V87" i="54" s="1"/>
  <x:c r="R44" i="54"/>
  <x:c r="X44" i="54" s="1"/>
  <x:c r="AF44" i="54" s="1"/>
  <x:c r="R155" i="54"/>
  <x:c r="X155" i="54" s="1"/>
  <x:c r="AF155" i="54" s="1"/>
  <x:c r="R56" i="54"/>
  <x:c r="X56" i="54" s="1"/>
  <x:c r="AF56" i="54" s="1"/>
  <x:c r="R74" i="54"/>
  <x:c r="X74" i="54" s="1"/>
  <x:c r="AF74" i="54" s="1"/>
  <x:c r="R42" i="54"/>
  <x:c r="X42" i="54" s="1"/>
  <x:c r="AF42" i="54" s="1"/>
  <x:c r="R141" i="54"/>
  <x:c r="X141" i="54" s="1"/>
  <x:c r="AF141" i="54" s="1"/>
  <x:c r="R157" i="54"/>
  <x:c r="X157" i="54" s="1"/>
  <x:c r="AF157" i="54" s="1"/>
  <x:c r="R162" i="54"/>
  <x:c r="X162" i="54" s="1"/>
  <x:c r="AF162" i="54" s="1"/>
  <x:c r="R62" i="54"/>
  <x:c r="X62" i="54" s="1"/>
  <x:c r="AF62" i="54" s="1"/>
  <x:c r="R142" i="54"/>
  <x:c r="X142" i="54" s="1"/>
  <x:c r="AF142" i="54" s="1"/>
  <x:c r="R48" i="54"/>
  <x:c r="X48" i="54" s="1"/>
  <x:c r="AF48" i="54" s="1"/>
  <x:c r="R83" i="54"/>
  <x:c r="X83" i="54" s="1"/>
  <x:c r="AF83" i="54" s="1"/>
  <x:c r="R58" i="54"/>
  <x:c r="X58" i="54" s="1"/>
  <x:c r="AF58" i="54" s="1"/>
  <x:c r="R69" i="54"/>
  <x:c r="X69" i="54" s="1"/>
  <x:c r="AF69" i="54" s="1"/>
  <x:c r="E252" i="51"/>
  <x:c r="E107" i="51"/>
  <x:c r="A23" i="56"/>
  <x:c r="A24" i="56" s="1"/>
  <x:c r="C26" i="56" s="1"/>
  <x:c r="A26" i="56" s="1"/>
  <x:c r="C30" i="56"/>
  <x:c r="Q188" i="53"/>
  <x:c r="E115" i="50"/>
  <x:c r="R66" i="54"/>
  <x:c r="X66" i="54" s="1"/>
  <x:c r="AF66" i="54" s="1"/>
  <x:c r="R107" i="54"/>
  <x:c r="X107" i="54" s="1"/>
  <x:c r="AF107" i="54" s="1"/>
  <x:c r="O199" i="53"/>
  <x:c r="H116" i="50"/>
  <x:c r="L75" i="49"/>
  <x:c r="R50" i="54"/>
  <x:c r="X50" i="54" s="1"/>
  <x:c r="AF50" i="54" s="1"/>
  <x:c r="R60" i="54"/>
  <x:c r="X60" i="54" s="1"/>
  <x:c r="AF60" i="54" s="1"/>
  <x:c r="R55" i="54"/>
  <x:c r="X55" i="54" s="1"/>
  <x:c r="AF55" i="54" s="1"/>
  <x:c r="R111" i="54"/>
  <x:c r="X111" i="54" s="1"/>
  <x:c r="AF111" i="54" s="1"/>
  <x:c r="R76" i="54"/>
  <x:c r="X76" i="54" s="1"/>
  <x:c r="AF76" i="54" s="1"/>
  <x:c r="R41" i="54"/>
  <x:c r="X41" i="54" s="1"/>
  <x:c r="AF41" i="54" s="1"/>
  <x:c r="R158" i="54"/>
  <x:c r="X158" i="54" s="1"/>
  <x:c r="AF158" i="54" s="1"/>
  <x:c r="R39" i="54"/>
  <x:c r="X39" i="54" s="1"/>
  <x:c r="AF39" i="54" s="1"/>
  <x:c r="H261" i="51"/>
  <x:c r="R19" i="54"/>
  <x:c r="X19" i="54" s="1"/>
  <x:c r="AF19" i="54" s="1"/>
  <x:c r="R71" i="54"/>
  <x:c r="X71" i="54" s="1"/>
  <x:c r="AF71" i="54" s="1"/>
  <x:c r="R102" i="54"/>
  <x:c r="X102" i="54" s="1"/>
  <x:c r="R165" i="54"/>
  <x:c r="X165" i="54" s="1"/>
  <x:c r="AF165" i="54" s="1"/>
  <x:c r="R81" i="54"/>
  <x:c r="X81" i="54" s="1"/>
  <x:c r="AF81" i="54" s="1"/>
  <x:c r="R153" i="54"/>
  <x:c r="X153" i="54" s="1"/>
  <x:c r="AF153" i="54" s="1"/>
  <x:c r="R129" i="54"/>
  <x:c r="X129" i="54" s="1"/>
  <x:c r="AF129" i="54" s="1"/>
  <x:c r="R148" i="54"/>
  <x:c r="X148" i="54" s="1"/>
  <x:c r="AF148" i="54" s="1"/>
  <x:c r="I173" i="54"/>
  <x:c r="R126" i="54"/>
  <x:c r="X126" i="54" s="1"/>
  <x:c r="AF126" i="54" s="1"/>
  <x:c r="R122" i="54"/>
  <x:c r="X122" i="54" s="1"/>
  <x:c r="AF122" i="54" s="1"/>
  <x:c r="R166" i="54"/>
  <x:c r="X166" i="54" s="1"/>
  <x:c r="AF166" i="54" s="1"/>
  <x:c r="R118" i="54"/>
  <x:c r="X118" i="54" s="1"/>
  <x:c r="AF118" i="54" s="1"/>
  <x:c r="R121" i="54"/>
  <x:c r="X121" i="54" s="1"/>
  <x:c r="AF121" i="54" s="1"/>
  <x:c r="R117" i="54"/>
  <x:c r="X117" i="54" s="1"/>
  <x:c r="AF117" i="54" s="1"/>
  <x:c r="R137" i="54"/>
  <x:c r="X137" i="54" s="1"/>
  <x:c r="AF137" i="54" s="1"/>
  <x:c r="R145" i="54"/>
  <x:c r="X145" i="54" s="1"/>
  <x:c r="AF145" i="54" s="1"/>
  <x:c r="R169" i="54"/>
  <x:c r="X169" i="54" s="1"/>
  <x:c r="AF169" i="54" s="1"/>
  <x:c r="R119" i="54"/>
  <x:c r="X119" i="54" s="1"/>
  <x:c r="AF119" i="54" s="1"/>
  <x:c r="R110" i="54"/>
  <x:c r="X110" i="54" s="1"/>
  <x:c r="AF110" i="54" s="1"/>
  <x:c r="R29" i="54"/>
  <x:c r="X29" i="54" s="1"/>
  <x:c r="AF29" i="54" s="1"/>
  <x:c r="Q71" i="53"/>
  <x:c r="S71" i="53" s="1"/>
  <x:c r="R34" i="54"/>
  <x:c r="X34" i="54" s="1"/>
  <x:c r="AF34" i="54" s="1"/>
  <x:c r="Q105" i="53"/>
  <x:c r="S105" i="53" s="1"/>
  <x:c r="R40" i="54"/>
  <x:c r="X40" i="54" s="1"/>
  <x:c r="AF40" i="54" s="1"/>
  <x:c r="R67" i="54"/>
  <x:c r="X67" i="54" s="1"/>
  <x:c r="AF67" i="54" s="1"/>
  <x:c r="R37" i="54"/>
  <x:c r="X37" i="54" s="1"/>
  <x:c r="AF37" i="54" s="1"/>
  <x:c r="R65" i="54"/>
  <x:c r="X65" i="54" s="1"/>
  <x:c r="AF65" i="54" s="1"/>
  <x:c r="R82" i="54"/>
  <x:c r="X82" i="54" s="1"/>
  <x:c r="AF82" i="54" s="1"/>
  <x:c r="R36" i="54"/>
  <x:c r="X36" i="54" s="1"/>
  <x:c r="AF36" i="54" s="1"/>
  <x:c r="R88" i="54"/>
  <x:c r="V88" i="54" s="1"/>
  <x:c r="X88" i="54" s="1"/>
  <x:c r="AF88" i="54" s="1"/>
  <x:c r="R59" i="54"/>
  <x:c r="X59" i="54" s="1"/>
  <x:c r="AF59" i="54" s="1"/>
  <x:c r="R64" i="54"/>
  <x:c r="X64" i="54" s="1"/>
  <x:c r="AF64" i="54" s="1"/>
  <x:c r="I17" i="51"/>
  <x:c r="E260" i="51"/>
  <x:c r="R73" i="54"/>
  <x:c r="X73" i="54" s="1"/>
  <x:c r="AF73" i="54" s="1"/>
  <x:c r="R89" i="54"/>
  <x:c r="V89" i="54" s="1"/>
  <x:c r="X89" i="54" s="1"/>
  <x:c r="AF89" i="54" s="1"/>
  <x:c r="F185" i="51"/>
  <x:c r="R132" i="54"/>
  <x:c r="X132" i="54" s="1"/>
  <x:c r="AF132" i="54" s="1"/>
  <x:c r="R136" i="54"/>
  <x:c r="X136" i="54" s="1"/>
  <x:c r="AF136" i="54" s="1"/>
  <x:c r="R108" i="54"/>
  <x:c r="X108" i="54" s="1"/>
  <x:c r="AF108" i="54" s="1"/>
  <x:c r="S161" i="53"/>
  <x:c r="S163" i="53" s="1"/>
  <x:c r="R68" i="54"/>
  <x:c r="X68" i="54" s="1"/>
  <x:c r="AF68" i="54" s="1"/>
  <x:c r="L173" i="54"/>
  <x:c r="S188" i="53"/>
  <x:c r="M213" i="53"/>
  <x:c r="G146" i="50"/>
  <x:c r="R32" i="54"/>
  <x:c r="X32" i="54" s="1"/>
  <x:c r="AF32" i="54" s="1"/>
  <x:c r="R79" i="54"/>
  <x:c r="X79" i="54" s="1"/>
  <x:c r="AF79" i="54" s="1"/>
  <x:c r="R115" i="54"/>
  <x:c r="R90" i="54"/>
  <x:c r="V90" i="54" s="1"/>
  <x:c r="O173" i="54"/>
  <x:c r="R14" i="54"/>
  <x:c r="X14" i="54" s="1"/>
  <x:c r="AF14" i="54" s="1"/>
  <x:c r="R20" i="54"/>
  <x:c r="X20" i="54" s="1"/>
  <x:c r="AF20" i="54" s="1"/>
  <x:c r="R75" i="54"/>
  <x:c r="X75" i="54" s="1"/>
  <x:c r="AF75" i="54" s="1"/>
  <x:c r="O95" i="53"/>
  <x:c r="E75" i="50"/>
  <x:c r="R70" i="54"/>
  <x:c r="X70" i="54" s="1"/>
  <x:c r="AF70" i="54" s="1"/>
  <x:c r="R100" i="54"/>
  <x:c r="X100" i="54" s="1"/>
  <x:c r="AF100" i="54" s="1"/>
  <x:c r="R38" i="54"/>
  <x:c r="X38" i="54" s="1"/>
  <x:c r="AF38" i="54" s="1"/>
  <x:c r="Q209" i="53"/>
  <x:c r="S209" i="53" s="1"/>
  <x:c r="R120" i="54"/>
  <x:c r="X120" i="54" s="1"/>
  <x:c r="AF120" i="54" s="1"/>
  <x:c r="H27" i="52"/>
  <x:c r="K27" i="52" s="1"/>
  <x:c r="P27" i="52" s="1"/>
  <x:c r="H181" i="52"/>
  <x:c r="E81" i="51"/>
  <x:c r="R124" i="54"/>
  <x:c r="X124" i="54" s="1"/>
  <x:c r="AF124" i="54" s="1"/>
  <x:c r="B30" i="52"/>
  <x:c r="B32" i="52" s="1"/>
  <x:c r="N41" i="52"/>
  <x:c r="J41" i="52"/>
  <x:c r="Q208" i="53"/>
  <x:c r="K53" i="52"/>
  <x:c r="J65" i="52"/>
  <x:c r="E114" i="51"/>
  <x:c r="E116" i="51" s="1"/>
  <x:c r="E114" i="50"/>
  <x:c r="G261" i="50"/>
  <x:c r="E259" i="50"/>
  <x:c r="L63" i="49"/>
  <x:c r="E11" i="51"/>
  <x:c r="G116" i="50"/>
  <x:c r="E184" i="50"/>
  <x:c r="R13" i="54"/>
  <x:c r="X13" i="54" s="1"/>
  <x:c r="AF13" i="54" s="1"/>
  <x:c r="R15" i="54"/>
  <x:c r="X15" i="54" s="1"/>
  <x:c r="AF15" i="54" s="1"/>
  <x:c r="R104" i="54"/>
  <x:c r="X104" i="54" s="1"/>
  <x:c r="AF104" i="54" s="1"/>
  <x:c r="P12" i="54"/>
  <x:c r="P92" i="54" s="1"/>
  <x:c r="M173" i="54"/>
  <x:c r="Q210" i="53"/>
  <x:c r="S210" i="53" s="1"/>
  <x:c r="Q179" i="53"/>
  <x:c r="L221" i="52"/>
  <x:c r="L223" i="52" s="1"/>
  <x:c r="L225" i="52"/>
  <x:c r="L227" i="52" s="1"/>
  <x:c r="O213" i="53"/>
  <x:c r="D30" i="52"/>
  <x:c r="G13" i="51"/>
  <x:c r="H97" i="52"/>
  <x:c r="K97" i="52" s="1"/>
  <x:c r="P97" i="52" s="1"/>
  <x:c r="Q62" i="52"/>
  <x:c r="E184" i="51"/>
  <x:c r="F14" i="51"/>
  <x:c r="E14" i="51" s="1"/>
  <x:c r="E225" i="51"/>
  <x:c r="F116" i="51"/>
  <x:c r="E146" i="50"/>
  <x:c r="H216" i="52"/>
  <x:c r="B32" i="49"/>
  <x:c r="N32" i="49"/>
  <x:c r="H13" i="51"/>
  <x:c r="H17" i="51" s="1"/>
  <x:c r="H183" i="51"/>
  <x:c r="F261" i="50"/>
  <x:c r="H146" i="52"/>
  <x:c r="Q59" i="52"/>
  <x:c r="Q55" i="52"/>
  <x:c r="L155" i="52"/>
  <x:c r="L157" i="52" s="1"/>
  <x:c r="L159" i="52" s="1"/>
  <x:c r="E259" i="51"/>
  <x:c r="R17" i="54"/>
  <x:c r="X17" i="54" s="1"/>
  <x:c r="AF17" i="54" s="1"/>
  <x:c r="R116" i="54"/>
  <x:c r="AF97" i="54"/>
  <x:c r="R106" i="54"/>
  <x:c r="X106" i="54" s="1"/>
  <x:c r="AF106" i="54" s="1"/>
  <x:c r="G173" i="54"/>
  <x:c r="H62" i="52"/>
  <x:c r="K62" i="52" s="1"/>
  <x:c r="P62" i="52" s="1"/>
  <x:c r="S179" i="53"/>
  <x:c r="Q211" i="53"/>
  <x:c r="S211" i="53" s="1"/>
  <x:c r="S195" i="53"/>
  <x:c r="S93" i="53"/>
  <x:c r="Q58" i="52"/>
  <x:c r="K54" i="52"/>
  <x:c r="K57" i="52"/>
  <x:c r="P57" i="52" s="1"/>
  <x:c r="Q57" i="52"/>
  <x:c r="E176" i="51"/>
  <x:c r="Q197" i="53"/>
  <x:c r="H183" i="50"/>
  <x:c r="Q30" i="52" l="1"/>
  <x:c r="O100" i="52"/>
  <x:c r="R88" i="52"/>
  <x:c r="O30" i="52"/>
  <x:c r="K181" i="52"/>
  <x:c r="K146" i="52"/>
  <x:c r="K216" i="52"/>
  <x:c r="S197" i="53"/>
  <x:c r="Q137" i="52"/>
  <x:c r="J149" i="52"/>
  <x:c r="K137" i="52"/>
  <x:c r="L137" i="52" s="1"/>
  <x:c r="O137" i="52"/>
  <x:c r="Q140" i="52"/>
  <x:c r="K140" i="52"/>
  <x:c r="P140" i="52" s="1"/>
  <x:c r="O140" i="52"/>
  <x:c r="Q174" i="52"/>
  <x:c r="O174" i="52"/>
  <x:c r="K174" i="52"/>
  <x:c r="Q215" i="52"/>
  <x:c r="O215" i="52"/>
  <x:c r="Q146" i="52"/>
  <x:c r="O146" i="52"/>
  <x:c r="P146" i="52" s="1"/>
  <x:c r="Q142" i="52"/>
  <x:c r="O142" i="52"/>
  <x:c r="Q183" i="52"/>
  <x:c r="K183" i="52"/>
  <x:c r="O183" i="52"/>
  <x:c r="P183" i="52" s="1"/>
  <x:c r="Q208" i="52"/>
  <x:c r="K208" i="52"/>
  <x:c r="O208" i="52"/>
  <x:c r="Q138" i="52"/>
  <x:c r="O138" i="52"/>
  <x:c r="K138" i="52"/>
  <x:c r="Q177" i="52"/>
  <x:c r="O177" i="52"/>
  <x:c r="Q213" i="52"/>
  <x:c r="O213" i="52"/>
  <x:c r="Q209" i="52"/>
  <x:c r="O209" i="52"/>
  <x:c r="K209" i="52"/>
  <x:c r="Q139" i="52"/>
  <x:c r="O139" i="52"/>
  <x:c r="K139" i="52"/>
  <x:c r="Q175" i="52"/>
  <x:c r="K175" i="52"/>
  <x:c r="O175" i="52"/>
  <x:c r="Q178" i="52"/>
  <x:c r="O178" i="52"/>
  <x:c r="Q214" i="52"/>
  <x:c r="O214" i="52"/>
  <x:c r="Q210" i="52"/>
  <x:c r="K210" i="52"/>
  <x:c r="O210" i="52"/>
  <x:c r="Q148" i="52"/>
  <x:c r="K148" i="52"/>
  <x:c r="O148" i="52"/>
  <x:c r="P148" i="52" s="1"/>
  <x:c r="Q176" i="52"/>
  <x:c r="O176" i="52"/>
  <x:c r="K176" i="52"/>
  <x:c r="Q179" i="52"/>
  <x:c r="O179" i="52"/>
  <x:c r="J219" i="52"/>
  <x:c r="Q207" i="52"/>
  <x:c r="O207" i="52"/>
  <x:c r="K207" i="52"/>
  <x:c r="L207" i="52" s="1"/>
  <x:c r="Q211" i="52"/>
  <x:c r="K211" i="52"/>
  <x:c r="O211" i="52"/>
  <x:c r="Q145" i="52"/>
  <x:c r="O145" i="52"/>
  <x:c r="Q182" i="52"/>
  <x:c r="O182" i="52"/>
  <x:c r="P182" i="52" s="1"/>
  <x:c r="Q173" i="52"/>
  <x:c r="K173" i="52"/>
  <x:c r="O173" i="52"/>
  <x:c r="Q216" i="52"/>
  <x:c r="O216" i="52"/>
  <x:c r="P216" i="52" s="1"/>
  <x:c r="Q212" i="52"/>
  <x:c r="O212" i="52"/>
  <x:c r="Q143" i="52"/>
  <x:c r="O143" i="52"/>
  <x:c r="Q141" i="52"/>
  <x:c r="O141" i="52"/>
  <x:c r="K141" i="52"/>
  <x:c r="Q172" i="52"/>
  <x:c r="J184" i="52"/>
  <x:c r="O172" i="52"/>
  <x:c r="K172" i="52"/>
  <x:c r="L172" i="52" s="1"/>
  <x:c r="Q181" i="52"/>
  <x:c r="O181" i="52"/>
  <x:c r="P181" i="52" s="1"/>
  <x:c r="Q217" i="52"/>
  <x:c r="O217" i="52"/>
  <x:c r="K217" i="52"/>
  <x:c r="Q144" i="52"/>
  <x:c r="O144" i="52"/>
  <x:c r="Q147" i="52"/>
  <x:c r="O147" i="52"/>
  <x:c r="Q180" i="52"/>
  <x:c r="O180" i="52"/>
  <x:c r="Q218" i="52"/>
  <x:c r="K218" i="52"/>
  <x:c r="O218" i="52"/>
  <x:c r="P218" i="52" s="1"/>
  <x:c r="K147" i="52"/>
  <x:c r="L30" i="49"/>
  <x:c r="L32" i="49" s="1"/>
  <x:c r="R30" i="49"/>
  <x:c r="R32" i="49" s="1"/>
  <x:c r="R137" i="49"/>
  <x:c r="L135" i="49"/>
  <x:c r="L137" i="49" s="1"/>
  <x:c r="L170" i="49"/>
  <x:c r="L172" i="49" s="1"/>
  <x:c r="X87" i="54"/>
  <x:c r="AF87" i="54" s="1"/>
  <x:c r="V92" i="54"/>
  <x:c r="V173" i="54" s="1"/>
  <x:c r="X115" i="54"/>
  <x:c r="R171" i="54"/>
  <x:c r="R96" i="54"/>
  <x:c r="R112" i="54" s="1"/>
  <x:c r="F14" i="50"/>
  <x:c r="F17" i="50" s="1"/>
  <x:c r="G14" i="50"/>
  <x:c r="G152" i="50"/>
  <x:c r="H185" i="50"/>
  <x:c r="G185" i="50"/>
  <x:c r="O65" i="52"/>
  <x:c r="Q63" i="52"/>
  <x:c r="N65" i="52"/>
  <x:c r="P64" i="52"/>
  <x:c r="Q54" i="52"/>
  <x:c r="Q53" i="52"/>
  <x:c r="P54" i="52"/>
  <x:c r="P53" i="52"/>
  <x:c r="Q60" i="52"/>
  <x:c r="P55" i="52"/>
  <x:c r="H95" i="1"/>
  <x:c r="E261" i="50"/>
  <x:c r="K56" i="52"/>
  <x:c r="P56" i="52" s="1"/>
  <x:c r="Q56" i="52"/>
  <x:c r="Q64" i="52"/>
  <x:c r="K63" i="52"/>
  <x:c r="P63" i="52" s="1"/>
  <x:c r="R172" i="49"/>
  <x:c r="E261" i="51"/>
  <x:c r="P89" i="52"/>
  <x:c r="L18" i="52"/>
  <x:c r="L19" i="52" s="1"/>
  <x:c r="L20" i="52" s="1"/>
  <x:c r="L21" i="52" s="1"/>
  <x:c r="L22" i="52" s="1"/>
  <x:c r="P18" i="52"/>
  <x:c r="R18" i="52" s="1"/>
  <x:c r="R19" i="52" s="1"/>
  <x:c r="R20" i="52" s="1"/>
  <x:c r="R21" i="52" s="1"/>
  <x:c r="R22" i="52" s="1"/>
  <x:c r="L90" i="52"/>
  <x:c r="L91" i="52" s="1"/>
  <x:c r="L92" i="52" s="1"/>
  <x:c r="Q100" i="52"/>
  <x:c r="E116" i="50"/>
  <x:c r="C38" i="56"/>
  <x:c r="A28" i="56"/>
  <x:c r="L229" i="52"/>
  <x:c r="F17" i="51"/>
  <x:c r="E183" i="50"/>
  <x:c r="X178" i="54"/>
  <x:c r="X90" i="54"/>
  <x:c r="AF90" i="54" s="1"/>
  <x:c r="E152" i="51"/>
  <x:c r="J173" i="54"/>
  <x:c r="AF178" i="54"/>
  <x:c r="M27" i="53"/>
  <x:c r="S27" i="53" s="1"/>
  <x:c r="R71" i="52" s="1"/>
  <x:c r="R73" i="52" s="1"/>
  <x:c r="R75" i="52" s="1"/>
  <x:c r="B34" i="49"/>
  <x:c r="R12" i="54"/>
  <x:c r="R92" i="54" s="1"/>
  <x:c r="P173" i="54"/>
  <x:c r="H61" i="52"/>
  <x:c r="K61" i="52" s="1"/>
  <x:c r="P61" i="52" s="1"/>
  <x:c r="H96" i="52"/>
  <x:c r="K96" i="52" s="1"/>
  <x:c r="P96" i="52" s="1"/>
  <x:c r="Q213" i="53"/>
  <x:c r="L256" i="9" s="1"/>
  <x:c r="S208" i="53"/>
  <x:c r="S213" i="53" s="1"/>
  <x:c r="B33" i="52"/>
  <x:c r="B34" i="52" s="1"/>
  <x:c r="H145" i="52"/>
  <x:c r="K145" i="52" s="1"/>
  <x:c r="P145" i="52" s="1"/>
  <x:c r="H185" i="51"/>
  <x:c r="E183" i="51"/>
  <x:c r="E185" i="51" s="1"/>
  <x:c r="Q199" i="53"/>
  <x:c r="H26" i="52"/>
  <x:c r="K26" i="52" s="1"/>
  <x:c r="P26" i="52" s="1"/>
  <x:c r="S199" i="53"/>
  <x:c r="X116" i="54"/>
  <x:c r="H215" i="52"/>
  <x:c r="K215" i="52" s="1"/>
  <x:c r="P215" i="52" s="1"/>
  <x:c r="E13" i="51"/>
  <x:c r="G17" i="51"/>
  <x:c r="L53" i="52"/>
  <x:c r="L54" i="52" s="1"/>
  <x:c r="L55" i="52" s="1"/>
  <x:c r="H180" i="52"/>
  <x:c r="K180" i="52" s="1"/>
  <x:c r="P180" i="52" s="1"/>
  <x:c r="X96" i="54" l="1"/>
  <x:c r="X112" i="54" s="1"/>
  <x:c r="L173" i="52"/>
  <x:c r="L174" i="52" s="1"/>
  <x:c r="L175" i="52" s="1"/>
  <x:c r="L176" i="52" s="1"/>
  <x:c r="P141" i="52"/>
  <x:c r="P176" i="52"/>
  <x:c r="P147" i="52"/>
  <x:c r="P210" i="52"/>
  <x:c r="P208" i="52"/>
  <x:c r="L208" i="52"/>
  <x:c r="L209" i="52" s="1"/>
  <x:c r="L210" i="52" s="1"/>
  <x:c r="L211" i="52" s="1"/>
  <x:c r="P172" i="52"/>
  <x:c r="R172" i="52" s="1"/>
  <x:c r="O184" i="52"/>
  <x:c r="P207" i="52"/>
  <x:c r="R207" i="52" s="1"/>
  <x:c r="O219" i="52"/>
  <x:c r="P139" i="52"/>
  <x:c r="Q219" i="52"/>
  <x:c r="P137" i="52"/>
  <x:c r="R137" i="52" s="1"/>
  <x:c r="O149" i="52"/>
  <x:c r="Q184" i="52"/>
  <x:c r="L138" i="52"/>
  <x:c r="L139" i="52" s="1"/>
  <x:c r="L140" i="52" s="1"/>
  <x:c r="L141" i="52" s="1"/>
  <x:c r="P217" i="52"/>
  <x:c r="P138" i="52"/>
  <x:c r="P174" i="52"/>
  <x:c r="P173" i="52"/>
  <x:c r="P211" i="52"/>
  <x:c r="P175" i="52"/>
  <x:c r="P209" i="52"/>
  <x:c r="Q149" i="52"/>
  <x:c r="L100" i="49"/>
  <x:c r="L102" i="49" s="1"/>
  <x:c r="R53" i="52"/>
  <x:c r="R54" i="52" s="1"/>
  <x:c r="R55" i="52" s="1"/>
  <x:c r="R56" i="52" s="1"/>
  <x:c r="R57" i="52" s="1"/>
  <x:c r="AF115" i="54"/>
  <x:c r="M19" i="53" s="1"/>
  <x:c r="X171" i="54"/>
  <x:c r="E185" i="50"/>
  <x:c r="G13" i="50"/>
  <x:c r="G17" i="50" s="1"/>
  <x:c r="L56" i="52"/>
  <x:c r="L57" i="52" s="1"/>
  <x:c r="Q65" i="52"/>
  <x:c r="R102" i="49"/>
  <x:c r="R89" i="52"/>
  <x:c r="R90" i="52" s="1"/>
  <x:c r="R91" i="52" s="1"/>
  <x:c r="R92" i="52" s="1"/>
  <x:c r="A29" i="56"/>
  <x:c r="A30" i="56" s="1"/>
  <x:c r="A31" i="56" s="1"/>
  <x:c r="J34" i="52"/>
  <x:c r="E17" i="51"/>
  <x:c r="H179" i="52"/>
  <x:c r="K179" i="52" s="1"/>
  <x:c r="P179" i="52" s="1"/>
  <x:c r="H214" i="52"/>
  <x:c r="K214" i="52" s="1"/>
  <x:c r="P214" i="52" s="1"/>
  <x:c r="H95" i="52"/>
  <x:c r="K95" i="52" s="1"/>
  <x:c r="P95" i="52" s="1"/>
  <x:c r="X12" i="54"/>
  <x:c r="X92" i="54" s="1"/>
  <x:c r="R173" i="54"/>
  <x:c r="H25" i="52"/>
  <x:c r="K25" i="52" s="1"/>
  <x:c r="P25" i="52" s="1"/>
  <x:c r="AF116" i="54"/>
  <x:c r="H144" i="52"/>
  <x:c r="K144" i="52" s="1"/>
  <x:c r="P144" i="52" s="1"/>
  <x:c r="B36" i="52"/>
  <x:c r="M30" i="53"/>
  <x:c r="M81" i="53"/>
  <x:c r="X176" i="54"/>
  <x:c r="N34" i="52"/>
  <x:c r="H60" i="52"/>
  <x:c r="K60" i="52" s="1"/>
  <x:c r="P60" i="52" s="1"/>
  <x:c r="B35" i="49"/>
  <x:c r="B36" i="49" s="1"/>
  <x:c r="AF96" i="54" l="1"/>
  <x:c r="AF112" i="54" s="1"/>
  <x:c r="R173" i="52"/>
  <x:c r="R174" i="52" s="1"/>
  <x:c r="R175" i="52" s="1"/>
  <x:c r="R176" i="52" s="1"/>
  <x:c r="R208" i="52"/>
  <x:c r="R209" i="52" s="1"/>
  <x:c r="R210" i="52" s="1"/>
  <x:c r="R211" i="52" s="1"/>
  <x:c r="R138" i="52"/>
  <x:c r="R139" i="52" s="1"/>
  <x:c r="R140" i="52" s="1"/>
  <x:c r="R141" i="52" s="1"/>
  <x:c r="AF171" i="54"/>
  <x:c r="N36" i="49"/>
  <x:c r="A32" i="56"/>
  <x:c r="C33" i="56" s="1"/>
  <x:c r="A33" i="56" s="1"/>
  <x:c r="H142" i="52"/>
  <x:c r="K142" i="52" s="1"/>
  <x:c r="P142" i="52" s="1"/>
  <x:c r="H143" i="52"/>
  <x:c r="K143" i="52" s="1"/>
  <x:c r="P143" i="52" s="1"/>
  <x:c r="H212" i="52"/>
  <x:c r="K212" i="52" s="1"/>
  <x:c r="P212" i="52" s="1"/>
  <x:c r="H213" i="52"/>
  <x:c r="K213" i="52" s="1"/>
  <x:c r="P213" i="52" s="1"/>
  <x:c r="AF176" i="54"/>
  <x:c r="M36" i="53"/>
  <x:c r="M90" i="53" s="1"/>
  <x:c r="H94" i="52"/>
  <x:c r="K94" i="52" s="1"/>
  <x:c r="P94" i="52" s="1"/>
  <x:c r="H93" i="52"/>
  <x:c r="K93" i="52" s="1"/>
  <x:c r="P93" i="52" s="1"/>
  <x:c r="H58" i="52"/>
  <x:c r="K58" i="52" s="1"/>
  <x:c r="P58" i="52" s="1"/>
  <x:c r="H59" i="52"/>
  <x:c r="K59" i="52" s="1"/>
  <x:c r="P59" i="52" s="1"/>
  <x:c r="Q81" i="53"/>
  <x:c r="Q106" i="53"/>
  <x:c r="S106" i="53" s="1"/>
  <x:c r="Q30" i="53"/>
  <x:c r="B38" i="49"/>
  <x:c r="J36" i="49"/>
  <x:c r="M84" i="53"/>
  <x:c r="B37" i="52"/>
  <x:c r="B38" i="52" s="1"/>
  <x:c r="H23" i="52"/>
  <x:c r="K23" i="52" s="1"/>
  <x:c r="P23" i="52" s="1"/>
  <x:c r="H24" i="52"/>
  <x:c r="K24" i="52" s="1"/>
  <x:c r="P24" i="52" s="1"/>
  <x:c r="AF12" i="54"/>
  <x:c r="X173" i="54"/>
  <x:c r="X179" i="54"/>
  <x:c r="X181" i="54" s="1"/>
  <x:c r="X183" i="54" s="1"/>
  <x:c r="H177" i="52"/>
  <x:c r="K177" i="52" s="1"/>
  <x:c r="P177" i="52" s="1"/>
  <x:c r="H178" i="52"/>
  <x:c r="K178" i="52" s="1"/>
  <x:c r="P178" i="52" s="1"/>
  <x:c r="M16" i="53" l="1"/>
  <x:c r="AF179" i="54"/>
  <x:c r="AF181" i="54" s="1"/>
  <x:c r="AF183" i="54" s="1"/>
  <x:c r="P100" i="52"/>
  <x:c r="J40" i="52"/>
  <x:c r="N40" i="52"/>
  <x:c r="AF92" i="54"/>
  <x:c r="AF173" i="54" s="1"/>
  <x:c r="P219" i="52"/>
  <x:c r="R212" i="52"/>
  <x:c r="R213" i="52" s="1"/>
  <x:c r="R214" i="52" s="1"/>
  <x:c r="R215" i="52" s="1"/>
  <x:c r="R216" i="52" s="1"/>
  <x:c r="R217" i="52" s="1"/>
  <x:c r="R218" i="52" s="1"/>
  <x:c r="R230" i="52" s="1"/>
  <x:c r="R231" i="52" s="1"/>
  <x:c r="N240" i="52" s="1"/>
  <x:c r="P184" i="52"/>
  <x:c r="R177" i="52"/>
  <x:c r="R178" i="52" s="1"/>
  <x:c r="R179" i="52" s="1"/>
  <x:c r="R180" i="52" s="1"/>
  <x:c r="R181" i="52" s="1"/>
  <x:c r="R182" i="52" s="1"/>
  <x:c r="R183" i="52" s="1"/>
  <x:c r="R195" i="52" s="1"/>
  <x:c r="R196" i="52" s="1"/>
  <x:c r="N239" i="52" s="1"/>
  <x:c r="P149" i="52"/>
  <x:c r="R142" i="52"/>
  <x:c r="R143" i="52" s="1"/>
  <x:c r="R144" i="52" s="1"/>
  <x:c r="R145" i="52" s="1"/>
  <x:c r="R146" i="52" s="1"/>
  <x:c r="R147" i="52" s="1"/>
  <x:c r="R148" i="52" s="1"/>
  <x:c r="R160" i="52" s="1"/>
  <x:c r="R161" i="52" s="1"/>
  <x:c r="N238" i="52" s="1"/>
  <x:c r="R93" i="52"/>
  <x:c r="R94" i="52" s="1"/>
  <x:c r="R95" i="52" s="1"/>
  <x:c r="R96" i="52" s="1"/>
  <x:c r="R97" i="52" s="1"/>
  <x:c r="R98" i="52" s="1"/>
  <x:c r="R99" i="52" s="1"/>
  <x:c r="R111" i="52" s="1"/>
  <x:c r="R112" i="52" s="1"/>
  <x:c r="N121" i="52" s="1"/>
  <x:c r="P65" i="52"/>
  <x:c r="R58" i="52"/>
  <x:c r="R59" i="52" s="1"/>
  <x:c r="R60" i="52" s="1"/>
  <x:c r="R61" i="52" s="1"/>
  <x:c r="R62" i="52" s="1"/>
  <x:c r="R63" i="52" s="1"/>
  <x:c r="R64" i="52" s="1"/>
  <x:c r="R76" i="52" s="1"/>
  <x:c r="R77" i="52" s="1"/>
  <x:c r="N120" i="52" s="1"/>
  <x:c r="R23" i="52"/>
  <x:c r="R24" i="52" s="1"/>
  <x:c r="R25" i="52" s="1"/>
  <x:c r="R26" i="52" s="1"/>
  <x:c r="R27" i="52" s="1"/>
  <x:c r="R28" i="52" s="1"/>
  <x:c r="R29" i="52" s="1"/>
  <x:c r="R41" i="52" s="1"/>
  <x:c r="P30" i="52"/>
  <x:c r="A34" i="56"/>
  <x:c r="C37" i="56"/>
  <x:c r="J38" i="52"/>
  <x:c r="L177" i="52"/>
  <x:c r="L178" i="52" s="1"/>
  <x:c r="L179" i="52" s="1"/>
  <x:c r="L180" i="52" s="1"/>
  <x:c r="L181" i="52" s="1"/>
  <x:c r="L182" i="52" s="1"/>
  <x:c r="L183" i="52" s="1"/>
  <x:c r="L195" i="52" s="1"/>
  <x:c r="L196" i="52" s="1"/>
  <x:c r="H239" i="52" s="1"/>
  <x:c r="K184" i="52"/>
  <x:c r="L58" i="52"/>
  <x:c r="L59" i="52" s="1"/>
  <x:c r="L60" i="52" s="1"/>
  <x:c r="L61" i="52" s="1"/>
  <x:c r="L62" i="52" s="1"/>
  <x:c r="L63" i="52" s="1"/>
  <x:c r="L64" i="52" s="1"/>
  <x:c r="L76" i="52" s="1"/>
  <x:c r="K65" i="52"/>
  <x:c r="B40" i="52"/>
  <x:c r="B39" i="49"/>
  <x:c r="B40" i="49" s="1"/>
  <x:c r="L71" i="52"/>
  <x:c r="L73" i="52" s="1"/>
  <x:c r="L75" i="52" s="1"/>
  <x:c r="S30" i="53"/>
  <x:c r="L93" i="52"/>
  <x:c r="L94" i="52" s="1"/>
  <x:c r="L95" i="52" s="1"/>
  <x:c r="L96" i="52" s="1"/>
  <x:c r="L97" i="52" s="1"/>
  <x:c r="L98" i="52" s="1"/>
  <x:c r="L99" i="52" s="1"/>
  <x:c r="L111" i="52" s="1"/>
  <x:c r="K100" i="52"/>
  <x:c r="N38" i="52"/>
  <x:c r="L142" i="52"/>
  <x:c r="L143" i="52" s="1"/>
  <x:c r="L144" i="52" s="1"/>
  <x:c r="L145" i="52" s="1"/>
  <x:c r="L146" i="52" s="1"/>
  <x:c r="L147" i="52" s="1"/>
  <x:c r="L148" i="52" s="1"/>
  <x:c r="L160" i="52" s="1"/>
  <x:c r="L161" i="52" s="1"/>
  <x:c r="H238" i="52" s="1"/>
  <x:c r="K149" i="52"/>
  <x:c r="M73" i="53"/>
  <x:c r="M107" i="53" s="1"/>
  <x:c r="L212" i="52"/>
  <x:c r="L213" i="52" s="1"/>
  <x:c r="L214" i="52" s="1"/>
  <x:c r="L215" i="52" s="1"/>
  <x:c r="L216" i="52" s="1"/>
  <x:c r="L217" i="52" s="1"/>
  <x:c r="L218" i="52" s="1"/>
  <x:c r="L230" i="52" s="1"/>
  <x:c r="L231" i="52" s="1"/>
  <x:c r="H240" i="52" s="1"/>
  <x:c r="K219" i="52"/>
  <x:c r="L23" i="52"/>
  <x:c r="L24" i="52" s="1"/>
  <x:c r="L25" i="52" s="1"/>
  <x:c r="L26" i="52" s="1"/>
  <x:c r="L27" i="52" s="1"/>
  <x:c r="L28" i="52" s="1"/>
  <x:c r="L29" i="52" s="1"/>
  <x:c r="L41" i="52" s="1"/>
  <x:c r="K30" i="52"/>
  <x:c r="S81" i="53"/>
  <x:c r="S84" i="53" s="1"/>
  <x:c r="Q84" i="53"/>
  <x:c r="M39" i="53"/>
  <x:c r="N242" i="52" l="1"/>
  <x:c r="C35" i="56"/>
  <x:c r="A35" i="56" s="1"/>
  <x:c r="B47" i="49"/>
  <x:c r="F94" i="1"/>
  <x:c r="J40" i="49"/>
  <x:c r="N40" i="49"/>
  <x:c r="H242" i="52"/>
  <x:c r="H103" i="1" s="1"/>
  <x:c r="M21" i="53"/>
  <x:c r="M41" i="53" s="1"/>
  <x:c r="M70" i="53"/>
  <x:c r="M104" i="53" s="1"/>
  <x:c r="L77" i="52"/>
  <x:c r="H120" i="52" s="1"/>
  <x:c r="B41" i="52"/>
  <x:c r="B42" i="52" s="1"/>
  <x:c r="M93" i="53"/>
  <x:c r="M106" i="53"/>
  <x:c r="S19" i="53"/>
  <x:c r="Q73" i="53"/>
  <x:c r="S73" i="53" s="1"/>
  <x:c r="L106" i="52" s="1"/>
  <x:c r="L108" i="52" s="1"/>
  <x:c r="L110" i="52" s="1"/>
  <x:c r="L112" i="52" s="1"/>
  <x:c r="H121" i="52" s="1"/>
  <x:c r="Q107" i="53"/>
  <x:c r="S107" i="53" s="1"/>
  <x:c r="B49" i="49" l="1"/>
  <x:c r="B51" i="49" s="1"/>
  <x:c r="B52" i="49" s="1"/>
  <x:c r="B53" i="49" s="1"/>
  <x:c r="B54" i="49" s="1"/>
  <x:c r="B55" i="49" s="1"/>
  <x:c r="B56" i="49" s="1"/>
  <x:c r="B57" i="49" s="1"/>
  <x:c r="B58" i="49" s="1"/>
  <x:c r="B59" i="49" s="1"/>
  <x:c r="B60" i="49" s="1"/>
  <x:c r="B61" i="49" s="1"/>
  <x:c r="B62" i="49" s="1"/>
  <x:c r="A37" i="56"/>
  <x:c r="N42" i="52"/>
  <x:c r="B49" i="52"/>
  <x:c r="B51" i="52" s="1"/>
  <x:c r="B53" i="52" s="1"/>
  <x:c r="F119" i="52"/>
  <x:c r="L119" i="52"/>
  <x:c r="M109" i="53"/>
  <x:c r="M75" i="53"/>
  <x:c r="M95" i="53" s="1"/>
  <x:c r="J42" i="52"/>
  <x:c r="S16" i="53"/>
  <x:c r="S21" i="53" s="1"/>
  <x:c r="S41" i="53" s="1"/>
  <x:c r="Q21" i="53"/>
  <x:c r="Q41" i="53" s="1"/>
  <x:c r="Q70" i="53"/>
  <x:c r="Q104" i="53"/>
  <x:c r="D63" i="49" l="1"/>
  <x:c r="N74" i="49"/>
  <x:c r="B63" i="49"/>
  <x:c r="B65" i="49" s="1"/>
  <x:c r="B66" i="49" s="1"/>
  <x:c r="B67" i="49" s="1"/>
  <x:c r="J74" i="49"/>
  <x:c r="A38" i="56"/>
  <x:c r="C39" i="56" s="1"/>
  <x:c r="A39" i="56" s="1"/>
  <x:c r="C41" i="56" s="1"/>
  <x:c r="A41" i="56" s="1"/>
  <x:c r="C43" i="56"/>
  <x:c r="Q75" i="53"/>
  <x:c r="Q95" i="53" s="1"/>
  <x:c r="S70" i="53"/>
  <x:c r="R38" i="52" s="1"/>
  <x:c r="R40" i="52" s="1"/>
  <x:c r="R42" i="52" s="1"/>
  <x:c r="Q109" i="53"/>
  <x:c r="L255" i="9" s="1"/>
  <x:c r="S104" i="53"/>
  <x:c r="S109" i="53" s="1"/>
  <x:c r="B54" i="52"/>
  <x:c r="B55" i="52" s="1"/>
  <x:c r="B56" i="52" s="1"/>
  <x:c r="B57" i="52" s="1"/>
  <x:c r="B58" i="52" s="1"/>
  <x:c r="B59" i="52" s="1"/>
  <x:c r="B60" i="52" s="1"/>
  <x:c r="B61" i="52" s="1"/>
  <x:c r="B62" i="52" s="1"/>
  <x:c r="B63" i="52" s="1"/>
  <x:c r="B64" i="52" s="1"/>
  <x:c r="D65" i="52" s="1"/>
  <x:c r="N119" i="52" l="1"/>
  <x:c r="N123" i="52" s="1"/>
  <x:c r="A43" i="56"/>
  <x:c r="C45" i="56" s="1"/>
  <x:c r="A45" i="56" s="1"/>
  <x:c r="A47" i="56" s="1"/>
  <x:c r="A48" i="56" s="1"/>
  <x:c r="A49" i="56" s="1"/>
  <x:c r="A50" i="56" s="1"/>
  <x:c r="A51" i="56" s="1"/>
  <x:c r="A52" i="56" s="1"/>
  <x:c r="A53" i="56" s="1"/>
  <x:c r="A54" i="56" s="1"/>
  <x:c r="A55" i="56" s="1"/>
  <x:c r="A56" i="56" s="1"/>
  <x:c r="B69" i="49"/>
  <x:c r="N67" i="49"/>
  <x:c r="L36" i="52"/>
  <x:c r="L38" i="52" s="1"/>
  <x:c r="L40" i="52" s="1"/>
  <x:c r="L42" i="52" s="1"/>
  <x:c r="H119" i="52" s="1"/>
  <x:c r="H123" i="52" s="1"/>
  <x:c r="H102" i="1" s="1"/>
  <x:c r="S75" i="53"/>
  <x:c r="S95" i="53" s="1"/>
  <x:c r="N76" i="52"/>
  <x:c r="J76" i="52"/>
  <x:c r="B65" i="52"/>
  <x:c r="B67" i="52" s="1"/>
  <x:c r="J67" i="49"/>
  <x:c r="B68" i="52" l="1"/>
  <x:c r="B69" i="52" s="1"/>
  <x:c r="B70" i="49"/>
  <x:c r="B71" i="49" s="1"/>
  <x:c r="N71" i="49" l="1"/>
  <x:c r="J71" i="49"/>
  <x:c r="B71" i="52"/>
  <x:c r="N69" i="52"/>
  <x:c r="B73" i="49"/>
  <x:c r="B74" i="49" l="1"/>
  <x:c r="B75" i="49" s="1"/>
  <x:c r="B72" i="52"/>
  <x:c r="B73" i="52" s="1"/>
  <x:c r="J75" i="52" l="1"/>
  <x:c r="N75" i="52"/>
  <x:c r="J75" i="49"/>
  <x:c r="N75" i="49"/>
  <x:c r="J73" i="52"/>
  <x:c r="B82" i="49"/>
  <x:c r="B84" i="49" s="1"/>
  <x:c r="B86" i="49" s="1"/>
  <x:c r="B87" i="49" s="1"/>
  <x:c r="B88" i="49" s="1"/>
  <x:c r="B89" i="49" s="1"/>
  <x:c r="B90" i="49" s="1"/>
  <x:c r="B91" i="49" s="1"/>
  <x:c r="B92" i="49" s="1"/>
  <x:c r="B93" i="49" s="1"/>
  <x:c r="B94" i="49" s="1"/>
  <x:c r="B95" i="49" s="1"/>
  <x:c r="B96" i="49" s="1"/>
  <x:c r="B97" i="49" s="1"/>
  <x:c r="D98" i="49" s="1"/>
  <x:c r="F95" i="1"/>
  <x:c r="B75" i="52"/>
  <x:c r="N73" i="52"/>
  <x:c r="J109" i="49" l="1"/>
  <x:c r="B98" i="49"/>
  <x:c r="B100" i="49" s="1"/>
  <x:c r="N109" i="49"/>
  <x:c r="B76" i="52"/>
  <x:c r="B77" i="52" s="1"/>
  <x:c r="L120" i="52" l="1"/>
  <x:c r="B84" i="52"/>
  <x:c r="B86" i="52" s="1"/>
  <x:c r="B88" i="52" s="1"/>
  <x:c r="F120" i="52"/>
  <x:c r="J77" i="52"/>
  <x:c r="B101" i="49"/>
  <x:c r="B102" i="49" s="1"/>
  <x:c r="N77" i="52"/>
  <x:c r="J102" i="49" l="1"/>
  <x:c r="N102" i="49"/>
  <x:c r="B89" i="52"/>
  <x:c r="B90" i="52" s="1"/>
  <x:c r="B91" i="52" s="1"/>
  <x:c r="B92" i="52" s="1"/>
  <x:c r="B93" i="52" s="1"/>
  <x:c r="B94" i="52" s="1"/>
  <x:c r="B95" i="52" s="1"/>
  <x:c r="B96" i="52" s="1"/>
  <x:c r="B97" i="52" s="1"/>
  <x:c r="B98" i="52" s="1"/>
  <x:c r="B99" i="52" s="1"/>
  <x:c r="D100" i="52" s="1"/>
  <x:c r="B104" i="49"/>
  <x:c r="B105" i="49" l="1"/>
  <x:c r="B106" i="49" s="1"/>
  <x:c r="B100" i="52"/>
  <x:c r="B102" i="52" s="1"/>
  <x:c r="N111" i="52"/>
  <x:c r="J111" i="52"/>
  <x:c r="J106" i="49" l="1"/>
  <x:c r="N106" i="49"/>
  <x:c r="B103" i="52"/>
  <x:c r="B104" i="52" s="1"/>
  <x:c r="B108" i="49"/>
  <x:c r="B109" i="49" l="1"/>
  <x:c r="B110" i="49" s="1"/>
  <x:c r="B106" i="52"/>
  <x:c r="N104" i="52"/>
  <x:c r="J104" i="52"/>
  <x:c r="B117" i="49" l="1"/>
  <x:c r="F96" i="1"/>
  <x:c r="J110" i="49"/>
  <x:c r="N110" i="49"/>
  <x:c r="B107" i="52"/>
  <x:c r="B108" i="52" s="1"/>
  <x:c r="N110" i="52" l="1"/>
  <x:c r="J110" i="52"/>
  <x:c r="B119" i="49"/>
  <x:c r="B121" i="49" s="1"/>
  <x:c r="B122" i="49" s="1"/>
  <x:c r="B123" i="49" s="1"/>
  <x:c r="B124" i="49" s="1"/>
  <x:c r="B125" i="49" s="1"/>
  <x:c r="B126" i="49" s="1"/>
  <x:c r="B127" i="49" s="1"/>
  <x:c r="B128" i="49" s="1"/>
  <x:c r="B129" i="49" s="1"/>
  <x:c r="B130" i="49" s="1"/>
  <x:c r="B131" i="49" s="1"/>
  <x:c r="B132" i="49" s="1"/>
  <x:c r="N108" i="52"/>
  <x:c r="B110" i="52"/>
  <x:c r="J108" i="52"/>
  <x:c r="D133" i="49" l="1"/>
  <x:c r="J144" i="49"/>
  <x:c r="N144" i="49"/>
  <x:c r="B133" i="49"/>
  <x:c r="B135" i="49" s="1"/>
  <x:c r="B136" i="49" s="1"/>
  <x:c r="B137" i="49" s="1"/>
  <x:c r="B111" i="52"/>
  <x:c r="B112" i="52" s="1"/>
  <x:c r="B119" i="52" s="1"/>
  <x:c r="N137" i="49" l="1"/>
  <x:c r="J112" i="52"/>
  <x:c r="B120" i="52"/>
  <x:c r="B121" i="52" s="1"/>
  <x:c r="B123" i="52" s="1"/>
  <x:c r="L121" i="52"/>
  <x:c r="F121" i="52"/>
  <x:c r="B139" i="49"/>
  <x:c r="N112" i="52"/>
  <x:c r="J137" i="49"/>
  <x:c r="B133" i="52" l="1"/>
  <x:c r="F102" i="1"/>
  <x:c r="B140" i="49"/>
  <x:c r="B141" i="49" s="1"/>
  <x:c r="B135" i="52" l="1"/>
  <x:c r="B137" i="52" s="1"/>
  <x:c r="B138" i="52" s="1"/>
  <x:c r="B139" i="52" s="1"/>
  <x:c r="B140" i="52" s="1"/>
  <x:c r="B141" i="52" s="1"/>
  <x:c r="B142" i="52" s="1"/>
  <x:c r="B143" i="52" s="1"/>
  <x:c r="B144" i="52" s="1"/>
  <x:c r="B145" i="52" s="1"/>
  <x:c r="B146" i="52" s="1"/>
  <x:c r="B147" i="52" s="1"/>
  <x:c r="B148" i="52" s="1"/>
  <x:c r="N160" i="52" s="1"/>
  <x:c r="N141" i="49"/>
  <x:c r="B143" i="49"/>
  <x:c r="J141" i="49"/>
  <x:c r="D149" i="52" l="1"/>
  <x:c r="B149" i="52"/>
  <x:c r="B151" i="52" s="1"/>
  <x:c r="B152" i="52" s="1"/>
  <x:c r="B153" i="52" s="1"/>
  <x:c r="J160" i="52"/>
  <x:c r="B144" i="49"/>
  <x:c r="B145" i="49" s="1"/>
  <x:c r="B152" i="49" l="1"/>
  <x:c r="F97" i="1"/>
  <x:c r="J153" i="52"/>
  <x:c r="N153" i="52"/>
  <x:c r="J145" i="49"/>
  <x:c r="N145" i="49"/>
  <x:c r="B155" i="52"/>
  <x:c r="B154" i="49" l="1"/>
  <x:c r="B156" i="49" s="1"/>
  <x:c r="B157" i="49" s="1"/>
  <x:c r="B158" i="49" s="1"/>
  <x:c r="B159" i="49" s="1"/>
  <x:c r="B160" i="49" s="1"/>
  <x:c r="B161" i="49" s="1"/>
  <x:c r="B162" i="49" s="1"/>
  <x:c r="B163" i="49" s="1"/>
  <x:c r="B164" i="49" s="1"/>
  <x:c r="B165" i="49" s="1"/>
  <x:c r="B166" i="49" s="1"/>
  <x:c r="B167" i="49" s="1"/>
  <x:c r="B156" i="52"/>
  <x:c r="B157" i="52" s="1"/>
  <x:c r="J159" i="52" l="1"/>
  <x:c r="N159" i="52"/>
  <x:c r="D168" i="49"/>
  <x:c r="B168" i="49"/>
  <x:c r="B170" i="49" s="1"/>
  <x:c r="B171" i="49" s="1"/>
  <x:c r="B172" i="49" s="1"/>
  <x:c r="N179" i="49"/>
  <x:c r="J179" i="49"/>
  <x:c r="J157" i="52"/>
  <x:c r="N157" i="52"/>
  <x:c r="B159" i="52"/>
  <x:c r="B174" i="49" l="1"/>
  <x:c r="B160" i="52"/>
  <x:c r="B161" i="52" s="1"/>
  <x:c r="N172" i="49"/>
  <x:c r="J172" i="49"/>
  <x:c r="J161" i="52" l="1"/>
  <x:c r="F238" i="52"/>
  <x:c r="B168" i="52"/>
  <x:c r="B170" i="52" s="1"/>
  <x:c r="B172" i="52" s="1"/>
  <x:c r="L238" i="52"/>
  <x:c r="B175" i="49"/>
  <x:c r="B176" i="49" s="1"/>
  <x:c r="N161" i="52"/>
  <x:c r="J176" i="49" l="1"/>
  <x:c r="B178" i="49"/>
  <x:c r="B173" i="52"/>
  <x:c r="B174" i="52" s="1"/>
  <x:c r="B175" i="52" s="1"/>
  <x:c r="B176" i="52" s="1"/>
  <x:c r="B177" i="52" s="1"/>
  <x:c r="B178" i="52" s="1"/>
  <x:c r="B179" i="52" s="1"/>
  <x:c r="B180" i="52" s="1"/>
  <x:c r="B181" i="52" s="1"/>
  <x:c r="B182" i="52" s="1"/>
  <x:c r="B183" i="52" s="1"/>
  <x:c r="D184" i="52" s="1"/>
  <x:c r="N176" i="49"/>
  <x:c r="B184" i="52" l="1"/>
  <x:c r="B186" i="52" s="1"/>
  <x:c r="N195" i="52"/>
  <x:c r="J195" i="52"/>
  <x:c r="B179" i="49"/>
  <x:c r="B180" i="49" s="1"/>
  <x:c r="F98" i="1" s="1"/>
  <x:c r="N180" i="49"/>
  <x:c r="J180" i="49" l="1"/>
  <x:c r="B187" i="52"/>
  <x:c r="B188" i="52" s="1"/>
  <x:c r="N188" i="52" l="1"/>
  <x:c r="B190" i="52"/>
  <x:c r="J188" i="52"/>
  <x:c r="B191" i="52" l="1"/>
  <x:c r="B192" i="52" s="1"/>
  <x:c r="N194" i="52" l="1"/>
  <x:c r="J194" i="52"/>
  <x:c r="B194" i="52"/>
  <x:c r="N192" i="52"/>
  <x:c r="J192" i="52"/>
  <x:c r="B195" i="52" l="1"/>
  <x:c r="B196" i="52" s="1"/>
  <x:c r="N196" i="52" l="1"/>
  <x:c r="B203" i="52"/>
  <x:c r="B205" i="52" s="1"/>
  <x:c r="B207" i="52" s="1"/>
  <x:c r="F239" i="52"/>
  <x:c r="L239" i="52"/>
  <x:c r="J196" i="52"/>
  <x:c r="B208" i="52" l="1"/>
  <x:c r="B209" i="52" s="1"/>
  <x:c r="B210" i="52" s="1"/>
  <x:c r="B211" i="52" s="1"/>
  <x:c r="B212" i="52" s="1"/>
  <x:c r="B213" i="52" s="1"/>
  <x:c r="B214" i="52" s="1"/>
  <x:c r="B215" i="52" s="1"/>
  <x:c r="B216" i="52" s="1"/>
  <x:c r="B217" i="52" s="1"/>
  <x:c r="B218" i="52" s="1"/>
  <x:c r="N230" i="52" l="1"/>
  <x:c r="B219" i="52"/>
  <x:c r="B221" i="52" s="1"/>
  <x:c r="J230" i="52"/>
  <x:c r="D219" i="52"/>
  <x:c r="B222" i="52" l="1"/>
  <x:c r="B223" i="52" s="1"/>
  <x:c r="B225" i="52" l="1"/>
  <x:c r="N223" i="52"/>
  <x:c r="J223" i="52"/>
  <x:c r="B226" i="52" l="1"/>
  <x:c r="B227" i="52" s="1"/>
  <x:c r="J229" i="52" l="1"/>
  <x:c r="N229" i="52"/>
  <x:c r="N227" i="52"/>
  <x:c r="B229" i="52"/>
  <x:c r="J227" i="52"/>
  <x:c r="B230" i="52" l="1"/>
  <x:c r="B231" i="52" s="1"/>
  <x:c r="N231" i="52" l="1"/>
  <x:c r="J231" i="52"/>
  <x:c r="L240" i="52"/>
  <x:c r="B238" i="52"/>
  <x:c r="B239" i="52" s="1"/>
  <x:c r="B240" i="52" s="1"/>
  <x:c r="B242" i="52" s="1"/>
  <x:c r="F103" i="1" s="1"/>
  <x:c r="F240" i="52"/>
  <x:c r="N29" i="31" l="1"/>
  <x:c r="L29" i="31"/>
  <x:c r="J29" i="31"/>
  <x:c r="H29" i="31"/>
  <x:c r="F29" i="31"/>
  <x:c r="D29" i="31"/>
  <x:c r="B29" i="31"/>
  <x:c r="P27" i="31"/>
  <x:c r="P24" i="31"/>
  <x:c r="P21" i="31"/>
  <x:c r="P20" i="31"/>
  <x:c r="P19" i="31"/>
  <x:c r="P18" i="31"/>
  <x:c r="P17" i="31"/>
  <x:c r="P16" i="31"/>
  <x:c r="P15" i="31"/>
  <x:c r="P14" i="31"/>
  <x:c r="P13" i="31"/>
  <x:c r="P12" i="31"/>
  <x:c r="P11" i="31"/>
  <x:c r="P10" i="31"/>
  <x:c r="P9" i="31"/>
  <x:c r="P8" i="31"/>
  <x:c r="P29" i="31" l="1"/>
  <x:c r="I44" i="8"/>
  <x:c r="N23" i="18" l="1"/>
  <x:c r="H63" i="18" l="1"/>
  <x:c r="G63" i="18"/>
  <x:c r="N13" i="18" l="1"/>
  <x:c r="N14" i="18"/>
  <x:c r="N15" i="18" l="1"/>
  <x:c r="N16" i="18" l="1"/>
  <x:c r="N17" i="18" l="1"/>
  <x:c r="N18" i="18" l="1"/>
  <x:c r="N19" i="18" l="1"/>
  <x:c r="N20" i="18" l="1"/>
  <x:c r="N21" i="18" l="1"/>
  <x:c r="N22" i="18"/>
  <x:c r="H187" i="1" l="1"/>
  <x:c r="E214" i="9"/>
  <x:c r="D214" i="9"/>
  <x:c r="F213" i="9"/>
  <x:c r="F212" i="9"/>
  <x:c r="F211" i="9"/>
  <x:c r="F214" i="9" l="1"/>
  <x:c r="H244" i="9" l="1"/>
  <x:c r="C361" i="1" l="1"/>
  <x:c r="A1" i="19" l="1"/>
  <x:c r="A1" i="32"/>
  <x:c r="A1" i="33"/>
  <x:c r="A1" i="34"/>
  <x:c r="A1" i="16"/>
  <x:c r="H335" i="1"/>
  <x:c r="G71" i="9"/>
  <x:c r="I71" i="9" s="1"/>
  <x:c r="A1" i="9" l="1"/>
  <x:c r="A1" i="5" l="1"/>
  <x:c r="H233" i="1" l="1"/>
  <x:c r="F204" i="1"/>
  <x:c r="E335" i="1" l="1"/>
  <x:c r="E307" i="1"/>
  <x:c r="E299" i="1"/>
  <x:c r="E264" i="1"/>
  <x:c r="E258" i="1"/>
  <x:c r="E257" i="1"/>
  <x:c r="E245" i="1"/>
  <x:c r="E230" i="1"/>
  <x:c r="E198" i="1"/>
  <x:c r="E197" i="1"/>
  <x:c r="E191" i="1"/>
  <x:c r="E174" i="1"/>
  <x:c r="E170" i="1"/>
  <x:c r="E169" i="1"/>
  <x:c r="E163" i="1"/>
  <x:c r="E160" i="1"/>
  <x:c r="E154" i="1"/>
  <x:c r="E150" i="1"/>
  <x:c r="E149" i="1"/>
  <x:c r="E133" i="1"/>
  <x:c r="E134" i="1" s="1"/>
  <x:c r="E121" i="1"/>
  <x:c r="E116" i="1"/>
  <x:c r="E74" i="1"/>
  <x:c r="E68" i="1"/>
  <x:c r="E62" i="1"/>
  <x:c r="E54" i="1"/>
  <x:c r="E38" i="1"/>
  <x:c r="E36" i="1"/>
  <x:c r="E34" i="1"/>
  <x:c r="E27" i="1"/>
  <x:c r="D95" i="1" l="1"/>
  <x:c r="D96" i="1" l="1"/>
  <x:c r="D97" i="1" s="1"/>
  <x:c r="D98" i="1" s="1"/>
  <x:c r="D103" i="1"/>
  <x:c r="E64" i="13"/>
  <x:c r="H273" i="1" l="1"/>
  <x:c r="H272" i="1"/>
  <x:c r="H271" i="1"/>
  <x:c r="F137" i="1"/>
  <x:c r="I71" i="8" l="1"/>
  <x:c r="I70" i="8"/>
  <x:c r="I72" i="8"/>
  <x:c r="H104" i="1"/>
  <x:c r="E47" i="17" l="1"/>
  <x:c r="F47" i="17"/>
  <x:c r="I47" i="17"/>
  <x:c r="D44" i="18"/>
  <x:c r="G44" i="18"/>
  <x:c r="H44" i="18"/>
  <x:c r="I44" i="18"/>
  <x:c r="J44" i="18"/>
  <x:c r="K44" i="18"/>
  <x:c r="L44" i="18"/>
  <x:c r="N44" i="18"/>
  <x:c r="M44" i="18"/>
  <x:c r="F24" i="18"/>
  <x:c r="G24" i="18"/>
  <x:c r="H24" i="18"/>
  <x:c r="I24" i="18"/>
  <x:c r="J24" i="18"/>
  <x:c r="H156" i="1"/>
  <x:c r="D30" i="10" l="1"/>
  <x:c r="F30" i="10"/>
  <x:c r="H30" i="10"/>
  <x:c r="J30" i="10"/>
  <x:c r="L30" i="10"/>
  <x:c r="N30" i="10"/>
  <x:c r="B30" i="10"/>
  <x:c r="P30" i="10" l="1"/>
  <x:c r="H157" i="1" l="1"/>
  <x:c r="G149" i="9"/>
  <x:c r="G23" i="32" l="1"/>
  <x:c r="H169" i="1"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30" i="9" s="1"/>
  <x:c r="R230"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G35" i="32" l="1"/>
  <x:c r="S135" i="9"/>
  <x:c r="R135" i="9"/>
  <x:c r="Q135" i="9"/>
  <x:c r="P135" i="9"/>
  <x:c r="O135" i="9"/>
  <x:c r="N135" i="9"/>
  <x:c r="M135" i="9"/>
  <x:c r="L135" i="9"/>
  <x:c r="K135" i="9"/>
  <x:c r="J135" i="9"/>
  <x:c r="I135" i="9"/>
  <x:c r="H135" i="9"/>
  <x:c r="G135" i="9"/>
  <x:c r="T116" i="9"/>
  <x:c r="Y116" i="9" s="1"/>
  <x:c r="T115" i="9"/>
  <x:c r="V115" i="9" s="1"/>
  <x:c r="A37" i="32" l="1"/>
  <x:c r="G37" i="32"/>
  <x:c r="H144" i="1" s="1"/>
  <x:c r="AB135" i="9"/>
  <x:c r="T135" i="9"/>
  <x:c r="Y135" i="9"/>
  <x:c r="V135" i="9"/>
  <x:c r="Z126" i="9" l="1"/>
  <x:c r="AA126" i="9" s="1"/>
  <x:c r="Z130" i="9"/>
  <x:c r="AA130" i="9" s="1"/>
  <x:c r="Z127" i="9"/>
  <x:c r="AA127" i="9" s="1"/>
  <x:c r="Z131" i="9"/>
  <x:c r="AA131" i="9" s="1"/>
  <x:c r="Z128" i="9"/>
  <x:c r="AA128" i="9" s="1"/>
  <x:c r="Z125" i="9"/>
  <x:c r="AA125" i="9" s="1"/>
  <x:c r="Z129" i="9"/>
  <x:c r="AA129" i="9" s="1"/>
  <x:c r="Z124" i="9"/>
  <x:c r="AA124" i="9" s="1"/>
  <x:c r="F19" i="55"/>
  <x:c r="G19" i="55" s="1"/>
  <x:c r="E55" i="56"/>
  <x:c r="E17" i="56" l="1"/>
  <x:c r="E18" i="56" s="1"/>
  <x:c r="M17" i="56"/>
  <x:c r="M18" i="56" s="1"/>
  <x:c r="K17" i="56"/>
  <x:c r="K18" i="56" s="1"/>
  <x:c r="I17" i="56"/>
  <x:c r="I18" i="56" s="1"/>
  <x:c r="G17" i="56"/>
  <x:c r="G18" i="56" s="1"/>
  <x:c r="T96" i="9"/>
  <x:c r="I148" i="50"/>
  <x:c r="I152" i="50" s="1"/>
  <x:c r="I13" i="50" s="1"/>
  <x:c r="I248" i="50"/>
  <x:c r="I252" i="50" s="1"/>
  <x:c r="I294" i="50"/>
  <x:c r="I298" i="50" s="1"/>
  <x:c r="I15" i="50" s="1"/>
  <x:c r="I77" i="50"/>
  <x:c r="I81" i="50" s="1"/>
  <x:c r="I11" i="50" s="1"/>
  <x:c r="I172" i="50"/>
  <x:c r="I176" i="50" s="1"/>
  <x:c r="I221" i="50"/>
  <x:c r="I225" i="50" s="1"/>
  <x:c r="I319" i="50"/>
  <x:c r="I323" i="50" s="1"/>
  <x:c r="I103" i="50"/>
  <x:c r="I107" i="50" s="1"/>
  <x:c r="H144" i="9"/>
  <x:c r="H145" i="9" s="1"/>
  <x:c r="G29" i="33"/>
  <x:c r="Z119" i="9"/>
  <x:c r="AA119" i="9" s="1"/>
  <x:c r="Z115" i="9"/>
  <x:c r="AA115" i="9" s="1"/>
  <x:c r="Z116" i="9"/>
  <x:c r="AA116" i="9" s="1"/>
  <x:c r="Z120" i="9"/>
  <x:c r="AA120" i="9" s="1"/>
  <x:c r="Z123" i="9"/>
  <x:c r="AA123" i="9" s="1"/>
  <x:c r="Z117" i="9"/>
  <x:c r="AA117" i="9" s="1"/>
  <x:c r="Z121" i="9"/>
  <x:c r="AA121" i="9" s="1"/>
  <x:c r="Z118" i="9"/>
  <x:c r="AA118" i="9" s="1"/>
  <x:c r="Z122" i="9"/>
  <x:c r="AA122" i="9" s="1"/>
  <x:c r="I14" i="50" l="1"/>
  <x:c r="I17" i="50" s="1"/>
  <x:c r="T107" i="9"/>
  <x:c r="V107" i="9" s="1"/>
  <x:c r="T97" i="9"/>
  <x:c r="V96" i="9"/>
  <x:c r="AA135" i="9"/>
  <x:c r="T98" i="9" l="1"/>
  <x:c r="V97" i="9"/>
  <x:c r="E26" i="14"/>
  <x:c r="J42" i="13" s="1"/>
  <x:c r="T99" i="9" l="1"/>
  <x:c r="V98" i="9"/>
  <x:c r="G30" i="33" l="1"/>
  <x:c r="T100" i="9"/>
  <x:c r="V99" i="9"/>
  <x:c r="T101" i="9" l="1"/>
  <x:c r="T102" i="9" s="1"/>
  <x:c r="V102" i="9" s="1"/>
  <x:c r="V100" i="9"/>
  <x:c r="L13" i="18"/>
  <x:c r="E58" i="18"/>
  <x:c r="C44" i="18"/>
  <x:c r="M13" i="18"/>
  <x:c r="L23" i="18"/>
  <x:c r="M23" i="18"/>
  <x:c r="V101" i="9" l="1"/>
  <x:c r="T103" i="9"/>
  <x:c r="V103" i="9" s="1"/>
  <x:c r="S108" i="9" s="1"/>
  <x:c r="L14" i="18"/>
  <x:c r="F44" i="18"/>
  <x:c r="K13" i="18"/>
  <x:c r="M14" i="18"/>
  <x:c r="E59" i="18"/>
  <x:c r="F332" i="1"/>
  <x:c r="L108" i="9" l="1"/>
  <x:c r="N108" i="9"/>
  <x:c r="I108" i="9"/>
  <x:c r="H108" i="9"/>
  <x:c r="Q108" i="9"/>
  <x:c r="J108" i="9"/>
  <x:c r="K108" i="9"/>
  <x:c r="M108" i="9"/>
  <x:c r="R108" i="9"/>
  <x:c r="O108" i="9"/>
  <x:c r="P108" i="9"/>
  <x:c r="L15" i="18"/>
  <x:c r="E60" i="18"/>
  <x:c r="K14" i="18"/>
  <x:c r="M15" i="18"/>
  <x:c r="F193" i="1"/>
  <x:c r="L16" i="18" l="1"/>
  <x:c r="E44" i="18"/>
  <x:c r="K15" i="18"/>
  <x:c r="M16" i="18"/>
  <x:c r="L17" i="18" l="1"/>
  <x:c r="M17" i="18"/>
  <x:c r="K16" i="18"/>
  <x:c r="L18" i="18" l="1"/>
  <x:c r="K17" i="18"/>
  <x:c r="M18" i="18"/>
  <x:c r="H191" i="1"/>
  <x:c r="H189" i="1"/>
  <x:c r="L19" i="18" l="1"/>
  <x:c r="M19" i="18"/>
  <x:c r="K18" i="18"/>
  <x:c r="H198" i="1"/>
  <x:c r="H197" i="1"/>
  <x:c r="H185" i="1"/>
  <x:c r="K46" i="12" l="1"/>
  <x:c r="L20" i="18"/>
  <x:c r="K19" i="18"/>
  <x:c r="M20" i="18"/>
  <x:c r="F87" i="1"/>
  <x:c r="F85" i="1"/>
  <x:c r="F83" i="1"/>
  <x:c r="L21" i="18" l="1"/>
  <x:c r="M22" i="18"/>
  <x:c r="M21" i="18"/>
  <x:c r="K20" i="18"/>
  <x:c r="F336" i="1"/>
  <x:c r="F327"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1" i="1"/>
  <x:c r="F200" i="1"/>
  <x:c r="F199" i="1"/>
  <x:c r="F195" i="1"/>
  <x:c r="F194" i="1"/>
  <x:c r="F139" i="1"/>
  <x:c r="F135" i="1"/>
  <x:c r="F134" i="1"/>
  <x:c r="F130" i="1"/>
  <x:c r="F128" i="1"/>
  <x:c r="F125" i="1"/>
  <x:c r="F123" i="1"/>
  <x:c r="F122" i="1"/>
  <x:c r="F89" i="1"/>
  <x:c r="F84" i="1"/>
  <x:c r="F70" i="1"/>
  <x:c r="F66" i="1"/>
  <x:c r="F65" i="1"/>
  <x:c r="L22" i="18" l="1"/>
  <x:c r="D24" i="18"/>
  <x:c r="E24" i="18"/>
  <x:c r="K22" i="18"/>
  <x:c r="K21" i="18"/>
  <x:c r="H75" i="1"/>
  <x:c r="H63" i="1"/>
  <x:c r="F76" i="1"/>
  <x:c r="F29" i="1"/>
  <x:c r="H55" i="1"/>
  <x:c r="C24" i="18" l="1"/>
  <x:c r="H47" i="17"/>
  <x:c r="F151" i="1" l="1"/>
  <x:c r="A32" i="1"/>
  <x:c r="H39" i="1"/>
  <x:c r="H37" i="1"/>
  <x:c r="F30" i="1"/>
  <x:c r="A34" i="1" l="1"/>
  <x:c r="F80" i="1" s="1"/>
  <x:c r="A36" i="1" l="1"/>
  <x:c r="F81" i="1" s="1"/>
  <x:c r="D51" i="18"/>
  <x:c r="E51" i="18"/>
  <x:c r="F51" i="18"/>
  <x:c r="D63" i="18"/>
  <x:c r="E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E64" i="18" l="1"/>
  <x:c r="F62" i="18"/>
  <x:c r="F61" i="18"/>
  <x:c r="F64" i="18" l="1"/>
  <x:c r="H330" i="1"/>
  <x:c r="E33" i="5" l="1"/>
  <x:c r="I58" i="8"/>
  <x:c r="I56" i="8"/>
  <x:c r="I34" i="8"/>
  <x:c r="I30" i="8"/>
  <x:c r="I29" i="8"/>
  <x:c r="I24" i="8"/>
  <x:c r="I22" i="8"/>
  <x:c r="I19" i="8"/>
  <x:c r="H307" i="1"/>
  <x:c r="H258" i="1"/>
  <x:c r="I31" i="8"/>
  <x:c r="H174" i="1"/>
  <x:c r="H170" i="1"/>
  <x:c r="H146" i="1"/>
  <x:c r="H145" i="1"/>
  <x:c r="H134" i="1"/>
  <x:c r="H133" i="1"/>
  <x:c r="H244" i="1"/>
  <x:c r="I28" i="8"/>
  <x:c r="H223" i="1"/>
  <x:c r="J23" i="17"/>
  <x:c r="G8" i="9" s="1"/>
  <x:c r="I23" i="17"/>
  <x:c r="G7" i="9" s="1"/>
  <x:c r="H23" i="17"/>
  <x:c r="G9" i="9" s="1"/>
  <x:c r="G23" i="17"/>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H110" i="1"/>
  <x:c r="M25" i="17"/>
  <x:c r="K25" i="17"/>
  <x:c r="H62" i="18"/>
  <x:c r="J22" i="17" s="1"/>
  <x:c r="G62" i="18"/>
  <x:c r="H22" i="17" s="1"/>
  <x:c r="G22" i="17"/>
  <x:c r="H61" i="18"/>
  <x:c r="J21" i="17" s="1"/>
  <x:c r="G61" i="18"/>
  <x:c r="H21" i="17" s="1"/>
  <x:c r="I21" i="17"/>
  <x:c r="G21" i="17"/>
  <x:c r="H60" i="18"/>
  <x:c r="J20" i="17" s="1"/>
  <x:c r="G60" i="18"/>
  <x:c r="H20" i="17" s="1"/>
  <x:c r="I20" i="17"/>
  <x:c r="G20" i="17"/>
  <x:c r="H59" i="18"/>
  <x:c r="J19" i="17" s="1"/>
  <x:c r="G59" i="18"/>
  <x:c r="H19" i="17" s="1"/>
  <x:c r="I19" i="17"/>
  <x:c r="H58" i="18"/>
  <x:c r="J18" i="17" s="1"/>
  <x:c r="G58" i="18"/>
  <x:c r="H18" i="17" s="1"/>
  <x:c r="I18" i="17"/>
  <x:c r="G18" i="17"/>
  <x:c r="H57" i="18"/>
  <x:c r="J17" i="17" s="1"/>
  <x:c r="G57" i="18"/>
  <x:c r="H17" i="17" s="1"/>
  <x:c r="I17" i="17"/>
  <x:c r="G17" i="17"/>
  <x:c r="H56" i="18"/>
  <x:c r="J16" i="17" s="1"/>
  <x:c r="G56" i="18"/>
  <x:c r="H16" i="17" s="1"/>
  <x:c r="I16" i="17"/>
  <x:c r="G16" i="17"/>
  <x:c r="H55" i="18"/>
  <x:c r="J15" i="17" s="1"/>
  <x:c r="G55" i="18"/>
  <x:c r="H15" i="17" s="1"/>
  <x:c r="I15" i="17"/>
  <x:c r="H54" i="18"/>
  <x:c r="J14" i="17" s="1"/>
  <x:c r="G54" i="18"/>
  <x:c r="H14" i="17" s="1"/>
  <x:c r="I14" i="17"/>
  <x:c r="G14" i="17"/>
  <x:c r="H53" i="18"/>
  <x:c r="J13" i="17" s="1"/>
  <x:c r="G53" i="18"/>
  <x:c r="H13" i="17" s="1"/>
  <x:c r="G13" i="17"/>
  <x:c r="H52" i="18"/>
  <x:c r="J12" i="17" s="1"/>
  <x:c r="G52" i="18"/>
  <x:c r="H12" i="17" s="1"/>
  <x:c r="I12" i="17"/>
  <x:c r="G12" i="17"/>
  <x:c r="L24" i="18"/>
  <x:c r="E23" i="17"/>
  <x:c r="E22" i="17"/>
  <x:c r="E21" i="17"/>
  <x:c r="E20" i="17"/>
  <x:c r="E19" i="17"/>
  <x:c r="E18" i="17"/>
  <x:c r="E17" i="17"/>
  <x:c r="E16" i="17"/>
  <x:c r="E15" i="17"/>
  <x:c r="E14" i="17"/>
  <x:c r="E13" i="17"/>
  <x:c r="E12" i="17"/>
  <x:c r="H28" i="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8" i="1" s="1"/>
  <x:c r="G11" i="9" l="1"/>
  <x:c r="G36" i="9"/>
  <x:c r="K70" i="12"/>
  <x:c r="H226" i="1"/>
  <x:c r="E48" i="56"/>
  <x:c r="E50" i="56" s="1"/>
  <x:c r="K34" i="56" s="1"/>
  <x:c r="M23" i="17"/>
  <x:c r="F67" i="19"/>
  <x:c r="I23" i="8"/>
  <x:c r="I25" i="8" s="1"/>
  <x:c r="I35" i="8" s="1"/>
  <x:c r="I43" i="8"/>
  <x:c r="H24" i="17"/>
  <x:c r="H26" i="17" s="1"/>
  <x:c r="D47" i="17"/>
  <x:c r="H68" i="1" s="1"/>
  <x:c r="E24" i="17"/>
  <x:c r="I24" i="17"/>
  <x:c r="H34" i="1" s="1"/>
  <x:c r="J24" i="17"/>
  <x:c r="J26" i="17" s="1"/>
  <x:c r="G24" i="17"/>
  <x:c r="H135" i="1"/>
  <x:c r="I16" i="8"/>
  <x:c r="I57" i="8"/>
  <x:c r="E67" i="19"/>
  <x:c r="M14" i="17"/>
  <x:c r="M18" i="17"/>
  <x:c r="M22" i="17"/>
  <x:c r="H84" i="1"/>
  <x:c r="H121" i="1"/>
  <x:c r="C24" i="17"/>
  <x:c r="H54" i="1" s="1"/>
  <x:c r="M17" i="17"/>
  <x:c r="M19" i="17"/>
  <x:c r="D70" i="19"/>
  <x:c r="M15" i="17"/>
  <x:c r="M20" i="17"/>
  <x:c r="M12" i="17"/>
  <x:c r="N24" i="18"/>
  <x:c r="G64" i="18"/>
  <x:c r="H124" i="1"/>
  <x:c r="H64" i="18"/>
  <x:c r="D52" i="18"/>
  <x:c r="K23" i="17"/>
  <x:c r="M13" i="17"/>
  <x:c r="M16" i="17"/>
  <x:c r="M11" i="17"/>
  <x:c r="M21" i="17"/>
  <x:c r="H260" i="1"/>
  <x:c r="C52" i="18"/>
  <x:c r="D53" i="18"/>
  <x:c r="H171" i="1"/>
  <x:c r="H217" i="1"/>
  <x:c r="I15" i="8"/>
  <x:c r="F27" i="5"/>
  <x:c r="H151" i="1"/>
  <x:c r="H199" i="1"/>
  <x:c r="H234" i="1"/>
  <x:c r="I32" i="8"/>
  <x:c r="I33" i="8" s="1"/>
  <x:c r="K11" i="17"/>
  <x:c r="L11" i="17"/>
  <x:c r="D12" i="17"/>
  <x:c r="L12" i="17" s="1"/>
  <x:c r="H194" i="1"/>
  <x:c r="D9" i="19"/>
  <x:c r="G9" i="19" s="1"/>
  <x:c r="H165" i="1"/>
  <x:c r="H122" i="1"/>
  <x:c r="H65" i="1"/>
  <x:c r="D15" i="19"/>
  <x:c r="D16" i="19"/>
  <x:c r="H200" i="1"/>
  <x:c r="G38" i="19"/>
  <x:c r="H236" i="1" l="1"/>
  <x:c r="H237" i="1" s="1"/>
  <x:c r="M34" i="56"/>
  <x:c r="E53" i="56"/>
  <x:c r="K33" i="56" s="1"/>
  <x:c r="G34" i="56"/>
  <x:c r="E34" i="56"/>
  <x:c r="I34" i="56"/>
  <x:c r="J253" i="9"/>
  <x:c r="L253" i="9" s="1"/>
  <x:c r="L258" i="9" s="1"/>
  <x:c r="H262" i="1"/>
  <x:c r="F12" i="17"/>
  <x:c r="M24" i="17"/>
  <x:c r="M26" i="17" s="1"/>
  <x:c r="I17" i="8"/>
  <x:c r="I42" i="8" s="1"/>
  <x:c r="H261" i="1"/>
  <x:c r="H36" i="1"/>
  <x:c r="H38" i="1"/>
  <x:c r="C26" i="17"/>
  <x:c r="E46" i="12" s="1"/>
  <x:c r="E70" i="12" s="1"/>
  <x:c r="H123" i="1"/>
  <x:c r="D71" i="19"/>
  <x:c r="I59" i="8"/>
  <x:c r="I61" i="8" s="1"/>
  <x:c r="E26" i="17"/>
  <x:c r="H62" i="1"/>
  <x:c r="H78" i="1"/>
  <x:c r="H201" i="1"/>
  <x:c r="H243" i="1"/>
  <x:c r="C53" i="18"/>
  <x:c r="F13" i="17"/>
  <x:c r="D54" i="18"/>
  <x:c r="F14" i="17" s="1"/>
  <x:c r="K14" i="17" s="1"/>
  <x:c r="I36" i="8"/>
  <x:c r="G11" i="19"/>
  <x:c r="H58" i="1"/>
  <x:c r="D13" i="17"/>
  <x:c r="L13" i="17" s="1"/>
  <x:c r="K32" i="56" l="1"/>
  <x:c r="M33" i="56"/>
  <x:c r="M35" i="56" s="1"/>
  <x:c r="G33" i="56"/>
  <x:c r="G37" i="56" s="1"/>
  <x:c r="I32" i="56"/>
  <x:c r="G32" i="56"/>
  <x:c r="E32" i="56"/>
  <x:c r="E33" i="56" s="1"/>
  <x:c r="E37" i="56" s="1"/>
  <x:c r="M32" i="56"/>
  <x:c r="I33" i="56"/>
  <x:c r="I35" i="56" s="1"/>
  <x:c r="H29" i="1"/>
  <x:c r="H239" i="1"/>
  <x:c r="K35" i="56"/>
  <x:c r="K37" i="56"/>
  <x:c r="I40" i="8"/>
  <x:c r="I48" i="8" s="1"/>
  <x:c r="I39" i="8"/>
  <x:c r="I47" i="8" s="1"/>
  <x:c r="I38" i="8"/>
  <x:c r="I46" i="8" s="1"/>
  <x:c r="H241" i="1"/>
  <x:c r="H240" i="1"/>
  <x:c r="H266" i="1"/>
  <x:c r="S215" i="53"/>
  <x:c r="S217" i="53" s="1"/>
  <x:c r="S227" i="53" s="1"/>
  <x:c r="S229" i="53" s="1"/>
  <x:c r="M111" i="53"/>
  <x:c r="M113" i="53" s="1"/>
  <x:c r="M123" i="53" s="1"/>
  <x:c r="M215" i="53"/>
  <x:c r="M217" i="53" s="1"/>
  <x:c r="M227" i="53" s="1"/>
  <x:c r="M229" i="53" s="1"/>
  <x:c r="S111" i="53"/>
  <x:c r="S113" i="53" s="1"/>
  <x:c r="O215" i="53"/>
  <x:c r="O217" i="53" s="1"/>
  <x:c r="O227" i="53" s="1"/>
  <x:c r="O229" i="53" s="1"/>
  <x:c r="Q111" i="53"/>
  <x:c r="Q113" i="53" s="1"/>
  <x:c r="Q123" i="53" s="1"/>
  <x:c r="Q215" i="53"/>
  <x:c r="Q217" i="53" s="1"/>
  <x:c r="Q227" i="53" s="1"/>
  <x:c r="Q229" i="53" s="1"/>
  <x:c r="O111" i="53"/>
  <x:c r="O113" i="53" s="1"/>
  <x:c r="O123" i="53" s="1"/>
  <x:c r="H275" i="1"/>
  <x:c r="H270" i="1"/>
  <x:c r="I60" i="8"/>
  <x:c r="K12" i="17"/>
  <x:c r="I12" i="12"/>
  <x:c r="I74" i="8"/>
  <x:c r="I65" i="8"/>
  <x:c r="H125" i="1"/>
  <x:c r="H81" i="1"/>
  <x:c r="H82" i="1"/>
  <x:c r="D72" i="19"/>
  <x:c r="K13" i="17"/>
  <x:c r="D55" i="18"/>
  <x:c r="C54" i="18"/>
  <x:c r="H298" i="1"/>
  <x:c r="D14" i="17"/>
  <x:c r="L14" i="17" s="1"/>
  <x:c r="M37" i="56" l="1"/>
  <x:c r="G35" i="56"/>
  <x:c r="G43" i="56" s="1"/>
  <x:c r="E35" i="56"/>
  <x:c r="E43" i="56" s="1"/>
  <x:c r="I37" i="56"/>
  <x:c r="I43" i="56" s="1"/>
  <x:c r="K43" i="56"/>
  <x:c r="M43" i="56"/>
  <x:c r="Q241" i="53"/>
  <x:c r="Q243" i="53" s="1"/>
  <x:c r="Q125" i="53"/>
  <x:c r="M241" i="53"/>
  <x:c r="M243" i="53" s="1"/>
  <x:c r="M125" i="53"/>
  <x:c r="O125" i="53"/>
  <x:c r="O241" i="53"/>
  <x:c r="O243" i="53" s="1"/>
  <x:c r="S123" i="53"/>
  <x:c r="I49" i="8"/>
  <x:c r="I69" i="8"/>
  <x:c r="I73" i="8" s="1"/>
  <x:c r="I75" i="8" s="1"/>
  <x:c r="H274" i="1"/>
  <x:c r="H248" i="1"/>
  <x:c r="H300" i="1"/>
  <x:c r="H247" i="1"/>
  <x:c r="H249" i="1"/>
  <x:c r="F15" i="17"/>
  <x:c r="D56" i="18"/>
  <x:c r="F16" i="17" s="1"/>
  <x:c r="K16" i="17" s="1"/>
  <x:c r="C55" i="18"/>
  <x:c r="D15" i="17"/>
  <x:c r="L15" i="17" s="1"/>
  <x:c r="H276" i="1" l="1"/>
  <x:c r="E45" i="56"/>
  <x:c r="S241" i="53"/>
  <x:c r="S243" i="53" s="1"/>
  <x:c r="S125" i="53"/>
  <x:c r="H250" i="1"/>
  <x:c r="H301" i="1"/>
  <x:c r="D74" i="19"/>
  <x:c r="C56" i="18"/>
  <x:c r="D57" i="18"/>
  <x:c r="F17" i="17" s="1"/>
  <x:c r="K17" i="17" s="1"/>
  <x:c r="K15" i="17"/>
  <x:c r="D16" i="17"/>
  <x:c r="L16" i="17" s="1"/>
  <x:c r="D75" i="19" l="1"/>
  <x:c r="D58" i="18"/>
  <x:c r="C57" i="18"/>
  <x:c r="D17" i="17"/>
  <x:c r="L17" i="17" s="1"/>
  <x:c r="D76" i="19" l="1"/>
  <x:c r="F18" i="17"/>
  <x:c r="C58" i="18"/>
  <x:c r="D59" i="18"/>
  <x:c r="F19" i="17" s="1"/>
  <x:c r="K19" i="17" s="1"/>
  <x:c r="D18" i="17"/>
  <x:c r="L18" i="17" s="1"/>
  <x:c r="D77" i="19" l="1"/>
  <x:c r="C59" i="18"/>
  <x:c r="D60" i="18"/>
  <x:c r="F20" i="17" s="1"/>
  <x:c r="K20" i="17" s="1"/>
  <x:c r="K18" i="17"/>
  <x:c r="D19" i="17"/>
  <x:c r="L19" i="17" s="1"/>
  <x:c r="D78" i="19" l="1"/>
  <x:c r="D61" i="18"/>
  <x:c r="F21" i="17" s="1"/>
  <x:c r="K21" i="17" s="1"/>
  <x:c r="C60" i="18"/>
  <x:c r="D20" i="17"/>
  <x:c r="L20" i="17" s="1"/>
  <x:c r="D79" i="19" l="1"/>
  <x:c r="C62" i="18"/>
  <x:c r="C61" i="18"/>
  <x:c r="D62" i="18"/>
  <x:c r="D64" i="18" s="1"/>
  <x:c r="K24" i="18"/>
  <x:c r="H27" i="1" s="1"/>
  <x:c r="D21" i="17"/>
  <x:c r="L21" i="17" s="1"/>
  <x:c r="C64" i="18" l="1"/>
  <x:c r="H30" i="1"/>
  <x:c r="D80" i="19"/>
  <x:c r="F22" i="17"/>
  <x:c r="F24" i="17" s="1"/>
  <x:c r="D22" i="17"/>
  <x:c r="L22" i="17" s="1"/>
  <x:c r="D81" i="19" l="1"/>
  <x:c r="D82" i="19" s="1"/>
  <x:c r="C16" i="19" s="1"/>
  <x:c r="H237" i="9" s="1"/>
  <x:c r="I237" i="9" s="1"/>
  <x:c r="D51" i="19"/>
  <x:c r="I25" i="17" s="1"/>
  <x:c r="H32" i="1"/>
  <x:c r="K22" i="17"/>
  <x:c r="K24" i="17" s="1"/>
  <x:c r="M24" i="18"/>
  <x:c r="D23" i="17"/>
  <x:c r="D24" i="17" s="1"/>
  <x:c r="H35" i="1" l="1"/>
  <x:c r="I26" i="17"/>
  <x:c r="F26" i="17"/>
  <x:c r="H74" i="1"/>
  <x:c r="K26" i="17"/>
  <x:c r="H46" i="12" s="1"/>
  <x:c r="L23" i="17"/>
  <x:c r="L24" i="17" s="1"/>
  <x:c r="H192" i="1" l="1"/>
  <x:c r="G16" i="19"/>
  <x:c r="H70" i="12"/>
  <x:c r="I13" i="12"/>
  <x:c r="H76" i="1"/>
  <x:c r="H80" i="1"/>
  <x:c r="H313" i="1"/>
  <x:c r="H60" i="1"/>
  <x:c r="H323" i="1" l="1"/>
  <x:c r="D62" i="19" l="1"/>
  <x:c r="D60" i="19"/>
  <x:c r="D61" i="19"/>
  <x:c r="D59" i="19"/>
  <x:c r="D66" i="19"/>
  <x:c r="D65" i="19"/>
  <x:c r="D58" i="19"/>
  <x:c r="D63" i="19"/>
  <x:c r="D64" i="19"/>
  <x:c r="G29" i="19" l="1"/>
  <x:c r="G31" i="19"/>
  <x:c r="G33" i="19"/>
  <x:c r="G28" i="19"/>
  <x:c r="G30" i="19"/>
  <x:c r="G26" i="19"/>
  <x:c r="G32" i="19"/>
  <x:c r="G27" i="19"/>
  <x:c r="G34" i="19"/>
  <x:c r="E65" i="13" l="1"/>
  <x:c r="F8" i="13" s="1"/>
  <x:c r="B56" i="13"/>
  <x:c r="F36" i="14" l="1"/>
  <x:c r="F37" i="14" s="1"/>
  <x:c r="F38" i="14" s="1"/>
  <x:c r="F39" i="14" s="1"/>
  <x:c r="F40" i="14" s="1"/>
  <x:c r="F41" i="14" s="1"/>
  <x:c r="F42" i="14" s="1"/>
  <x:c r="F43" i="14" s="1"/>
  <x:c r="F44" i="14" s="1"/>
  <x:c r="F45" i="14" s="1"/>
  <x:c r="F46" i="14" s="1"/>
  <x:c r="F47" i="14" s="1"/>
  <x:c r="F48" i="14" s="1"/>
  <x:c r="F49" i="14" s="1"/>
  <x:c r="F50" i="14" s="1"/>
  <x:c r="F51" i="14" l="1"/>
  <x:c r="G50" i="14"/>
  <x:c r="J28" i="13" s="1"/>
  <x:c r="K28" i="13" l="1"/>
  <x:c r="F52" i="14"/>
  <x:c r="G51" i="14"/>
  <x:c r="C47" i="17"/>
  <x:c r="H108" i="1" s="1"/>
  <x:c r="J29" i="13" l="1"/>
  <x:c r="K29" i="13" s="1"/>
  <x:c r="G52" i="14"/>
  <x:c r="J31" i="13" s="1"/>
  <x:c r="K31" i="13" s="1"/>
  <x:c r="H161" i="1"/>
  <x:c r="H160" i="1"/>
  <x:c r="I30" i="33"/>
  <x:c r="E17" i="5" l="1"/>
  <x:c r="G34" i="17"/>
  <x:c r="G42" i="17"/>
  <x:c r="G40" i="17"/>
  <x:c r="G43" i="17"/>
  <x:c r="G38" i="17"/>
  <x:c r="G46" i="17"/>
  <x:c r="G36" i="17"/>
  <x:c r="G35" i="17"/>
  <x:c r="G44" i="17"/>
  <x:c r="G41" i="17"/>
  <x:c r="G37" i="17"/>
  <x:c r="G45" i="17"/>
  <x:c r="G39" i="17"/>
  <x:c r="G47" i="17" l="1"/>
  <x:c r="H116" i="1" s="1"/>
  <x:c r="E58" i="13" l="1"/>
  <x:c r="H117" i="1"/>
  <x:c r="D40" i="13" l="1"/>
  <x:c r="E27" i="13" l="1"/>
  <x:c r="C68" i="13"/>
  <x:c r="F27" i="13"/>
  <x:c r="E24" i="13"/>
  <x:c r="E25" i="13"/>
  <x:c r="E26" i="13"/>
  <x:c r="E21" i="13"/>
  <x:c r="E23" i="13"/>
  <x:c r="E16" i="13"/>
  <x:c r="E22" i="13"/>
  <x:c r="E20" i="13"/>
  <x:c r="E15" i="13"/>
  <x:c r="E17" i="13"/>
  <x:c r="E14" i="13"/>
  <x:c r="E19" i="13"/>
  <x:c r="E18" i="13"/>
  <x:c r="F26" i="13" l="1"/>
  <x:c r="F25" i="13"/>
  <x:c r="F24" i="13"/>
  <x:c r="F18" i="13"/>
  <x:c r="F17" i="13"/>
  <x:c r="F22" i="13"/>
  <x:c r="F23" i="13"/>
  <x:c r="F15" i="13"/>
  <x:c r="F19" i="13"/>
  <x:c r="F16" i="13"/>
  <x:c r="F14" i="13"/>
  <x:c r="E40" i="13"/>
  <x:c r="F20" i="13"/>
  <x:c r="F21" i="13"/>
  <x:c r="F40" i="13" l="1"/>
  <x:c r="H159" i="1" l="1"/>
  <x:c r="H173" i="1" l="1"/>
  <x:c r="G244" i="9"/>
  <x:c r="H155" i="1"/>
  <x:c r="H175" i="1" l="1"/>
  <x:c r="H164" i="1"/>
  <x:c r="G39" i="19"/>
  <x:c r="C71" i="19"/>
  <x:c r="G71" i="19" s="1"/>
  <x:c r="H166" i="1" l="1"/>
  <x:c r="G40" i="19"/>
  <x:c r="C70" i="19"/>
  <x:c r="G70" i="19" l="1"/>
  <x:c r="G41" i="19"/>
  <x:c r="C72" i="19"/>
  <x:c r="G72" i="19" s="1"/>
  <x:c r="C58" i="19" l="1"/>
  <x:c r="G58" i="19" s="1"/>
  <x:c r="G42" i="19"/>
  <x:c r="C59" i="19" l="1"/>
  <x:c r="G43" i="19"/>
  <x:c r="C74" i="19"/>
  <x:c r="G74" i="19" s="1"/>
  <x:c r="G73" i="19"/>
  <x:c r="G59" i="19" l="1"/>
  <x:c r="G44" i="19"/>
  <x:c r="C60" i="19"/>
  <x:c r="G60" i="19" s="1"/>
  <x:c r="C75" i="19"/>
  <x:c r="G45" i="19" l="1"/>
  <x:c r="C61" i="19"/>
  <x:c r="G61" i="19" s="1"/>
  <x:c r="C76" i="19"/>
  <x:c r="G76" i="19" s="1"/>
  <x:c r="G75" i="19"/>
  <x:c r="G46" i="19" l="1"/>
  <x:c r="C62" i="19"/>
  <x:c r="C77" i="19"/>
  <x:c r="G77" i="19" s="1"/>
  <x:c r="G47" i="19" l="1"/>
  <x:c r="C63" i="19"/>
  <x:c r="G63" i="19" s="1"/>
  <x:c r="C78" i="19"/>
  <x:c r="G62" i="19"/>
  <x:c r="G78" i="19" l="1"/>
  <x:c r="C64" i="19"/>
  <x:c r="G64" i="19" s="1"/>
  <x:c r="C79" i="19"/>
  <x:c r="G79" i="19" s="1"/>
  <x:c r="G48" i="19"/>
  <x:c r="G49" i="19" l="1"/>
  <x:c r="C65" i="19"/>
  <x:c r="G65" i="19" s="1"/>
  <x:c r="C80" i="19"/>
  <x:c r="G80" i="19" s="1"/>
  <x:c r="C51" i="19"/>
  <x:c r="G25" i="17" l="1"/>
  <x:c r="H33" i="1"/>
  <x:c r="C66" i="19"/>
  <x:c r="G50" i="19"/>
  <x:c r="G51" i="19" s="1"/>
  <x:c r="C81" i="19"/>
  <x:c r="H40" i="1" l="1"/>
  <x:c r="C82" i="19"/>
  <x:c r="C15" i="19" s="1"/>
  <x:c r="G81" i="19"/>
  <x:c r="G66" i="19"/>
  <x:c r="H79" i="1"/>
  <x:c r="G26" i="17"/>
  <x:c r="H236" i="9" l="1"/>
  <x:c r="I236" i="9" s="1"/>
  <x:c r="H83" i="1"/>
  <x:c r="H42" i="1"/>
  <x:c r="G82" i="19"/>
  <x:c r="H85" i="1" l="1"/>
  <x:c r="C18" i="19"/>
  <x:c r="G15" i="19"/>
  <x:c r="G18" i="19" s="1"/>
  <x:c r="H190" i="1"/>
  <x:c r="D55" i="19" l="1"/>
  <x:c r="D57" i="19"/>
  <x:c r="D56" i="19"/>
  <x:c r="C54" i="19"/>
  <x:c r="H193" i="1"/>
  <x:c r="H87" i="1"/>
  <x:c r="H195" i="1" l="1"/>
  <x:c r="G24" i="19"/>
  <x:c r="C56" i="19"/>
  <x:c r="G56" i="19" s="1"/>
  <x:c r="G25" i="19"/>
  <x:c r="C57" i="19"/>
  <x:c r="G57" i="19" s="1"/>
  <x:c r="G23" i="19"/>
  <x:c r="C55" i="19"/>
  <x:c r="G55" i="19" s="1"/>
  <x:c r="D54" i="19"/>
  <x:c r="D67" i="19" s="1"/>
  <x:c r="D35" i="19"/>
  <x:c r="G22" i="19"/>
  <x:c r="C35" i="19"/>
  <x:c r="I20" i="12" l="1"/>
  <x:c r="I21" i="12" s="1"/>
  <x:c r="L21" i="12" s="1"/>
  <x:c r="H204" i="1"/>
  <x:c r="G35" i="19"/>
  <x:c r="D25" i="17" s="1"/>
  <x:c r="G54" i="19"/>
  <x:c r="G67" i="19" s="1"/>
  <x:c r="C67" i="19"/>
  <x:c r="H290" i="1" l="1"/>
  <x:c r="H61" i="1"/>
  <x:c r="D26" i="17"/>
  <x:c r="L25" i="17"/>
  <x:c r="L26" i="17" s="1"/>
  <x:c r="H64" i="1" l="1"/>
  <x:c r="H66" i="1" l="1"/>
  <x:c r="H70" i="1" l="1"/>
  <x:c r="E27" i="5"/>
  <x:c r="E52" i="5" s="1"/>
  <x:c r="H89" i="1" l="1"/>
  <x:c r="H44" i="1"/>
  <x:c r="G27" i="5"/>
  <x:c r="E56" i="5"/>
  <x:c r="H45" i="1" l="1"/>
  <x:c r="H285" i="1"/>
  <x:c r="H47" i="1"/>
  <x:c r="H48" i="1" l="1"/>
  <x:c r="H176" i="1"/>
  <x:c r="H147" i="9"/>
  <x:c r="G151" i="9" s="1"/>
  <x:c r="AC132" i="9"/>
  <x:c r="H249" i="50"/>
  <x:c r="H252" i="50" s="1"/>
  <x:c r="E252" i="50" s="1"/>
  <x:c r="W122" i="9"/>
  <x:c r="X122" i="9" s="1"/>
  <x:c r="AC122" i="9" s="1"/>
  <x:c r="W131" i="9"/>
  <x:c r="X131" i="9" s="1"/>
  <x:c r="AC131" i="9" s="1"/>
  <x:c r="E56" i="56"/>
  <x:c r="F17" i="5"/>
  <x:c r="G17" i="5" s="1"/>
  <x:c r="F33" i="5"/>
  <x:c r="G33" i="5" s="1"/>
  <x:c r="W126" i="9"/>
  <x:c r="X126" i="9" s="1"/>
  <x:c r="AC126" i="9" s="1"/>
  <x:c r="W124" i="9"/>
  <x:c r="X124" i="9" s="1"/>
  <x:c r="AC124" i="9" s="1"/>
  <x:c r="W125" i="9"/>
  <x:c r="X125" i="9" s="1"/>
  <x:c r="AC125" i="9" s="1"/>
  <x:c r="H295" i="50"/>
  <x:c r="H298" i="50" s="1"/>
  <x:c r="H104" i="50"/>
  <x:c r="H107" i="50" s="1"/>
  <x:c r="W119" i="9"/>
  <x:c r="X119" i="9" s="1"/>
  <x:c r="AC119" i="9" s="1"/>
  <x:c r="W121" i="9"/>
  <x:c r="X121" i="9" s="1"/>
  <x:c r="AC121" i="9" s="1"/>
  <x:c r="W115" i="9"/>
  <x:c r="X115" i="9" s="1"/>
  <x:c r="H320" i="50"/>
  <x:c r="H323" i="50" s="1"/>
  <x:c r="E323" i="50" s="1"/>
  <x:c r="H265" i="1" s="1"/>
  <x:c r="W117" i="9"/>
  <x:c r="X117" i="9" s="1"/>
  <x:c r="AC117" i="9" s="1"/>
  <x:c r="H173" i="50"/>
  <x:c r="H176" i="50" s="1"/>
  <x:c r="H222" i="50"/>
  <x:c r="H225" i="50" s="1"/>
  <x:c r="W130" i="9"/>
  <x:c r="X130" i="9" s="1"/>
  <x:c r="AC130" i="9" s="1"/>
  <x:c r="H78" i="50"/>
  <x:c r="H81" i="50" s="1"/>
  <x:c r="W128" i="9"/>
  <x:c r="X128" i="9" s="1"/>
  <x:c r="AC128" i="9" s="1"/>
  <x:c r="W123" i="9"/>
  <x:c r="X123" i="9" s="1"/>
  <x:c r="AC123" i="9" s="1"/>
  <x:c r="W120" i="9"/>
  <x:c r="X120" i="9" s="1"/>
  <x:c r="AC120" i="9" s="1"/>
  <x:c r="H29" i="33"/>
  <x:c r="W127" i="9"/>
  <x:c r="X127" i="9" s="1"/>
  <x:c r="AC127" i="9" s="1"/>
  <x:c r="W118" i="9"/>
  <x:c r="X118" i="9" s="1"/>
  <x:c r="AC118" i="9" s="1"/>
  <x:c r="W116" i="9"/>
  <x:c r="X116" i="9" s="1"/>
  <x:c r="AC116" i="9" s="1"/>
  <x:c r="W129" i="9"/>
  <x:c r="X129" i="9" s="1"/>
  <x:c r="AC129" i="9" s="1"/>
  <x:c r="H149" i="50"/>
  <x:c r="H152" i="50" s="1"/>
  <x:c r="E107" i="50" l="1"/>
  <x:c r="E176" i="50"/>
  <x:c r="G20" i="55"/>
  <x:c r="H13" i="50"/>
  <x:c r="E13" i="50" s="1"/>
  <x:c r="L104" i="49" s="1"/>
  <x:c r="E152" i="50"/>
  <x:c r="AC115" i="9"/>
  <x:c r="AC135" i="9" s="1"/>
  <x:c r="H113" i="1" s="1"/>
  <x:c r="X135" i="9"/>
  <x:c r="G36" i="5"/>
  <x:c r="H208" i="1" s="1"/>
  <x:c r="I64" i="8"/>
  <x:c r="I66" i="8" s="1"/>
  <x:c r="H267" i="1"/>
  <x:c r="K23" i="56"/>
  <x:c r="K24" i="56" s="1"/>
  <x:c r="K26" i="56" s="1"/>
  <x:c r="K38" i="56" s="1"/>
  <x:c r="K39" i="56" s="1"/>
  <x:c r="G23" i="56"/>
  <x:c r="G24" i="56" s="1"/>
  <x:c r="G26" i="56" s="1"/>
  <x:c r="G38" i="56" s="1"/>
  <x:c r="G39" i="56" s="1"/>
  <x:c r="I23" i="56"/>
  <x:c r="I24" i="56" s="1"/>
  <x:c r="I26" i="56" s="1"/>
  <x:c r="I38" i="56" s="1"/>
  <x:c r="I39" i="56" s="1"/>
  <x:c r="E23" i="56" a="1"/>
  <x:c r="E23" i="56" s="1"/>
  <x:c r="E24" i="56" s="1"/>
  <x:c r="E26" i="56" s="1"/>
  <x:c r="E38" i="56" s="1"/>
  <x:c r="E39" i="56" s="1"/>
  <x:c r="M23" i="56"/>
  <x:c r="M24" i="56" s="1"/>
  <x:c r="M26" i="56" s="1"/>
  <x:c r="M38" i="56" s="1"/>
  <x:c r="M39" i="56" s="1"/>
  <x:c r="H177" i="1"/>
  <x:c r="H11" i="50"/>
  <x:c r="E81" i="50"/>
  <x:c r="H14" i="50"/>
  <x:c r="E14" i="50" s="1"/>
  <x:c r="L139" i="49" s="1"/>
  <x:c r="E225" i="50"/>
  <x:c r="H30" i="33"/>
  <x:c r="J31" i="33" s="1"/>
  <x:c r="H15" i="50"/>
  <x:c r="E15" i="50" s="1"/>
  <x:c r="L174" i="49" s="1"/>
  <x:c r="E298" i="50"/>
  <x:c r="J24" i="49" l="1"/>
  <x:c r="Q24" i="49" s="1"/>
  <x:c r="J16" i="49"/>
  <x:c r="Q16" i="49" s="1"/>
  <x:c r="J19" i="49"/>
  <x:c r="K19" i="49" s="1"/>
  <x:c r="J18" i="49"/>
  <x:c r="Q18" i="49" s="1"/>
  <x:c r="J23" i="49"/>
  <x:c r="Q23" i="49" s="1"/>
  <x:c r="J21" i="49"/>
  <x:c r="Q21" i="49" s="1"/>
  <x:c r="J17" i="49"/>
  <x:c r="Q17" i="49" s="1"/>
  <x:c r="J22" i="49"/>
  <x:c r="Q22" i="49" s="1"/>
  <x:c r="J20" i="49"/>
  <x:c r="Q20" i="49" s="1"/>
  <x:c r="J27" i="49"/>
  <x:c r="Q27" i="49" s="1"/>
  <x:c r="J26" i="49"/>
  <x:c r="K26" i="49" s="1"/>
  <x:c r="J25" i="49"/>
  <x:c r="K25" i="49" s="1"/>
  <x:c r="P25" i="49" s="1"/>
  <x:c r="N28" i="49"/>
  <x:c r="N98" i="49"/>
  <x:c r="O25" i="49"/>
  <x:c r="O17" i="49"/>
  <x:c r="O24" i="49"/>
  <x:c r="O21" i="49"/>
  <x:c r="O16" i="49"/>
  <x:c r="O27" i="49"/>
  <x:c r="O20" i="49"/>
  <x:c r="O19" i="49"/>
  <x:c r="O23" i="49"/>
  <x:c r="O26" i="49"/>
  <x:c r="O22" i="49"/>
  <x:c r="O18" i="49"/>
  <x:c r="J33" i="33"/>
  <x:c r="J34" i="33" s="1"/>
  <x:c r="R106" i="49"/>
  <x:c r="R108" i="49" s="1"/>
  <x:c r="L106" i="49"/>
  <x:c r="L108" i="49" s="1"/>
  <x:c r="O90" i="49"/>
  <x:c r="Q90" i="49"/>
  <x:c r="K90" i="49"/>
  <x:c r="R141" i="49"/>
  <x:c r="R143" i="49" s="1"/>
  <x:c r="R145" i="49" s="1"/>
  <x:c r="L141" i="49"/>
  <x:c r="L143" i="49" s="1"/>
  <x:c r="L145" i="49" s="1"/>
  <x:c r="Q86" i="49"/>
  <x:c r="J98" i="49"/>
  <x:c r="O86" i="49"/>
  <x:c r="K86" i="49"/>
  <x:c r="O91" i="49"/>
  <x:c r="Q91" i="49"/>
  <x:c r="K91" i="49"/>
  <x:c r="O87" i="49"/>
  <x:c r="Q87" i="49"/>
  <x:c r="K87" i="49"/>
  <x:c r="O94" i="49"/>
  <x:c r="Q94" i="49"/>
  <x:c r="K94" i="49"/>
  <x:c r="O89" i="49"/>
  <x:c r="Q89" i="49"/>
  <x:c r="K89" i="49"/>
  <x:c r="Q95" i="49"/>
  <x:c r="O95" i="49"/>
  <x:c r="P95" i="49" s="1"/>
  <x:c r="K95" i="49"/>
  <x:c r="Q92" i="49"/>
  <x:c r="O92" i="49"/>
  <x:c r="K92" i="49"/>
  <x:c r="O96" i="49"/>
  <x:c r="Q96" i="49"/>
  <x:c r="K96" i="49"/>
  <x:c r="R176" i="49"/>
  <x:c r="R178" i="49" s="1"/>
  <x:c r="R180" i="49" s="1"/>
  <x:c r="L176" i="49"/>
  <x:c r="L178" i="49" s="1"/>
  <x:c r="L180" i="49" s="1"/>
  <x:c r="Q93" i="49"/>
  <x:c r="O93" i="49"/>
  <x:c r="K93" i="49"/>
  <x:c r="Q97" i="49"/>
  <x:c r="O97" i="49"/>
  <x:c r="P97" i="49" s="1"/>
  <x:c r="K97" i="49"/>
  <x:c r="Q88" i="49"/>
  <x:c r="O88" i="49"/>
  <x:c r="K88" i="49"/>
  <x:c r="E41" i="56"/>
  <x:c r="H179" i="1"/>
  <x:c r="H17" i="50"/>
  <x:c r="E11" i="50"/>
  <x:c r="H210" i="1"/>
  <x:c r="K24" i="49" l="1"/>
  <x:c r="K16" i="49"/>
  <x:c r="L16" i="49" s="1"/>
  <x:c r="K18" i="49"/>
  <x:c r="K23" i="49"/>
  <x:c r="Q19" i="49"/>
  <x:c r="K20" i="49"/>
  <x:c r="Q25" i="49"/>
  <x:c r="K27" i="49"/>
  <x:c r="Q26" i="49"/>
  <x:c r="K22" i="49"/>
  <x:c r="J28" i="49"/>
  <x:c r="K17" i="49"/>
  <x:c r="K21" i="49"/>
  <x:c r="R34" i="49"/>
  <x:c r="R36" i="49" s="1"/>
  <x:c r="R38" i="49" s="1"/>
  <x:c r="L34" i="49"/>
  <x:c r="L36" i="49" s="1"/>
  <x:c r="L38" i="49" s="1"/>
  <x:c r="P94" i="49"/>
  <x:c r="P26" i="49"/>
  <x:c r="P23" i="49"/>
  <x:c r="P18" i="49"/>
  <x:c r="P16" i="49"/>
  <x:c r="O28" i="49"/>
  <x:c r="P20" i="49"/>
  <x:c r="P17" i="49"/>
  <x:c r="P22" i="49"/>
  <x:c r="P21" i="49"/>
  <x:c r="P27" i="49"/>
  <x:c r="P19" i="49"/>
  <x:c r="P24" i="49"/>
  <x:c r="P91" i="49"/>
  <x:c r="H97" i="1"/>
  <x:c r="H98" i="1"/>
  <x:c r="D22" i="55"/>
  <x:c r="D24" i="55" s="1"/>
  <x:c r="D31" i="55" s="1"/>
  <x:c r="H128" i="1"/>
  <x:c r="P93" i="49"/>
  <x:c r="P90" i="49"/>
  <x:c r="Q98" i="49"/>
  <x:c r="P88" i="49"/>
  <x:c r="P89" i="49"/>
  <x:c r="P96" i="49"/>
  <x:c r="K98" i="49"/>
  <x:c r="L86" i="49"/>
  <x:c r="P86" i="49"/>
  <x:c r="P92" i="49"/>
  <x:c r="P87" i="49"/>
  <x:c r="O98" i="49"/>
  <x:c r="H291" i="1"/>
  <x:c r="I24" i="12"/>
  <x:c r="I25" i="12" s="1"/>
  <x:c r="L25" i="12" s="1"/>
  <x:c r="E17" i="50"/>
  <x:c r="I16" i="12"/>
  <x:c r="I17" i="12" s="1"/>
  <x:c r="L17" i="12" s="1"/>
  <x:c r="H289" i="1"/>
  <x:c r="Q28" i="49" l="1"/>
  <x:c r="L17" i="49"/>
  <x:c r="L18" i="49" s="1"/>
  <x:c r="L19" i="49" s="1"/>
  <x:c r="L20" i="49" s="1"/>
  <x:c r="L21" i="49" s="1"/>
  <x:c r="L22" i="49" s="1"/>
  <x:c r="L23" i="49" s="1"/>
  <x:c r="L24" i="49" s="1"/>
  <x:c r="L25" i="49" s="1"/>
  <x:c r="L26" i="49" s="1"/>
  <x:c r="L27" i="49" s="1"/>
  <x:c r="L39" i="49" s="1"/>
  <x:c r="L40" i="49" s="1"/>
  <x:c r="K28" i="49"/>
  <x:c r="R16" i="49"/>
  <x:c r="R17" i="49" s="1"/>
  <x:c r="R18" i="49" s="1"/>
  <x:c r="R19" i="49" s="1"/>
  <x:c r="R20" i="49" s="1"/>
  <x:c r="R21" i="49" s="1"/>
  <x:c r="R22" i="49" s="1"/>
  <x:c r="R23" i="49" s="1"/>
  <x:c r="R24" i="49" s="1"/>
  <x:c r="R25" i="49" s="1"/>
  <x:c r="R26" i="49" s="1"/>
  <x:c r="R27" i="49" s="1"/>
  <x:c r="R39" i="49" s="1"/>
  <x:c r="R40" i="49" s="1"/>
  <x:c r="P28" i="49"/>
  <x:c r="D35" i="55"/>
  <x:c r="G22" i="55"/>
  <x:c r="G24" i="55" s="1"/>
  <x:c r="H306" i="1" s="1"/>
  <x:c r="R86" i="49"/>
  <x:c r="R87" i="49" s="1"/>
  <x:c r="R88" i="49" s="1"/>
  <x:c r="R89" i="49" s="1"/>
  <x:c r="R90" i="49" s="1"/>
  <x:c r="R91" i="49" s="1"/>
  <x:c r="R92" i="49" s="1"/>
  <x:c r="R93" i="49" s="1"/>
  <x:c r="R94" i="49" s="1"/>
  <x:c r="R95" i="49" s="1"/>
  <x:c r="R96" i="49" s="1"/>
  <x:c r="R97" i="49" s="1"/>
  <x:c r="R109" i="49" s="1"/>
  <x:c r="R110" i="49" s="1"/>
  <x:c r="P98" i="49"/>
  <x:c r="L87" i="49"/>
  <x:c r="L88" i="49" s="1"/>
  <x:c r="L89" i="49" s="1"/>
  <x:c r="L90" i="49" s="1"/>
  <x:c r="L91" i="49" s="1"/>
  <x:c r="L92" i="49" s="1"/>
  <x:c r="L93" i="49" s="1"/>
  <x:c r="L94" i="49" s="1"/>
  <x:c r="L95" i="49" s="1"/>
  <x:c r="L96" i="49" s="1"/>
  <x:c r="L97" i="49" s="1"/>
  <x:c r="L109" i="49" s="1"/>
  <x:c r="L110" i="49" s="1"/>
  <x:c r="H130" i="1"/>
  <x:c r="H94" i="1" l="1"/>
  <x:c r="I27" i="12"/>
  <x:c r="I28" i="12" s="1"/>
  <x:c r="L28" i="12" s="1"/>
  <x:c r="L30" i="12" s="1"/>
  <x:c r="F53" i="12" s="1"/>
  <x:c r="G53" i="12" s="1"/>
  <x:c r="H96" i="1"/>
  <x:c r="F56" i="12" l="1"/>
  <x:c r="G56" i="12" s="1"/>
  <x:c r="F48" i="12"/>
  <x:c r="G48" i="12" s="1"/>
  <x:c r="F55" i="12"/>
  <x:c r="G55" i="12" s="1"/>
  <x:c r="F58" i="12"/>
  <x:c r="G58" i="12" s="1"/>
  <x:c r="F50" i="12"/>
  <x:c r="G50" i="12" s="1"/>
  <x:c r="F52" i="12"/>
  <x:c r="G52" i="12" s="1"/>
  <x:c r="F47" i="12"/>
  <x:c r="G47" i="12" s="1"/>
  <x:c r="F59" i="12"/>
  <x:c r="G59" i="12" s="1"/>
  <x:c r="F49" i="12"/>
  <x:c r="G49" i="12" s="1"/>
  <x:c r="F57" i="12"/>
  <x:c r="G57" i="12" s="1"/>
  <x:c r="F54" i="12"/>
  <x:c r="G54" i="12" s="1"/>
  <x:c r="F46" i="12"/>
  <x:c r="G46" i="12" s="1"/>
  <x:c r="F51" i="12"/>
  <x:c r="G51" i="12" s="1"/>
  <x:c r="H99" i="1"/>
  <x:c r="G70" i="12" l="1"/>
  <x:c r="H106" i="1"/>
  <x:c r="H137" i="1" l="1"/>
  <x:c r="H139" i="1" l="1"/>
  <x:c r="H286" i="1"/>
  <x:c r="H287" i="1" l="1"/>
  <x:c r="H252" i="1"/>
  <x:c r="I12" i="8"/>
  <x:c r="I51" i="8" s="1"/>
  <x:c r="I77" i="8" s="1"/>
  <x:c r="I79" i="8" s="1"/>
  <x:c r="I6" i="8" s="1"/>
  <x:c r="H321" i="1" s="1"/>
  <x:c r="H278" i="1" l="1"/>
  <x:c r="H292" i="1"/>
  <x:c r="H280" i="1" l="1"/>
  <x:c r="I37" i="12"/>
  <x:c r="I38" i="12" s="1"/>
  <x:c r="L38" i="12" s="1"/>
  <x:c r="H293" i="1" l="1"/>
  <x:c r="H295" i="1" l="1"/>
  <x:c r="I33" i="12"/>
  <x:c r="I34" i="12" s="1"/>
  <x:c r="P70" i="12"/>
  <x:c r="I40" i="12" l="1"/>
  <x:c r="L34" i="12"/>
  <x:c r="L40" i="12" s="1"/>
  <x:c r="H302" i="1"/>
  <x:c r="H303" i="1" l="1"/>
  <x:c r="I56" i="12"/>
  <x:c r="J56" i="12" s="1"/>
  <x:c r="L56" i="12" s="1"/>
  <x:c r="I49" i="12"/>
  <x:c r="J49" i="12" s="1"/>
  <x:c r="L49" i="12" s="1"/>
  <x:c r="I50" i="12"/>
  <x:c r="J50" i="12" s="1"/>
  <x:c r="L50" i="12" s="1"/>
  <x:c r="I58" i="12"/>
  <x:c r="J58" i="12" s="1"/>
  <x:c r="L58" i="12" s="1"/>
  <x:c r="O58" i="12" s="1"/>
  <x:c r="Q58" i="12" s="1"/>
  <x:c r="I47" i="12"/>
  <x:c r="J47" i="12" s="1"/>
  <x:c r="L47" i="12" s="1"/>
  <x:c r="I48" i="12"/>
  <x:c r="J48" i="12" s="1"/>
  <x:c r="L48" i="12" s="1"/>
  <x:c r="I54" i="12"/>
  <x:c r="J54" i="12" s="1"/>
  <x:c r="L54" i="12" s="1"/>
  <x:c r="O54" i="12" s="1"/>
  <x:c r="Q54" i="12" s="1"/>
  <x:c r="I53" i="12"/>
  <x:c r="J53" i="12" s="1"/>
  <x:c r="L53" i="12" s="1"/>
  <x:c r="I52" i="12"/>
  <x:c r="J52" i="12" s="1"/>
  <x:c r="L52" i="12" s="1"/>
  <x:c r="I55" i="12"/>
  <x:c r="J55" i="12" s="1"/>
  <x:c r="L55" i="12" s="1"/>
  <x:c r="O55" i="12" s="1"/>
  <x:c r="Q55" i="12" s="1"/>
  <x:c r="I46" i="12"/>
  <x:c r="J46" i="12" s="1"/>
  <x:c r="I51" i="12"/>
  <x:c r="J51" i="12" s="1"/>
  <x:c r="L51" i="12" s="1"/>
  <x:c r="I59" i="12"/>
  <x:c r="J59" i="12" s="1"/>
  <x:c r="L59" i="12" s="1"/>
  <x:c r="O59" i="12" s="1"/>
  <x:c r="Q59" i="12" s="1"/>
  <x:c r="I57" i="12"/>
  <x:c r="J57" i="12" s="1"/>
  <x:c r="L57" i="12" s="1"/>
  <x:c r="O57" i="12" s="1"/>
  <x:c r="Q57" i="12" s="1"/>
  <x:c r="J70" i="12" l="1"/>
  <x:c r="L46" i="12"/>
  <x:c r="H309" i="1"/>
  <x:c r="H312" i="1" l="1"/>
  <x:c r="H327" i="1"/>
  <x:c r="H320" i="1"/>
  <x:c r="L70" i="12"/>
  <x:c r="O46" i="12"/>
  <x:c r="Q46" i="12" s="1"/>
  <x:c r="H315" i="1" l="1"/>
  <x:c r="H314" i="1"/>
  <x:c r="H316" i="1"/>
  <x:c r="H322" i="1"/>
  <x:c r="N15" i="57" l="1"/>
  <x:c r="H324" i="1"/>
  <x:c r="H325" i="1"/>
  <x:c r="N9" i="57"/>
  <x:c r="AW26" i="57" l="1"/>
  <x:c r="AC26" i="57"/>
  <x:c r="I26" i="57"/>
  <x:c r="AG26" i="57"/>
  <x:c r="AO26" i="57"/>
  <x:c r="AS26" i="57"/>
  <x:c r="U26" i="57"/>
  <x:c r="Q26" i="57"/>
  <x:c r="BA26" i="57"/>
  <x:c r="E26" i="57"/>
  <x:c r="AK26" i="57"/>
  <x:c r="Y26" i="57"/>
  <x:c r="M26" i="57"/>
  <x:c r="N10" i="57"/>
  <x:c r="N11" i="57" s="1"/>
  <x:c r="AV67" i="57" l="1"/>
  <x:c r="AV69" i="57"/>
  <x:c r="AV71" i="57"/>
  <x:c r="T67" i="57"/>
  <x:c r="T69" i="57"/>
  <x:c r="T71" i="57"/>
  <x:c r="P69" i="57"/>
  <x:c r="P67" i="57"/>
  <x:c r="P71" i="57"/>
  <x:c r="AR67" i="57"/>
  <x:c r="AR69" i="57"/>
  <x:c r="AR71" i="57"/>
  <x:c r="AC27" i="57"/>
  <x:c r="E27" i="57"/>
  <x:c r="Q27" i="57"/>
  <x:c r="AO27" i="57"/>
  <x:c r="AS27" i="57"/>
  <x:c r="M27" i="57"/>
  <x:c r="Y27" i="57"/>
  <x:c r="AK27" i="57"/>
  <x:c r="AG27" i="57"/>
  <x:c r="I27" i="57"/>
  <x:c r="U27" i="57"/>
  <x:c r="AW27" i="57"/>
  <x:c r="BA27" i="57"/>
  <x:c r="AB69" i="57"/>
  <x:c r="AB71" i="57"/>
  <x:c r="AB67" i="57"/>
  <x:c r="AJ67" i="57"/>
  <x:c r="AJ69" i="57"/>
  <x:c r="AJ71" i="57"/>
  <x:c r="X69" i="57"/>
  <x:c r="X67" i="57"/>
  <x:c r="X71" i="57"/>
  <x:c r="AN67" i="57"/>
  <x:c r="AN69" i="57"/>
  <x:c r="AN71" i="57"/>
  <x:c r="L67" i="57"/>
  <x:c r="L71" i="57"/>
  <x:c r="L69" i="57"/>
  <x:c r="H67" i="57"/>
  <x:c r="H71" i="57"/>
  <x:c r="H69" i="57"/>
  <x:c r="AF67" i="57"/>
  <x:c r="AF69" i="57"/>
  <x:c r="AF71" i="57"/>
  <x:c r="BD71" i="57"/>
  <x:c r="BD67" i="57"/>
  <x:c r="BD69" i="57"/>
  <x:c r="AZ69" i="57"/>
  <x:c r="AZ71" i="57"/>
  <x:c r="AZ67" i="57"/>
  <x:c r="AB68" i="57"/>
  <x:c r="N52" i="12" s="1"/>
  <x:c r="AB72" i="57"/>
  <x:c r="AB70" i="57"/>
  <x:c r="BE67" i="57"/>
  <x:c r="BG67" i="57" s="1"/>
  <x:c r="P72" i="57"/>
  <x:c r="P70" i="57"/>
  <x:c r="P68" i="57"/>
  <x:c r="N49" i="12" s="1"/>
  <x:c r="BE69" i="57"/>
  <x:c r="BG69" i="57" s="1"/>
  <x:c r="BD68" i="57"/>
  <x:c r="BD72" i="57"/>
  <x:c r="BD70" i="57"/>
  <x:c r="AV72" i="57"/>
  <x:c r="AV70" i="57"/>
  <x:c r="AV68" i="57"/>
  <x:c r="AZ70" i="57"/>
  <x:c r="AZ72" i="57"/>
  <x:c r="AZ68" i="57"/>
  <x:c r="AR72" i="57"/>
  <x:c r="AR68" i="57"/>
  <x:c r="N56" i="12" s="1"/>
  <x:c r="AR70" i="57"/>
  <x:c r="BE71" i="57"/>
  <x:c r="BG71" i="57" s="1"/>
  <x:c r="X68" i="57"/>
  <x:c r="N51" i="12" s="1"/>
  <x:c r="X70" i="57"/>
  <x:c r="X72" i="57"/>
  <x:c r="T68" i="57"/>
  <x:c r="N50" i="12" s="1"/>
  <x:c r="T70" i="57"/>
  <x:c r="T72" i="57"/>
  <x:c r="L70" i="57"/>
  <x:c r="L72" i="57"/>
  <x:c r="L68" i="57"/>
  <x:c r="N48" i="12" s="1"/>
  <x:c r="H68" i="57"/>
  <x:c r="N47" i="12" s="1"/>
  <x:c r="H72" i="57"/>
  <x:c r="H70" i="57"/>
  <x:c r="AN68" i="57"/>
  <x:c r="AN70" i="57"/>
  <x:c r="AN72" i="57"/>
  <x:c r="AJ72" i="57"/>
  <x:c r="AJ70" i="57"/>
  <x:c r="AJ68" i="57"/>
  <x:c r="AF70" i="57"/>
  <x:c r="AF72" i="57"/>
  <x:c r="AF68" i="57"/>
  <x:c r="N53" i="12" s="1"/>
  <x:c r="O48" i="12" l="1"/>
  <x:c r="Q48" i="12" s="1"/>
  <x:c r="O53" i="12"/>
  <x:c r="Q53" i="12" s="1"/>
  <x:c r="O51" i="12"/>
  <x:c r="Q51" i="12" s="1"/>
  <x:c r="O50" i="12"/>
  <x:c r="Q50" i="12" s="1"/>
  <x:c r="O56" i="12"/>
  <x:c r="Q56" i="12" s="1"/>
  <x:c r="O52" i="12"/>
  <x:c r="Q52" i="12" s="1"/>
  <x:c r="O49" i="12"/>
  <x:c r="Q49" i="12" s="1"/>
  <x:c r="BE70" i="57"/>
  <x:c r="BF70" i="57" s="1"/>
  <x:c r="BE72" i="57"/>
  <x:c r="BF72" i="57" s="1"/>
  <x:c r="BE68" i="57"/>
  <x:c r="BF68" i="57" s="1"/>
  <x:c r="BH68" i="57" s="1"/>
  <x:c r="BG75" i="57"/>
  <x:c r="E68" i="13"/>
  <x:c r="G14" i="13" s="1"/>
  <x:c r="G22" i="13" l="1"/>
  <x:c r="H22" i="13" s="1"/>
  <x:c r="D44" i="14" s="1"/>
  <x:c r="G44" i="14" s="1"/>
  <x:c r="J22" i="13" s="1"/>
  <x:c r="K22" i="13" s="1"/>
  <x:c r="G20" i="13"/>
  <x:c r="H20" i="13" s="1"/>
  <x:c r="D42" i="14" s="1"/>
  <x:c r="G42" i="14" s="1"/>
  <x:c r="J20" i="13" s="1"/>
  <x:c r="K20" i="13" s="1"/>
  <x:c r="G24" i="13"/>
  <x:c r="H24" i="13" s="1"/>
  <x:c r="D46" i="14" s="1"/>
  <x:c r="G46" i="14" s="1"/>
  <x:c r="J24" i="13" s="1"/>
  <x:c r="K24" i="13" s="1"/>
  <x:c r="G27" i="13"/>
  <x:c r="H27" i="13" s="1"/>
  <x:c r="D49" i="14" s="1"/>
  <x:c r="G49" i="14" s="1"/>
  <x:c r="J27" i="13" s="1"/>
  <x:c r="K27" i="13" s="1"/>
  <x:c r="G19" i="13"/>
  <x:c r="H19" i="13" s="1"/>
  <x:c r="D41" i="14" s="1"/>
  <x:c r="G41" i="14" s="1"/>
  <x:c r="J19" i="13" s="1"/>
  <x:c r="K19" i="13" s="1"/>
  <x:c r="G25" i="13"/>
  <x:c r="H25" i="13" s="1"/>
  <x:c r="D47" i="14" s="1"/>
  <x:c r="G47" i="14" s="1"/>
  <x:c r="J25" i="13" s="1"/>
  <x:c r="K25" i="13" s="1"/>
  <x:c r="G16" i="13"/>
  <x:c r="H16" i="13" s="1"/>
  <x:c r="D38" i="14" s="1"/>
  <x:c r="G38" i="14" s="1"/>
  <x:c r="J16" i="13" s="1"/>
  <x:c r="K16" i="13" s="1"/>
  <x:c r="G17" i="13"/>
  <x:c r="H17" i="13" s="1"/>
  <x:c r="D39" i="14" s="1"/>
  <x:c r="G39" i="14" s="1"/>
  <x:c r="J17" i="13" s="1"/>
  <x:c r="K17" i="13" s="1"/>
  <x:c r="G26" i="13"/>
  <x:c r="H26" i="13" s="1"/>
  <x:c r="D48" i="14" s="1"/>
  <x:c r="G48" i="14" s="1"/>
  <x:c r="J26" i="13" s="1"/>
  <x:c r="K26" i="13" s="1"/>
  <x:c r="G23" i="13"/>
  <x:c r="H23" i="13" s="1"/>
  <x:c r="D45" i="14" s="1"/>
  <x:c r="G45" i="14" s="1"/>
  <x:c r="J23" i="13" s="1"/>
  <x:c r="K23" i="13" s="1"/>
  <x:c r="G15" i="13"/>
  <x:c r="H15" i="13" s="1"/>
  <x:c r="D37" i="14" s="1"/>
  <x:c r="G37" i="14" s="1"/>
  <x:c r="J15" i="13" s="1"/>
  <x:c r="K15" i="13" s="1"/>
  <x:c r="O47" i="12"/>
  <x:c r="N70" i="12"/>
  <x:c r="BF75" i="57"/>
  <x:c r="G21" i="13"/>
  <x:c r="H21" i="13" s="1"/>
  <x:c r="D43" i="14" s="1"/>
  <x:c r="G43" i="14" s="1"/>
  <x:c r="J21" i="13" s="1"/>
  <x:c r="K21" i="13" s="1"/>
  <x:c r="G18" i="13"/>
  <x:c r="H18" i="13" s="1"/>
  <x:c r="D40" i="14" s="1"/>
  <x:c r="G40" i="14" s="1"/>
  <x:c r="J18" i="13" s="1"/>
  <x:c r="K18" i="13" s="1"/>
  <x:c r="H14" i="13"/>
  <x:c r="H329" i="1" l="1"/>
  <x:c r="H40" i="13"/>
  <x:c r="G40" i="13"/>
  <x:c r="Q47" i="12"/>
  <x:c r="Q70" i="12" s="1"/>
  <x:c r="O70" i="12"/>
  <x:c r="D36" i="14"/>
  <x:c r="G36" i="14" s="1"/>
  <x:c r="D60" i="14" l="1"/>
  <x:c r="J14" i="13"/>
  <x:c r="G60" i="14"/>
  <x:c r="J40" i="13" l="1"/>
  <x:c r="J43" i="13" s="1"/>
  <x:c r="K14" i="13"/>
  <x:c r="K40" i="13" l="1"/>
  <x:c r="H328" i="1" l="1"/>
  <x:c r="H332" i="1" l="1"/>
  <x:c r="H336" i="1" l="1"/>
  <x:c r="H338"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<x:sst xmlns:x="http://schemas.openxmlformats.org/spreadsheetml/2006/main" count="5814" uniqueCount="2193">
  <x:si>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</x:si>
  <x:si>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</x:si>
  <x:si>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</x:si>
  <x:si>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</x:si>
  <x:si>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</x:si>
  <x:si>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</x:si>
  <x:si>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</x:si>
  <x:si>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</x:si>
  <x:si>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</x:si>
  <x:si>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</x:si>
  <x:si>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</x:si>
  <x:si>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</x:si>
  <x:si>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</x:si>
  <x:si>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</x:si>
  <x:si>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</x:si>
  <x:si>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</x:si>
  <x:si>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</x:si>
  <x:si>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</x:si>
  <x:si>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</x:si>
  <x:si>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</x:si>
  <x:si>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</x:si>
  <x:si>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</x:si>
  <x:si>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</x:si>
  <x:si>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</x:si>
  <x:si>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</x:si>
  <x:si>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</x:si>
  <x:si>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</x:si>
  <x:si>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</x:si>
  <x:si>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</x:si>
  <x:si>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</x:si>
  <x:si>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</x:si>
  <x:si>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</x:si>
  <x:si>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</x:si>
  <x:si>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</x:si>
  <x:si>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</x:si>
  <x:si>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</x:si>
  <x:si>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</x:si>
  <x:si>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</x:si>
  <x:si>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</x:si>
  <x:si>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</x:si>
  <x:si>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</x:si>
  <x:si>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</x:si>
  <x:si>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</x:si>
  <x:si>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</x:si>
  <x:si>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</x:si>
  <x:si/>
  <x:si>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</x:si>
  <x:si>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</x:si>
  <x:si>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</x:si>
  <x:si>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</x:si>
  <x:si>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</x:si>
  <x:si>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</x:si>
  <x:si>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</x:si>
  <x:si>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</x:si>
  <x:si>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</x:si>
  <x:si>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</x:si>
  <x:si>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</x:si>
  <x:si>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</x:si>
  <x:si>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</x:si>
  <x:si>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</x:si>
  <x:si>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</x:si>
  <x:si>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</x:si>
  <x:si>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</x:si>
  <x:si>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</x:si>
  <x:si>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</x:si>
  <x:si>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</x:si>
  <x:si>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</x:si>
  <x:si>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</x:si>
  <x:si>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</x:si>
  <x:si>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</x:si>
  <x:si>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</x:si>
  <x:si>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</x:si>
  <x:si>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</x:si>
  <x:si>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</x:si>
  <x:si>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</x:si>
  <x:si>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</x:si>
  <x:si>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</x:si>
  <x:si>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</x:si>
  <x:si>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</x:si>
  <x:si>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</x:si>
  <x:si>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</x:si>
  <x:si>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</x:si>
  <x:si>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</x:si>
  <x:si>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</x:si>
  <x:si>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</x:si>
  <x:si>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</x:si>
  <x:si>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</x:si>
  <x:si>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</x:si>
  <x:si>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</x:si>
  <x:si>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</x:si>
  <x:si>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</x:si>
  <x:si>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</x:si>
  <x:si>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</x:si>
  <x:si>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</x:si>
  <x:si>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</x:si>
  <x:si>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</x:si>
  <x:si>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</x:si>
  <x:si>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</x:si>
  <x:si>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</x:si>
  <x:si>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</x:si>
  <x:si>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</x:si>
  <x:si>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</x:si>
  <x:si>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</x:si>
  <x:si>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</x:si>
  <x:si>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</x:si>
  <x:si>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</x:si>
  <x:si>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</x:si>
  <x:si>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</x:si>
  <x:si>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</x:si>
  <x:si>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</x:si>
  <x:si>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</x:si>
  <x:si>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</x:si>
  <x:si>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</x:si>
  <x:si>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</x:si>
  <x:si>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</x:si>
  <x:si>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</x:si>
  <x:si>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</x:si>
  <x:si>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</x:si>
  <x:si>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</x:si>
  <x:si>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</x:si>
  <x:si>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</x:si>
  <x:si>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</x:si>
  <x:si>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</x:si>
  <x:si>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</x:si>
  <x:si>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</x:si>
  <x:si>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</x:si>
  <x:si>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</x:si>
  <x:si>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</x:si>
  <x:si>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</x:si>
  <x:si>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</x:si>
  <x:si>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</x:si>
  <x:si>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</x:si>
  <x:si>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</x:si>
  <x:si>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</x:si>
  <x:si>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</x:si>
  <x:si>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</x:si>
  <x:si>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MAPP Abandonment recovery pursuant to ER13-607</x:t>
  </x:si>
  <x:si>
    <x:t>Pepco</x:t>
  </x:si>
  <x:si>
    <x:t>171a</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</x:si>
  <x:si>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</x:si>
  <x:si>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</x:si>
  <x:si>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</x:si>
  <x:si>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</x:si>
  <x:si>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</x:si>
  <x:si>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</x:si>
  <x:si>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</x:si>
  <x:si>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</x:si>
  <x:si>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</x:si>
  <x:si>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</x:si>
  <x:si>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</x:si>
  <x:si>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</x:si>
  <x:si>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</x:si>
  <x:si>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</x:si>
  <x:si>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</x:si>
  <x:si>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</x:si>
  <x:si>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</x:si>
  <x:si>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</x:si>
  <x:si>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</x:si>
  <x:si>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</x:si>
  <x:si>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</x:si>
  <x:si>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</x:si>
  <x:si>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</x:si>
  <x:si>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</x:si>
  <x:si>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</x:si>
  <x:si>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</x:si>
  <x:si>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</x:si>
  <x:si>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</x:si>
  <x:si>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</x:si>
  <x:si>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</x:si>
  <x:si>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</x:si>
  <x:si>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</x:si>
  <x:si>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</x:si>
  <x:si>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</x:si>
  <x:si>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</x:si>
  <x:si>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</x:si>
  <x:si>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</x:si>
  <x:si>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</x:si>
  <x:si>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</x:si>
  <x:si>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</x:si>
  <x:si>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</x:si>
  <x:si>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</x:si>
  <x:si>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</x:si>
  <x:si>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</x:si>
  <x:si>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</x:si>
  <x:si>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</x:si>
  <x:si>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</x:si>
  <x:si>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</x:si>
  <x:si>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</x:si>
  <x:si>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</x:si>
  <x:si>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</x:si>
  <x:si>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</x:si>
  <x:si>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</x:si>
  <x:si>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</x:si>
  <x:si>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</x:si>
  <x:si>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</x:si>
  <x:si>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</x:si>
  <x:si>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</x:si>
  <x:si>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</x:si>
  <x:si>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</x:si>
  <x:si>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</x:si>
  <x:si>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</x:si>
  <x:si>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</x:si>
  <x:si>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</x:si>
  <x:si>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</x:si>
  <x:si>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</x:si>
  <x:si>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</x:si>
  <x:si>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</x:si>
  <x:si>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</x:si>
  <x:si>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</x:si>
  <x:si>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</x:si>
  <x:si>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Page 263</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</x:si>
  <x:si>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</x:si>
  <x:si>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</x:si>
  <x:si>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</x:si>
  <x:si>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</x:si>
  <x:si>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</x:si>
  <x:si>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</x:si>
  <x:si>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</x:si>
  <x:si>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</x:si>
  <x:si>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</x:si>
  <x:si>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</x:si>
  <x:si>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</x:si>
  <x:si>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</x:si>
  <x:si>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</x:si>
  <x:si>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</x:si>
  <x:si>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</x:si>
  <x:si>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</x:si>
  <x:si>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</x:si>
  <x:si>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</x:si>
  <x:si>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</x:si>
  <x:si>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</x:si>
  <x:si>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Only</x:t>
  </x:si>
  <x:si>
    <x:t xml:space="preserve">Plant </x:t>
  </x:si>
  <x:si>
    <x:t>Labor</x:t>
  </x:si>
  <x:si>
    <x:t>Related</x:t>
  </x:si>
  <x:si>
    <x:t>ADIT-283</x:t>
  </x:si>
  <x:si>
    <x:t>ADIT-190</x:t>
  </x:si>
  <x:si>
    <x:t>Wages &amp; Salary Allocator</x:t>
  </x:si>
  <x:si>
    <x:t>Justification</x:t>
  </x:si>
  <x:si>
    <x:t>Instructions for Account 190:</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</x:si>
  <x:si>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</x:si>
  <x:si>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</x:si>
  <x:si>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</x:si>
  <x:si>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</x:si>
  <x:si>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</x:si>
  <x:si>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</x:si>
  <x:si>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</x:si>
  <x:si>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</x:si>
  <x:si>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</x:si>
  <x:si>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</x:si>
  <x:si>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</x:si>
  <x:si>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</x:si>
  <x:si>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</x:si>
  <x:si>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</x:si>
  <x:si>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</x:si>
  <x:si>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</x:si>
  <x:si>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</x:si>
  <x:si>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</x:si>
  <x:si>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</x:si>
  <x:si>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</x:si>
  <x:si>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</x:si>
  <x:si>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</x:si>
  <x:si>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</x:si>
  <x:si>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</x:si>
  <x:si>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</x:si>
  <x:si>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</x:si>
  <x:si>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</x:si>
  <x:si>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</x:si>
  <x:si>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</x:si>
  <x:si>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</x:si>
  <x:si>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</x:si>
  <x:si>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</x:si>
  <x:si>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</x:si>
  <x:si>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</x:si>
  <x:si>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</x:si>
  <x:si>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</x:si>
  <x:si>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</x:si>
  <x:si>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</x:si>
  <x:si>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</x:si>
  <x:si>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</x:si>
  <x:si>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</x:si>
  <x:si>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</x:si>
  <x:si>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</x:si>
  <x:si>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</x:si>
  <x:si>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</x:si>
  <x:si>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</x:si>
  <x:si>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</x:si>
  <x:si>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</x:si>
  <x:si>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</x:si>
  <x:si>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</x:si>
  <x:si>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</x:si>
  <x:si>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</x:si>
  <x:si>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</x:si>
  <x:si>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</x:si>
  <x:si>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</x:si>
  <x:si>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</x:si>
  <x:si>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</x:si>
  <x:si>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</x:si>
  <x:si>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</x:si>
  <x:si>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</x:si>
  <x:si>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</x:si>
  <x:si>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</x:si>
  <x:si>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</x:si>
  <x:si>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</x:si>
  <x:si>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</x:si>
  <x:si>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</x:si>
  <x:si>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</x:si>
  <x:si>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</x:si>
  <x:si>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</x:si>
  <x:si>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</x:si>
  <x:si>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</x:si>
  <x:si>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</x:si>
  <x:si>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</x:si>
  <x:si>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</x:si>
  <x:si>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</x:si>
  <x:si>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</x:si>
  <x:si>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</x:si>
  <x:si>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</x:si>
  <x:si>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</x:si>
  <x:si>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</x:si>
  <x:si>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</x:si>
  <x:si>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</x:si>
  <x:si>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</x:si>
  <x:si>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</x:si>
  <x:si>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</x:si>
  <x:si>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</x:si>
  <x:si>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</x:si>
  <x:si>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</x:si>
  <x:si>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</x:si>
  <x:si>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</x:si>
  <x:si>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</x:si>
  <x:si>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</x:si>
  <x:si>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</x:si>
  <x:si>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</x:si>
  <x:si>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</x:si>
  <x:si>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</x:si>
  <x:si>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</x:si>
  <x:si>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</x:si>
  <x:si>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</x:si>
  <x:si>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</x:si>
  <x:si>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</x:si>
  <x:si>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</x:si>
  <x:si>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</x:si>
  <x:si>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</x:si>
  <x:si>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</x:si>
  <x:si>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</x:si>
  <x:si>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</x:si>
  <x:si>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</x:si>
  <x:si>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</x:si>
  <x:si>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</x:si>
  <x:si>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</x:si>
  <x:si>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</x:si>
  <x:si>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</x:si>
  <x:si>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</x:si>
  <x:si>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</x:si>
  <x:si>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</x:si>
  <x:si>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</x:si>
  <x:si>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</x:si>
  <x:si>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</x:si>
  <x:si>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</x:si>
  <x:si>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</x:si>
  <x:si>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</x:si>
  <x:si>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</x:si>
  <x:si>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</x:si>
  <x:si>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</x:si>
  <x:si>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</x:si>
  <x:si>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</x:si>
  <x:si>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</x:si>
  <x:si>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</x:si>
  <x:si>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</x:si>
  <x:si>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</x:si>
  <x:si>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</x:si>
  <x:si>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</x:si>
  <x:si>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</x:si>
  <x:si>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</x:si>
  <x:si>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</x:si>
  <x:si>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</x:si>
  <x:si>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</x:si>
  <x:si>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</x:si>
  <x:si>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</x:si>
  <x:si>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</x:si>
  <x:si>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</x:si>
  <x:si>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</x:si>
  <x:si>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</x:si>
  <x:si>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</x:si>
  <x:si>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</x:si>
  <x:si>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</x:si>
  <x:si>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</x:si>
  <x:si>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</x:si>
  <x:si>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</x:si>
  <x:si>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</x:si>
  <x:si>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</x:si>
  <x:si>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</x:si>
  <x:si>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</x:si>
  <x:si>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</x:si>
  <x:si>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</x:si>
  <x:si>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</x:si>
  <x:si>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</x:si>
  <x:si>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</x:si>
  <x:si>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</x:si>
  <x:si>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</x:si>
  <x:si>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</x:si>
  <x:si>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</x:si>
  <x:si>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</x:si>
  <x:si>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</x:si>
  <x:si>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</x:si>
  <x:si>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</x:si>
  <x:si>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</x:si>
  <x:si>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</x:si>
  <x:si>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</x:si>
  <x:si>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</x:si>
  <x:si>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</x:si>
  <x:si>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</x:si>
  <x:si>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</x:si>
  <x:si>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</x:si>
  <x:si>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</x:si>
  <x:si>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</x:si>
  <x:si>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</x:si>
  <x:si>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</x:si>
  <x:si>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</x:si>
  <x:si>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</x:si>
  <x:si>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</x:si>
  <x:si>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</x:si>
  <x:si>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</x:si>
  <x:si>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</x:si>
  <x:si>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</x:si>
  <x:si>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</x:si>
  <x:si>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</x:si>
  <x:si>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</x:si>
  <x:si>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</x:si>
  <x:si>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</x:si>
  <x:si>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</x:si>
  <x:si>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</x:si>
  <x:si>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</x:si>
  <x:si>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</x:si>
  <x:si>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</x:si>
  <x:si>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</x:si>
  <x:si>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</x:si>
  <x:si>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</x:si>
  <x:si>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</x:si>
  <x:si>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</x:si>
  <x:si>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</x:si>
  <x:si>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</x:si>
  <x:si>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</x:si>
  <x:si>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</x:si>
  <x:si>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</x:si>
  <x:si>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</x:si>
  <x:si>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</x:si>
  <x:si>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</x:si>
  <x:si>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</x:si>
  <x:si>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</x:si>
  <x:si>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</x:si>
  <x:si>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</x:si>
  <x:si>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</x:si>
  <x:si>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</x:si>
  <x:si>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</x:si>
  <x:si>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</x:si>
  <x:si>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</x:si>
  <x:si>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</x:si>
  <x:si>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</x:si>
  <x:si>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</x:si>
  <x:si>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</x:si>
  <x:si>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</x:si>
  <x:si>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</x:si>
  <x:si>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</x:si>
  <x:si>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</x:si>
  <x:si>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</x:si>
  <x:si>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</x:si>
  <x:si>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</x:si>
  <x:si>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</x:si>
  <x:si>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</x:si>
  <x:si>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</x:si>
  <x:si>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</x:si>
  <x:si>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</x:si>
  <x:si>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</x:si>
  <x:si>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</x:si>
  <x:si>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</x:si>
  <x:si>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</x:si>
  <x:si>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</x:si>
  <x:si>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</x:si>
  <x:si>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</x:si>
  <x:si>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</x:si>
  <x:si>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</x:si>
  <x:si>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</x:si>
  <x:si>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</x:si>
  <x:si>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</x:si>
  <x:si>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</x:si>
  <x:si>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</x:si>
  <x:si>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</x:si>
  <x:si>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</x:si>
  <x:si>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</x:si>
  <x:si>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</x:si>
  <x:si>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H</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</x:si>
  <x:si>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</x:si>
  <x:si>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</x:si>
  <x:si>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</x:si>
  <x:si>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</x:si>
  <x:si>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</x:si>
  <x:si>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</x:si>
  <x:si>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</x:si>
  <x:si>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</x:si>
  <x:si>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</x:si>
  <x:si>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</x:si>
  <x:si>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</x:si>
  <x:si>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</x:si>
  <x:si>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</x:si>
  <x:si>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</x:si>
  <x:si>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</x:si>
  <x:si>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</x:si>
  <x:si>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</x:si>
  <x:si>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</x:si>
  <x:si>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</x:si>
  <x:si>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</x:si>
  <x:si>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</x:si>
  <x:si>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</x:si>
  <x:si>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</x:si>
  <x:si>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</x:si>
  <x:si>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</x:si>
  <x:si>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</x:si>
  <x:si>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</x:si>
  <x:si>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</x:si>
  <x:si>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</x:si>
  <x:si>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</x:si>
  <x:si>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</x:si>
  <x:si>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</x:si>
  <x:si>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</x:si>
  <x:si>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</x:si>
  <x:si>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</x:si>
  <x:si>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</x:si>
  <x:si>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</x:si>
  <x:si>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</x:si>
  <x:si>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</x:si>
  <x:si>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</x:si>
  <x:si>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</x:si>
  <x:si>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</x:si>
  <x:si>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</x:si>
  <x:si>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</x:si>
  <x:si>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</x:si>
  <x:si>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</x:si>
  <x:si>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</x:si>
  <x:si>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</x:si>
  <x:si>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</x:si>
  <x:si>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</x:si>
  <x:si>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</x:si>
  <x:si>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</x:si>
  <x:si>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</x:si>
  <x:si>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</x:si>
  <x:si>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</x:si>
  <x:si>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</x:si>
  <x:si>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</x:si>
  <x:si>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</x:si>
  <x:si>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</x:si>
  <x:si>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</x:si>
  <x:si>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</x:si>
  <x:si>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</x:si>
  <x:si>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</x:si>
  <x:si>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</x:si>
  <x:si>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</x:si>
  <x:si>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</x:si>
  <x:si>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</x:si>
  <x:si>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</x:si>
  <x:si>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</x:si>
  <x:si>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</x:si>
  <x:si>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</x:si>
  <x:si>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</x:si>
  <x:si>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</x:si>
  <x:si>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</x:si>
  <x:si>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</x:si>
  <x:si>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</x:si>
  <x:si>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</x:si>
  <x:si>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</x:si>
  <x:si>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</x:si>
  <x:si>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</x:si>
  <x:si>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</x:si>
  <x:si>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</x:si>
  <x:si>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</x:si>
  <x:si>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</x:si>
  <x:si>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</x:si>
  <x:si>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</x:si>
  <x:si>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</x:si>
  <x:si>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</x:si>
  <x:si>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</x:si>
  <x:si>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</x:si>
  <x:si>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</x:si>
  <x:si>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</x:si>
  <x:si>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</x:si>
  <x:si>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</x:si>
  <x:si>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</x:si>
  <x:si>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</x:si>
  <x:si>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</x:si>
  <x:si>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</x:si>
  <x:si>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</x:si>
  <x:si>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</x:si>
  <x:si>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</x:si>
  <x:si>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</x:si>
  <x:si>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</x:si>
  <x:si>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</x:si>
  <x:si>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</x:si>
  <x:si>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</x:si>
  <x:si>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</x:si>
  <x:si>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</x:si>
  <x:si>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</x:si>
  <x:si>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</x:si>
  <x:si>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</x:si>
  <x:si>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</x:si>
  <x:si>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</x:si>
  <x:si>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</x:si>
  <x:si>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18</x:t>
  </x:si>
  <x:si>
    <x:t>Annual Totals</x:t>
  </x:si>
  <x:si>
    <x:t>Note</x:t>
  </x:si>
  <x:si>
    <x:t>Letter</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</x:si>
  <x:si>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</x:si>
  <x:si>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</x:si>
  <x:si>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</x:si>
  <x:si>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</x:si>
  <x:si>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</x:si>
  <x:si>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</x:si>
  <x:si>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</x:si>
  <x:si>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</x:si>
  <x:si>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</x:si>
  <x:si>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</x:si>
  <x:si>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</x:si>
  <x:si>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</x:si>
  <x:si>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</x:si>
  <x:si>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</x:si>
  <x:si>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</x:si>
  <x:si>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</x:si>
  <x:si>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</x:si>
  <x:si>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</x:si>
  <x:si>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</x:si>
  <x:si>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</x:si>
  <x:si>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</x:si>
  <x:si>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</x:si>
  <x:si>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</x:si>
  <x:si>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</x:si>
  <x:si>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</x:si>
  <x:si>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</x:si>
  <x:si>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</x:si>
  <x:si>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</x:si>
  <x:si>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</x:si>
  <x:si>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</x:si>
  <x:si>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</x:si>
  <x:si>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</x:si>
  <x:si>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</x:si>
  <x:si>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</x:si>
  <x:si>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</x:si>
  <x:si>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</x:si>
  <x:si>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</x:si>
  <x:si>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</x:si>
  <x:si>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</x:si>
  <x:si>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</x:si>
  <x:si>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</x:si>
  <x:si>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</x:si>
  <x:si>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</x:si>
  <x:si>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</x:si>
  <x:si>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</x:si>
  <x:si>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</x:si>
  <x:si>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</x:si>
  <x:si>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</x:si>
  <x:si>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</x:si>
  <x:si>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</x:si>
  <x:si>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</x:si>
  <x:si>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</x:si>
  <x:si>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</x:si>
  <x:si>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</x:si>
  <x:si>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</x:si>
  <x:si>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</x:si>
  <x:si>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</x:si>
  <x:si>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</x:si>
  <x:si>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</x:si>
  <x:si>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</x:si>
  <x:si>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</x:si>
  <x:si>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</x:si>
  <x:si>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</x:si>
  <x:si>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</x:si>
  <x:si>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</x:si>
  <x:si>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</x:si>
  <x:si>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</x:si>
  <x:si>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</x:si>
  <x:si>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</x:si>
  <x:si>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</x:si>
  <x:si>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</x:si>
  <x:si>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</x:si>
  <x:si>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</x:si>
  <x:si>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</x:si>
  <x:si>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</x:si>
  <x:si>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</x:si>
  <x:si>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</x:si>
  <x:si>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</x:si>
  <x:si>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</x:si>
  <x:si>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</x:si>
  <x:si>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</x:si>
  <x:si>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</x:si>
  <x:si>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</x:si>
  <x:si>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</x:si>
  <x:si>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</x:si>
  <x:si>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</x:si>
  <x:si>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</x:si>
  <x:si>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</x:si>
  <x:si>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</x:si>
  <x:si>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</x:si>
  <x:si>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</x:si>
  <x:si>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</x:si>
  <x:si>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</x:si>
  <x:si>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</x:si>
  <x:si>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</x:si>
  <x:si>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</x:si>
  <x:si>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</x:si>
  <x:si>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</x:si>
  <x:si>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</x:si>
  <x:si>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</x:si>
  <x:si>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</x:si>
  <x:si>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</x:si>
  <x:si>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</x:si>
  <x:si>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</x:si>
  <x:si>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</x:si>
  <x:si>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</x:si>
  <x:si>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</x:si>
  <x:si>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</x:si>
  <x:si>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</x:si>
  <x:si>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</x:si>
  <x:si>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h</x:t>
  </x:si>
  <x:si>
    <x:t>Attachment 9, line 30, column f</x:t>
  </x:si>
  <x:si>
    <x:t>p227.6c &amp; 16.c (See Attachment 9, line 30, column e)</x:t>
  </x:si>
  <x:si>
    <x:t>Attachment 6A, line 4, column j</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</x:si>
  <x:si>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</x:si>
  <x:si>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</x:si>
  <x:si>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</x:si>
  <x:si>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</x:si>
  <x:si>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</x:si>
  <x:si>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</x:si>
  <x:si>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</x:si>
  <x:si>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</x:si>
  <x:si>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</x:si>
  <x:si>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</x:si>
  <x:si>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</x:si>
  <x:si>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</x:si>
  <x:si>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</x:si>
  <x:si>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</x:si>
  <x:si>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</x:si>
  <x:si>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</x:si>
  <x:si>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</x:si>
  <x:si>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(Line 1 / 4)</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</x:si>
  <x:si>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</x:si>
  <x:si>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</x:si>
  <x:si>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</x:si>
  <x:si>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</x:si>
  <x:si>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</x:si>
  <x:si>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</x:si>
  <x:si>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</x:si>
  <x:si>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</x:si>
  <x:si>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</x:si>
  <x:si>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</x:si>
  <x:si>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</x:si>
  <x:si>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</x:si>
  <x:si>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</x:si>
  <x:si>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</x:si>
  <x:si>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</x:si>
  <x:si>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</x:si>
  <x:si>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</x:si>
  <x:si>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</x:si>
  <x:si>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</x:si>
  <x:si>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</x:si>
  <x:si>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</x:si>
  <x:si>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</x:si>
  <x:si>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</x:si>
  <x:si>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</x:si>
  <x:si>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</x:si>
  <x:si>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</x:si>
  <x:si>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</x:si>
  <x:si>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</x:si>
  <x:si>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</x:si>
  <x:si>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</x:si>
  <x:si>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</x:si>
  <x:si>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</x:si>
  <x:si>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</x:si>
  <x:si>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</x:si>
  <x:si>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</x:si>
  <x:si>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</x:si>
  <x:si>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</x:si>
  <x:si>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</x:si>
  <x:si>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</x:si>
  <x:si>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</x:si>
  <x:si>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</x:si>
  <x:si>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</x:si>
  <x:si>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</x:si>
  <x:si>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</x:si>
  <x:si>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</x:si>
  <x:si>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</x:si>
  <x:si>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</x:si>
  <x:si>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</x:si>
  <x:si>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</x:si>
  <x:si>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</x:si>
  <x:si>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</x:si>
  <x:si>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</x:si>
  <x:si>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</x:si>
  <x:si>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</x:si>
  <x:si>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</x:si>
  <x:si>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</x:si>
  <x:si>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</x:si>
  <x:si>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</x:si>
  <x:si>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</x:si>
  <x:si>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</x:si>
  <x:si>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</x:si>
  <x:si>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</x:si>
  <x:si>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</x:si>
  <x:si>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</x:si>
  <x:si>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</x:si>
  <x:si>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</x:si>
  <x:si>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</x:si>
  <x:si>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</x:si>
  <x:si>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</x:si>
  <x:si>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</x:si>
  <x:si>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</x:si>
  <x:si>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General  Depreciation</x:t>
  </x:si>
  <x:si>
    <x:t>p216.43.b (See Attachment 9, line 30, column b)</x:t>
  </x:si>
  <x:si>
    <x:t>Attachment 10, line 8, column b</x:t>
  </x:si>
  <x:si>
    <x:t>p336.1d&amp;e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</x:si>
  <x:si>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</x:si>
  <x:si>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</x:si>
  <x:si>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</x:si>
  <x:si>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</x:si>
  <x:si>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</x:si>
  <x:si>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</x:si>
  <x:si>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</x:si>
  <x:si>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</x:si>
  <x:si>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</x:si>
  <x:si>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</x:si>
  <x:si>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</x:si>
  <x:si>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</x:si>
  <x:si>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</x:si>
  <x:si>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</x:si>
  <x:si>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</x:si>
  <x:si>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</x:si>
  <x:si>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</x:si>
  <x:si>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</x:si>
  <x:si>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</x:si>
  <x:si>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</x:si>
  <x:si>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</x:si>
  <x:si>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</x:si>
  <x:si>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</x:si>
  <x:si>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</x:si>
  <x:si>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</x:si>
  <x:si>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</x:si>
  <x:si>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</x:si>
  <x:si>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</x:si>
  <x:si>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</x:si>
  <x:si>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</x:si>
  <x:si>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</x:si>
  <x:si>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</x:si>
  <x:si>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</x:si>
  <x:si>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</x:si>
  <x:si>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</x:si>
  <x:si>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</x:si>
  <x:si>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</x:si>
  <x:si>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</x:si>
  <x:si>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</x:si>
  <x:si>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</x:si>
  <x:si>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</x:si>
  <x:si>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</x:si>
  <x:si>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</x:si>
  <x:si>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</x:si>
  <x:si>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</x:si>
  <x:si>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</x:si>
  <x:si>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</x:si>
  <x:si>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</x:si>
  <x:si>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</x:si>
  <x:si>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</x:si>
  <x:si>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</x:si>
  <x:si>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</x:si>
  <x:si>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</x:si>
  <x:si>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</x:si>
  <x:si>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ADIT- 283 (Not Subject to Proration)</x:t>
  </x:si>
  <x:si>
    <x:t>Subtotal: ADIT-283 (Not Subject to Proration)</x:t>
  </x:si>
  <x:si>
    <x:t>Total: ADIT-283 (Not Subject to Proration)</x:t>
  </x:si>
  <x:si>
    <x:t>ADIT-283 (Subject to Proration)</x:t>
  </x:si>
  <x:si>
    <x:t>Total: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</x:si>
  <x:si>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</x:si>
  <x:si>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</x:si>
  <x:si>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</x:si>
  <x:si>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</x:si>
  <x:si>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</x:si>
  <x:si>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</x:si>
  <x:si>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</x:si>
  <x:si>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</x:si>
  <x:si>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</x:si>
  <x:si>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</x:si>
  <x:si>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</x:si>
  <x:si>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</x:si>
  <x:si>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</x:si>
  <x:si>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</x:si>
  <x:si>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</x:si>
  <x:si>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</x:si>
  <x:si>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</x:si>
  <x:si>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</x:si>
  <x:si>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</x:si>
  <x:si>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</x:si>
  <x:si>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</x:si>
  <x:si>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</x:si>
  <x:si>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</x:si>
  <x:si>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</x:si>
  <x:si>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</x:si>
  <x:si>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</x:si>
  <x:si>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</x:si>
  <x:si>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</x:si>
  <x:si>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</x:si>
  <x:si>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</x:si>
  <x:si>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</x:si>
  <x:si>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</x:si>
  <x:si>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</x:si>
  <x:si>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</x:si>
  <x:si>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</x:si>
  <x:si>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</x:si>
  <x:si>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</x:si>
  <x:si>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</x:si>
  <x:si>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</x:si>
  <x:si>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</x:si>
  <x:si>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</x:si>
  <x:si>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</x:si>
  <x:si>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</x:si>
  <x:si>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</x:si>
  <x:si>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</x:si>
  <x:si>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</x:si>
  <x:si>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</x:si>
  <x:si>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</x:si>
  <x:si>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</x:si>
  <x:si>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</x:si>
  <x:si>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</x:si>
  <x:si>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</x:si>
  <x:si>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</x:si>
  <x:si>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</x:si>
  <x:si>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</x:si>
  <x:si>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</x:si>
  <x:si>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</x:si>
  <x:si>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</x:si>
  <x:si>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</x:si>
  <x:si>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</x:si>
  <x:si>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</x:si>
  <x:si>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</x:si>
  <x:si>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</x:si>
  <x:si>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</x:si>
  <x:si>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</x:si>
  <x:si>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</x:si>
  <x:si>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</x:si>
  <x:si>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</x:si>
  <x:si>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</x:si>
  <x:si>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</x:si>
  <x:si>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</x:si>
  <x:si>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</x:si>
  <x:si>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</x:si>
  <x:si>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</x:si>
  <x:si>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</x:si>
  <x:si>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</x:si>
  <x:si>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</x:si>
  <x:si>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</x:si>
  <x:si>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</x:si>
  <x:si>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</x:si>
  <x:si>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</x:si>
  <x:si>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</x:si>
  <x:si>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</x:si>
  <x:si>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</x:si>
  <x:si>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</x:si>
  <x:si>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</x:si>
  <x:si>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</x:si>
  <x:si>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</x:si>
  <x:si>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</x:si>
  <x:si>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</x:si>
  <x:si>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</x:si>
  <x:si>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</x:si>
  <x:si>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</x:si>
  <x:si>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</x:si>
  <x:si>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</x:si>
  <x:si>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</x:si>
  <x:si>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</x:si>
  <x:si>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</x:si>
  <x:si>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</x:si>
  <x:si>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</x:si>
  <x:si>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</x:si>
  <x:si>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</x:si>
  <x:si>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</x:si>
  <x:si>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</x:si>
  <x:si>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</x:si>
  <x:si>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</x:si>
  <x:si>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</x:si>
  <x:si>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</x:si>
  <x:si>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</x:si>
  <x:si>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</x:si>
  <x:si>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</x:si>
  <x:si>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</x:si>
  <x:si>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</x:si>
  <x:si>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</x:si>
  <x:si>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</x:si>
  <x:si>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</x:si>
  <x:si>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</x:si>
  <x:si>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</x:si>
  <x:si>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</x:si>
  <x:si>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</x:si>
  <x:si>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</x:si>
  <x:si>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</x:si>
  <x:si>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</x:si>
  <x:si>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</x:si>
  <x:si>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</x:si>
  <x:si>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</x:si>
  <x:si>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</x:si>
  <x:si>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</x:si>
  <x:si>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</x:si>
  <x:si>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</x:si>
  <x:si>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</x:si>
  <x:si>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</x:si>
  <x:si>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</x:si>
  <x:si>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</x:si>
  <x:si>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</x:si>
  <x:si>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</x:si>
  <x:si>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</x:si>
  <x:si>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</x:si>
  <x:si>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</x:si>
  <x:si>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</x:si>
  <x:si>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</x:si>
  <x:si>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</x:si>
  <x:si>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</x:si>
  <x:si>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</x:si>
  <x:si>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</x:si>
  <x:si>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</x:si>
  <x:si>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</x:si>
  <x:si>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</x:si>
  <x:si>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</x:si>
  <x:si>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</x:si>
  <x:si>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</x:si>
  <x:si>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</x:si>
  <x:si>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</x:si>
  <x:si>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</x:si>
  <x:si>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</x:si>
  <x:si>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</x:si>
  <x:si>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</x:si>
  <x:si>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</x:si>
  <x:si>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</x:si>
  <x:si>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</x:si>
  <x:si>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</x:si>
  <x:si>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</x:si>
  <x:si>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</x:si>
  <x:si>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</x:si>
  <x:si>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</x:si>
  <x:si>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</x:si>
  <x:si>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</x:si>
  <x:si>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</x:si>
  <x:si>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</x:si>
  <x:si>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</x:si>
  <x:si>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</x:si>
  <x:si>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</x:si>
  <x:si>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</x:si>
  <x:si>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</x:si>
  <x:si>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</x:si>
  <x:si>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</x:si>
  <x:si>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</x:si>
  <x:si>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</x:si>
  <x:si>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</x:si>
  <x:si>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</x:si>
  <x:si>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</x:si>
  <x:si>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</x:si>
  <x:si>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</x:si>
  <x:si>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</x:si>
  <x:si>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</x:si>
  <x:si>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</x:si>
  <x:si>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</x:si>
  <x:si>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</x:si>
  <x:si>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</x:si>
  <x:si>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</x:si>
  <x:si>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</x:si>
  <x:si>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</x:si>
  <x:si>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</x:si>
  <x:si>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</x:si>
  <x:si>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 xml:space="preserve">    Less Accumulated Depreciation Associated with Facilities with Outstanding Network Credits (Enter as negative)</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</x:si>
  <x:si>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</x:si>
  <x:si>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</x:si>
  <x:si>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</x:si>
  <x:si>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</x:si>
  <x:si>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</x:si>
  <x:si>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</x:si>
  <x:si>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</x:si>
  <x:si>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</x:si>
  <x:si>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</x:si>
  <x:si>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</x:si>
  <x:si>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</x:si>
  <x:si>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</x:si>
  <x:si>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</x:si>
  <x:si>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</x:si>
  <x:si>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</x:si>
  <x:si>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</x:si>
  <x:si>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</x:si>
  <x:si>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</x:si>
  <x:si>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</x:si>
  <x:si>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</x:si>
  <x:si>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</x:si>
  <x:si>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</x:si>
  <x:si>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</x:si>
  <x:si>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</x:si>
  <x:si>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</x:si>
  <x:si>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</x:si>
  <x:si>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</x:si>
  <x:si>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</x:si>
  <x:si>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</x:si>
  <x:si>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</x:si>
  <x:si>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</x:si>
  <x:si>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</x:si>
  <x:si>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</x:si>
  <x:si>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</x:si>
  <x:si>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</x:si>
  <x:si>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</x:si>
  <x:si>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</x:si>
  <x:si>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</x:si>
  <x:si>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</x:si>
  <x:si>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</x:si>
  <x:si>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</x:si>
  <x:si>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</x:si>
  <x:si>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</x:si>
  <x:si>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</x:si>
  <x:si>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</x:si>
  <x:si>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</x:si>
  <x:si>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</x:si>
  <x:si>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</x:si>
  <x:si>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</x:si>
  <x:si>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</x:si>
  <x:si>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</x:si>
  <x:si>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</x:si>
  <x:si>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</x:si>
  <x:si>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</x:si>
  <x:si>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</x:si>
  <x:si>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</x:si>
  <x:si>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</x:si>
  <x:si>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</x:si>
  <x:si>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</x:si>
  <x:si>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</x:si>
  <x:si>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</x:si>
  <x:si>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</x:si>
  <x:si>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</x:si>
  <x:si>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</x:si>
  <x:si>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</x:si>
  <x:si>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</x:si>
  <x:si>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</x:si>
  <x:si>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</x:si>
  <x:si>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</x:si>
  <x:si>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</x:si>
  <x:si>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</x:si>
  <x:si>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</x:si>
  <x:si>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</x:si>
  <x:si>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</x:si>
  <x:si>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</x:si>
  <x:si>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</x:si>
  <x:si>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</x:si>
  <x:si>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</x:si>
  <x:si>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</x:si>
  <x:si>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</x:si>
  <x:si>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</x:si>
  <x:si>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</x:si>
  <x:si>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</x:si>
  <x:si>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</x:si>
  <x:si>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</x:si>
  <x:si>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</x:si>
  <x:si>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</x:si>
  <x:si>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</x:si>
  <x:si>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</x:si>
  <x:si>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</x:si>
  <x:si>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</x:si>
  <x:si>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</x:si>
  <x:si>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</x:si>
  <x:si>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</x:si>
  <x:si>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</x:si>
  <x:si>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</x:si>
  <x:si>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</x:si>
  <x:si>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</x:si>
  <x:si>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</x:si>
  <x:si>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</x:si>
  <x:si>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</x:si>
  <x:si>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</x:si>
  <x:si>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</x:si>
  <x:si>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</x:si>
  <x:si>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</x:si>
  <x:si>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</x:si>
  <x:si>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</x:si>
  <x:si>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</x:si>
  <x:si>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</x:si>
  <x:si>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</x:si>
  <x:si>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</x:si>
  <x:si>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</x:si>
  <x:si>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</x:si>
  <x:si>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</x:si>
  <x:si>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</x:si>
  <x:si>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</x:si>
  <x:si>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</x:si>
  <x:si>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</x:si>
  <x:si>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</x:si>
  <x:si>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</x:si>
  <x:si>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</x:si>
  <x:si>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</x:si>
  <x:si>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</x:si>
  <x:si>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ADIT- 283 (Subject to Proration)</x:t>
  </x:si>
  <x:si>
    <x:t>ADITC-255 (Unamortized Investment Tax Credits)</x:t>
  </x:si>
  <x:si>
    <x:t>Subtotal: ADIT-255 (Form  No. 1 p. 266 &amp; 267)</x:t>
  </x:si>
  <x:si>
    <x:t>Total: ADIT-255</x:t>
  </x:si>
  <x:si>
    <x:t>Unamortized Investment Tax Credit   - Transmission</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</x:si>
  <x:si>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</x:si>
  <x:si>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</x:si>
  <x:si>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</x:si>
  <x:si>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</x:si>
  <x:si>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</x:si>
  <x:si>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</x:si>
  <x:si>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</x:si>
  <x:si>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</x:si>
  <x:si>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</x:si>
  <x:si>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</x:si>
  <x:si>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</x:si>
  <x:si>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</x:si>
  <x:si>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</x:si>
  <x:si>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</x:si>
  <x:si>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</x:si>
  <x:si>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</x:si>
  <x:si>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</x:si>
  <x:si>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</x:si>
  <x:si>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</x:si>
  <x:si>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</x:si>
  <x:si>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</x:si>
  <x:si>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</x:si>
  <x:si>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</x:si>
  <x:si>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</x:si>
  <x:si>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</x:si>
  <x:si>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</x:si>
  <x:si>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</x:si>
  <x:si>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</x:si>
  <x:si>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</x:si>
  <x:si>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</x:si>
  <x:si>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</x:si>
  <x:si>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</x:si>
  <x:si>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</x:si>
  <x:si>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</x:si>
  <x:si>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</x:si>
  <x:si>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</x:si>
  <x:si>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</x:si>
  <x:si>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</x:si>
  <x:si>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</x:si>
  <x:si>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</x:si>
  <x:si>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</x:si>
  <x:si>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</x:si>
  <x:si>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</x:si>
  <x:si>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</x:si>
  <x:si>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</x:si>
  <x:si>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</x:si>
  <x:si>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</x:si>
  <x:si>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</x:si>
  <x:si>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</x:si>
  <x:si>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</x:si>
  <x:si>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</x:si>
  <x:si>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</x:si>
  <x:si>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</x:si>
  <x:si>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</x:si>
  <x:si>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</x:si>
  <x:si>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</x:si>
  <x:si>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</x:si>
  <x:si>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</x:si>
  <x:si>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</x:si>
  <x:si>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</x:si>
  <x:si>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</x:si>
  <x:si>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</x:si>
  <x:si>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</x:si>
  <x:si>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</x:si>
  <x:si>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</x:si>
  <x:si>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</x:si>
  <x:si>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</x:si>
  <x:si>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</x:si>
  <x:si>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</x:si>
  <x:si>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</x:si>
  <x:si>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</x:si>
  <x:si>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</x:si>
  <x:si>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</x:si>
  <x:si>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</x:si>
  <x:si>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</x:si>
  <x:si>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</x:si>
  <x:si>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</x:si>
  <x:si>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</x:si>
  <x:si>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</x:si>
  <x:si>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</x:si>
  <x:si>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</x:si>
  <x:si>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</x:si>
  <x:si>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</x:si>
  <x:si>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</x:si>
  <x:si>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</x:si>
  <x:si>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</x:si>
  <x:si>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</x:si>
  <x:si>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</x:si>
  <x:si>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</x:si>
  <x:si>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</x:si>
  <x:si>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</x:si>
  <x:si>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</x:si>
  <x:si>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</x:si>
  <x:si>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</x:si>
  <x:si>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</x:si>
  <x:si>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</x:si>
  <x:si>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</x:si>
  <x:si>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</x:si>
  <x:si>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</x:si>
  <x:si>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</x:si>
  <x:si>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</x:si>
  <x:si>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</x:si>
  <x:si>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</x:si>
  <x:si>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</x:si>
  <x:si>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</x:si>
  <x:si>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</x:si>
  <x:si>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</x:si>
  <x:si>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</x:si>
  <x:si>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</x:si>
  <x:si>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</x:si>
  <x:si>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Total FERC Account 190</x:t>
  </x:si>
  <x:si>
    <x:t>Total FERC Account 282</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</x:si>
  <x:si>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</x:si>
  <x:si>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</x:si>
  <x:si>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</x:si>
  <x:si>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</x:si>
  <x:si>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</x:si>
  <x:si>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</x:si>
  <x:si>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</x:si>
  <x:si>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</x:si>
  <x:si>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</x:si>
  <x:si>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t>Multistate Workpaper</x:t>
  </x:si>
  <x:si>
    <x:t>(Attachment 7)</x:t>
  </x:si>
  <x:si>
    <x:t>"All revenue requirements excluding projects and adjustments" on line 17a refers to all projects not qualifying for regional recovery or adjustments.</x:t>
  </x:si>
  <x:si>
    <x:t xml:space="preserve">  </x:t>
  </x:si>
  <x:si>
    <x:t>Annual Depreciation Exp</x:t>
  </x:si>
  <x:si>
    <x:t>….</x:t>
  </x:si>
  <x:si>
    <x:t>…..</x:t>
  </x:si>
  <x:si>
    <x:t>Delmarva Power &amp; Light Company</x:t>
  </x:si>
  <x:si>
    <x:t>ATTACHMENT H-3D</x:t>
  </x:si>
  <x:si>
    <x:t>MD</x:t>
  </x:si>
  <x:si>
    <x:t>DE</x:t>
  </x:si>
  <x:si>
    <x:t>DPL zone</x:t>
  </x:si>
  <x:si>
    <x:t>86a</x:t>
  </x:si>
  <x:si>
    <x:t>Amortization of Abandoned Transmission Plant</x:t>
  </x:si>
  <x:si>
    <x:t>Long Term Debt balance will reflect the 13 month average of the balances, of which the 1st and 13th are found on page 112 lines 18.c &amp; d to 21.c &amp; d in the Form No. 1. The balances for January through November shall represent the actual balances in DPL’s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</x:si>
  <x:si>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DPL’s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</x:si>
  <x:si>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DPL’s books and records (trial balance or monthly balance sheet). </x:t>
  </x:si>
  <x:si>
    <x:t>390 DE</x:t>
  </x:si>
  <x:si>
    <x:t>390 MD</x:t>
  </x:si>
  <x:si>
    <x:t>391.3 DE</x:t>
  </x:si>
  <x:si>
    <x:t>391.1 MD</x:t>
  </x:si>
  <x:si>
    <x:t>391.3 MD</x:t>
  </x:si>
  <x:si>
    <x:t>393 DE</x:t>
  </x:si>
  <x:si>
    <x:t>394 DE</x:t>
  </x:si>
  <x:si>
    <x:t>394 MD</x:t>
  </x:si>
  <x:si>
    <x:t>393 MD</x:t>
  </x:si>
  <x:si>
    <x:t>395 DE</x:t>
  </x:si>
  <x:si>
    <x:t>397 DE</x:t>
  </x:si>
  <x:si>
    <x:t>397.1 DE</x:t>
  </x:si>
  <x:si>
    <x:t>397 MD</x:t>
  </x:si>
  <x:si>
    <x:t>397.1 MD</x:t>
  </x:si>
  <x:si>
    <x:t>397.3 DE</x:t>
  </x:si>
  <x:si>
    <x:t>397.3 MD</x:t>
  </x:si>
  <x:si>
    <x:t>398 DE</x:t>
  </x:si>
  <x:si>
    <x:t>398 MD</x:t>
  </x:si>
  <x:si>
    <x:t>390.3a</x:t>
  </x:si>
  <x:si>
    <x:t>390.3b</x:t>
  </x:si>
  <x:si>
    <x:t>397.1a</x:t>
  </x:si>
  <x:si>
    <x:t>Beginning Balance of Unamortized Transmission Plant</x:t>
  </x:si>
  <x:si>
    <x:t>Per FERC Order</x:t>
  </x:si>
  <x:si>
    <x:t>Months Remaining in Amortization Period</x:t>
  </x:si>
  <x:si>
    <x:t>A/B</x:t>
  </x:si>
  <x:si>
    <x:t>Months in Year to be Amortized</x:t>
  </x:si>
  <x:si>
    <x:t>Amortization in Rate Year</x:t>
  </x:si>
  <x:si>
    <x:t>C*D</x:t>
  </x:si>
  <x:si>
    <x:t>Line 86a</x:t>
  </x:si>
  <x:si>
    <x:t>Deductions</x:t>
  </x:si>
  <x:si>
    <x:t>End of Year Balance in Unamortized Transmission Plant</x:t>
  </x:si>
  <x:si>
    <x:t>A-E-F</x:t>
  </x:si>
  <x:si>
    <x:t>Line 43b</x:t>
  </x:si>
  <x:si>
    <x:t>DPL</x:t>
  </x:si>
  <x:si>
    <x:t>2013-14 rate period</x:t>
  </x:si>
  <x:si>
    <x:t>2014-15 rate period</x:t>
  </x:si>
  <x:si>
    <x:t>2015-16 rate period</x:t>
  </x:si>
  <x:si>
    <x:t>W&amp;S Allocator</x:t>
  </x:si>
  <x:si>
    <x:t>Electric vs Gas</x:t>
  </x:si>
  <x:si>
    <x:t>Modified Wages &amp; Salaries Allocator</x:t>
  </x:si>
  <x:si>
    <x:t>Common General</x:t>
  </x:si>
  <x:si>
    <x:t>Common Intangible</x:t>
  </x:si>
  <x:si>
    <x:t xml:space="preserve">Delmarva Power &amp; Light Company </x:t>
  </x:si>
  <x:si>
    <x:t>State Tax Rate Change</x:t>
  </x:si>
  <x:si>
    <x:t>Unamortized Deficient / (Excess) ADIT</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</x:si>
  <x:si>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</x:si>
  <x:si>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Attachment 1D - EDIT Rate Base Adjustment</x:t>
  </x:si>
  <x:si>
    <x:t>Amount for Attachment H-3D, Line 40a</x:t>
  </x:si>
  <x:si>
    <x:t>Amount for Attachment H-3D, Line 40b</x:t>
  </x:si>
  <x:si>
    <x:t>Amount for Attachment H-3D, Line 40e</x:t>
  </x:si>
  <x:si>
    <x:t>Amount for Attachment H-3D, Line 40d</x:t>
  </x:si>
  <x:si>
    <x:t>Amount for Attachment H-3D, Line 40c</x:t>
  </x:si>
  <x:si>
    <x:t>(Entered in ATT H-3D, Line 41a)</x:t>
  </x:si>
  <x:si>
    <x:t>(Entered in ATT H-3D, Line 41b)</x:t>
  </x:si>
  <x:si>
    <x:t>ATT H-3D, Line 132b</x:t>
  </x:si>
  <x:si>
    <x:t>(Note I from ATT H-3D)</x:t>
  </x:si>
  <x:si>
    <x:t>(Note U from ATT H-3D)</x:t>
  </x:si>
  <x:si>
    <x:t>(Note T from ATT H-3D)</x:t>
  </x:si>
  <x:si>
    <x:t>Attachment H-3D, Line 131</x:t>
  </x:si>
  <x:si>
    <x:t>Amount to Line 136e</x:t>
  </x:si>
  <x:si>
    <x:t>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The ADIT balance is based on the 13 month average.</x:t>
  </x:si>
  <x:si>
    <x:t>207.58.g minus 207.57.g.  Projected monthly balances that are the amounts expected to be included in 207.58.g for end of year and records for other months (Note F)</x:t>
  </x:si>
  <x:si>
    <x:t>Projected monthly balances that are expected to be included in 219.25.c for end of year and records for other months (Note F)</x:t>
  </x:si>
  <x:si>
    <x:t>(Note H)</x:t>
  </x:si>
  <x:si>
    <x:t>(Notes G)</x:t>
  </x:si>
  <x:si>
    <x:t>(Notes B &amp; E)</x:t>
  </x:si>
  <x:si>
    <x:t>Attachment H-3D, Line 44</x:t>
  </x:si>
  <x:si>
    <x:t>To be completed in conjunction with Attachment H-3D.</x:t>
  </x:si>
  <x:si>
    <x:t>Attachment H-3D</x:t>
  </x:si>
  <x:si>
    <x:t>Attach H-3D, line 85</x:t>
  </x:si>
  <x:si>
    <x:t>Attach H-3D, line 86a plus line 91 plus line 96</x:t>
  </x:si>
  <x:si>
    <x:t>Attach H-3D, line 99</x:t>
  </x:si>
  <x:si>
    <x:t>Attach H-3D, line 154</x:t>
  </x:si>
  <x:si>
    <x:t>Attach H-3D, line 138</x:t>
  </x:si>
  <x:si>
    <x:t>Attach H-3D, line 145</x:t>
  </x:si>
  <x:si>
    <x:t>All transmission facilities reflected in the revenue requirement on Attachment H-3D are to be included in this Attachment 6.</x:t>
  </x:si>
  <x:si>
    <x:t>Attachment H-3D, Line No:</x:t>
  </x:si>
  <x:si>
    <x:t>227. 8. c + 227.5.c (see Att H-3D Note AA) for end of year, records for other months</x:t>
  </x:si>
  <x:si>
    <x:t xml:space="preserve">Beginning Balance - ADIT Adjustment </x:t>
  </x:si>
  <x:si>
    <x:t xml:space="preserve">Ending Balance - ADIT Adjustment </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</x:si>
  <x:si>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</x:si>
  <x:si>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</x:si>
  <x:si>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</x:si>
  <x:si>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</x:si>
  <x:si>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(Percent of federal income tax deductible for state purposes)</x:t>
  </x:si>
  <x:si>
    <x:t>T=1 - {[(1 - SIT) * (1 - FIT)] / (1 - SIT * FIT * P)} =</x:t>
  </x:si>
  <x:si>
    <x:t>Amortization of Deficient / (Excess) Deferred Taxes - Transmission Component</x:t>
  </x:si>
  <x:si>
    <x:t>Transportation Equipment</x:t>
  </x:si>
  <x:si>
    <x:t>Abandoned Transmission Plant</x:t>
  </x:si>
  <x:si>
    <x:t>Monthly Amortization</x:t>
  </x:si>
  <x:si>
    <x:t>207.58.g. Projected monthly balances that are the amounts expected to be included in 207.58.g for end of year and records for other months (Note F)</x:t>
  </x:si>
  <x:si>
    <x:t>From Attachment 5 for the end of year balance and records for other months.</x:t>
  </x:si>
  <x:si>
    <x:t>(Notes A)</x:t>
  </x:si>
  <x:si>
    <x:t>Pension Liabilities, if any</x:t>
  </x:si>
  <x:si>
    <x:t xml:space="preserve">Prepayments Monthly Balance </x:t>
  </x:si>
  <x:si>
    <x:t>Gross Plant Allocation Factor</x:t>
  </x:si>
  <x:si>
    <x:t>(Line 16)</x:t>
  </x:si>
  <x:si>
    <x:t>P336.7b (See Attachment 5)</x:t>
  </x:si>
  <x:si>
    <x:t>p336.10b (See Attachment 5)</x:t>
  </x:si>
  <x:si>
    <x:t>Rent from Electric Property - Transmission Related</x:t>
  </x:si>
  <x:si>
    <x:t>Professional Services</x:t>
  </x:si>
  <x:si>
    <x:t>Rent or Attachment Fees associated with Transmission Facilities</x:t>
  </x:si>
  <x:si>
    <x:t>Shared Revenues (Attachment 3a)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</x:si>
  <x:si>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</x:si>
  <x:si>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</x:si>
  <x:si>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</x:si>
  <x:si>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</x:si>
  <x:si>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</x:si>
  <x:si>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</x:si>
  <x:si>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</x:si>
  <x:si>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</x:si>
  <x:si>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</x:si>
  <x:si>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</x:si>
  <x:si>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</x:si>
  <x:si>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</x:si>
  <x:si>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</x:si>
  <x:si>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</x:si>
  <x:si>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</x:si>
  <x:si>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</x:si>
  <x:si>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</x:si>
  <x:si>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</x:si>
  <x:si>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</x:si>
  <x:si>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</x:si>
  <x:si>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</x:si>
  <x:si>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</x:si>
  <x:si>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</x:si>
  <x:si>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</x:si>
  <x:si>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</x:si>
  <x:si>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</x:si>
  <x:si>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</x:si>
  <x:si>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</x:si>
  <x:si>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</x:si>
  <x:si>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</x:si>
  <x:si>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</x:si>
  <x:si>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</x:si>
  <x:si>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</x:si>
  <x:si>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</x:si>
  <x:si>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</x:si>
  <x:si>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</x:si>
  <x:si>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</x:si>
  <x:si>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</x:si>
  <x:si>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</x:si>
  <x:si>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</x:si>
  <x:si>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</x:si>
  <x:si>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</x:si>
  <x:si>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</x:si>
  <x:si>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</x:si>
  <x:si>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(Sum Lines 2-12)</x:t>
  </x:si>
  <x:si>
    <x:t>GP</x:t>
  </x:si>
  <x:si>
    <x:t>Total from ATT H-3D</x:t>
  </x:si>
  <x:si>
    <x:t>392.2 DE</x:t>
  </x:si>
  <x:si>
    <x:t>PJM Billed Revenue Earned</x:t>
  </x:si>
  <x:si>
    <x:t>DPL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</x:si>
  <x:si>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</x:si>
  <x:si>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</x:si>
  <x:si>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</x:si>
  <x:si>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Note 3: SECA revenues booked in Account 447.</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</x:si>
  <x:si>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</x:si>
  <x:si>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</x:si>
  <x:si>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</x:si>
  <x:si>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Plant Held for Future Use</x:t>
  </x:si>
  <x:si>
    <x:t>Gross Plant Allocation</x:t>
  </x:si>
  <x:si>
    <x:t>(Notes U)</x:t>
  </x:si>
  <x:si>
    <x:t>207.98.g. for end of year, records for other months</x:t>
  </x:si>
  <x:si>
    <x:t xml:space="preserve">Total: Investment Tax Amortization </x:t>
  </x:si>
  <x:si>
    <x:t>Unamortized Investment Tax Credit  - Transmission</x:t>
  </x:si>
  <x:si>
    <x:t>This section is reserved for adjustments necessary to comply with the IRS normalization rules.</x:t>
  </x:si>
  <x:si>
    <x:t>ADIT and Accumulated Deferred Income Tax Credits are computed using the average of non-prorated ADIT balances for the beginning of the year and end of the year balances plus the prorated balance.</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</x:si>
  <x:si>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</x:si>
  <x:si>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</x:si>
  <x:si>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</x:si>
  <x:si>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</x:si>
  <x:si>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</x:si>
  <x:si>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rPr>
        <x:sz val="10"/>
        <x:rFont val="Arial"/>
        <x:family val="2"/>
      </x:rPr>
      <x:t xml:space="preserve">Unamortized Abandoned Plant and Amortization of Abandoned Plant will be zero until the Commission accepts or approves recovery of the cost of abandoned plant. </x:t>
    </x:r>
    <x:r>
      <x:rPr>
        <x:strike/>
        <x:sz val="10"/>
        <x:rFont val="Arial"/>
        <x:family val="2"/>
      </x:rPr>
      <x:t xml:space="preserve"> </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</x:si>
  <x:si>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</x:si>
  <x:si>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</x:si>
  <x:si>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</x:si>
  <x:si>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</x:si>
  <x:si>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Projected monthly balances that are expected to be included in 207.99.g  minus 207.98.g plus 205.5.g for end of year, records for other months (Note F)</x:t>
  </x:si>
  <x:si>
    <x:t>Projected monthly balances that are expected to be included in Electric Only, Form No 1, page 356 for end of year, records for other months (Note F)</x:t>
  </x:si>
  <x:si>
    <x:t>Projected monthly balances that are expected to be included in 219.28.c for end of year, records for other months (Note F)</x:t>
  </x:si>
  <x:si>
    <x:t>Projected monthly balances that are expected to be included in 200.21c for end of year, records for other months (Note F)</x:t>
  </x:si>
  <x:si>
    <x:t>Projected monthly balances that are expected to be included in Electric Only, Form No 1, page 356 for end of year, records for other months (Note E)</x:t>
  </x:si>
  <x:si>
    <x:t>Projected monthly balances that are expected to be included in 207.99.g. plus 205.5.g. for end of year, records for other months (Note F)</x:t>
  </x:si>
  <x:si>
    <x:t>Projected monthly balances that are the amounts expected to be included in 219.28c for end of year, records for other months (Note F)</x:t>
  </x:si>
  <x:si>
    <x:t>Projected monthly balances that are the amounts expected to be included in 200.21c for end of year, records for other months (Note F)</x:t>
  </x:si>
  <x:si>
    <x:t>Projected monthly balances that are the amounts expected to be included in Electric Only, Form No 1, page 356 for end of year, records for other months (Note F)</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</x:si>
  <x:si>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DPL resides in the amortization cycle.  The current year amortization of deficient and (excess) ADIT is recorded in FERC Accounts 410.1 and 411.1.</x:t>
  </x:si>
  <x:si>
    <x:t>Projected / Actual Activity</x:t>
  </x:si>
  <x:si>
    <x:t>Includable Plant</x:t>
  </x:si>
  <x:si>
    <x:t>N/A</x:t>
  </x:si>
  <x:si>
    <x:t>Less: ASC 740 ADIT Adjustments excluded from rate base</x:t>
  </x:si>
  <x:si>
    <x:t>Less: ASC 740 ADIT Adjustments related to AFUDC Equity</x:t>
  </x:si>
  <x:si>
    <x:t>Less: ASC 740 ADIT balances related to income tax regulatory assets / (liabilities)</x:t>
  </x:si>
  <x:si>
    <x:t>Less: OPEB related ADIT, Above if not separately removed</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</x:si>
  <x:si>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DPL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</x:si>
  <x:si>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</x:si>
  <x:si>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</x:si>
  <x:si>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</x:si>
  <x:si>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</x:si>
  <x:si>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</x:si>
  <x:si>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Information Technology</x:t>
  </x:si>
  <x:si>
    <x:t>Communication Services</x:t>
  </x:si>
  <x:si>
    <x:t>Supply Services</x:t>
  </x:si>
  <x:si>
    <x:t>Bodily Injuries - Plant Related</x:t>
  </x:si>
  <x:si>
    <x:t>Bodily Injuries - Labor Related</x:t>
  </x:si>
  <x:si>
    <x:t>Current A/R-Workers Comp</x:t>
  </x:si>
  <x:si>
    <x:t>Other A/R-Workers Comp</x:t>
  </x:si>
  <x:si>
    <x:t>Workers Comp - Long Term</x:t>
  </x:si>
  <x:si>
    <x:t>Workers Comp - Short Term</x:t>
  </x:si>
  <x:si>
    <x:t>FASB 112 Liability</x:t>
  </x:si>
  <x:si>
    <x:t>Other Payroll Taxes</x:t>
  </x:si>
  <x:si>
    <x:t>Accrued Bonuses &amp; Incentives</x:t>
  </x:si>
  <x:si>
    <x:t>Accrued Benefits - Medical, Dental, Vision Benefits, etc.</x:t>
  </x:si>
  <x:si>
    <x:t>ASC 712 OPEB Obligation - Current &amp; Long-term</x:t>
  </x:si>
  <x:si>
    <x:t>Non-Pension Postretiree Benefit Obligation</x:t>
  </x:si>
  <x:si>
    <x:t>Current &amp; Long-term Incentive Plans</x:t>
  </x:si>
  <x:si>
    <x:t>Deferred Comp Plan - Level 2</x:t>
  </x:si>
  <x:si>
    <x:t xml:space="preserve">Severance Liability </x:t>
  </x:si>
  <x:si>
    <x:t>Other Accrued Incentive Plans</x:t>
  </x:si>
  <x:si>
    <x:t>Accrued Retention</x:t>
  </x:si>
  <x:si>
    <x:t>Provision for Uncollectible Accounts-Special Billing</x:t>
  </x:si>
  <x:si>
    <x:t>Allowance for Doubtful Accounts</x:t>
  </x:si>
  <x:si>
    <x:t>Provision for Uncollectible Accounts - DE</x:t>
  </x:si>
  <x:si>
    <x:t>Provision for Uncollectible Accounts - MD</x:t>
  </x:si>
  <x:si>
    <x:t>Prov for Uncollectible Accounts-DE</x:t>
  </x:si>
  <x:si>
    <x:t>Federal Charitable Contribution Carry-forward</x:t>
  </x:si>
  <x:si>
    <x:t>Charitable Contributions</x:t>
  </x:si>
  <x:si>
    <x:t>Maryland Charitable Contribution Carry-forward</x:t>
  </x:si>
  <x:si>
    <x:t>Delaware Charitable Contribution Carry-forward</x:t>
  </x:si>
  <x:si>
    <x:t>Accrued Liab-General Liability</x:t>
  </x:si>
  <x:si>
    <x:t>Claims Reserve</x:t>
  </x:si>
  <x:si>
    <x:t>Accrued Liab-Auto Liability</x:t>
  </x:si>
  <x:si>
    <x:t>Accumulated Deferred Investment Tax Credit</x:t>
  </x:si>
  <x:si>
    <x:t>Deferred ITC</x:t>
  </x:si>
  <x:si>
    <x:t>Accrued Liab-Environmental Site Exp</x:t>
  </x:si>
  <x:si>
    <x:t>Environmental Expense</x:t>
  </x:si>
  <x:si>
    <x:t>Other Liability - State Funds</x:t>
  </x:si>
  <x:si>
    <x:t>Liability-Environmental (925300)-Contra</x:t>
  </x:si>
  <x:si>
    <x:t>Accrued Liab-Environmental Site Exp - Long Term</x:t>
  </x:si>
  <x:si>
    <x:t>Accrued Liab-Merrill Creek Lease</x:t>
  </x:si>
  <x:si>
    <x:t>Merrill Creek</x:t>
  </x:si>
  <x:si>
    <x:t>Accrued Liab-Merrill Creek Lease - Long Term</x:t>
  </x:si>
  <x:si>
    <x:t>Liab-Merrill Crk Capacity (92420X)-Contra</x:t>
  </x:si>
  <x:si>
    <x:t>Excess Merrill Creek Capacity</x:t>
  </x:si>
  <x:si>
    <x:t>Accrued Liab-OPEB</x:t>
  </x:si>
  <x:si>
    <x:t>OPEB</x:t>
  </x:si>
  <x:si>
    <x:t>Taxes Accrued - Taxes other than income</x:t>
  </x:si>
  <x:si>
    <x:t>Other (190)</x:t>
  </x:si>
  <x:si>
    <x:t>Accrued Liability - Other Energy Purchases</x:t>
  </x:si>
  <x:si>
    <x:t>Above-market Energy Supply Contracts</x:t>
  </x:si>
  <x:si>
    <x:t>Oth Reg Liab-Asset Retirement Obligation</x:t>
  </x:si>
  <x:si>
    <x:t>Oth Reg Liab - Asset Retirement Obligation</x:t>
  </x:si>
  <x:si>
    <x:t>Regulatory Liability-MD Grid Resiliency</x:t>
  </x:si>
  <x:si>
    <x:t>Liabilities-Disability (92420L)-Contra</x:t>
  </x:si>
  <x:si>
    <x:t>Accrued Liabilities - Disability - Long Term</x:t>
  </x:si>
  <x:si>
    <x:t>Accrued Payroll Taxes - Manual</x:t>
  </x:si>
  <x:si>
    <x:t>Other Labor Related Accruals</x:t>
  </x:si>
  <x:si>
    <x:t>Accrued Liab-Required Health Claims Residential</x:t>
  </x:si>
  <x:si>
    <x:t>Accrued Liabilities - Workers Comp</x:t>
  </x:si>
  <x:si>
    <x:t>Accrued Liabilities - Disability</x:t>
  </x:si>
  <x:si>
    <x:t>Accrued Liability - PHI Incentive Plan</x:t>
  </x:si>
  <x:si>
    <x:t>Accrued Liab-Sick Pay Carryover</x:t>
  </x:si>
  <x:si>
    <x:t>Accrued Liab-Vacation</x:t>
  </x:si>
  <x:si>
    <x:t>Acc Liab - Deferred Comp ST</x:t>
  </x:si>
  <x:si>
    <x:t>Liabilities-SERP (92420L) - Contra</x:t>
  </x:si>
  <x:si>
    <x:t>Liab-Workers Comp (92420L)-Contra</x:t>
  </x:si>
  <x:si>
    <x:t>Accrued Liabilities - Workers Comp - Long Term</x:t>
  </x:si>
  <x:si>
    <x:t>Accrued Liab-SERP</x:t>
  </x:si>
  <x:si>
    <x:t>Liability-Deferred Comp (92530P)-Contra</x:t>
  </x:si>
  <x:si>
    <x:t>Acc Liab - Deferred Comp LT</x:t>
  </x:si>
  <x:si>
    <x:t>Acc Liab - Deferred Comp LT - Active</x:t>
  </x:si>
  <x:si>
    <x:t>481(a) - Payroll Taxes</x:t>
  </x:si>
  <x:si>
    <x:t>Reg Liab-MD Dynamic Pricing/Critical Pk</x:t>
  </x:si>
  <x:si>
    <x:t>Reg Asset - DSM</x:t>
  </x:si>
  <x:si>
    <x:t>Provision for Uncollectible POR - DPL MD</x:t>
  </x:si>
  <x:si>
    <x:t>Reg Liab - Other</x:t>
  </x:si>
  <x:si>
    <x:t>Renewable Energy Credits - MD</x:t>
  </x:si>
  <x:si>
    <x:t>SERP Asset</x:t>
  </x:si>
  <x:si>
    <x:t>Misc Deferred Debits - Long-Term Receivable</x:t>
  </x:si>
  <x:si>
    <x:t>Deferred Debits - Payment Plan - Long-Term</x:t>
  </x:si>
  <x:si>
    <x:t>Use Tax Payable</x:t>
  </x:si>
  <x:si>
    <x:t>Virginia Use Tax Payable</x:t>
  </x:si>
  <x:si>
    <x:t>Accrued Liability-Claims-Contra</x:t>
  </x:si>
  <x:si>
    <x:t>Accrued Liab-LTIP</x:t>
  </x:si>
  <x:si>
    <x:t>Regulatory Liability-Current-Rev Acct</x:t>
  </x:si>
  <x:si>
    <x:t>Other Regulatory Liability - General</x:t>
  </x:si>
  <x:si>
    <x:t>Reg Liab-Asset Retirement Oblig-Electric</x:t>
  </x:si>
  <x:si>
    <x:t>Reg Liab-Asset Retirement Oblig-Gas-Contra</x:t>
  </x:si>
  <x:si>
    <x:t>Regulatory Liability - Gas - Unbilled</x:t>
  </x:si>
  <x:si>
    <x:t>Other Regulatory Liability - MD SOS</x:t>
  </x:si>
  <x:si>
    <x:t>Other Regulatory Liability - DE SOS</x:t>
  </x:si>
  <x:si>
    <x:t>Accrued Liability-Claims-Long-Term</x:t>
  </x:si>
  <x:si>
    <x:t>Accrued Liability - LTIP - Long-Term</x:t>
  </x:si>
  <x:si>
    <x:t>Asset Retirement Obligation - Non-Utility</x:t>
  </x:si>
  <x:si>
    <x:t>Asset Retirement Obligation-Electric Utility</x:t>
  </x:si>
  <x:si>
    <x:t>Asset Retirement Obligation-Gas Utility</x:t>
  </x:si>
  <x:si>
    <x:t>Miscellaneous Deferred Debits</x:t>
  </x:si>
  <x:si>
    <x:t>Accrued Liab-General</x:t>
  </x:si>
  <x:si>
    <x:t>Renewable Energy Credits - DE</x:t>
  </x:si>
  <x:si>
    <x:t>Renewable Energy Credits</x:t>
  </x:si>
  <x:si>
    <x:t>Maryland Net Operating Loss Carry-forward</x:t>
  </x:si>
  <x:si>
    <x:t>State NOL</x:t>
  </x:si>
  <x:si>
    <x:t>Delaware Net Operating Loss Carry-forward</x:t>
  </x:si>
  <x:si>
    <x:t>FAS109 Regulatory Asset - Electric</x:t>
  </x:si>
  <x:si>
    <x:t>FAS109 Non-TCJA</x:t>
  </x:si>
  <x:si>
    <x:t>FAS109 Regulatory Asset</x:t>
  </x:si>
  <x:si>
    <x:t>FAS109 Regulatory Liability - Electric</x:t>
  </x:si>
  <x:si>
    <x:t>FAS109 Regulatory Liability - Gas</x:t>
  </x:si>
  <x:si>
    <x:t>SFAS109-Regulatory Liability Electric</x:t>
  </x:si>
  <x:si>
    <x:t>FAS109 TCJA</x:t>
  </x:si>
  <x:si>
    <x:t xml:space="preserve">Fixed Asset Basis Differences (PowerTax) - Protected </x:t>
  </x:si>
  <x:si>
    <x:t>Protected Property (PowerTax)</x:t>
  </x:si>
  <x:si>
    <x:t>Fixed Asset Basis Differences (PowerTax) - Non-Protected</x:t>
  </x:si>
  <x:si>
    <x:t>Non-Protected Property (PowerTax)</x:t>
  </x:si>
  <x:si>
    <x:t>Fixed Asset Basis Differences (PowerTax) - Non-Protected CIAC</x:t>
  </x:si>
  <x:si>
    <x:t>Maryland Fixed Asset Basis (PowerTax)</x:t>
  </x:si>
  <x:si>
    <x:t>Maryland Fixed Asset Basis (PowerTax) - CIAC</x:t>
  </x:si>
  <x:si>
    <x:t>Delaware Fixed Asset Basis (PowerTax)</x:t>
  </x:si>
  <x:si>
    <x:t>Delaware Fixed Asset Basis (PowerTax) - CIAC</x:t>
  </x:si>
  <x:si>
    <x:t>Fixed Asset Basis Differences (PowerTax FT) - Non-Protected</x:t>
  </x:si>
  <x:si>
    <x:t>Maryland Fixed Asset Basis (PowerTax FT)</x:t>
  </x:si>
  <x:si>
    <x:t>Delaware Fixed Asset Basis (PowerTax FT)</x:t>
  </x:si>
  <x:si>
    <x:t>Fixed Asset Basis Differences (Non-PowerTax) - Non-Protected</x:t>
  </x:si>
  <x:si>
    <x:t>Non-Protected Property (Non-PowerTax)</x:t>
  </x:si>
  <x:si>
    <x:t>Fixed Asset Basis Differences (Non-PowerTax) - Non-Protected CIAC</x:t>
  </x:si>
  <x:si>
    <x:t>Maryland Fixed Asset Basis (Non-PowerTax)</x:t>
  </x:si>
  <x:si>
    <x:t>Maryland Fixed Asset Basis (Non-PowerTax) - CIAC</x:t>
  </x:si>
  <x:si>
    <x:t>Delaware Fixed Asset Basis (Non-PowerTax)</x:t>
  </x:si>
  <x:si>
    <x:t>Delaware Fixed Asset Basis (Non-PowerTax) - CIAC</x:t>
  </x:si>
  <x:si>
    <x:t>Reg Asset-Blueprint for the Future-MD</x:t>
  </x:si>
  <x:si>
    <x:t>Blueprint for the Future</x:t>
  </x:si>
  <x:si>
    <x:t>Regulatory Asset-Return on Blueprint</x:t>
  </x:si>
  <x:si>
    <x:t>Deferred Fuel Adjustment Gas Production</x:t>
  </x:si>
  <x:si>
    <x:t>Deferred Fuel</x:t>
  </x:si>
  <x:si>
    <x:t>Interest Factor - Deferred Fuel - Gas</x:t>
  </x:si>
  <x:si>
    <x:t>Deferred Fuel Interest</x:t>
  </x:si>
  <x:si>
    <x:t>Materials-Reserve for Obsolete Material</x:t>
  </x:si>
  <x:si>
    <x:t>Materials Reserve</x:t>
  </x:si>
  <x:si>
    <x:t>Accrued Charitable Contributions-DE</x:t>
  </x:si>
  <x:si>
    <x:t>Merger Commitment Fees</x:t>
  </x:si>
  <x:si>
    <x:t>Accrued Charitable Contributions-MD</x:t>
  </x:si>
  <x:si>
    <x:t>Deferred Credits-General</x:t>
  </x:si>
  <x:si>
    <x:t>Accrued Charitable Contributions-DE Long Term</x:t>
  </x:si>
  <x:si>
    <x:t>Accrued Charitable Contributions-MD Long Term</x:t>
  </x:si>
  <x:si>
    <x:t>Prepaid Pension Costs</x:t>
  </x:si>
  <x:si>
    <x:t>Pension</x:t>
  </x:si>
  <x:si>
    <x:t>Prepayments - Other Taxes</x:t>
  </x:si>
  <x:si>
    <x:t>Property Taxes</x:t>
  </x:si>
  <x:si>
    <x:t>Unamortized Loss on Reacquired Debt</x:t>
  </x:si>
  <x:si>
    <x:t>Reacquired Debt</x:t>
  </x:si>
  <x:si>
    <x:t>Unamortized Loss - Revenue Bonds</x:t>
  </x:si>
  <x:si>
    <x:t>Unamortized Loss - Pollution Bonds</x:t>
  </x:si>
  <x:si>
    <x:t>DSM - Energy Efficient Products</x:t>
  </x:si>
  <x:si>
    <x:t>Reg Assets-FERC Formula Rate Adj-Transmission</x:t>
  </x:si>
  <x:si>
    <x:t>Reg Asset - FERC Formula Rate Adj.</x:t>
  </x:si>
  <x:si>
    <x:t>Regulatory Assets - Asset Retirement Obligation</x:t>
  </x:si>
  <x:si>
    <x:t>Reg Asset - Other</x:t>
  </x:si>
  <x:si>
    <x:t xml:space="preserve">Regulatory Assets - MD Recovery </x:t>
  </x:si>
  <x:si>
    <x:t xml:space="preserve">Regulatory Assets - DE Recovery </x:t>
  </x:si>
  <x:si>
    <x:t>Regulatory Assets - MD</x:t>
  </x:si>
  <x:si>
    <x:t>Regulatory Assets - DE</x:t>
  </x:si>
  <x:si>
    <x:t>Other Regulatory Assets - General</x:t>
  </x:si>
  <x:si>
    <x:t>Other Reg Assets - Gas - Base</x:t>
  </x:si>
  <x:si>
    <x:t>Other Reg Assets - Gas - Other</x:t>
  </x:si>
  <x:si>
    <x:t>Regulatory Assets - DSM - Direct Load</x:t>
  </x:si>
  <x:si>
    <x:t>Other Regulatory Assets - Vacation Accrual</x:t>
  </x:si>
  <x:si>
    <x:t>Other Regulatory Assets - MD SOS</x:t>
  </x:si>
  <x:si>
    <x:t>Other Reg Assets - MD SOS Administrative</x:t>
  </x:si>
  <x:si>
    <x:t>Other Reg Assets - DE SOS Administrative</x:t>
  </x:si>
  <x:si>
    <x:t>Regulatory Asset- Maryland Meters</x:t>
  </x:si>
  <x:si>
    <x:t>Regulatory Asst-Meters-Incremental Depreciation</x:t>
  </x:si>
  <x:si>
    <x:t>Regulatory Asset Contra - MD AMI</x:t>
  </x:si>
  <x:si>
    <x:t>Regulatory Assets - COPCO Acquisition</x:t>
  </x:si>
  <x:si>
    <x:t>Reg Asset- COPCO Acquisition Adjustment</x:t>
  </x:si>
  <x:si>
    <x:t>Regulatory Assets-Current-Corp Acctg</x:t>
  </x:si>
  <x:si>
    <x:t>Reg Asset-DE Dfd Energy Supply</x:t>
  </x:si>
  <x:si>
    <x:t>Reg Asset-MD Dfd Energy Supply</x:t>
  </x:si>
  <x:si>
    <x:t>Regulatory Assets-Current-Rev Acctg</x:t>
  </x:si>
  <x:si>
    <x:t>Regulatory Assets-Elec Gen'l</x:t>
  </x:si>
  <x:si>
    <x:t>Regulatory Assets-Gas-Current-Asset</x:t>
  </x:si>
  <x:si>
    <x:t>Regulatory Assets-Contra-Corp Acctg</x:t>
  </x:si>
  <x:si>
    <x:t>Regulatory Assets-Contra-Rev Acctg</x:t>
  </x:si>
  <x:si>
    <x:t>Reg Assets-Asset Retirement Oblig-Gas-Contra</x:t>
  </x:si>
  <x:si>
    <x:t>Regulatory Assets-DPL DE-DSM-Energy Efficiency</x:t>
  </x:si>
  <x:si>
    <x:t>Other Reg Assets - Gas Derivatives FAS</x:t>
  </x:si>
  <x:si>
    <x:t>Regulatory Assets-Elec Gen'l-Contra</x:t>
  </x:si>
  <x:si>
    <x:t>Regulatory Assets-Gas-Contra-Asset Acct</x:t>
  </x:si>
  <x:si>
    <x:t>Reg Assets-Third Party Supplier Recover</x:t>
  </x:si>
  <x:si>
    <x:t>Other Regulatory Assets - DE SOS</x:t>
  </x:si>
  <x:si>
    <x:t>Reg Liab-DE Dfd Energy Supply-Netting</x:t>
  </x:si>
  <x:si>
    <x:t>Reg Liab-MD Dfd Energy Supply-Netting</x:t>
  </x:si>
  <x:si>
    <x:t>Regulatory Assets-DE Renewable Energy</x:t>
  </x:si>
  <x:si>
    <x:t>Reg Asset-DSM-MD-Egy Eff-CIF Merger Commitments</x:t>
  </x:si>
  <x:si>
    <x:t>Regulatory Asset Contra-DE Electric CTA</x:t>
  </x:si>
  <x:si>
    <x:t>Current State Income Taxes Deductible</x:t>
  </x:si>
  <x:si>
    <x:t>No</x:t>
  </x:si>
  <x:si>
    <x:t>100% DE</x:t>
  </x:si>
  <x:si>
    <x:t>100% MD</x:t>
  </x:si>
  <x:si>
    <x:t>Yes</x:t>
  </x:si>
  <x:si>
    <x:t>Plant</x:t>
  </x:si>
  <x:si>
    <x:t xml:space="preserve">Real property (State, Municipal or Local) </x:t>
  </x:si>
  <x:si>
    <x:t>Personal property</x:t>
  </x:si>
  <x:si>
    <x:t>Federal/State Excise</x:t>
  </x:si>
  <x:si>
    <x:t>Federal FICA &amp; Unemployment &amp; State unemployment</x:t>
  </x:si>
  <x:si>
    <x:t>Miscellaneous</x:t>
  </x:si>
  <x:si>
    <x:t>MD State Franchise Tax</x:t>
  </x:si>
  <x:si>
    <x:t>DE Gross Receipts Tax</x:t>
  </x:si>
  <x:si>
    <x:t>MD Sales and Use Tax</x:t>
  </x:si>
  <x:si>
    <x:t>Sales and Use tax VA</x:t>
  </x:si>
  <x:si>
    <x:t xml:space="preserve">PA Franchise </x:t>
  </x:si>
  <x:si>
    <x:t>DE Public Utility Tax</x:t>
  </x:si>
  <x:si>
    <x:t>Wilmington City Franchise Tax</x:t>
  </x:si>
  <x:si>
    <x:t>MD Environmental Surcharge</x:t>
  </x:si>
  <x:si>
    <x:t>Exclude State Dist RA amort in line 7</x:t>
  </x:si>
  <x:si>
    <x:t>Apportioned: DE 5.600%, MD 2.900%</x:t>
  </x:si>
  <x:si>
    <x:t>Accrued Benefits</x:t>
  </x:si>
  <x:si>
    <x:t>Accrued Environmental Liability</x:t>
  </x:si>
  <x:si>
    <x:t>Accrued Liability - Legal</x:t>
  </x:si>
  <x:si>
    <x:t>Accrued OPEB</x:t>
  </x:si>
  <x:si>
    <x:t>Accrued Other Expenses</x:t>
  </x:si>
  <x:si>
    <x:t>Accrued Payroll Taxes - AIP</x:t>
  </x:si>
  <x:si>
    <x:t>Accrued Severance</x:t>
  </x:si>
  <x:si>
    <x:t>Accrued Vacation</x:t>
  </x:si>
  <x:si>
    <x:t>Accrued Worker's Compensation</x:t>
  </x:si>
  <x:si>
    <x:t>Asset Retirement Obligation</x:t>
  </x:si>
  <x:si>
    <x:t>Deferred Compensation</x:t>
  </x:si>
  <x:si>
    <x:t>Deferred Revenue</x:t>
  </x:si>
  <x:si>
    <x:t>Merrill Creek Liability</x:t>
  </x:si>
  <x:si>
    <x:t>Other Deferred Credits</x:t>
  </x:si>
  <x:si>
    <x:t>Purchased Power</x:t>
  </x:si>
  <x:si>
    <x:t>Regulatory Liability</x:t>
  </x:si>
  <x:si>
    <x:t>Sales &amp; Use Tax Reserve</x:t>
  </x:si>
  <x:si>
    <x:t>State Income Taxes</x:t>
  </x:si>
  <x:si>
    <x:t>Unamortized Investment Tax Credit</x:t>
  </x:si>
  <x:si>
    <x:t>Charitable Contribution Carryforward</x:t>
  </x:si>
  <x:si>
    <x:t>Merger Commitments</x:t>
  </x:si>
  <x:si>
    <x:t>AFUDC Equity</x:t>
  </x:si>
  <x:si>
    <x:t>Maryland Subtraction Modification</x:t>
  </x:si>
  <x:si>
    <x:t>Plant Deferred Taxes - Flow-through</x:t>
  </x:si>
  <x:si>
    <x:t>Accrued Property Taxes</x:t>
  </x:si>
  <x:si>
    <x:t>Other Deferred Debits</x:t>
  </x:si>
  <x:si>
    <x:t>Pension Asset</x:t>
  </x:si>
  <x:si>
    <x:t>Regulatory Asset</x:t>
  </x:si>
  <x:si>
    <x:t>Regulatory Asset - Accrued Vacation</x:t>
  </x:si>
  <x:si>
    <x:t xml:space="preserve">Account No. 255 (Accum. Deferred Investment Tax Credits) </x:t>
  </x:si>
  <x:si>
    <x:t>State Net Operating Loss Carryforward - MD</x:t>
  </x:si>
  <x:si>
    <x:t>Maryland Additional Subtraction Carryforward</x:t>
  </x:si>
  <x:si>
    <x:t>Maryland 10-309 Carryforward</x:t>
  </x:si>
  <x:si>
    <x:t>State Net Operating Loss Carryforward - DE</x:t>
  </x:si>
  <x:si>
    <x:t>Delaware NOL - Valuation Allowance</x:t>
  </x:si>
  <x:si>
    <x:t>B0241.3 Red Lion sub reconfiguration</x:t>
  </x:si>
  <x:si>
    <x:t>B0494.1-4 Red Lion-Keeney</x:t>
  </x:si>
  <x:si>
    <x:t>B0241.1-.2 Red Lion-Keeney</x:t>
  </x:si>
  <x:si>
    <x:t>B0483.1-.3 Oak Hall-Wattsville</x:t>
  </x:si>
  <x:si>
    <x:t>B0320 Cool Springs</x:t>
  </x:si>
  <x:si>
    <x:t>BO568 3rd Indian River</x:t>
  </x:si>
  <x:si>
    <x:t xml:space="preserve">BO272.1 Keeney 500kV Sub </x:t>
  </x:si>
  <x:si>
    <x:t>BO751 Keeney - Additional Breakers on 500kV Bus</x:t>
  </x:si>
  <x:si>
    <x:t xml:space="preserve">BO566 Trappe Tap - Todd </x:t>
  </x:si>
  <x:si>
    <x:t>BO733 Harmony Add 2nd 230/138 Auto Tr</x:t>
  </x:si>
  <x:si>
    <x:t>p336.7b&amp;c</x:t>
  </x:si>
  <x:si>
    <x:t xml:space="preserve">p336.10b&amp;c </x:t>
  </x:si>
  <x:si>
    <x:t>p336.1d&amp;e</x:t>
  </x:si>
  <x:si>
    <x:t>p336.11b</x:t>
  </x:si>
  <x:si>
    <x:t>p336.11d</x:t>
  </x:si>
  <x:si>
    <x:t>Chamber of Commerce (923)</x:t>
  </x:si>
  <x:si>
    <x:t>Chamber of Commerce (930.2)</x:t>
  </x:si>
  <x:si>
    <x:t>Separation Costs</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</x:si>
  <x:si>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</x:si>
  <x:si>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</x:si>
  <x:si>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</x:si>
  <x:si>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</x:si>
  <x:si>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</x:si>
  <x:si>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</x:si>
  <x:si>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</x:si>
  <x:si>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</x:si>
  <x:si>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</x:si>
  <x:si>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</x:si>
  <x:si>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</x:si>
  <x:si>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HR</x:t>
  </x:si>
  <x:si>
    <x:t>BSC Investment</x:t>
  </x:si>
  <x:si>
    <x:t>BSC Legal Services</x:t>
  </x:si>
  <x:si>
    <x:t>Red Lion sub reconfiguration</x:t>
  </x:si>
  <x:si>
    <x:t xml:space="preserve">B0241.3 </x:t>
  </x:si>
  <x:si>
    <x:t>Red Lion-Keeney</x:t>
  </x:si>
  <x:si>
    <x:t>B0494.1-4</x:t>
  </x:si>
  <x:si>
    <x:t xml:space="preserve">B0241.1-.2 </x:t>
  </x:si>
  <x:si>
    <x:t>B0567</x:t>
  </x:si>
  <x:si>
    <x:t>Oak Hall-Wattsville</x:t>
  </x:si>
  <x:si>
    <x:t xml:space="preserve">B0483.1-.3 </x:t>
  </x:si>
  <x:si>
    <x:t>Cool Springs</x:t>
  </x:si>
  <x:si>
    <x:t xml:space="preserve">B0320 </x:t>
  </x:si>
  <x:si>
    <x:t>3rd Indian River</x:t>
  </x:si>
  <x:si>
    <x:t>BO568</x:t>
  </x:si>
  <x:si>
    <x:t xml:space="preserve">Keeney 500kV Sub </x:t>
  </x:si>
  <x:si>
    <x:t>BO272.1</x:t>
  </x:si>
  <x:si>
    <x:t>Keeney - Additional Breakers on 500kV Bus</x:t>
  </x:si>
  <x:si>
    <x:t xml:space="preserve">BO751 </x:t>
  </x:si>
  <x:si>
    <x:t xml:space="preserve">Trappe Tap - Todd </x:t>
  </x:si>
  <x:si>
    <x:t xml:space="preserve">BO566 </x:t>
  </x:si>
  <x:si>
    <x:t>Harmony Add 2nd 230/138 Auto Tr</x:t>
  </x:si>
  <x:si>
    <x:t>BO733</x:t>
  </x:si>
  <x:si>
    <x:t>B1247</x:t>
  </x:si>
  <x:si>
    <x:t>B2633.10</x:t>
  </x:si>
  <x:si>
    <x:t>Illinois Legislative Costs</x:t>
  </x:si>
  <x:si>
    <x:t>Gross Receipt Taxes Refund (in 923)</x:t>
  </x:si>
  <x:si>
    <x:t>Gross Receipt Taxes Refund (Total)</x:t>
  </x:si>
  <x:si>
    <x:t>Other Prepayments</x:t>
  </x:si>
  <x:si>
    <x:t>Prepaid Rent</x:t>
  </x:si>
  <x:si>
    <x:t>Prepaid Insurance</x:t>
  </x:si>
  <x:si>
    <x:t>Prepaid Taxes</x:t>
  </x:si>
  <x:si>
    <x:t>Prepaid Property Tax</x:t>
  </x:si>
  <x:si>
    <x:t>Leased Asset ROU-Op -Building</x:t>
  </x:si>
  <x:si>
    <x:t>p354 footnote</x:t>
  </x:si>
  <x:si>
    <x:t>Direct Transmission Wages Expense</x:t>
  </x:si>
  <x:si>
    <x:t>Exelon Business Services Company Transmission Wages Expense</x:t>
  </x:si>
  <x:si>
    <x:t>PHI Service Company Transmission Wages Expense</x:t>
  </x:si>
  <x:si>
    <x:t>Total Transmission Wages Expense</x:t>
  </x:si>
  <x:si>
    <x:t>Total Direct Wages Expense</x:t>
  </x:si>
  <x:si>
    <x:t>Total Exelon Business Services Company Wages Expense</x:t>
  </x:si>
  <x:si>
    <x:t>Total PHI Service Company Wages Expense</x:t>
  </x:si>
  <x:si>
    <x:t>Less Direct A&amp;G Wages Expense</x:t>
  </x:si>
  <x:si>
    <x:t>Less Exelon Business Services Company A&amp;G Expense</x:t>
  </x:si>
  <x:si>
    <x:t>Less PHI Service Company A&amp;G Expense</x:t>
  </x:si>
  <x:si>
    <x:t>1a</x:t>
  </x:si>
  <x:si>
    <x:t>1b</x:t>
  </x:si>
  <x:si>
    <x:t>1c</x:t>
  </x:si>
  <x:si>
    <x:t>2a</x:t>
  </x:si>
  <x:si>
    <x:t>2b</x:t>
  </x:si>
  <x:si>
    <x:t>2c</x:t>
  </x:si>
  <x:si>
    <x:t>Prepaid Software Fee &amp; License</x:t>
  </x:si>
  <x:si>
    <x:t>Accrued Bodily Injuries</x:t>
  </x:si>
  <x:si>
    <x:t>EPRI Membership dues in FERC Transmission O&amp;M Account 566</x:t>
  </x:si>
  <x:si>
    <x:t>Maridel Substation</x:t>
  </x:si>
  <x:si>
    <x:t>MD PSC Assessment</x:t>
  </x:si>
  <x:si>
    <x:t>DE PSC Assessment</x:t>
  </x:si>
  <x:si>
    <x:t>Intracompany Sales</x:t>
  </x:si>
  <x:si>
    <x:t>PJM</x:t>
  </x:si>
  <x:si>
    <x:t>391.1 DE</x:t>
  </x:si>
  <x:si>
    <x:t>392.3 MD</x:t>
  </x:si>
  <x:si>
    <x:t>392.4 MD</x:t>
  </x:si>
  <x:si>
    <x:t>392.8 DE</x:t>
  </x:si>
  <x:si>
    <x:t>Other Accrued Deferred Tax Assets</x:t>
  </x:si>
  <x:si>
    <x:t>Income Tax Regulatory Liability</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</x:si>
  <x:si>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</x:si>
  <x:si>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</x:si>
  <x:si>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</x:si>
  <x:si>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The Maryland Additional Subtraction Modification, net of federal taxes, is excluded from rate base.</x:t>
  </x:si>
  <x:si>
    <x:t>The Maryland 10-309 Carryforward, net of federal taxes, is related to plant and included in rate base.</x:t>
  </x:si>
  <x:si>
    <x: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x:t>
  </x:si>
  <x:si>
    <x:t>Plant Related Deferred Taxes</x:t>
  </x:si>
  <x:si>
    <x:t>Contribution in Aid of Construction</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</x:si>
  <x:si>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</x:si>
  <x:si>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</x:si>
  <x:si>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</x:si>
  <x:si>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 xml:space="preserve">The Maryland Subtraction Modification is included to the extent attributable to plant in service that is included in rate base. </x:t>
  </x:si>
  <x:si>
    <x:t>Pursuant to the requirements of ASC 740, ADIT must encompass all timing differences regardless of whether the difference is normalized or flowed-through.  These items are removed below.</x:t>
  </x:si>
  <x:si>
    <x:t xml:space="preserve">ADIT relates to all functions and attributable to underlying accounts that are recoverable in the transmission formula. </x:t>
  </x:si>
  <x:si>
    <x:t>ADIT relates to all functions and attributable materials and supplies included in rate base.</x:t>
  </x:si>
  <x:si>
    <x:t xml:space="preserve">Included because the pension asset is included in rate base.  Related to accrual recognition of expense for book purposes &amp; deductibility of cash funding's for tax purposes.  </x:t>
  </x:si>
  <x:si>
    <x:t>Prior Period Adjustments listed in row 3n to 3s</x:t>
  </x:si>
  <x:si>
    <x:t xml:space="preserve">  FERC Form 1 page 351.1 line 14 (h) - 16 (h), transmission related only.</x:t>
  </x:si>
  <x:si>
    <x:t>Cost in Excess of Billings</x:t>
  </x:si>
  <x:si>
    <x:t>BSC Real Estate</x:t>
  </x:si>
  <x:si>
    <x:t>Electric portion included in rate base.</x:t>
  </x:si>
  <x:si>
    <x:t>Corporate Alternative Minimum Tax Credit Carry-Forward</x:t>
  </x:si>
  <x:si>
    <x:t>(Col. (H), Line 40 + Line 41)</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</x:si>
  <x:si>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</x:si>
  <x:si>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The cost of bond redemption is deductible currently for tax purposes and is amortized over the life of the new bond issue for book purposes.    Excluded here since included in Cost of Debt.</x:t>
  </x:si>
  <x:si>
    <x:t>Only the transmission portion of amounts reported at Form 1, page 227, line 5 is used.  The transmission portion of line 5 is derived by applying the wage and salary allocator to the total of line 5 and is specified in a footnote to the Form 1, page 227.</x:t>
  </x:si>
  <x:si>
    <x:t>Liab-Merrill Crk Lease (92420X)-Contra</x:t>
  </x:si>
  <x:si>
    <x:t>Mt. Pleasant-Townsend</x:t>
  </x:si>
  <x:si>
    <x:t>B0567 Mt. Pleasant-Townsend</x:t>
  </x:si>
  <x:si>
    <x:t>Asset separation costs</x:t>
  </x:si>
  <x:si>
    <x:t>December 31, 2024</x:t>
  </x:si>
  <x:si>
    <x:t>Regulatory Asset - FERC Transmission True-up</x:t>
  </x:si>
  <x:si>
    <x:t>Engineering support services</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</x:si>
  <x:si>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</x:si>
  <x:si>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</x:si>
  <x:si>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 xml:space="preserve">Item </x:t>
  </x:si>
  <x:si>
    <x:t>Transmission Wages Expense</x:t>
  </x:si>
  <x:si>
    <x:t>Less A&amp;G Wages Expense</x:t>
  </x:si>
  <x:si>
    <x:t xml:space="preserve">   Less Account 565</x:t>
  </x:si>
  <x:si>
    <x:t xml:space="preserve">   Plus Transmission Lease Payments</x:t>
  </x:si>
  <x:si>
    <x:t xml:space="preserve">  Less Property Insurance Account 924</x:t>
  </x:si>
  <x:si>
    <x:t xml:space="preserve">  Less Regulatory Commission Exp Account 928</x:t>
  </x:si>
  <x:si>
    <x:t xml:space="preserve">  Less General Advertising Exp Account 930.1</x:t>
  </x:si>
  <x:si>
    <x:t xml:space="preserve">  Less Account 216.1</x:t>
  </x:si>
  <x:si>
    <x:t xml:space="preserve">  Less Account 219</x:t>
  </x:si>
  <x:si>
    <x:t xml:space="preserve">   Less Loss on Reacquired Debt </x:t>
  </x:si>
  <x:si>
    <x:t xml:space="preserve">   Plus Gain on Reacquired Debt</x:t>
  </x:si>
  <x:si>
    <x:t>Footnote X</x:t>
  </x:si>
  <x:si>
    <x:t>Footnote Y</x:t>
  </x:si>
  <x:si>
    <x:t>Footnote Z</x:t>
  </x:si>
  <x:si>
    <x:t>Transmission (Gross Plant In Service)</x:t>
  </x:si>
  <x:si>
    <x:t>General &amp; Intangible (Gross Plant In Service)</x:t>
  </x:si>
  <x:si>
    <x:t>Intangible (Accumulated Amortization)</x:t>
  </x:si>
  <x:si>
    <x:t>Total Plant in Service (Gross Plant In Service)</x:t>
  </x:si>
  <x:si>
    <x:t>Total Plant in Service (Asset Retirement Obligations)</x:t>
  </x:si>
  <x:si>
    <x:t>Transmission (Asset Retirement Obligations)</x:t>
  </x:si>
  <x:si>
    <x:t>General &amp; Intangible (Asset Retirement Obligations)</x:t>
  </x:si>
  <x:si>
    <x:t>Intangible Amort. (Accumulated Depreciation &amp; Amortization)</x:t>
  </x:si>
  <x:si>
    <x:t>Intangible Amort. (Asset Retirement Obligations)</x:t>
  </x:si>
  <x:si>
    <x:t>Tab/Attachment</x:t>
  </x:si>
  <x:si>
    <x:t>ATT H-3D</x:t>
  </x:si>
  <x:si>
    <x:t>1B - ADIT EOY</x:t>
  </x:si>
  <x:si>
    <x:t>1C - ADIT BOY</x:t>
  </x:si>
  <x:si>
    <x:t>2 - Other Tax</x:t>
  </x:si>
  <x:si>
    <x:t>5 - Cost Support 1</x:t>
  </x:si>
  <x:si>
    <x:t>9 - Rate Base</x:t>
  </x:si>
  <x:si>
    <x:t>9A - Gross Plant &amp; ARO</x:t>
  </x:si>
  <x:si>
    <x:t>11A - O&amp;M</x:t>
  </x:si>
  <x:si>
    <x:t>11B - A&amp;G</x:t>
  </x:si>
  <x:si>
    <x:t>Cell Reference</x:t>
  </x:si>
  <x:si>
    <x:t>Existing FERC Reference</x:t>
  </x:si>
  <x:si>
    <x:t>F10</x:t>
  </x:si>
  <x:si>
    <x:t>F14</x:t>
  </x:si>
  <x:si>
    <x:t>F18</x:t>
  </x:si>
  <x:si>
    <x:t>F27</x:t>
  </x:si>
  <x:si>
    <x:t>F34</x:t>
  </x:si>
  <x:si>
    <x:t>F54</x:t>
  </x:si>
  <x:si>
    <x:t>F60</x:t>
  </x:si>
  <x:si>
    <x:t>F147</x:t>
  </x:si>
  <x:si>
    <x:t>F150</x:t>
  </x:si>
  <x:si>
    <x:t>F159</x:t>
  </x:si>
  <x:si>
    <x:t>F160</x:t>
  </x:si>
  <x:si>
    <x:t>F161</x:t>
  </x:si>
  <x:si>
    <x:t>F169</x:t>
  </x:si>
  <x:si>
    <x:t>F170</x:t>
  </x:si>
  <x:si>
    <x:t>F173</x:t>
  </x:si>
  <x:si>
    <x:t>F174</x:t>
  </x:si>
  <x:si>
    <x:t>F185</x:t>
  </x:si>
  <x:si>
    <x:t>P336.7b&amp;c (See Attachment 5)</x:t>
  </x:si>
  <x:si>
    <x:t>F189</x:t>
  </x:si>
  <x:si>
    <x:t>p336.10b&amp;c (See Attachment 5)</x:t>
  </x:si>
  <x:si>
    <x:t>F191</x:t>
  </x:si>
  <x:si>
    <x:t>F197</x:t>
  </x:si>
  <x:si>
    <x:t>p336.11.b (See Attachment 5)</x:t>
  </x:si>
  <x:si>
    <x:t>F198</x:t>
  </x:si>
  <x:si>
    <x:t>F215</x:t>
  </x:si>
  <x:si>
    <x:t>F222</x:t>
  </x:si>
  <x:si>
    <x:t>F224</x:t>
  </x:si>
  <x:si>
    <x:t>F225</x:t>
  </x:si>
  <x:si>
    <x:t>F229</x:t>
  </x:si>
  <x:si>
    <x:t>F230</x:t>
  </x:si>
  <x:si>
    <x:t>F231</x:t>
  </x:si>
  <x:si>
    <x:t>F235</x:t>
  </x:si>
  <x:si>
    <x:t>C386</x:t>
  </x:si>
  <x:si>
    <x:t>112 lines 18.c &amp; d to 21.c &amp; d</x:t>
  </x:si>
  <x:si>
    <x:t>C387</x:t>
  </x:si>
  <x:si>
    <x:t>112 line 3.c &amp; d</x:t>
  </x:si>
  <x:si>
    <x:t>C388</x:t>
  </x:si>
  <x:si>
    <x:t>112 lines 16.c &amp; d</x:t>
  </x:si>
  <x:si>
    <x:t>B185</x:t>
  </x:si>
  <x:si>
    <x:t>Total - Pg. 275 (Form 1-F filer: see note 7, below)</x:t>
  </x:si>
  <x:si>
    <x:t>B195</x:t>
  </x:si>
  <x:si>
    <x:t>7. Re: Form 1-F filer: Sum of subtotals for Accounts 282 and 283 should tie to Form No. 1-F, p.113.57.c</x:t>
  </x:si>
  <x:si>
    <x:t>B261</x:t>
  </x:si>
  <x:si>
    <x:t>Total - Pg. 277 (Form 1-F filer: see note 7, below)</x:t>
  </x:si>
  <x:si>
    <x:t>B271</x:t>
  </x:si>
  <x:si>
    <x:t>C54</x:t>
  </x:si>
  <x:si>
    <x:t>F7</x:t>
  </x:si>
  <x:si>
    <x:t>F17</x:t>
  </x:si>
  <x:si>
    <x:t>F33</x:t>
  </x:si>
  <x:si>
    <x:t>F35</x:t>
  </x:si>
  <x:si>
    <x:t>F50</x:t>
  </x:si>
  <x:si>
    <x:t>F52</x:t>
  </x:si>
  <x:si>
    <x:t>F58</x:t>
  </x:si>
  <x:si>
    <x:t>F71</x:t>
  </x:si>
  <x:si>
    <x:t>F219</x:t>
  </x:si>
  <x:si>
    <x:t>F221</x:t>
  </x:si>
  <x:si>
    <x:t>F223</x:t>
  </x:si>
  <x:si>
    <x:t>F244</x:t>
  </x:si>
  <x:si>
    <x:t>C10</x:t>
  </x:si>
  <x:si>
    <x:t>207.58.g minus 207.57.g. Projected monthly balances that are the amounts expected to be included in 207.58.g for end of year and records for other months (Note I)</x:t>
  </x:si>
  <x:si>
    <x:t>D10</x:t>
  </x:si>
  <x:si>
    <x:t>207.99.g minus 207.98.g for end of year, records for other months</x:t>
  </x:si>
  <x:si>
    <x:t>I10</x:t>
  </x:si>
  <x:si>
    <x:t>207.58.g. Projected monthly balances that are the amounts expected to be included in 207.58.g for end of year and records for other months (Note I)</x:t>
  </x:si>
  <x:si>
    <x:t>E10</x:t>
  </x:si>
  <x:si>
    <x:t>207.99.g. plus 205.5.g. for end of year, records for other months</x:t>
  </x:si>
  <x:si>
    <x:t>G10</x:t>
  </x:si>
  <x:si>
    <x:t>207.57.g. + 207.74.g. + 207.83.g. + 207.98.g. Projected monthly balances that are the amounts expected to be included in 207.57.g. + 207.74.g. + 207.83.g. + 207.98.g. for end of year and records for other months</x:t>
  </x:si>
  <x:si>
    <x:t>H10</x:t>
  </x:si>
  <x:si>
    <x:t xml:space="preserve">207.57.g. Projected monthly balances that are the amounts expected to be included in 207.57.g for end of year and records for other months </x:t>
  </x:si>
  <x:si>
    <x:t>F30</x:t>
  </x:si>
  <x:si>
    <x:t>L30</x:t>
  </x:si>
  <x:si>
    <x:t>E7</x:t>
  </x:si>
  <x:si>
    <x:t>Updated FERC Form 1 Reference</x:t>
  </x:si>
  <x:si>
    <x:t>p354-355.21.b</x:t>
  </x:si>
  <x:si>
    <x:t>p354-355.28.b</x:t>
  </x:si>
  <x:si>
    <x:t>p354-355.27.b</x:t>
  </x:si>
  <x:si>
    <x:t>p204-207.104.g (See Attachment 9A, line 14, column j)</x:t>
  </x:si>
  <x:si>
    <x:t>p200-201.21.c (See Attachment 9, line 14, column h)</x:t>
  </x:si>
  <x:si>
    <x:t>p204-207.58.g (See Attachment 9, line 14, column b)</x:t>
  </x:si>
  <x:si>
    <x:t>p204-207.5.g &amp; p204-207.99.g (See Attachment 9, line 14, column c)</x:t>
  </x:si>
  <x:si>
    <x:t>p320-321.96.b</x:t>
  </x:si>
  <x:si>
    <x:t>p200-201.3.c</x:t>
  </x:si>
  <x:si>
    <x:t>p320-323.185.b</x:t>
  </x:si>
  <x:si>
    <x:t>p320-323.189.b</x:t>
  </x:si>
  <x:si>
    <x:t>p320-323.191.b</x:t>
  </x:si>
  <x:si>
    <x:t>p336-337.7.b&amp;.c (See Attachment 5)</x:t>
  </x:si>
  <x:si>
    <x:t>p336-337.10.b&amp;c (See Attachment 5)</x:t>
  </x:si>
  <x:si>
    <x:t>p336-337.1.d&amp;e (See Attachment 5)</x:t>
  </x:si>
  <x:si>
    <x:t>p336-337.11.b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</x:si>
  <x:si>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</x:si>
  <x:si>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</x:si>
  <x:si>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</x:si>
  <x:si>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</x:si>
  <x:si>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</x:si>
  <x:si>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</x:si>
  <x:si>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</x:si>
  <x:si>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</x:si>
  <x:si>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</x:si>
  <x:si>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p112-113.18.c&amp;d through 21.c&amp;d</x:t>
  </x:si>
  <x:si>
    <x:t>p112-113.3.c&amp;d</x:t>
  </x:si>
  <x:si>
    <x:t>p112-113.16.c&amp;d</x:t>
  </x:si>
  <x:si>
    <x:t>Total - p274-275 (Form 1-F filer: see note 7, below)</x:t>
  </x:si>
  <x:si>
    <x:t>7. Re: Form 1-F filer: Sum of subtotals for Accounts 282 and 283 should tie to Form No. 1-F, p112-113.63.c &amp; 64.c</x:t>
  </x:si>
  <x:si>
    <x:t>Total - p276-277 (Form 1-F filer: see note 7, below)</x:t>
  </x:si>
  <x:si>
    <x:t>7. Re: Form 1-F filer: Sum of subtotals for Accounts 282 and 283 should tie to Form No. 1-F, p112-113.63.d &amp; 64.d</x:t>
  </x:si>
  <x:si>
    <x:t>Total "Taxes Other Than Income Taxes" - Acct 408.10 (p114-117.14)</x:t>
  </x:si>
  <x:si>
    <x:t>p200-201.21.c (See Attachment 9, column h)</x:t>
  </x:si>
  <x:si>
    <x:t>p204-207.104.g (See Attachment 9A, column b)</x:t>
  </x:si>
  <x:si>
    <x:t>p204-207.58.g (See Attachment 9, column b)</x:t>
  </x:si>
  <x:si>
    <x:t>p110-111.57</x:t>
  </x:si>
  <x:si>
    <x:t>p204-207.104.g</x:t>
  </x:si>
  <x:si>
    <x:t>p200-201.21.c</x:t>
  </x:si>
  <x:si>
    <x:t>p204-207.58.g</x:t>
  </x:si>
  <x:si>
    <x:t>p204-207.5.g &amp; p204-207.99.g</x:t>
  </x:si>
  <x:si>
    <x:t>Total: p320-323.197.b</x:t>
  </x:si>
  <x:si>
    <x:t>p320-323.112.b</x:t>
  </x:si>
  <x:si>
    <x:t>Total: p320-323.197.b
Account 926: p320-323.187.b&amp;c</x:t>
  </x:si>
  <x:si>
    <x:t>204-207.58.g minus 204- 207.57.g. Projected monthly balances that are the amounts expected to be included in 204-207.58.g for end of year and records for other months (Note I)</x:t>
  </x:si>
  <x:si>
    <x:t>204-207.99.g minus 204-207.98.g for end of year, records for other months</x:t>
  </x:si>
  <x:si>
    <x:t>200-201.21.c for end of year, records for other months</x:t>
  </x:si>
  <x:si>
    <x:t xml:space="preserve">p204-207.104.g. Projected monthly balances that are the amounts expected to be included in 204- 207.104.g for end of year and records for other months </x:t>
  </x:si>
  <x:si>
    <x:t>204-207.58.g. Projected monthly balances that are the amounts expected to be included in 207.58.g for end of year and records for other months (Note I)</x:t>
  </x:si>
  <x:si>
    <x:t>204-207.99.g. plus 204-207.5.g.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</x:si>
  <x:si>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</x:si>
  <x:si>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</x:si>
  <x:si>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204-207.98.g. for end of year, records for other months</x:t>
  </x:si>
  <x:si>
    <x:t>320-323.83.b to 320-323.112.b</x:t>
  </x:si>
  <x:si>
    <x:t>320-323.181.b to 320-323.196.b</x:t>
  </x:si>
  <x:si>
    <x:t>FERC Form 1 XBRL Mapping Change</x:t>
  </x:si>
  <x:si>
    <x:t>Prepaid Pension is recorded in FERC account 186 (see FERC Form 1 page 233).</x:t>
  </x:si>
  <x:si>
    <x:t>Attachment 9, line 17-29, column f</x:t>
  </x:si>
  <x:si>
    <x:t xml:space="preserve">Depreciation and amortization rates reflected in FERC Docket #ER22-2201 (transmission), Delaware Docket No. 16-0649 (general and intangible), Maryland Case No. 9670 (general and intangible), Maryland Case No. 9610 (general and intangible for Accounts 392.2 DE and 392.8 DE only).  
No later than June 27, 2027, and at least once every five years thereafter, Delmarva will file a new depreciation study and request for transmission depreciation rates pursuant to FPA Section 205. </x:t>
  </x:si>
  <x:si>
    <x:t>323.181.b to 323.196.3b</x:t>
  </x:si>
  <x:si>
    <x:t>14a</x:t>
  </x:si>
  <x:si>
    <x:t>14b</x:t>
  </x:si>
  <x:si>
    <x:t>14c</x:t>
  </x:si>
  <x:si>
    <x:t>Administrative &amp; General - Total (Sum of lines 1-14c)</x:t>
  </x:si>
  <x:si>
    <x:t>Maintenance of Communications Equipment</x:t>
  </x:si>
  <x:si>
    <x:t>Col C x Col D x Col E</x:t>
  </x:si>
  <x:si>
    <x:t>Attachment 6A,
Col G + Col H</x:t>
  </x:si>
  <x:si>
    <x:t>Account 456</x:t>
  </x:si>
  <x:si>
    <x:t>Kennett Square Rent Revenue</x:t>
  </x:si>
  <x:si>
    <x:t>Prepaid Environmental Credits</x:t>
  </x:si>
  <x:si>
    <x:t>Accrued Environmental Expenses</x:t>
  </x:si>
  <x:si>
    <x:t>EPRI Membership</x:t>
  </x:si>
  <x:si>
    <x:t>The actuarially determined amount of OPEB expense in FERC 926 decreased from the prior year.  The decrease in postretirement welfare costs is primarily due to a decrease in interest cost resulting from lower discount rates, and an increase in expected return on plan assets due to favorable asset returns in 2023.</x:t>
  </x:si>
  <x:si>
    <x:t>12/31/2024 (Actuals)</x:t>
  </x:si>
  <x:si>
    <x:t>December 31, 2024 (Actuals)</x:t>
  </x:si>
  <x:si>
    <x:t>Federal Net Operating Loss Carry-Forward</x:t>
  </x:si>
  <x:si>
    <x:t xml:space="preserve">Federal Net Operating Loss Carry-Forward </x:t>
  </x:si>
  <x:si>
    <x:t>Federal Net Operating Loss Carry-Forward (Non-Utility)</x:t>
  </x:si>
  <x:si>
    <x:t>Federal Taxes on state income taxes</x:t>
  </x:si>
  <x:si>
    <x:t>FAS No. 106 requires accrual basis instead of cash basis accounting for post retirement health care and life insurance benefits for book purposes.  These amounts are removed from rate base below.</x:t>
  </x:si>
  <x:si>
    <x:t>Accumulated Deferred Income Taxes attributable to income tax related regulatory assets and liabilities.  This balance is excluded from rate base and removed below.</x:t>
  </x:si>
  <x:si>
    <x:t>Maryland Section 10-309 Book / Tax Timing Difference</x:t>
  </x:si>
  <x:si>
    <x:t>Maryland Subtraction Modification (Section 10-309)</x:t>
  </x:si>
  <x:si>
    <x:t>Plant related basis difference not currently includible in rate base.</x:t>
  </x:si>
  <x:si>
    <x:t>Federal Net Operating Loss Carry-Forward (Utility)</x:t>
  </x:si>
  <x:si>
    <x:t>ZZ</x:t>
  </x:si>
  <x:si>
    <x:t>FERC Account
ADIT Deficient / (Excess) 
Amortization</x:t>
  </x:si>
  <x:si>
    <x:t>Col G entered in ATT H-1A, Line 41a</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</x:si>
  <x:si>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98 for additional information and support for the current year amortization. The current year amortization of deficient and (excess) ADIT is recorded in FERC Accounts 410.1 and 411.1.</x:t>
  </x:si>
  <x:si>
    <x:t>The revisions made in the Order No. 864 Cleanup Filing will not require any adjustment to rates, or annual update filings, for rates charged and annual update filings made prior to the date of the order accepting the revised tariff sheets.</x:t>
  </x:si>
  <x:si>
    <x:t>Customer Operations</x:t>
  </x:si>
  <x:si>
    <x:t>Attachment 1F - Deficient / (Excess) Deferred Income Taxes  Worksheet</x:t>
  </x:si>
  <x:si>
    <x:t>Cumulative book / tax timing difference from the Maryland Section 10-309 at the recognition of Plant basis difference at the date of the enactment of the Maryland income tax for regulated utilities.</x:t>
  </x:si>
  <x:si>
    <x:t>December 31, 2025 (Projected)</x:t>
  </x:si>
  <x:si>
    <x:t>December 31, 2025</x:t>
  </x:si>
  <x:si>
    <x:t>Projected Activity</x:t>
  </x:si>
  <x:si>
    <x:t>12/31/2025 (Projected)</x:t>
  </x:si>
  <x:si>
    <x:t>Projected for the 12 Months Ended December 31, 2025</x:t>
  </x:si>
  <x:si>
    <x:t>Electric portion only.</x:t>
  </x:si>
  <x:si>
    <x:t>Transmission Portion Only.</x:t>
  </x:si>
  <x:si>
    <x:t>All EPRI Annual Membership Dues.</x:t>
  </x:si>
  <x:si>
    <x:t>All Regulatory Commission Expenses.</x:t>
  </x:si>
  <x:si>
    <x:t>Safety related advertising included in Account 930.1.</x:t>
  </x:si>
  <x:si>
    <x:t>For the Reconciliation, new transmission plant that was actually placed in service weighted by the number of months it was actually in service.</x:t>
  </x:si>
  <x:si>
    <x:t>Education and outreach expenses relating to transmission, for example siting or billing.</x:t>
  </x:si>
  <x:si>
    <x:t>Outstanding Network Credits is the balance of Network Facilities Upgrades Credits due Transmission Customers who have made lump-sum payments</x:t>
  </x:si>
  <x:si>
    <x:t>Total Capitalization</x:t>
  </x:si>
  <x:si>
    <x:t>BSC General Counsel</x:t>
  </x:si>
  <x:si>
    <x:t>BSC IT</x:t>
  </x:si>
  <x:si>
    <x:t>BSC Supply Services</x:t>
  </x:si>
  <x:si>
    <x:t>BSC Unassigned Departments</x:t>
  </x:si>
  <x:si>
    <x:t>Practice Areas</x:t>
  </x:si>
  <x:si>
    <x:t>Allocator.  If the taxes are 100% recovered at retail they will not be included.</x:t>
  </x:si>
  <x:si>
    <x:t>Other taxes that are assessed based on labor will be allocated based on the Wages and Salary Allocator.</x:t>
  </x:si>
  <x:si>
    <x:t xml:space="preserve">overheads shall be treated as in footnote B above. </x:t>
  </x:si>
  <x:si>
    <x:t>Excludes prior period adjustments in the first year of the formula's operation and reconciliation for the first year.</x:t>
  </x:si>
  <x:si>
    <x:t>(Line 2c - 3 - 3a - 3b)</x:t>
  </x:si>
  <x:si>
    <x:t>(Line 1 + 1a + 1b)</x:t>
  </x:si>
  <x:si>
    <x:t>(Line 2 + 2a + 2b)</x:t>
  </x:si>
  <x:si>
    <x:t>"(Line 100 - 101)"</x:t>
  </x:si>
  <x:si>
    <x:t>Gross Transmission Plant is that identified on page 2 line 2 of Attachment H-3D.</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</x:si>
  <x:si>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</x:si>
  <x:si>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</x:si>
  <x:si>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</x:si>
  <x:si>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</x:si>
  <x:si>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</x:si>
  <x:si>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2024 Annual Update Credit</x:t>
  </x:si>
  <x:si>
    <x:t>Docket ER22-2201 DPL Depreciation study adjustment (additional interest)</x:t>
  </x:si>
  <x:si>
    <x:t>ER21-2965 - 2024 KSQ reclasses</x:t>
  </x:si>
  <x:si>
    <x:t>B1247 Glasgow - Cecil 138kV Circuit Rebuild</x:t>
  </x:si>
  <x:si>
    <x:t>b2633.10 Interconnect the new Silver Run 230kV
substation with existing
Red Lion – Cartanza and
Red Lion – Cedar Creek
230kV lines</x:t>
  </x:si>
  <x:si>
    <x:t>Glasgow - Cecil 138kV Circuit Rebuild</x:t>
  </x:si>
  <x:si>
    <x:t>b2633.10 Interconnect the new
Silver Run 230kV
substation with existing
Red Lion – Cartanza and
Red Lion – Cedar Creek
230kV lines</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</x:si>
  <x:si>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</x:si>
  <x:si>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</x:si>
  <x:si>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</x:si>
  <x:si>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</x:si>
  <x:si>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</x:si>
  <x:si>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6. ADIT items subject to the proration under the "normalization" rules will be included in ADIT-190 (Subject to Proration).</x:t>
  </x:si>
  <x:si>
    <x:t>6. ADIT items subject to the proration under the "normalization" rules will be included in ADIT-282 (Subject to Proration).</x:t>
  </x:si>
  <x:si>
    <x:t>7. Re: Form 1-F filer: Sum of subtotals for Accounts 282 and 283 should tie to Form No. 1-F, p.113.57.c.</x:t>
  </x:si>
  <x:si>
    <x:t>6. ADIT items subject to the proration under the "normalization" rules will be included in ADIT-283 (Subject to Proration).</x:t>
  </x:si>
  <x:si>
    <x:t>Column L applies when (1) Column J is under-projected AND (2) actual monthly and projected monthly activity are either both increases or decreases.  Enter the amount from Column J.  In other situations, enter zero. </x:t>
  </x:si>
  <x:si>
    <x:t>Column (L) applies when (1) Column (J) is under-projected AND (2) actual monthly and projected monthly activity are either both increases or decreases.  Enter the amount from Column (J).  In other situations, enter zero.</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</x:si>
  <x:si>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</x:si>
  <x:si>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Instr. 6 below</x:t>
  </x:si>
  <x:si>
    <x:t>Reg Electric and Gas Op Services</x:t>
  </x:si>
  <x:si>
    <x:t>Gov't, External, and Reg Affairs</x:t>
  </x:si>
  <x:si>
    <x:t>BSC Reg &amp; Gov't Affairs</x:t>
  </x:si>
  <x:si>
    <x:t>5) Prior Period Adjustment from line 5 is pro rata  to each project, unless the error was project specific.</x:t>
  </x:si>
  <x:si>
    <x:r>
      <x:t>Average of the 13 Monthly Balances (</x:t>
    </x:r>
    <x:r>
      <x:rPr>
        <x:sz val="10"/>
        <x:rFont val="Arial Narrow"/>
        <x:family val="2"/>
      </x:rPr>
      <x:t>except ADIT - see Attachment 1</x:t>
    </x:r>
    <x:r>
      <x:rPr>
        <x:sz val="10"/>
        <x:rFont val="Arial"/>
        <x:family val="2"/>
      </x:rPr>
      <x:t>)</x:t>
    </x:r>
  </x:si>
  <x:si>
    <x:t>Total - Pg. 275  (Form 1-F filer:  see note 7, below)</x:t>
  </x:si>
  <x:si>
    <x:t>Project Depreciation/
Amortization Expense</x:t>
  </x:si>
  <x:si>
    <x:t>F106</x:t>
  </x:si>
  <x:si>
    <x:t xml:space="preserve">The December beginning year and end of year balances shall tie to DPL’s FERC Form 1, Page 111, Line 57 – Prepayments. For the months of January through November, the prepayment balances shall represent actual balances on DPL’s books and records. </x:t>
  </x:si>
  <x:si>
    <x:t>2025 Projected</x:t>
  </x:si>
  <x:si>
    <x:t>"(Line 100 - Line 101)"</x:t>
  </x:si>
  <x:si>
    <x:t>(Line 114 / (108 + 114 + 115))</x:t>
  </x:si>
  <x:si>
    <x:t>(Line 115 / (108 + 114 + 115))</x:t>
  </x:si>
  <x:si>
    <x:t>(Line 108 / (108 + 114 + 115))</x:t>
  </x:si>
  <x:si>
    <x:t>Annual Revenue Earned
(net of true-ups)</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</x:si>
  <x:si>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</x:si>
  <x:si>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For each project or Attachment H-3D, the utility will populate the formula rate with the inputs for the True-Up Year. The revenue requirements, based on actual operating results for the True-Up Year, associated with the projects and Attachment H-3D will then be entered in Col. (F) above. Column (E) above contains the actual revenues received associated with Attachment H-3D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</x:si>
  <x:si>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 xml:space="preserve"> will show that monthly debts and credits do not contain entries for AFUDC for each CWIP project in rate base. </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</x:si>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</x:sst>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8">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_);\(#,##0\);&quot; &quot;"/>
    <x:numFmt numFmtId="177" formatCode="0_);\(0\)"/>
    <x:numFmt numFmtId="178" formatCode="#,##0.00000"/>
    <x:numFmt numFmtId="179" formatCode="&quot;$&quot;#,##0"/>
    <x:numFmt numFmtId="180" formatCode="_(* #,##0.00000_);_(* \(#,##0.00000\);_(* &quot;-&quot;?????_);_(@_)"/>
    <x:numFmt numFmtId="181" formatCode="_(* #,##0.000_);_(* \(#,##0.000\);_(* &quot;-&quot;???_);_(@_)"/>
    <x:numFmt numFmtId="182" formatCode="0_)"/>
    <x:numFmt numFmtId="183" formatCode="0.0"/>
    <x:numFmt numFmtId="184" formatCode="_(&quot;$&quot;* #,##0.0_);_(&quot;$&quot;* \(#,##0.0\);_(&quot;$&quot;* &quot;-&quot;??_);_(@_)"/>
    <x:numFmt numFmtId="185" formatCode="_(* #,##0.00000_);_(* \(#,##0.00000\);_(* &quot;-&quot;??_);_(@_)"/>
    <x:numFmt numFmtId="186" formatCode="0.000"/>
    <x:numFmt numFmtId="187" formatCode="_(* #,##0_);_(* \(#,##0\);_(* &quot;-&quot;???_);_(@_)"/>
  </x:numFmts>
  <x:fonts count="114">
    <x:font>
      <x:sz val="11"/>
      <x:color theme="1"/>
      <x:name val="Calibri"/>
      <x:family val="2"/>
      <x:scheme val="minor"/>
    </x:font>
    <x:font>
      <x:sz val="10"/>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4"/>
      <x:name val="Arial Narrow"/>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5"/>
      <x:color theme="1"/>
      <x:name val="Arial"/>
      <x:family val="2"/>
    </x:font>
    <x:font>
      <x:b/>
      <x:sz val="12"/>
      <x:color theme="0"/>
      <x:name val="Arial"/>
      <x:family val="2"/>
    </x:font>
    <x:font>
      <x:sz val="10"/>
      <x:color theme="1"/>
      <x:name val="Courier New"/>
      <x:family val="2"/>
    </x:font>
    <x:font>
      <x:sz val="12"/>
      <x:color theme="1"/>
      <x:name val="Times New Roman"/>
      <x:family val="1"/>
    </x:font>
    <x:font>
      <x:u/>
      <x:sz val="10"/>
      <x:color theme="1"/>
      <x:name val="Arial"/>
      <x:family val="2"/>
    </x:font>
    <x:font>
      <x:i/>
      <x:sz val="10"/>
      <x:color theme="1"/>
      <x:name val="Arial"/>
      <x:family val="2"/>
    </x:font>
    <x:font>
      <x:u/>
      <x:sz val="10"/>
      <x:name val="Arial"/>
      <x:family val="2"/>
    </x:font>
    <x:font>
      <x:b/>
      <x:sz val="14"/>
      <x:color rgb="FFFF0000"/>
      <x:name val="Arial"/>
      <x:family val="2"/>
    </x:font>
    <x:font>
      <x:sz val="10"/>
      <x:color indexed="17"/>
      <x:name val="Arial"/>
      <x:family val="2"/>
    </x:font>
    <x:font>
      <x:strike/>
      <x:sz val="10"/>
      <x:name val="Arial"/>
      <x:family val="2"/>
    </x:font>
    <x:font>
      <x:vertAlign val="superscript"/>
      <x:sz val="10"/>
      <x:color theme="1"/>
      <x:name val="Arial"/>
      <x:family val="2"/>
    </x:font>
    <x:font>
      <x:vertAlign val="superscript"/>
      <x:sz val="10"/>
      <x:name val="Arial"/>
      <x:family val="2"/>
    </x:font>
    <x:font>
      <x:sz val="10"/>
      <x:color indexed="40"/>
      <x:name val="Arial"/>
      <x:family val="2"/>
    </x:font>
    <x:font>
      <x:sz val="10"/>
      <x:name val="Arial Narrow"/>
      <x:family val="2"/>
    </x:font>
    <x:font>
      <x:b/>
      <x:sz val="12"/>
      <x:color indexed="10"/>
      <x:name val="Arial Narrow"/>
      <x:family val="2"/>
    </x:font>
    <x:font>
      <x:b/>
      <x:sz val="10"/>
      <x:name val="Arial Narrow"/>
      <x:family val="2"/>
    </x:font>
    <x:font>
      <x:sz val="8"/>
      <x:name val="Arial Narrow"/>
      <x:family val="2"/>
    </x:font>
    <x:font>
      <x:sz val="10"/>
      <x:color theme="1"/>
      <x:name val="Tahoma"/>
      <x:family val="2"/>
    </x:font>
    <x:font>
      <x:sz val="10"/>
      <x:name val="Times New Roman"/>
      <x:family val="1"/>
    </x:font>
    <x:font>
      <x:b/>
      <x:sz val="12"/>
      <x:color rgb="FFFF0000"/>
      <x:name val="Arial"/>
      <x:family val="2"/>
    </x:font>
    <x:font>
      <x:b/>
      <x:i/>
      <x:sz val="10"/>
      <x:color rgb="FFFF0000"/>
      <x:name val="Arial"/>
      <x:family val="2"/>
    </x:font>
    <x:font>
      <x:sz val="8"/>
      <x:color rgb="FFFF0000"/>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4"/>
      <x:color indexed="17"/>
      <x:name val="Arial"/>
      <x:family val="2"/>
    </x:font>
    <x:font>
      <x:sz val="12"/>
      <x:color indexed="17"/>
      <x:name val="Arial"/>
      <x:family val="2"/>
    </x:font>
    <x:font>
      <x:sz val="14"/>
      <x:color theme="1"/>
      <x:name val="Arial"/>
      <x:family val="2"/>
    </x:font>
    <x:font>
      <x:sz val="14"/>
      <x:color theme="1"/>
      <x:name val="Calibri"/>
      <x:family val="2"/>
      <x:scheme val="minor"/>
    </x:font>
    <x:font>
      <x:sz val="12"/>
      <x:color theme="1"/>
      <x:name val="Calibri"/>
      <x:family val="2"/>
      <x:scheme val="minor"/>
    </x:font>
    <x:font>
      <x:b/>
      <x:sz val="14"/>
      <x:color theme="1"/>
      <x:name val="Arial"/>
      <x:family val="2"/>
    </x:font>
    <x:font>
      <x:b/>
      <x:sz val="11"/>
      <x:name val="Arial"/>
      <x:family val="2"/>
    </x:font>
    <x:font>
      <x:b/>
      <x:sz val="11"/>
      <x:color indexed="17"/>
      <x:name val="Arial"/>
      <x:family val="2"/>
    </x:font>
    <x:font>
      <x:sz val="10"/>
      <x:color theme="5" tint="-0.499984740745262"/>
      <x:name val="Arial"/>
      <x:family val="2"/>
    </x:font>
    <x:font>
      <x:sz val="10"/>
      <x:color theme="1"/>
      <x:name val="Arial Narrow"/>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8" tint="0.79998168889431442"/>
        <x:bgColor indexed="64"/>
      </x:patternFill>
    </x:fill>
  </x:fills>
  <x:borders count="50">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5">
    <x:xf numFmtId="0" fontId="0" fillId="0" borderId="0"/>
    <x:xf numFmtId="43" fontId="8" fillId="0" borderId="0" applyFont="0" applyFill="0" applyBorder="0" applyAlignment="0" applyProtection="0"/>
    <x:xf numFmtId="9" fontId="8" fillId="0" borderId="0" applyFont="0" applyFill="0" applyBorder="0" applyAlignment="0" applyProtection="0"/>
    <x:xf numFmtId="0" fontId="8" fillId="0" borderId="0"/>
    <x:xf numFmtId="43" fontId="8" fillId="0" borderId="0" applyFont="0" applyFill="0" applyBorder="0" applyAlignment="0" applyProtection="0"/>
    <x:xf numFmtId="0" fontId="8" fillId="0" borderId="0"/>
    <x:xf numFmtId="44" fontId="8" fillId="0" borderId="0" applyFont="0" applyFill="0" applyBorder="0" applyAlignment="0" applyProtection="0"/>
    <x:xf numFmtId="0" fontId="8" fillId="0" borderId="0"/>
    <x:xf numFmtId="43"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43" fontId="8" fillId="0" borderId="0" applyFont="0" applyFill="0" applyBorder="0" applyAlignment="0" applyProtection="0"/>
    <x:xf numFmtId="9" fontId="8" fillId="0" borderId="0" applyFont="0" applyFill="0" applyBorder="0" applyAlignment="0" applyProtection="0"/>
    <x:xf numFmtId="170" fontId="17" fillId="0" borderId="0"/>
    <x:xf numFmtId="0" fontId="8" fillId="0" borderId="0"/>
    <x:xf numFmtId="9" fontId="8" fillId="0" borderId="0" applyFont="0" applyFill="0" applyBorder="0" applyAlignment="0" applyProtection="0"/>
    <x:xf numFmtId="43" fontId="8" fillId="0" borderId="0" applyFont="0" applyFill="0" applyBorder="0" applyAlignment="0" applyProtection="0"/>
    <x:xf numFmtId="0" fontId="24" fillId="0" borderId="0"/>
    <x:xf numFmtId="43" fontId="24" fillId="0" borderId="0" applyFont="0" applyFill="0" applyBorder="0" applyAlignment="0" applyProtection="0"/>
    <x:xf numFmtId="168" fontId="19" fillId="0" borderId="0" applyProtection="0"/>
    <x:xf numFmtId="0" fontId="37" fillId="0" borderId="0"/>
    <x:xf numFmtId="0" fontId="35" fillId="0" borderId="0"/>
    <x:xf numFmtId="44" fontId="35" fillId="0" borderId="0" applyFont="0" applyFill="0" applyBorder="0" applyAlignment="0" applyProtection="0"/>
    <x:xf numFmtId="0" fontId="35" fillId="0" borderId="0"/>
    <x:xf numFmtId="43" fontId="35" fillId="0" borderId="0" applyFont="0" applyFill="0" applyBorder="0" applyAlignment="0" applyProtection="0"/>
    <x:xf numFmtId="168" fontId="19" fillId="0" borderId="0" applyProtection="0"/>
    <x:xf numFmtId="0" fontId="8" fillId="0" borderId="0"/>
    <x:xf numFmtId="168" fontId="19" fillId="0" borderId="0" applyProtection="0"/>
    <x:xf numFmtId="0" fontId="19" fillId="0" borderId="0" applyProtection="0"/>
    <x:xf numFmtId="0" fontId="8" fillId="0" borderId="0"/>
    <x:xf numFmtId="0" fontId="8" fillId="0" borderId="0"/>
    <x:xf numFmtId="168" fontId="19" fillId="0" borderId="0" applyProtection="0"/>
    <x:xf numFmtId="0" fontId="8" fillId="0" borderId="0"/>
    <x:xf numFmtId="0" fontId="35" fillId="0" borderId="0"/>
    <x:xf numFmtId="168" fontId="19" fillId="0" borderId="0" applyProtection="0"/>
    <x:xf numFmtId="9" fontId="35" fillId="0" borderId="0" applyFont="0" applyFill="0" applyBorder="0" applyAlignment="0" applyProtection="0"/>
    <x:xf numFmtId="43" fontId="35" fillId="0" borderId="0" applyFont="0" applyFill="0" applyBorder="0" applyAlignment="0" applyProtection="0"/>
    <x:xf numFmtId="0" fontId="35" fillId="0" borderId="0"/>
    <x:xf numFmtId="43" fontId="35" fillId="0" borderId="0" applyFont="0" applyFill="0" applyBorder="0" applyAlignment="0" applyProtection="0"/>
    <x:xf numFmtId="41" fontId="35" fillId="0" borderId="0" applyFont="0" applyFill="0" applyBorder="0" applyAlignment="0" applyProtection="0"/>
    <x:xf numFmtId="0" fontId="35" fillId="0" borderId="0"/>
    <x:xf numFmtId="0" fontId="35" fillId="0" borderId="0"/>
    <x:xf numFmtId="41" fontId="35" fillId="0" borderId="0" applyFont="0" applyFill="0" applyBorder="0" applyAlignment="0" applyProtection="0"/>
    <x:xf numFmtId="0" fontId="35" fillId="0" borderId="0"/>
    <x:xf numFmtId="43" fontId="35" fillId="0" borderId="0" applyFont="0" applyFill="0" applyBorder="0" applyAlignment="0" applyProtection="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35" fillId="0" borderId="0"/>
    <x:xf numFmtId="168" fontId="19" fillId="0" borderId="0" applyProtection="0"/>
    <x:xf numFmtId="168" fontId="19" fillId="0" borderId="0" applyProtection="0"/>
    <x:xf numFmtId="0" fontId="40" fillId="0" borderId="0"/>
    <x:xf numFmtId="0" fontId="35" fillId="0" borderId="0"/>
    <x:xf numFmtId="0" fontId="8" fillId="0" borderId="0"/>
    <x:xf numFmtId="168" fontId="19" fillId="0" borderId="0" applyProtection="0"/>
    <x:xf numFmtId="0" fontId="8" fillId="0" borderId="0"/>
    <x:xf numFmtId="168" fontId="19" fillId="0" borderId="0" applyProtection="0"/>
    <x:xf numFmtId="44" fontId="35" fillId="0" borderId="0" applyFont="0" applyFill="0" applyBorder="0" applyAlignment="0" applyProtection="0"/>
    <x:xf numFmtId="44" fontId="8" fillId="0" borderId="0" applyFont="0" applyFill="0" applyBorder="0" applyAlignment="0" applyProtection="0"/>
    <x:xf numFmtId="0" fontId="35" fillId="0" borderId="0"/>
    <x:xf numFmtId="0" fontId="8" fillId="0" borderId="0"/>
    <x:xf numFmtId="0" fontId="35" fillId="0" borderId="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8" fillId="0" borderId="0"/>
    <x:xf numFmtId="43" fontId="35" fillId="0" borderId="0" applyFont="0" applyFill="0" applyBorder="0" applyAlignment="0" applyProtection="0"/>
    <x:xf numFmtId="9" fontId="35" fillId="0" borderId="0" applyFont="0" applyFill="0" applyBorder="0" applyAlignment="0" applyProtection="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8"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8" fillId="0" borderId="0"/>
    <x:xf numFmtId="0" fontId="50" fillId="0" borderId="0"/>
    <x:xf numFmtId="0" fontId="8" fillId="0" borderId="0"/>
    <x:xf numFmtId="0" fontId="52" fillId="0" borderId="0"/>
    <x:xf numFmtId="0" fontId="8" fillId="0" borderId="0"/>
    <x:xf numFmtId="43" fontId="24" fillId="0" borderId="0" applyFont="0" applyFill="0" applyBorder="0" applyAlignment="0" applyProtection="0"/>
    <x:xf numFmtId="0" fontId="24" fillId="0" borderId="0"/>
    <x:xf numFmtId="9" fontId="8" fillId="0" borderId="0" applyFont="0" applyFill="0" applyBorder="0" applyAlignment="0" applyProtection="0"/>
    <x:xf numFmtId="0" fontId="8" fillId="0" borderId="0"/>
    <x:xf numFmtId="0" fontId="61" fillId="0" borderId="0"/>
    <x:xf numFmtId="44" fontId="8" fillId="0" borderId="0" applyFont="0" applyFill="0" applyBorder="0" applyAlignment="0" applyProtection="0"/>
    <x:xf numFmtId="43" fontId="8" fillId="0" borderId="0" applyFont="0" applyFill="0" applyBorder="0" applyAlignment="0" applyProtection="0"/>
    <x:xf numFmtId="43" fontId="24" fillId="0" borderId="0" applyFont="0" applyFill="0" applyBorder="0" applyAlignment="0" applyProtection="0"/>
    <x:xf numFmtId="0" fontId="24" fillId="0" borderId="0"/>
    <x:xf numFmtId="0" fontId="8" fillId="0" borderId="0"/>
    <x:xf numFmtId="0" fontId="8" fillId="0" borderId="0"/>
    <x:xf numFmtId="0" fontId="69" fillId="0" borderId="0"/>
    <x:xf numFmtId="43" fontId="69" fillId="0" borderId="0" applyFont="0" applyFill="0" applyBorder="0" applyAlignment="0" applyProtection="0"/>
    <x:xf numFmtId="43" fontId="8" fillId="0" borderId="0" applyFont="0" applyFill="0" applyBorder="0" applyAlignment="0" applyProtection="0"/>
    <x:xf numFmtId="0" fontId="84" fillId="0" borderId="0"/>
    <x:xf numFmtId="9" fontId="84" fillId="0" borderId="0" applyFont="0" applyFill="0" applyBorder="0" applyAlignment="0" applyProtection="0"/>
    <x:xf numFmtId="0" fontId="89" fillId="0" borderId="0" applyNumberFormat="0" applyFill="0" applyBorder="0" applyAlignment="0" applyProtection="0"/>
    <x:xf numFmtId="0" fontId="8" fillId="0" borderId="0"/>
    <x:xf numFmtId="0" fontId="8" fillId="0" borderId="0"/>
    <x:xf numFmtId="0" fontId="8" fillId="0" borderId="0"/>
    <x:xf numFmtId="0" fontId="8" fillId="0" borderId="0"/>
    <x:xf numFmtId="0" fontId="24" fillId="0" borderId="0"/>
    <x:xf numFmtId="0" fontId="8" fillId="0" borderId="0">
      <x:alignment vertical="top"/>
    </x:xf>
    <x:xf numFmtId="43" fontId="35" fillId="0" borderId="0" applyFont="0" applyFill="0" applyBorder="0" applyAlignment="0" applyProtection="0"/>
    <x:xf numFmtId="43" fontId="35" fillId="0" borderId="0" applyFont="0" applyFill="0" applyBorder="0" applyAlignment="0" applyProtection="0"/>
    <x:xf numFmtId="43" fontId="24" fillId="0" borderId="0" applyFont="0" applyFill="0" applyBorder="0" applyAlignment="0" applyProtection="0"/>
    <x:xf numFmtId="0" fontId="35" fillId="0" borderId="0"/>
    <x:xf numFmtId="0" fontId="8" fillId="0" borderId="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24" fillId="0" borderId="0"/>
    <x:xf numFmtId="44" fontId="24" fillId="0" borderId="0" applyFont="0" applyFill="0" applyBorder="0" applyAlignment="0" applyProtection="0"/>
    <x:xf numFmtId="0" fontId="90" fillId="0" borderId="41" applyNumberFormat="0" applyFill="0" applyAlignment="0" applyProtection="0"/>
    <x:xf numFmtId="0" fontId="91" fillId="0" borderId="42" applyNumberFormat="0" applyFill="0" applyAlignment="0" applyProtection="0"/>
    <x:xf numFmtId="0" fontId="92" fillId="0" borderId="43" applyNumberFormat="0" applyFill="0" applyAlignment="0" applyProtection="0"/>
    <x:xf numFmtId="0" fontId="92" fillId="0" borderId="0" applyNumberFormat="0" applyFill="0" applyBorder="0" applyAlignment="0" applyProtection="0"/>
    <x:xf numFmtId="0" fontId="94" fillId="13" borderId="0" applyNumberFormat="0" applyBorder="0" applyAlignment="0" applyProtection="0"/>
    <x:xf numFmtId="0" fontId="95" fillId="14" borderId="0" applyNumberFormat="0" applyBorder="0" applyAlignment="0" applyProtection="0"/>
    <x:xf numFmtId="0" fontId="96" fillId="15" borderId="0" applyNumberFormat="0" applyBorder="0" applyAlignment="0" applyProtection="0"/>
    <x:xf numFmtId="0" fontId="97" fillId="16" borderId="44" applyNumberFormat="0" applyAlignment="0" applyProtection="0"/>
    <x:xf numFmtId="0" fontId="98" fillId="17" borderId="45" applyNumberFormat="0" applyAlignment="0" applyProtection="0"/>
    <x:xf numFmtId="0" fontId="99" fillId="17" borderId="44" applyNumberFormat="0" applyAlignment="0" applyProtection="0"/>
    <x:xf numFmtId="0" fontId="100" fillId="0" borderId="46" applyNumberFormat="0" applyFill="0" applyAlignment="0" applyProtection="0"/>
    <x:xf numFmtId="0" fontId="55" fillId="18" borderId="47" applyNumberFormat="0" applyAlignment="0" applyProtection="0"/>
    <x:xf numFmtId="0" fontId="14" fillId="0" borderId="0" applyNumberFormat="0" applyFill="0" applyBorder="0" applyAlignment="0" applyProtection="0"/>
    <x:xf numFmtId="0" fontId="24" fillId="19" borderId="48" applyNumberFormat="0" applyFont="0" applyAlignment="0" applyProtection="0"/>
    <x:xf numFmtId="0" fontId="101" fillId="0" borderId="0" applyNumberFormat="0" applyFill="0" applyBorder="0" applyAlignment="0" applyProtection="0"/>
    <x:xf numFmtId="0" fontId="39" fillId="0" borderId="49" applyNumberFormat="0" applyFill="0" applyAlignment="0" applyProtection="0"/>
    <x:xf numFmtId="0" fontId="59" fillId="20" borderId="0" applyNumberFormat="0" applyBorder="0" applyAlignment="0" applyProtection="0"/>
    <x:xf numFmtId="0" fontId="24" fillId="21" borderId="0" applyNumberFormat="0" applyBorder="0" applyAlignment="0" applyProtection="0"/>
    <x:xf numFmtId="0" fontId="24" fillId="22" borderId="0" applyNumberFormat="0" applyBorder="0" applyAlignment="0" applyProtection="0"/>
    <x:xf numFmtId="0" fontId="24" fillId="23" borderId="0" applyNumberFormat="0" applyBorder="0" applyAlignment="0" applyProtection="0"/>
    <x:xf numFmtId="0" fontId="59" fillId="24" borderId="0" applyNumberFormat="0" applyBorder="0" applyAlignment="0" applyProtection="0"/>
    <x:xf numFmtId="0" fontId="24" fillId="25" borderId="0" applyNumberFormat="0" applyBorder="0" applyAlignment="0" applyProtection="0"/>
    <x:xf numFmtId="0" fontId="24" fillId="26" borderId="0" applyNumberFormat="0" applyBorder="0" applyAlignment="0" applyProtection="0"/>
    <x:xf numFmtId="0" fontId="24" fillId="27" borderId="0" applyNumberFormat="0" applyBorder="0" applyAlignment="0" applyProtection="0"/>
    <x:xf numFmtId="0" fontId="59" fillId="28" borderId="0" applyNumberFormat="0" applyBorder="0" applyAlignment="0" applyProtection="0"/>
    <x:xf numFmtId="0" fontId="24" fillId="29" borderId="0" applyNumberFormat="0" applyBorder="0" applyAlignment="0" applyProtection="0"/>
    <x:xf numFmtId="0" fontId="24" fillId="30" borderId="0" applyNumberFormat="0" applyBorder="0" applyAlignment="0" applyProtection="0"/>
    <x:xf numFmtId="0" fontId="24" fillId="31" borderId="0" applyNumberFormat="0" applyBorder="0" applyAlignment="0" applyProtection="0"/>
    <x:xf numFmtId="0" fontId="59" fillId="32" borderId="0" applyNumberFormat="0" applyBorder="0" applyAlignment="0" applyProtection="0"/>
    <x:xf numFmtId="0" fontId="24" fillId="33" borderId="0" applyNumberFormat="0" applyBorder="0" applyAlignment="0" applyProtection="0"/>
    <x:xf numFmtId="0" fontId="24" fillId="34" borderId="0" applyNumberFormat="0" applyBorder="0" applyAlignment="0" applyProtection="0"/>
    <x:xf numFmtId="0" fontId="24" fillId="35" borderId="0" applyNumberFormat="0" applyBorder="0" applyAlignment="0" applyProtection="0"/>
    <x:xf numFmtId="0" fontId="59" fillId="36" borderId="0" applyNumberFormat="0" applyBorder="0" applyAlignment="0" applyProtection="0"/>
    <x:xf numFmtId="0" fontId="24" fillId="37" borderId="0" applyNumberFormat="0" applyBorder="0" applyAlignment="0" applyProtection="0"/>
    <x:xf numFmtId="0" fontId="24" fillId="38" borderId="0" applyNumberFormat="0" applyBorder="0" applyAlignment="0" applyProtection="0"/>
    <x:xf numFmtId="0" fontId="24" fillId="39" borderId="0" applyNumberFormat="0" applyBorder="0" applyAlignment="0" applyProtection="0"/>
    <x:xf numFmtId="0" fontId="59" fillId="40" borderId="0" applyNumberFormat="0" applyBorder="0" applyAlignment="0" applyProtection="0"/>
    <x:xf numFmtId="0" fontId="24" fillId="41" borderId="0" applyNumberFormat="0" applyBorder="0" applyAlignment="0" applyProtection="0"/>
    <x:xf numFmtId="0" fontId="24" fillId="42" borderId="0" applyNumberFormat="0" applyBorder="0" applyAlignment="0" applyProtection="0"/>
    <x:xf numFmtId="0" fontId="24" fillId="43" borderId="0" applyNumberFormat="0" applyBorder="0" applyAlignment="0" applyProtection="0"/>
    <x:xf numFmtId="0" fontId="35" fillId="0" borderId="0"/>
    <x:xf numFmtId="43" fontId="35" fillId="0" borderId="0" applyFont="0" applyFill="0" applyBorder="0" applyAlignment="0" applyProtection="0"/>
    <x:xf numFmtId="0" fontId="35" fillId="0" borderId="0"/>
    <x:xf numFmtId="0" fontId="35" fillId="0" borderId="0"/>
    <x:xf numFmtId="43" fontId="35" fillId="0" borderId="0" applyFont="0" applyFill="0" applyBorder="0" applyAlignment="0" applyProtection="0"/>
    <x:xf numFmtId="0" fontId="35" fillId="0" borderId="0"/>
    <x:xf numFmtId="43" fontId="35" fillId="0" borderId="0" applyFont="0" applyFill="0" applyBorder="0" applyAlignment="0" applyProtection="0"/>
    <x:xf numFmtId="0" fontId="35" fillId="0" borderId="0"/>
    <x:xf numFmtId="43" fontId="35" fillId="0" borderId="0" applyFont="0" applyFill="0" applyBorder="0" applyAlignment="0" applyProtection="0"/>
    <x:xf numFmtId="0" fontId="35" fillId="0" borderId="0"/>
    <x:xf numFmtId="0" fontId="35" fillId="0" borderId="0"/>
    <x:xf numFmtId="43" fontId="35" fillId="0" borderId="0" applyFont="0" applyFill="0" applyBorder="0" applyAlignment="0" applyProtection="0"/>
    <x:xf numFmtId="0" fontId="35" fillId="0" borderId="0"/>
    <x:xf numFmtId="0" fontId="35" fillId="0" borderId="0"/>
    <x:xf numFmtId="0" fontId="35" fillId="0" borderId="0"/>
    <x:xf numFmtId="0" fontId="35" fillId="0" borderId="0"/>
    <x:xf numFmtId="43" fontId="24" fillId="0" borderId="0" applyFont="0" applyFill="0" applyBorder="0" applyAlignment="0" applyProtection="0"/>
    <x:xf numFmtId="0" fontId="35" fillId="0" borderId="0"/>
    <x:xf numFmtId="0" fontId="102" fillId="0" borderId="0"/>
    <x:xf numFmtId="44" fontId="102" fillId="0" borderId="0" applyFont="0" applyFill="0" applyBorder="0" applyAlignment="0" applyProtection="0"/>
    <x:xf numFmtId="9" fontId="102" fillId="0" borderId="0" applyFont="0" applyFill="0" applyBorder="0" applyAlignment="0" applyProtection="0"/>
    <x:xf numFmtId="43" fontId="102" fillId="0" borderId="0" applyFont="0" applyFill="0" applyBorder="0" applyAlignment="0" applyProtection="0"/>
    <x:xf numFmtId="0" fontId="93" fillId="0" borderId="0"/>
    <x:xf numFmtId="44" fontId="93" fillId="0" borderId="0" applyFont="0" applyFill="0" applyBorder="0" applyAlignment="0" applyProtection="0"/>
    <x:xf numFmtId="43" fontId="93" fillId="0" borderId="0" applyFont="0" applyFill="0" applyBorder="0" applyAlignment="0" applyProtection="0"/>
    <x:xf numFmtId="0" fontId="93" fillId="0" borderId="0"/>
    <x:xf numFmtId="0" fontId="8" fillId="0" borderId="0"/>
    <x:xf numFmtId="43" fontId="8" fillId="0" borderId="0" applyFont="0" applyFill="0" applyBorder="0" applyAlignment="0" applyProtection="0"/>
    <x:xf numFmtId="0" fontId="102" fillId="0" borderId="0"/>
    <x:xf numFmtId="44" fontId="8" fillId="0" borderId="0" applyFont="0" applyFill="0" applyBorder="0" applyAlignment="0" applyProtection="0"/>
    <x:xf numFmtId="43" fontId="102" fillId="0" borderId="0" applyFont="0" applyFill="0" applyBorder="0" applyAlignment="0" applyProtection="0"/>
    <x:xf numFmtId="44" fontId="35" fillId="0" borderId="0" applyFont="0" applyFill="0" applyBorder="0" applyAlignment="0" applyProtection="0"/>
    <x:xf numFmtId="9" fontId="35" fillId="0" borderId="0" applyFont="0" applyFill="0" applyBorder="0" applyAlignment="0" applyProtection="0"/>
    <x:xf numFmtId="0" fontId="93" fillId="0" borderId="0"/>
    <x:xf numFmtId="0" fontId="93" fillId="0" borderId="0"/>
    <x:xf numFmtId="43" fontId="8" fillId="0" borderId="0" applyFont="0" applyFill="0" applyBorder="0" applyAlignment="0" applyProtection="0"/>
    <x:xf numFmtId="44" fontId="8" fillId="0" borderId="0" applyFont="0" applyFill="0" applyBorder="0" applyAlignment="0" applyProtection="0"/>
    <x:xf numFmtId="0" fontId="102" fillId="0" borderId="0"/>
    <x:xf numFmtId="43" fontId="102" fillId="0" borderId="0" applyFont="0" applyFill="0" applyBorder="0" applyAlignment="0" applyProtection="0"/>
    <x:xf numFmtId="0" fontId="8" fillId="0" borderId="0"/>
    <x:xf numFmtId="43" fontId="8" fillId="0" borderId="0" applyFont="0" applyFill="0" applyBorder="0" applyAlignment="0" applyProtection="0"/>
    <x:xf numFmtId="43" fontId="103" fillId="0" borderId="0" applyFont="0" applyFill="0" applyBorder="0" applyAlignment="0" applyProtection="0"/>
    <x:xf numFmtId="0" fontId="35" fillId="0" borderId="0"/>
  </x:cellStyleXfs>
  <x:cellXfs count="1767">
    <x:xf numFmtId="0" fontId="0" fillId="0" borderId="0" xfId="0"/>
    <x:xf numFmtId="0" fontId="3" fillId="0" borderId="0" xfId="0" applyFont="1"/>
    <x:xf numFmtId="0" fontId="4" fillId="0" borderId="0" xfId="0" applyFont="1"/>
    <x:xf numFmtId="0" fontId="5" fillId="0" borderId="0" xfId="0" applyFont="1" applyAlignment="1">
      <x:alignment horizontal="center"/>
    </x:xf>
    <x:xf numFmtId="0" fontId="6" fillId="0" borderId="0" xfId="0" applyFont="1"/>
    <x:xf numFmtId="0" fontId="9" fillId="0" borderId="0" xfId="0" applyFont="1" applyAlignment="1">
      <x:alignment horizontal="left"/>
    </x:xf>
    <x:xf numFmtId="0" fontId="8" fillId="0" borderId="0" xfId="0" applyFont="1"/>
    <x:xf numFmtId="0" fontId="14" fillId="0" borderId="0" xfId="0" applyFont="1"/>
    <x:xf numFmtId="0" fontId="8" fillId="0" borderId="1" xfId="0" applyFont="1" applyBorder="1"/>
    <x:xf numFmtId="0" fontId="0" fillId="0" borderId="0" xfId="0" applyAlignment="1">
      <x:alignment horizontal="right"/>
    </x:xf>
    <x:xf numFmtId="0" fontId="8" fillId="0" borderId="0" xfId="7"/>
    <x:xf numFmtId="164" fontId="15" fillId="0" borderId="0" xfId="8" applyNumberFormat="1" applyFont="1"/>
    <x:xf numFmtId="10" fontId="15" fillId="0" borderId="0" xfId="12" applyNumberFormat="1" applyFont="1" applyFill="1"/>
    <x:xf numFmtId="0" fontId="15" fillId="5" borderId="0" xfId="0" applyFont="1" applyFill="1"/>
    <x:xf numFmtId="0" fontId="15" fillId="0" borderId="0" xfId="0" applyFont="1" applyAlignment="1">
      <x:alignment wrapText="1"/>
    </x:xf>
    <x:xf numFmtId="0" fontId="15" fillId="0" borderId="0" xfId="0" applyFont="1" applyAlignment="1">
      <x:alignment horizontal="left"/>
    </x:xf>
    <x:xf numFmtId="0" fontId="15" fillId="0" borderId="0" xfId="0" applyFont="1" applyAlignment="1">
      <x:alignment horizontal="center"/>
    </x:xf>
    <x:xf numFmtId="3" fontId="7" fillId="0" borderId="0" xfId="0" applyNumberFormat="1" applyFont="1"/>
    <x:xf numFmtId="0" fontId="15" fillId="0" borderId="0" xfId="0" applyFont="1"/>
    <x:xf numFmtId="3" fontId="15" fillId="0" borderId="0" xfId="0" applyNumberFormat="1" applyFont="1" applyAlignment="1">
      <x:alignment horizontal="left"/>
    </x:xf>
    <x:xf numFmtId="170" fontId="15" fillId="0" borderId="12" xfId="13" applyFont="1" applyBorder="1" applyAlignment="1">
      <x:alignment vertical="center"/>
    </x:xf>
    <x:xf numFmtId="3" fontId="15" fillId="0" borderId="12" xfId="0" applyNumberFormat="1" applyFont="1" applyBorder="1" applyAlignment="1">
      <x:alignment horizontal="left"/>
    </x:xf>
    <x:xf numFmtId="3" fontId="15" fillId="0" borderId="0" xfId="0" applyNumberFormat="1" applyFont="1"/>
    <x:xf numFmtId="3" fontId="7" fillId="0" borderId="0" xfId="0" applyNumberFormat="1" applyFont="1" applyAlignment="1">
      <x:alignment horizontal="left"/>
    </x:xf>
    <x:xf numFmtId="0" fontId="7" fillId="0" borderId="0" xfId="0" applyFont="1" applyAlignment="1">
      <x:alignment horizontal="left"/>
    </x:xf>
    <x:xf numFmtId="0" fontId="15" fillId="0" borderId="18" xfId="0" applyFont="1" applyBorder="1"/>
    <x:xf numFmtId="3" fontId="15" fillId="0" borderId="18" xfId="0" applyNumberFormat="1" applyFont="1" applyBorder="1"/>
    <x:xf numFmtId="0" fontId="7" fillId="0" borderId="18" xfId="0" applyFont="1" applyBorder="1"/>
    <x:xf numFmtId="0" fontId="15" fillId="0" borderId="18" xfId="0" applyFont="1" applyBorder="1" applyAlignment="1">
      <x:alignment horizontal="left"/>
    </x:xf>
    <x:xf numFmtId="3" fontId="15" fillId="0" borderId="0" xfId="0" applyNumberFormat="1" applyFont="1" applyAlignment="1">
      <x:alignment horizontal="center"/>
    </x:xf>
    <x:xf numFmtId="171" fontId="15" fillId="0" borderId="0" xfId="0" applyNumberFormat="1" applyFont="1"/>
    <x:xf numFmtId="172" fontId="15" fillId="0" borderId="0" xfId="8" applyNumberFormat="1" applyFont="1" applyFill="1" applyBorder="1" applyAlignment="1"/>
    <x:xf numFmtId="3" fontId="15" fillId="0" borderId="0" xfId="0" quotePrefix="1" applyNumberFormat="1" applyFont="1" applyAlignment="1">
      <x:alignment horizontal="right"/>
    </x:xf>
    <x:xf numFmtId="0" fontId="15" fillId="0" borderId="0" xfId="0" applyFont="1" applyAlignment="1">
      <x:alignment horizontal="right"/>
    </x:xf>
    <x:xf numFmtId="3" fontId="15" fillId="0" borderId="12" xfId="0" applyNumberFormat="1" applyFont="1" applyBorder="1" applyAlignment="1">
      <x:alignment horizontal="right"/>
    </x:xf>
    <x:xf numFmtId="171" fontId="15" fillId="0" borderId="12" xfId="0" applyNumberFormat="1" applyFont="1" applyBorder="1"/>
    <x:xf numFmtId="0" fontId="7" fillId="0" borderId="0" xfId="0" applyFont="1"/>
    <x:xf numFmtId="3" fontId="7" fillId="0" borderId="0" xfId="0" quotePrefix="1" applyNumberFormat="1" applyFont="1" applyAlignment="1">
      <x:alignment horizontal="right"/>
    </x:xf>
    <x:xf numFmtId="171" fontId="7" fillId="0" borderId="0" xfId="0" applyNumberFormat="1" applyFont="1"/>
    <x:xf numFmtId="0" fontId="7" fillId="0" borderId="0" xfId="0" applyFont="1" applyAlignment="1">
      <x:alignment horizontal="center"/>
    </x:xf>
    <x:xf numFmtId="0" fontId="7" fillId="0" borderId="19" xfId="0" applyFont="1" applyBorder="1"/>
    <x:xf numFmtId="0" fontId="15" fillId="0" borderId="19" xfId="0" applyFont="1" applyBorder="1"/>
    <x:xf numFmtId="3" fontId="7" fillId="0" borderId="19" xfId="0" applyNumberFormat="1" applyFont="1" applyBorder="1" applyAlignment="1">
      <x:alignment horizontal="left"/>
    </x:xf>
    <x:xf numFmtId="173" fontId="7" fillId="0" borderId="19" xfId="0" applyNumberFormat="1" applyFont="1" applyBorder="1" applyAlignment="1">
      <x:alignment horizontal="center"/>
    </x:xf>
    <x:xf numFmtId="3" fontId="7" fillId="0" borderId="19" xfId="0" applyNumberFormat="1" applyFont="1" applyBorder="1"/>
    <x:xf numFmtId="0" fontId="15" fillId="5" borderId="0" xfId="0" applyFont="1" applyFill="1" applyAlignment="1">
      <x:alignment horizontal="center" wrapText="1"/>
    </x:xf>
    <x:xf numFmtId="165" fontId="7" fillId="0" borderId="0" xfId="12" applyNumberFormat="1" applyFont="1" applyAlignment="1"/>
    <x:xf numFmtId="173" fontId="15" fillId="0" borderId="0" xfId="0" applyNumberFormat="1" applyFont="1" applyAlignment="1">
      <x:alignment horizontal="center"/>
    </x:xf>
    <x:xf numFmtId="167" fontId="15" fillId="0" borderId="0" xfId="0" applyNumberFormat="1" applyFont="1" applyAlignment="1">
      <x:alignment horizontal="left"/>
    </x:xf>
    <x:xf numFmtId="167" fontId="15" fillId="0" borderId="0" xfId="0" applyNumberFormat="1" applyFont="1" applyAlignment="1">
      <x:alignment horizontal="center"/>
    </x:xf>
    <x:xf numFmtId="10" fontId="15" fillId="0" borderId="0" xfId="0" applyNumberFormat="1" applyFont="1" applyAlignment="1">
      <x:alignment horizontal="right"/>
    </x:xf>
    <x:xf numFmtId="10" fontId="15" fillId="0" borderId="0" xfId="12" applyNumberFormat="1" applyFont="1" applyFill="1" applyAlignment="1"/>
    <x:xf numFmtId="0" fontId="15" fillId="0" borderId="12" xfId="0" applyFont="1" applyBorder="1" applyAlignment="1">
      <x:alignment horizontal="left"/>
    </x:xf>
    <x:xf numFmtId="0" fontId="15" fillId="0" borderId="12" xfId="0" applyFont="1" applyBorder="1" applyAlignment="1">
      <x:alignment horizontal="center"/>
    </x:xf>
    <x:xf numFmtId="0" fontId="20" fillId="0" borderId="18" xfId="0" applyFont="1" applyBorder="1" applyAlignment="1">
      <x:alignment horizontal="center"/>
    </x:xf>
    <x:xf numFmtId="167" fontId="7" fillId="0" borderId="19" xfId="0" applyNumberFormat="1" applyFont="1" applyBorder="1" applyAlignment="1">
      <x:alignment horizontal="left"/>
    </x:xf>
    <x:xf numFmtId="0" fontId="7" fillId="0" borderId="19" xfId="0" applyFont="1" applyBorder="1" applyAlignment="1">
      <x:alignment horizontal="center"/>
    </x:xf>
    <x:xf numFmtId="173" fontId="7" fillId="0" borderId="19" xfId="0" applyNumberFormat="1" applyFont="1" applyBorder="1"/>
    <x:xf numFmtId="3" fontId="15" fillId="0" borderId="0" xfId="0" applyNumberFormat="1" applyFont="1" applyAlignment="1">
      <x:alignment horizontal="right"/>
    </x:xf>
    <x:xf numFmtId="173" fontId="15" fillId="0" borderId="0" xfId="0" applyNumberFormat="1" applyFont="1"/>
    <x:xf numFmtId="174" fontId="15" fillId="0" borderId="0" xfId="12" applyNumberFormat="1" applyFont="1" applyFill="1" applyAlignment="1">
      <x:alignment horizontal="right"/>
    </x:xf>
    <x:xf numFmtId="164" fontId="8" fillId="0" borderId="0" xfId="0" applyNumberFormat="1" applyFont="1"/>
    <x:xf numFmtId="0" fontId="8" fillId="0" borderId="0" xfId="14"/>
    <x:xf numFmtId="0" fontId="23" fillId="0" borderId="0" xfId="0" applyFont="1" applyAlignment="1">
      <x:alignment horizontal="center"/>
    </x:xf>
    <x:xf numFmtId="0" fontId="23" fillId="0" borderId="0" xfId="0" applyFont="1"/>
    <x:xf numFmtId="0" fontId="23" fillId="0" borderId="0" xfId="0" applyFont="1" applyAlignment="1">
      <x:alignment horizontal="right"/>
    </x:xf>
    <x:xf numFmtId="0" fontId="8" fillId="0" borderId="0" xfId="0" applyFont="1" applyAlignment="1">
      <x:alignment horizontal="left"/>
    </x:xf>
    <x:xf numFmtId="37" fontId="8" fillId="0" borderId="0" xfId="0" applyNumberFormat="1" applyFont="1"/>
    <x:xf numFmtId="0" fontId="25" fillId="0" borderId="0" xfId="0" applyFont="1" applyAlignment="1">
      <x:alignment horizontal="center"/>
    </x:xf>
    <x:xf numFmtId="0" fontId="26" fillId="0" borderId="0" xfId="0" applyFont="1" applyAlignment="1">
      <x:alignment horizontal="center"/>
    </x:xf>
    <x:xf numFmtId="0" fontId="27" fillId="0" borderId="0" xfId="0" applyFont="1" applyAlignment="1">
      <x:alignment horizontal="left"/>
    </x:xf>
    <x:xf numFmtId="0" fontId="27" fillId="0" borderId="0" xfId="0" applyFont="1"/>
    <x:xf numFmtId="0" fontId="27" fillId="0" borderId="0" xfId="0" applyFont="1" applyAlignment="1">
      <x:alignment horizontal="center"/>
    </x:xf>
    <x:xf numFmtId="0" fontId="25" fillId="6" borderId="2" xfId="0" applyFont="1" applyFill="1" applyBorder="1" applyAlignment="1">
      <x:alignment horizontal="left"/>
    </x:xf>
    <x:xf numFmtId="0" fontId="15" fillId="6" borderId="4" xfId="0" applyFont="1" applyFill="1" applyBorder="1"/>
    <x:xf numFmtId="0" fontId="15" fillId="6" borderId="4" xfId="0" applyFont="1" applyFill="1" applyBorder="1" applyAlignment="1">
      <x:alignment horizontal="center"/>
    </x:xf>
    <x:xf numFmtId="0" fontId="15" fillId="6" borderId="3" xfId="0" applyFont="1" applyFill="1" applyBorder="1"/>
    <x:xf numFmtId="0" fontId="25" fillId="6" borderId="7" xfId="0" applyFont="1" applyFill="1" applyBorder="1" applyAlignment="1">
      <x:alignment horizontal="left"/>
    </x:xf>
    <x:xf numFmtId="0" fontId="7" fillId="6" borderId="1" xfId="0" applyFont="1" applyFill="1" applyBorder="1"/>
    <x:xf numFmtId="0" fontId="7" fillId="6" borderId="8" xfId="0" applyFont="1" applyFill="1" applyBorder="1" applyAlignment="1">
      <x:alignment horizontal="center" wrapText="1"/>
    </x:xf>
    <x:xf numFmtId="0" fontId="7" fillId="0" borderId="6" xfId="0" applyFont="1" applyBorder="1"/>
    <x:xf numFmtId="0" fontId="7" fillId="2" borderId="17" xfId="0" quotePrefix="1" applyFont="1" applyFill="1" applyBorder="1" applyAlignment="1">
      <x:alignment horizontal="center" wrapText="1"/>
    </x:xf>
    <x:xf numFmtId="0" fontId="25" fillId="0" borderId="0" xfId="0" applyFont="1" applyAlignment="1">
      <x:alignment horizontal="left"/>
    </x:xf>
    <x:xf numFmtId="0" fontId="7" fillId="0" borderId="0" xfId="0" applyFont="1" applyAlignment="1">
      <x:alignment horizontal="center" wrapText="1"/>
    </x:xf>
    <x:xf numFmtId="0" fontId="28" fillId="5" borderId="0" xfId="0" applyFont="1" applyFill="1" applyAlignment="1">
      <x:alignment horizontal="left"/>
    </x:xf>
    <x:xf numFmtId="0" fontId="28" fillId="5" borderId="0" xfId="0" applyFont="1" applyFill="1"/>
    <x:xf numFmtId="0" fontId="15" fillId="0" borderId="0" xfId="0" applyFont="1" applyAlignment="1">
      <x:alignment horizontal="center" wrapText="1"/>
    </x:xf>
    <x:xf numFmtId="0" fontId="20" fillId="0" borderId="0" xfId="0" applyFont="1" applyAlignment="1">
      <x:alignment horizontal="left"/>
    </x:xf>
    <x:xf numFmtId="166" fontId="15" fillId="2" borderId="0" xfId="10" applyNumberFormat="1" applyFont="1" applyFill="1"/>
    <x:xf numFmtId="3" fontId="15" fillId="0" borderId="18" xfId="0" applyNumberFormat="1" applyFont="1" applyBorder="1" applyAlignment="1">
      <x:alignment horizontal="center"/>
    </x:xf>
    <x:xf numFmtId="3" fontId="15" fillId="0" borderId="19" xfId="0" applyNumberFormat="1" applyFont="1" applyBorder="1"/>
    <x:xf numFmtId="165" fontId="15" fillId="0" borderId="0" xfId="12" applyNumberFormat="1" applyFont="1" applyAlignment="1"/>
    <x:xf numFmtId="0" fontId="15" fillId="0" borderId="18" xfId="0" applyFont="1" applyBorder="1" applyAlignment="1">
      <x:alignment horizontal="center"/>
    </x:xf>
    <x:xf numFmtId="0" fontId="15" fillId="0" borderId="19" xfId="0" applyFont="1" applyBorder="1" applyAlignment="1">
      <x:alignment horizontal="center"/>
    </x:xf>
    <x:xf numFmtId="0" fontId="29" fillId="5" borderId="0" xfId="0" applyFont="1" applyFill="1" applyAlignment="1">
      <x:alignment horizontal="left"/>
    </x:xf>
    <x:xf numFmtId="0" fontId="29" fillId="5" borderId="0" xfId="0" applyFont="1" applyFill="1"/>
    <x:xf numFmtId="0" fontId="29" fillId="0" borderId="0" xfId="0" applyFont="1" applyAlignment="1">
      <x:alignment horizontal="center"/>
    </x:xf>
    <x:xf numFmtId="0" fontId="29" fillId="0" borderId="0" xfId="0" applyFont="1"/>
    <x:xf numFmtId="0" fontId="20" fillId="0" borderId="18" xfId="0" applyFont="1" applyBorder="1"/>
    <x:xf numFmtId="0" fontId="20" fillId="0" borderId="12" xfId="0" applyFont="1" applyBorder="1" applyAlignment="1">
      <x:alignment horizontal="center"/>
    </x:xf>
    <x:xf numFmtId="0" fontId="30" fillId="0" borderId="0" xfId="0" applyFont="1" applyAlignment="1">
      <x:alignment horizontal="left"/>
    </x:xf>
    <x:xf numFmtId="0" fontId="30" fillId="0" borderId="0" xfId="0" applyFont="1"/>
    <x:xf numFmtId="0" fontId="15" fillId="0" borderId="0" xfId="0" applyFont="1" applyAlignment="1">
      <x:alignment vertical="center"/>
    </x:xf>
    <x:xf numFmtId="165" fontId="15" fillId="0" borderId="0" xfId="0" applyNumberFormat="1" applyFont="1" applyAlignment="1">
      <x:alignment horizontal="right"/>
    </x:xf>
    <x:xf numFmtId="0" fontId="15" fillId="0" borderId="12" xfId="0" applyFont="1" applyBorder="1"/>
    <x:xf numFmtId="0" fontId="20" fillId="0" borderId="0" xfId="0" applyFont="1" applyAlignment="1">
      <x:alignment horizontal="center"/>
    </x:xf>
    <x:xf numFmtId="0" fontId="20" fillId="0" borderId="12" xfId="0" applyFont="1" applyBorder="1"/>
    <x:xf numFmtId="3" fontId="15" fillId="0" borderId="19" xfId="0" applyNumberFormat="1" applyFont="1" applyBorder="1" applyAlignment="1">
      <x:alignment horizontal="center"/>
    </x:xf>
    <x:xf numFmtId="0" fontId="21" fillId="0" borderId="0" xfId="0" applyFont="1" applyAlignment="1">
      <x:alignment horizontal="center"/>
    </x:xf>
    <x:xf numFmtId="0" fontId="21" fillId="0" borderId="0" xfId="0" applyFont="1"/>
    <x:xf numFmtId="0" fontId="15" fillId="0" borderId="19" xfId="0" applyFont="1" applyBorder="1" applyAlignment="1">
      <x:alignment horizontal="left"/>
    </x:xf>
    <x:xf numFmtId="0" fontId="15" fillId="0" borderId="19" xfId="0" applyFont="1" applyBorder="1" applyAlignment="1">
      <x:alignment horizontal="right"/>
    </x:xf>
    <x:xf numFmtId="0" fontId="33" fillId="0" borderId="0" xfId="0" applyFont="1" applyAlignment="1">
      <x:alignment horizontal="left"/>
    </x:xf>
    <x:xf numFmtId="3" fontId="20" fillId="0" borderId="12" xfId="0" applyNumberFormat="1" applyFont="1" applyBorder="1" applyAlignment="1">
      <x:alignment horizontal="center"/>
    </x:xf>
    <x:xf numFmtId="164" fontId="15" fillId="2" borderId="0" xfId="8" applyNumberFormat="1" applyFont="1" applyFill="1" applyBorder="1"/>
    <x:xf numFmtId="167" fontId="15" fillId="0" borderId="19" xfId="0" applyNumberFormat="1" applyFont="1" applyBorder="1" applyAlignment="1">
      <x:alignment horizontal="left"/>
    </x:xf>
    <x:xf numFmtId="173" fontId="15" fillId="0" borderId="19" xfId="0" applyNumberFormat="1" applyFont="1" applyBorder="1" applyAlignment="1">
      <x:alignment horizontal="center"/>
    </x:xf>
    <x:xf numFmtId="10" fontId="15" fillId="0" borderId="0" xfId="12" applyNumberFormat="1" applyFont="1" applyAlignment="1"/>
    <x:xf numFmtId="173" fontId="15" fillId="0" borderId="19" xfId="0" applyNumberFormat="1" applyFont="1" applyBorder="1"/>
    <x:xf numFmtId="3" fontId="15" fillId="0" borderId="12" xfId="0" applyNumberFormat="1" applyFont="1" applyBorder="1"/>
    <x:xf numFmtId="0" fontId="15" fillId="0" borderId="15" xfId="0" applyFont="1" applyBorder="1"/>
    <x:xf numFmtId="166" fontId="15" fillId="0" borderId="0" xfId="0" applyNumberFormat="1" applyFont="1" applyAlignment="1">
      <x:alignment horizontal="center"/>
    </x:xf>
    <x:xf numFmtId="0" fontId="34" fillId="0" borderId="0" xfId="0" applyFont="1" applyAlignment="1">
      <x:alignment horizontal="left"/>
    </x:xf>
    <x:xf numFmtId="166" fontId="15" fillId="0" borderId="0" xfId="10" applyNumberFormat="1" applyFont="1"/>
    <x:xf numFmtId="0" fontId="15" fillId="5" borderId="0" xfId="0" applyFont="1" applyFill="1" applyAlignment="1">
      <x:alignment horizontal="center"/>
    </x:xf>
    <x:xf numFmtId="3" fontId="15" fillId="5" borderId="0" xfId="0" applyNumberFormat="1" applyFont="1" applyFill="1" applyAlignment="1">
      <x:alignment horizontal="center"/>
    </x:xf>
    <x:xf numFmtId="3" fontId="15" fillId="0" borderId="18" xfId="0" applyNumberFormat="1" applyFont="1" applyBorder="1" applyAlignment="1">
      <x:alignment horizontal="left"/>
    </x:xf>
    <x:xf numFmtId="0" fontId="8" fillId="0" borderId="0" xfId="20" applyFont="1"/>
    <x:xf numFmtId="0" fontId="9" fillId="0" borderId="0" xfId="7" applyFont="1"/>
    <x:xf numFmtId="0" fontId="9" fillId="0" borderId="0" xfId="7" applyFont="1" applyAlignment="1">
      <x:alignment horizontal="center"/>
    </x:xf>
    <x:xf numFmtId="0" fontId="8" fillId="0" borderId="0" xfId="7" applyAlignment="1">
      <x:alignment horizontal="center"/>
    </x:xf>
    <x:xf numFmtId="0" fontId="24" fillId="0" borderId="0" xfId="21" applyFont="1"/>
    <x:xf numFmtId="176" fontId="24" fillId="0" borderId="0" xfId="22" applyNumberFormat="1" applyFont="1" applyBorder="1"/>
    <x:xf numFmtId="176" fontId="38" fillId="7" borderId="0" xfId="23" applyNumberFormat="1" applyFont="1" applyFill="1"/>
    <x:xf numFmtId="176" fontId="24" fillId="0" borderId="0" xfId="24" applyNumberFormat="1" applyFont="1" applyBorder="1"/>
    <x:xf numFmtId="49" fontId="8" fillId="0" borderId="0" xfId="7" applyNumberFormat="1" applyAlignment="1">
      <x:alignment horizontal="left"/>
    </x:xf>
    <x:xf numFmtId="41" fontId="8" fillId="0" borderId="0" xfId="7" applyNumberFormat="1"/>
    <x:xf numFmtId="41" fontId="8" fillId="0" borderId="0" xfId="7" applyNumberFormat="1" applyAlignment="1">
      <x:alignment horizontal="center"/>
    </x:xf>
    <x:xf numFmtId="166" fontId="39" fillId="0" borderId="19" xfId="10" applyNumberFormat="1" applyFont="1" applyBorder="1"/>
    <x:xf numFmtId="0" fontId="15" fillId="0" borderId="0" xfId="51" applyFont="1" applyAlignment="1">
      <x:alignment horizontal="center"/>
    </x:xf>
    <x:xf numFmtId="165" fontId="15" fillId="0" borderId="0" xfId="12" applyNumberFormat="1" applyFont="1" applyFill="1" applyBorder="1" applyAlignment="1">
      <x:alignment horizontal="center"/>
    </x:xf>
    <x:xf numFmtId="1" fontId="15" fillId="0" borderId="0" xfId="27" applyNumberFormat="1" applyFont="1" applyAlignment="1">
      <x:alignment horizontal="left"/>
    </x:xf>
    <x:xf numFmtId="168" fontId="7" fillId="0" borderId="0" xfId="27" applyFont="1"/>
    <x:xf numFmtId="0" fontId="41" fillId="0" borderId="0" xfId="51" applyFont="1" applyAlignment="1">
      <x:alignment horizontal="center" wrapText="1"/>
    </x:xf>
    <x:xf numFmtId="168" fontId="15" fillId="0" borderId="0" xfId="27" applyFont="1"/>
    <x:xf numFmtId="43" fontId="15" fillId="0" borderId="0" xfId="8" applyFont="1" applyFill="1" applyAlignment="1"/>
    <x:xf numFmtId="172" fontId="42" fillId="9" borderId="0" xfId="8" applyNumberFormat="1" applyFont="1" applyFill="1"/>
    <x:xf numFmtId="10" fontId="42" fillId="0" borderId="0" xfId="51" applyNumberFormat="1" applyFont="1"/>
    <x:xf numFmtId="43" fontId="41" fillId="0" borderId="0" xfId="8" applyFont="1" applyFill="1" applyBorder="1"/>
    <x:xf numFmtId="0" fontId="41" fillId="0" borderId="0" xfId="51" applyFont="1"/>
    <x:xf numFmtId="0" fontId="41" fillId="0" borderId="0" xfId="51" applyFont="1" applyAlignment="1">
      <x:alignment horizontal="center"/>
    </x:xf>
    <x:xf numFmtId="10" fontId="41" fillId="0" borderId="0" xfId="51" applyNumberFormat="1" applyFont="1"/>
    <x:xf numFmtId="168" fontId="15" fillId="0" borderId="0" xfId="27" quotePrefix="1" applyFont="1" applyAlignment="1">
      <x:alignment horizontal="left"/>
    </x:xf>
    <x:xf numFmtId="43" fontId="15" fillId="0" borderId="0" xfId="8" applyFont="1" applyFill="1" applyBorder="1" applyAlignment="1"/>
    <x:xf numFmtId="0" fontId="43" fillId="0" borderId="0" xfId="51" applyFont="1"/>
    <x:xf numFmtId="175" fontId="15" fillId="0" borderId="0" xfId="0" applyNumberFormat="1" applyFont="1" applyAlignment="1">
      <x:alignment horizontal="center"/>
    </x:xf>
    <x:xf numFmtId="0" fontId="45" fillId="0" borderId="0" xfId="0" applyFont="1"/>
    <x:xf numFmtId="0" fontId="44" fillId="0" borderId="0" xfId="0" applyFont="1"/>
    <x:xf numFmtId="0" fontId="46" fillId="9" borderId="0" xfId="0" applyFont="1" applyFill="1"/>
    <x:xf numFmtId="0" fontId="45" fillId="9" borderId="0" xfId="0" applyFont="1" applyFill="1"/>
    <x:xf numFmtId="0" fontId="38" fillId="0" borderId="0" xfId="0" applyFont="1"/>
    <x:xf numFmtId="0" fontId="48" fillId="11" borderId="0" xfId="0" applyFont="1" applyFill="1"/>
    <x:xf numFmtId="0" fontId="49" fillId="0" borderId="0" xfId="0" applyFont="1" applyAlignment="1">
      <x:alignment horizontal="center"/>
    </x:xf>
    <x:xf numFmtId="164" fontId="15" fillId="0" borderId="0" xfId="47" applyNumberFormat="1" applyFont="1"/>
    <x:xf numFmtId="0" fontId="36" fillId="0" borderId="0" xfId="0" applyFont="1"/>
    <x:xf numFmtId="165" fontId="15" fillId="0" borderId="0" xfId="12" applyNumberFormat="1" applyFont="1" applyFill="1" applyBorder="1" applyAlignment="1"/>
    <x:xf numFmtId="166" fontId="15" fillId="0" borderId="0" xfId="10" applyNumberFormat="1" applyFont="1" applyFill="1"/>
    <x:xf numFmtId="0" fontId="24" fillId="0" borderId="0" xfId="0" applyFont="1"/>
    <x:xf numFmtId="3" fontId="15" fillId="0" borderId="12" xfId="0" applyNumberFormat="1" applyFont="1" applyBorder="1" applyAlignment="1">
      <x:alignment horizontal="center"/>
    </x:xf>
    <x:xf numFmtId="0" fontId="8" fillId="0" borderId="0" xfId="32"/>
    <x:xf numFmtId="168" fontId="15" fillId="0" borderId="0" xfId="0" applyNumberFormat="1" applyFont="1"/>
    <x:xf numFmtId="172" fontId="15" fillId="0" borderId="0" xfId="47" applyNumberFormat="1" applyFont="1" applyFill="1"/>
    <x:xf numFmtId="3" fontId="21" fillId="0" borderId="0" xfId="0" applyNumberFormat="1" applyFont="1"/>
    <x:xf numFmtId="3" fontId="15" fillId="0" borderId="18" xfId="0" applyNumberFormat="1" applyFont="1" applyBorder="1" applyAlignment="1">
      <x:alignment horizontal="right"/>
    </x:xf>
    <x:xf numFmtId="3" fontId="20" fillId="0" borderId="0" xfId="0" applyNumberFormat="1" applyFont="1" applyAlignment="1">
      <x:alignment horizontal="right"/>
    </x:xf>
    <x:xf numFmtId="3" fontId="21" fillId="0" borderId="0" xfId="0" applyNumberFormat="1" applyFont="1" applyAlignment="1">
      <x:alignment horizontal="right"/>
    </x:xf>
    <x:xf numFmtId="3" fontId="20" fillId="0" borderId="12" xfId="0" applyNumberFormat="1" applyFont="1" applyBorder="1" applyAlignment="1">
      <x:alignment horizontal="right"/>
    </x:xf>
    <x:xf numFmtId="172" fontId="15" fillId="0" borderId="0" xfId="0" applyNumberFormat="1" applyFont="1"/>
    <x:xf numFmtId="173" fontId="15" fillId="0" borderId="12" xfId="0" applyNumberFormat="1" applyFont="1" applyBorder="1" applyAlignment="1">
      <x:alignment horizontal="center"/>
    </x:xf>
    <x:xf numFmtId="172" fontId="15" fillId="0" borderId="12" xfId="12" applyNumberFormat="1" applyFont="1" applyFill="1" applyBorder="1" applyAlignment="1"/>
    <x:xf numFmtId="0" fontId="39" fillId="0" borderId="0" xfId="0" applyFont="1"/>
    <x:xf numFmtId="0" fontId="39" fillId="0" borderId="0" xfId="0" applyFont="1" applyAlignment="1">
      <x:alignment horizontal="center"/>
    </x:xf>
    <x:xf numFmtId="0" fontId="45" fillId="0" borderId="0" xfId="0" applyFont="1" applyAlignment="1">
      <x:alignment horizontal="center"/>
    </x:xf>
    <x:xf numFmtId="0" fontId="24" fillId="0" borderId="0" xfId="0" applyFont="1" applyAlignment="1">
      <x:alignment horizontal="center"/>
    </x:xf>
    <x:xf numFmtId="0" fontId="39" fillId="0" borderId="0" xfId="0" applyFont="1" applyAlignment="1">
      <x:alignment horizontal="center" vertical="center" wrapText="1"/>
    </x:xf>
    <x:xf numFmtId="0" fontId="39" fillId="0" borderId="32" xfId="0" applyFont="1" applyBorder="1" applyAlignment="1">
      <x:alignment horizontal="center" vertical="center"/>
    </x:xf>
    <x:xf numFmtId="0" fontId="24" fillId="0" borderId="12" xfId="0" applyFont="1" applyBorder="1" applyAlignment="1">
      <x:alignment horizontal="center" vertical="center"/>
    </x:xf>
    <x:xf numFmtId="0" fontId="24" fillId="0" borderId="24" xfId="0" applyFont="1" applyBorder="1" applyAlignment="1">
      <x:alignment horizontal="center" vertical="center" wrapText="1"/>
    </x:xf>
    <x:xf numFmtId="15" fontId="24" fillId="0" borderId="0" xfId="0" applyNumberFormat="1" applyFont="1" applyAlignment="1">
      <x:alignment horizontal="left" vertical="center" wrapText="1" indent="1"/>
    </x:xf>
    <x:xf numFmtId="15" fontId="24" fillId="0" borderId="12" xfId="0" applyNumberFormat="1" applyFont="1" applyBorder="1" applyAlignment="1">
      <x:alignment horizontal="left" vertical="center" wrapText="1" indent="1"/>
    </x:xf>
    <x:xf numFmtId="3" fontId="8" fillId="0" borderId="0" xfId="0" applyNumberFormat="1" applyFont="1"/>
    <x:xf numFmtId="0" fontId="24" fillId="0" borderId="18" xfId="0" applyFont="1" applyBorder="1" applyAlignment="1">
      <x:alignment vertical="center" wrapText="1"/>
    </x:xf>
    <x:xf numFmtId="0" fontId="24" fillId="0" borderId="18" xfId="0" applyFont="1" applyBorder="1" applyAlignment="1">
      <x:alignment horizontal="right" vertical="center" wrapText="1"/>
    </x:xf>
    <x:xf numFmtId="0" fontId="24" fillId="0" borderId="0" xfId="0" applyFont="1" applyAlignment="1">
      <x:alignment vertical="center" wrapText="1"/>
    </x:xf>
    <x:xf numFmtId="0" fontId="24" fillId="0" borderId="0" xfId="0" applyFont="1" applyAlignment="1">
      <x:alignment horizontal="right" vertical="center" wrapText="1"/>
    </x:xf>
    <x:xf numFmtId="0" fontId="24" fillId="0" borderId="0" xfId="0" applyFont="1" applyAlignment="1">
      <x:alignment horizontal="justify" vertical="center" wrapText="1"/>
    </x:xf>
    <x:xf numFmtId="0" fontId="24" fillId="0" borderId="0" xfId="0" quotePrefix="1" applyFont="1" applyAlignment="1">
      <x:alignment vertical="center"/>
    </x:xf>
    <x:xf numFmtId="0" fontId="53" fillId="9" borderId="0" xfId="0" applyFont="1" applyFill="1" applyAlignment="1">
      <x:alignment vertical="center" wrapText="1"/>
    </x:xf>
    <x:xf numFmtId="164" fontId="24" fillId="9" borderId="12" xfId="47" applyNumberFormat="1" applyFont="1" applyFill="1" applyBorder="1" applyAlignment="1">
      <x:alignment vertical="center" wrapText="1"/>
    </x:xf>
    <x:xf numFmtId="0" fontId="24" fillId="0" borderId="0" xfId="0" applyFont="1" applyAlignment="1">
      <x:alignment horizontal="right" vertical="center"/>
    </x:xf>
    <x:xf numFmtId="0" fontId="39" fillId="0" borderId="0" xfId="0" applyFont="1" applyAlignment="1">
      <x:alignment vertical="center"/>
    </x:xf>
    <x:xf numFmtId="0" fontId="39" fillId="0" borderId="12" xfId="0" quotePrefix="1" applyFont="1" applyBorder="1" applyAlignment="1">
      <x:alignment vertical="center"/>
    </x:xf>
    <x:xf numFmtId="0" fontId="39" fillId="0" borderId="12" xfId="0" applyFont="1" applyBorder="1" applyAlignment="1">
      <x:alignment vertical="center"/>
    </x:xf>
    <x:xf numFmtId="43" fontId="24" fillId="0" borderId="0" xfId="0" applyNumberFormat="1" applyFont="1"/>
    <x:xf numFmtId="0" fontId="55" fillId="11" borderId="0" xfId="0" applyFont="1" applyFill="1"/>
    <x:xf numFmtId="0" fontId="55" fillId="11" borderId="0" xfId="0" applyFont="1" applyFill="1" applyAlignment="1">
      <x:alignment horizontal="center"/>
    </x:xf>
    <x:xf numFmtId="0" fontId="14" fillId="9" borderId="0" xfId="0" applyFont="1" applyFill="1"/>
    <x:xf numFmtId="0" fontId="14" fillId="0" borderId="0" xfId="0" applyFont="1" applyAlignment="1">
      <x:alignment vertical="center" wrapText="1"/>
    </x:xf>
    <x:xf numFmtId="0" fontId="8" fillId="0" borderId="0" xfId="17" applyFont="1"/>
    <x:xf numFmtId="0" fontId="23" fillId="0" borderId="0" xfId="17" applyFont="1" applyAlignment="1">
      <x:alignment horizontal="center"/>
    </x:xf>
    <x:xf numFmtId="0" fontId="8" fillId="0" borderId="0" xfId="17" applyFont="1" applyAlignment="1">
      <x:alignment horizontal="left"/>
    </x:xf>
    <x:xf numFmtId="0" fontId="23" fillId="0" borderId="0" xfId="17" applyFont="1"/>
    <x:xf numFmtId="0" fontId="9" fillId="0" borderId="0" xfId="14" applyFont="1" applyAlignment="1">
      <x:alignment horizontal="center"/>
    </x:xf>
    <x:xf numFmtId="0" fontId="9" fillId="0" borderId="0" xfId="17" applyFont="1" applyAlignment="1">
      <x:alignment horizontal="center"/>
    </x:xf>
    <x:xf numFmtId="0" fontId="9" fillId="0" borderId="12" xfId="17" applyFont="1" applyBorder="1"/>
    <x:xf numFmtId="0" fontId="9" fillId="0" borderId="12" xfId="14" applyFont="1" applyBorder="1" applyAlignment="1">
      <x:alignment horizontal="center"/>
    </x:xf>
    <x:xf numFmtId="0" fontId="9" fillId="0" borderId="12" xfId="17" applyFont="1" applyBorder="1" applyAlignment="1">
      <x:alignment horizontal="center"/>
    </x:xf>
    <x:xf numFmtId="0" fontId="8" fillId="0" borderId="0" xfId="14" applyAlignment="1">
      <x:alignment horizontal="left" indent="1"/>
    </x:xf>
    <x:xf numFmtId="164" fontId="8" fillId="9" borderId="0" xfId="47" applyNumberFormat="1" applyFont="1" applyFill="1"/>
    <x:xf numFmtId="41" fontId="8" fillId="0" borderId="0" xfId="17" applyNumberFormat="1" applyFont="1"/>
    <x:xf numFmtId="0" fontId="9" fillId="0" borderId="0" xfId="14" applyFont="1"/>
    <x:xf numFmtId="37" fontId="8" fillId="0" borderId="0" xfId="17" applyNumberFormat="1" applyFont="1"/>
    <x:xf numFmtId="164" fontId="8" fillId="0" borderId="0" xfId="17" applyNumberFormat="1" applyFont="1"/>
    <x:xf numFmtId="0" fontId="9" fillId="0" borderId="12" xfId="14" applyFont="1" applyBorder="1"/>
    <x:xf numFmtId="0" fontId="8" fillId="0" borderId="0" xfId="17" applyFont="1" applyAlignment="1">
      <x:alignment horizontal="left" indent="1"/>
    </x:xf>
    <x:xf numFmtId="164" fontId="8" fillId="2" borderId="0" xfId="47" applyNumberFormat="1" applyFont="1" applyFill="1"/>
    <x:xf numFmtId="43" fontId="8" fillId="0" borderId="0" xfId="17" applyNumberFormat="1" applyFont="1"/>
    <x:xf numFmtId="0" fontId="8" fillId="0" borderId="0" xfId="14" applyAlignment="1">
      <x:alignment vertical="top" wrapText="1"/>
    </x:xf>
    <x:xf numFmtId="0" fontId="23" fillId="0" borderId="0" xfId="14" applyFont="1"/>
    <x:xf numFmtId="0" fontId="8" fillId="2" borderId="21" xfId="0" applyFont="1" applyFill="1" applyBorder="1"/>
    <x:xf numFmtId="41" fontId="8" fillId="2" borderId="22" xfId="0" applyNumberFormat="1" applyFont="1" applyFill="1" applyBorder="1"/>
    <x:xf numFmtId="0" fontId="8" fillId="2" borderId="22" xfId="0" applyFont="1" applyFill="1" applyBorder="1" applyAlignment="1">
      <x:alignment wrapText="1"/>
    </x:xf>
    <x:xf numFmtId="0" fontId="39" fillId="0" borderId="31" xfId="14" applyFont="1" applyBorder="1"/>
    <x:xf numFmtId="0" fontId="8" fillId="0" borderId="25" xfId="14" applyBorder="1"/>
    <x:xf numFmtId="0" fontId="8" fillId="0" borderId="23" xfId="14" applyBorder="1"/>
    <x:xf numFmtId="41" fontId="8" fillId="0" borderId="22" xfId="0" applyNumberFormat="1" applyFont="1" applyBorder="1"/>
    <x:xf numFmtId="0" fontId="8" fillId="0" borderId="22" xfId="14" applyBorder="1" applyAlignment="1">
      <x:alignment wrapText="1"/>
    </x:xf>
    <x:xf numFmtId="0" fontId="39" fillId="0" borderId="21" xfId="14" applyFont="1" applyBorder="1"/>
    <x:xf numFmtId="0" fontId="24" fillId="9" borderId="21" xfId="14" applyFont="1" applyFill="1" applyBorder="1"/>
    <x:xf numFmtId="0" fontId="8" fillId="9" borderId="23" xfId="14" applyFill="1" applyBorder="1"/>
    <x:xf numFmtId="41" fontId="8" fillId="9" borderId="22" xfId="0" applyNumberFormat="1" applyFont="1" applyFill="1" applyBorder="1"/>
    <x:xf numFmtId="0" fontId="56" fillId="2" borderId="22" xfId="14" applyFont="1" applyFill="1" applyBorder="1" applyAlignment="1">
      <x:alignment wrapText="1"/>
    </x:xf>
    <x:xf numFmtId="0" fontId="8" fillId="0" borderId="22" xfId="14" applyBorder="1" applyAlignment="1">
      <x:alignment horizontal="left" indent="1"/>
    </x:xf>
    <x:xf numFmtId="0" fontId="23" fillId="0" borderId="22" xfId="14" applyFont="1" applyBorder="1"/>
    <x:xf numFmtId="0" fontId="8" fillId="0" borderId="22" xfId="17" applyFont="1" applyBorder="1"/>
    <x:xf numFmtId="41" fontId="8" fillId="0" borderId="22" xfId="17" applyNumberFormat="1" applyFont="1" applyBorder="1"/>
    <x:xf numFmtId="10" fontId="8" fillId="2" borderId="0" xfId="46" applyNumberFormat="1" applyFont="1" applyFill="1"/>
    <x:xf numFmtId="0" fontId="8" fillId="0" borderId="22" xfId="17" applyFont="1" applyBorder="1" applyAlignment="1">
      <x:alignment wrapText="1"/>
    </x:xf>
    <x:xf numFmtId="0" fontId="9" fillId="0" borderId="22" xfId="14" applyFont="1" applyBorder="1"/>
    <x:xf numFmtId="0" fontId="3" fillId="0" borderId="0" xfId="17" applyFont="1"/>
    <x:xf numFmtId="0" fontId="8" fillId="0" borderId="0" xfId="17" applyFont="1" applyAlignment="1">
      <x:alignment wrapText="1"/>
    </x:xf>
    <x:xf numFmtId="0" fontId="8" fillId="2" borderId="23" xfId="14" applyFill="1" applyBorder="1"/>
    <x:xf numFmtId="37" fontId="8" fillId="2" borderId="23" xfId="14" applyNumberFormat="1" applyFill="1" applyBorder="1"/>
    <x:xf numFmtId="37" fontId="8" fillId="2" borderId="22" xfId="14" applyNumberFormat="1" applyFill="1" applyBorder="1"/>
    <x:xf numFmtId="41" fontId="8" fillId="2" borderId="22" xfId="14" applyNumberFormat="1" applyFill="1" applyBorder="1"/>
    <x:xf numFmtId="0" fontId="8" fillId="2" borderId="22" xfId="14" applyFill="1" applyBorder="1" applyAlignment="1">
      <x:alignment wrapText="1"/>
    </x:xf>
    <x:xf numFmtId="0" fontId="24" fillId="9" borderId="31" xfId="14" applyFont="1" applyFill="1" applyBorder="1"/>
    <x:xf numFmtId="0" fontId="8" fillId="9" borderId="25" xfId="14" applyFill="1" applyBorder="1"/>
    <x:xf numFmtId="0" fontId="8" fillId="9" borderId="22" xfId="14" applyFill="1" applyBorder="1"/>
    <x:xf numFmtId="0" fontId="39" fillId="0" borderId="28" xfId="14" applyFont="1" applyBorder="1"/>
    <x:xf numFmtId="0" fontId="8" fillId="0" borderId="29" xfId="14" applyBorder="1"/>
    <x:xf numFmtId="0" fontId="3" fillId="0" borderId="21" xfId="17" applyFont="1" applyBorder="1"/>
    <x:xf numFmtId="0" fontId="8" fillId="0" borderId="23" xfId="17" applyFont="1" applyBorder="1"/>
    <x:xf numFmtId="0" fontId="8" fillId="0" borderId="24" xfId="14" applyBorder="1" applyAlignment="1">
      <x:alignment horizontal="left" indent="1"/>
    </x:xf>
    <x:xf numFmtId="0" fontId="23" fillId="0" borderId="24" xfId="14" applyFont="1" applyBorder="1"/>
    <x:xf numFmtId="0" fontId="8" fillId="0" borderId="0" xfId="14" applyAlignment="1">
      <x:alignment horizontal="left"/>
    </x:xf>
    <x:xf numFmtId="0" fontId="9" fillId="0" borderId="22" xfId="17" applyFont="1" applyBorder="1"/>
    <x:xf numFmtId="0" fontId="39" fillId="0" borderId="0" xfId="14" applyFont="1"/>
    <x:xf numFmtId="37" fontId="8" fillId="0" borderId="0" xfId="14" applyNumberFormat="1"/>
    <x:xf numFmtId="37" fontId="8" fillId="0" borderId="0" xfId="14" applyNumberFormat="1" applyAlignment="1">
      <x:alignment horizontal="center"/>
    </x:xf>
    <x:xf numFmtId="0" fontId="8" fillId="0" borderId="0" xfId="14" applyAlignment="1">
      <x:alignment horizontal="center"/>
    </x:xf>
    <x:xf numFmtId="0" fontId="8" fillId="0" borderId="0" xfId="14" applyAlignment="1">
      <x:alignment wrapText="1"/>
    </x:xf>
    <x:xf numFmtId="37" fontId="8" fillId="0" borderId="0" xfId="14" applyNumberFormat="1" applyAlignment="1">
      <x:alignment wrapText="1"/>
    </x:xf>
    <x:xf numFmtId="0" fontId="39" fillId="0" borderId="0" xfId="14" applyFont="1" applyAlignment="1">
      <x:alignment horizontal="left"/>
    </x:xf>
    <x:xf numFmtId="37" fontId="8" fillId="0" borderId="0" xfId="17" applyNumberFormat="1" applyFont="1" applyAlignment="1">
      <x:alignment horizontal="center"/>
    </x:xf>
    <x:xf numFmtId="0" fontId="8" fillId="0" borderId="0" xfId="17" applyFont="1" applyAlignment="1">
      <x:alignment horizontal="center"/>
    </x:xf>
    <x:xf numFmtId="0" fontId="4" fillId="0" borderId="0" xfId="17" applyFont="1"/>
    <x:xf numFmtId="0" fontId="8" fillId="2" borderId="21" xfId="14" applyFill="1" applyBorder="1"/>
    <x:xf numFmtId="0" fontId="9" fillId="0" borderId="0" xfId="14" applyFont="1" applyAlignment="1">
      <x:alignment horizontal="left"/>
    </x:xf>
    <x:xf numFmtId="0" fontId="9" fillId="0" borderId="0" xfId="17" applyFont="1" applyAlignment="1">
      <x:alignment horizontal="centerContinuous"/>
    </x:xf>
    <x:xf numFmtId="0" fontId="4" fillId="0" borderId="0" xfId="17" applyFont="1" applyAlignment="1">
      <x:alignment horizontal="centerContinuous"/>
    </x:xf>
    <x:xf numFmtId="0" fontId="8" fillId="0" borderId="0" xfId="17" applyFont="1" applyAlignment="1">
      <x:alignment horizontal="centerContinuous"/>
    </x:xf>
    <x:xf numFmtId="0" fontId="8" fillId="2" borderId="22" xfId="0" applyFont="1" applyFill="1" applyBorder="1" applyAlignment="1">
      <x:alignment vertical="top" wrapText="1"/>
    </x:xf>
    <x:xf numFmtId="0" fontId="3" fillId="0" borderId="22" xfId="17" applyFont="1" applyBorder="1"/>
    <x:xf numFmtId="0" fontId="8" fillId="0" borderId="22" xfId="14" applyBorder="1"/>
    <x:xf numFmtId="0" fontId="24" fillId="0" borderId="0" xfId="0" applyFont="1" applyAlignment="1">
      <x:alignment vertical="center"/>
    </x:xf>
    <x:xf numFmtId="0" fontId="39" fillId="0" borderId="31" xfId="0" applyFont="1" applyBorder="1" applyAlignment="1">
      <x:alignment vertical="center"/>
    </x:xf>
    <x:xf numFmtId="0" fontId="24" fillId="0" borderId="25" xfId="0" applyFont="1" applyBorder="1" applyAlignment="1">
      <x:alignment vertical="center" wrapText="1"/>
    </x:xf>
    <x:xf numFmtId="0" fontId="39" fillId="0" borderId="22" xfId="0" applyFont="1" applyBorder="1" applyAlignment="1">
      <x:alignment horizontal="center" wrapText="1"/>
    </x:xf>
    <x:xf numFmtId="0" fontId="39" fillId="0" borderId="21" xfId="0" applyFont="1" applyBorder="1" applyAlignment="1">
      <x:alignment vertical="center"/>
    </x:xf>
    <x:xf numFmtId="0" fontId="24" fillId="0" borderId="23" xfId="0" applyFont="1" applyBorder="1" applyAlignment="1">
      <x:alignment vertical="center" wrapText="1"/>
    </x:xf>
    <x:xf numFmtId="0" fontId="39" fillId="0" borderId="21" xfId="0" applyFont="1" applyBorder="1" applyAlignment="1">
      <x:alignment horizontal="left" vertical="center" indent="1"/>
    </x:xf>
    <x:xf numFmtId="0" fontId="24" fillId="0" borderId="23" xfId="0" applyFont="1" applyBorder="1"/>
    <x:xf numFmtId="0" fontId="24" fillId="0" borderId="0" xfId="0" applyFont="1" applyAlignment="1">
      <x:alignment horizontal="left" indent="1"/>
    </x:xf>
    <x:xf numFmtId="3" fontId="8" fillId="0" borderId="0" xfId="0" applyNumberFormat="1" applyFont="1" applyAlignment="1">
      <x:alignment horizontal="left" indent="1"/>
    </x:xf>
    <x:xf numFmtId="166" fontId="24" fillId="9" borderId="0" xfId="45" applyNumberFormat="1" applyFont="1" applyFill="1"/>
    <x:xf numFmtId="164" fontId="24" fillId="9" borderId="0" xfId="0" applyNumberFormat="1" applyFont="1" applyFill="1"/>
    <x:xf numFmtId="166" fontId="24" fillId="0" borderId="0" xfId="45" applyNumberFormat="1" applyFont="1"/>
    <x:xf numFmtId="166" fontId="39" fillId="0" borderId="20" xfId="45" applyNumberFormat="1" applyFont="1" applyBorder="1"/>
    <x:xf numFmtId="3" fontId="8" fillId="0" borderId="0" xfId="0" applyNumberFormat="1" applyFont="1" applyAlignment="1">
      <x:alignment horizontal="left"/>
    </x:xf>
    <x:xf numFmtId="0" fontId="47" fillId="0" borderId="0" xfId="0" applyFont="1" applyAlignment="1">
      <x:alignment horizontal="left"/>
    </x:xf>
    <x:xf numFmtId="0" fontId="24" fillId="0" borderId="0" xfId="0" quotePrefix="1" applyFont="1"/>
    <x:xf numFmtId="0" fontId="24" fillId="0" borderId="0" xfId="0" applyFont="1" applyAlignment="1">
      <x:alignment horizontal="center" vertical="center"/>
    </x:xf>
    <x:xf numFmtId="0" fontId="24" fillId="0" borderId="12" xfId="0" quotePrefix="1" applyFont="1" applyBorder="1" applyAlignment="1">
      <x:alignment horizontal="center" vertical="center" wrapText="1"/>
    </x:xf>
    <x:xf numFmtId="164" fontId="24" fillId="0" borderId="0" xfId="0" applyNumberFormat="1" applyFont="1"/>
    <x:xf numFmtId="164" fontId="39" fillId="0" borderId="12" xfId="0" applyNumberFormat="1" applyFont="1" applyBorder="1"/>
    <x:xf numFmtId="164" fontId="24" fillId="0" borderId="0" xfId="0" applyNumberFormat="1" applyFont="1" applyAlignment="1">
      <x:alignment horizontal="center"/>
    </x:xf>
    <x:xf numFmtId="42" fontId="24" fillId="0" borderId="0" xfId="0" applyNumberFormat="1" applyFont="1"/>
    <x:xf numFmtId="166" fontId="24" fillId="0" borderId="0" xfId="0" applyNumberFormat="1" applyFont="1"/>
    <x:xf numFmtId="164" fontId="24" fillId="9" borderId="0" xfId="47" applyNumberFormat="1" applyFont="1" applyFill="1"/>
    <x:xf numFmtId="0" fontId="24" fillId="0" borderId="12" xfId="0" applyFont="1" applyBorder="1"/>
    <x:xf numFmtId="166" fontId="24" fillId="0" borderId="33" xfId="45" applyNumberFormat="1" applyFont="1" applyBorder="1"/>
    <x:xf numFmtId="44" fontId="24" fillId="0" borderId="0" xfId="0" applyNumberFormat="1" applyFont="1"/>
    <x:xf numFmtId="166" fontId="24" fillId="0" borderId="18" xfId="45" applyNumberFormat="1" applyFont="1" applyBorder="1"/>
    <x:xf numFmtId="166" fontId="24" fillId="0" borderId="20" xfId="45" applyNumberFormat="1" applyFont="1" applyBorder="1"/>
    <x:xf numFmtId="43" fontId="24" fillId="9" borderId="0" xfId="47" applyFont="1" applyFill="1"/>
    <x:xf numFmtId="166" fontId="24" fillId="0" borderId="19" xfId="45" applyNumberFormat="1" applyFont="1" applyBorder="1"/>
    <x:xf numFmtId="0" fontId="45" fillId="0" borderId="0" xfId="150" applyFont="1"/>
    <x:xf numFmtId="0" fontId="45" fillId="0" borderId="0" xfId="150" applyFont="1" applyAlignment="1">
      <x:alignment horizontal="left"/>
    </x:xf>
    <x:xf numFmtId="0" fontId="57" fillId="0" borderId="0" xfId="150" applyFont="1"/>
    <x:xf numFmtId="0" fontId="45" fillId="0" borderId="0" xfId="150" applyFont="1" applyAlignment="1">
      <x:alignment horizontal="center"/>
    </x:xf>
    <x:xf numFmtId="0" fontId="8" fillId="0" borderId="0" xfId="150" applyFont="1"/>
    <x:xf numFmtId="0" fontId="55" fillId="0" borderId="0" xfId="150" applyFont="1" applyAlignment="1">
      <x:alignment horizontal="left"/>
    </x:xf>
    <x:xf numFmtId="0" fontId="55" fillId="0" borderId="0" xfId="150" applyFont="1" applyAlignment="1">
      <x:alignment horizontal="center" wrapText="1"/>
    </x:xf>
    <x:xf numFmtId="0" fontId="59" fillId="0" borderId="0" xfId="150" applyFont="1"/>
    <x:xf numFmtId="0" fontId="60" fillId="0" borderId="0" xfId="150" applyFont="1" applyAlignment="1">
      <x:alignment horizontal="left"/>
    </x:xf>
    <x:xf numFmtId="0" fontId="60" fillId="0" borderId="0" xfId="150" applyFont="1" applyAlignment="1">
      <x:alignment horizontal="center"/>
    </x:xf>
    <x:xf numFmtId="0" fontId="39" fillId="0" borderId="0" xfId="150" applyFont="1" applyAlignment="1">
      <x:alignment horizontal="left"/>
    </x:xf>
    <x:xf numFmtId="164" fontId="24" fillId="0" borderId="0" xfId="0" applyNumberFormat="1" applyFont="1" applyAlignment="1">
      <x:alignment horizontal="right"/>
    </x:xf>
    <x:xf numFmtId="0" fontId="24" fillId="0" borderId="0" xfId="0" applyFont="1" applyAlignment="1">
      <x:alignment horizontal="right"/>
    </x:xf>
    <x:xf numFmtId="0" fontId="39" fillId="0" borderId="0" xfId="0" applyFont="1" applyAlignment="1">
      <x:alignment horizontal="right"/>
    </x:xf>
    <x:xf numFmtId="0" fontId="10" fillId="0" borderId="0" xfId="150" applyFont="1" applyAlignment="1">
      <x:alignment horizontal="left"/>
    </x:xf>
    <x:xf numFmtId="0" fontId="8" fillId="0" borderId="0" xfId="150" applyFont="1" applyAlignment="1">
      <x:alignment horizontal="left"/>
    </x:xf>
    <x:xf numFmtId="0" fontId="39" fillId="0" borderId="0" xfId="0" applyFont="1" applyAlignment="1">
      <x:alignment horizontal="left"/>
    </x:xf>
    <x:xf numFmtId="0" fontId="14" fillId="0" borderId="0" xfId="0" applyFont="1" applyAlignment="1">
      <x:alignment vertical="top" wrapText="1"/>
    </x:xf>
    <x:xf numFmtId="37" fontId="15" fillId="0" borderId="0" xfId="0" applyNumberFormat="1" applyFont="1" applyAlignment="1">
      <x:alignment horizontal="left"/>
    </x:xf>
    <x:xf numFmtId="37" fontId="7" fillId="0" borderId="0" xfId="0" applyNumberFormat="1" applyFont="1" applyAlignment="1">
      <x:alignment horizontal="right"/>
    </x:xf>
    <x:xf numFmtId="3" fontId="12" fillId="0" borderId="0" xfId="0" applyNumberFormat="1" applyFont="1" applyAlignment="1">
      <x:alignment horizontal="right"/>
    </x:xf>
    <x:xf numFmtId="3" fontId="15" fillId="0" borderId="0" xfId="8" applyNumberFormat="1" applyFont="1" applyFill="1" applyAlignment="1"/>
    <x:xf numFmtId="10" fontId="15" fillId="0" borderId="0" xfId="0" applyNumberFormat="1" applyFont="1"/>
    <x:xf numFmtId="3" fontId="20" fillId="0" borderId="18" xfId="0" applyNumberFormat="1" applyFont="1" applyBorder="1" applyAlignment="1">
      <x:alignment horizontal="right"/>
    </x:xf>
    <x:xf numFmtId="3" fontId="15" fillId="0" borderId="19" xfId="8" applyNumberFormat="1" applyFont="1" applyFill="1" applyBorder="1" applyAlignment="1">
      <x:alignment horizontal="right"/>
    </x:xf>
    <x:xf numFmtId="0" fontId="8" fillId="2" borderId="21" xfId="0" applyFont="1" applyFill="1" applyBorder="1" applyAlignment="1">
      <x:alignment vertical="top"/>
    </x:xf>
    <x:xf numFmtId="41" fontId="8" fillId="2" borderId="22" xfId="0" applyNumberFormat="1" applyFont="1" applyFill="1" applyBorder="1" applyAlignment="1">
      <x:alignment vertical="top"/>
    </x:xf>
    <x:xf numFmtId="0" fontId="8" fillId="2" borderId="21" xfId="14" applyFill="1" applyBorder="1" applyAlignment="1">
      <x:alignment vertical="top"/>
    </x:xf>
    <x:xf numFmtId="0" fontId="8" fillId="2" borderId="23" xfId="14" applyFill="1" applyBorder="1" applyAlignment="1">
      <x:alignment vertical="top"/>
    </x:xf>
    <x:xf numFmtId="0" fontId="8" fillId="9" borderId="22" xfId="14" applyFill="1" applyBorder="1" applyAlignment="1">
      <x:alignment vertical="top"/>
    </x:xf>
    <x:xf numFmtId="0" fontId="8" fillId="9" borderId="23" xfId="14" applyFill="1" applyBorder="1" applyAlignment="1">
      <x:alignment vertical="top"/>
    </x:xf>
    <x:xf numFmtId="37" fontId="8" fillId="2" borderId="22" xfId="14" applyNumberFormat="1" applyFill="1" applyBorder="1" applyAlignment="1">
      <x:alignment vertical="top"/>
    </x:xf>
    <x:xf numFmtId="0" fontId="15" fillId="0" borderId="0" xfId="0" applyFont="1" applyAlignment="1">
      <x:alignment horizontal="center" vertical="top"/>
    </x:xf>
    <x:xf numFmtId="0" fontId="29" fillId="5" borderId="0" xfId="0" applyFont="1" applyFill="1" applyAlignment="1">
      <x:alignment horizontal="center"/>
    </x:xf>
    <x:xf numFmtId="0" fontId="21" fillId="0" borderId="12" xfId="0" applyFont="1" applyBorder="1" applyAlignment="1">
      <x:alignment horizontal="center"/>
    </x:xf>
    <x:xf numFmtId="1" fontId="8" fillId="0" borderId="0" xfId="27" applyNumberFormat="1" applyFont="1" applyAlignment="1">
      <x:alignment horizontal="left"/>
    </x:xf>
    <x:xf numFmtId="168" fontId="8" fillId="0" borderId="0" xfId="27" applyFont="1"/>
    <x:xf numFmtId="172" fontId="8" fillId="0" borderId="0" xfId="8" applyNumberFormat="1" applyFont="1" applyFill="1" applyAlignment="1"/>
    <x:xf numFmtId="0" fontId="8" fillId="9" borderId="22" xfId="152" applyFill="1" applyBorder="1" applyAlignment="1">
      <x:alignment vertical="top" wrapText="1"/>
    </x:xf>
    <x:xf numFmtId="37" fontId="8" fillId="2" borderId="0" xfId="0" applyNumberFormat="1" applyFont="1" applyFill="1"/>
    <x:xf numFmtId="0" fontId="23" fillId="0" borderId="0" xfId="0" applyFont="1" applyAlignment="1">
      <x:alignment horizontal="left"/>
    </x:xf>
    <x:xf numFmtId="0" fontId="8" fillId="0" borderId="0" xfId="0" applyFont="1" applyAlignment="1">
      <x:alignment horizontal="right"/>
    </x:xf>
    <x:xf numFmtId="41" fontId="8" fillId="2" borderId="0" xfId="0" applyNumberFormat="1" applyFont="1" applyFill="1" applyAlignment="1">
      <x:alignment horizontal="right" wrapText="1"/>
    </x:xf>
    <x:xf numFmtId="41" fontId="8" fillId="2" borderId="0" xfId="0" applyNumberFormat="1" applyFont="1" applyFill="1" applyAlignment="1">
      <x:alignment horizontal="right"/>
    </x:xf>
    <x:xf numFmtId="0" fontId="8" fillId="2" borderId="0" xfId="0" applyFont="1" applyFill="1"/>
    <x:xf numFmtId="0" fontId="15" fillId="0" borderId="0" xfId="0" applyFont="1" applyAlignment="1">
      <x:alignment horizontal="center" vertical="center"/>
    </x:xf>
    <x:xf numFmtId="0" fontId="3" fillId="0" borderId="0" xfId="60" applyFont="1"/>
    <x:xf numFmtId="0" fontId="9" fillId="0" borderId="0" xfId="60" applyFont="1" applyAlignment="1">
      <x:alignment horizontal="left"/>
    </x:xf>
    <x:xf numFmtId="0" fontId="8" fillId="0" borderId="5" xfId="0" applyFont="1" applyBorder="1"/>
    <x:xf numFmtId="166" fontId="8" fillId="0" borderId="0" xfId="10" applyNumberFormat="1" applyFont="1" applyBorder="1"/>
    <x:xf numFmtId="0" fontId="8" fillId="0" borderId="6" xfId="0" applyFont="1" applyBorder="1"/>
    <x:xf numFmtId="166" fontId="8" fillId="0" borderId="1" xfId="0" applyNumberFormat="1" applyFont="1" applyBorder="1"/>
    <x:xf numFmtId="0" fontId="8" fillId="0" borderId="8" xfId="0" applyFont="1" applyBorder="1"/>
    <x:xf numFmtId="0" fontId="14" fillId="0" borderId="0" xfId="0" applyFont="1" applyAlignment="1">
      <x:alignment horizontal="center"/>
    </x:xf>
    <x:xf numFmtId="166" fontId="14" fillId="0" borderId="0" xfId="10" applyNumberFormat="1" applyFont="1" applyBorder="1" applyAlignment="1">
      <x:alignment horizontal="center"/>
    </x:xf>
    <x:xf numFmtId="0" fontId="14" fillId="0" borderId="6" xfId="0" applyFont="1" applyBorder="1" applyAlignment="1">
      <x:alignment horizontal="center"/>
    </x:xf>
    <x:xf numFmtId="166" fontId="14" fillId="0" borderId="0" xfId="0" applyNumberFormat="1" applyFont="1"/>
    <x:xf numFmtId="166" fontId="14" fillId="0" borderId="6" xfId="0" applyNumberFormat="1" applyFont="1" applyBorder="1"/>
    <x:xf numFmtId="166" fontId="14" fillId="0" borderId="0" xfId="10" applyNumberFormat="1" applyFont="1" applyBorder="1"/>
    <x:xf numFmtId="164" fontId="14" fillId="0" borderId="0" xfId="10" applyNumberFormat="1" applyFont="1" applyBorder="1"/>
    <x:xf numFmtId="0" fontId="14" fillId="0" borderId="12" xfId="0" applyFont="1" applyBorder="1"/>
    <x:xf numFmtId="166" fontId="14" fillId="0" borderId="12" xfId="10" applyNumberFormat="1" applyFont="1" applyBorder="1"/>
    <x:xf numFmtId="164" fontId="14" fillId="0" borderId="12" xfId="0" applyNumberFormat="1" applyFont="1" applyBorder="1"/>
    <x:xf numFmtId="166" fontId="14" fillId="0" borderId="13" xfId="0" applyNumberFormat="1" applyFont="1" applyBorder="1"/>
    <x:xf numFmtId="0" fontId="14" fillId="0" borderId="1" xfId="0" applyFont="1" applyBorder="1"/>
    <x:xf numFmtId="166" fontId="14" fillId="0" borderId="1" xfId="0" applyNumberFormat="1" applyFont="1" applyBorder="1"/>
    <x:xf numFmtId="166" fontId="14" fillId="0" borderId="1" xfId="10" applyNumberFormat="1" applyFont="1" applyBorder="1"/>
    <x:xf numFmtId="166" fontId="14" fillId="0" borderId="8" xfId="0" applyNumberFormat="1" applyFont="1" applyBorder="1"/>
    <x:xf numFmtId="10" fontId="24" fillId="0" borderId="0" xfId="46" applyNumberFormat="1" applyFont="1" applyFill="1" applyBorder="1"/>
    <x:xf numFmtId="43" fontId="14" fillId="0" borderId="0" xfId="47" applyFont="1"/>
    <x:xf numFmtId="176" fontId="24" fillId="0" borderId="0" xfId="24" applyNumberFormat="1" applyFont="1"/>
    <x:xf numFmtId="176" fontId="24" fillId="0" borderId="0" xfId="22" applyNumberFormat="1" applyFont="1"/>
    <x:xf numFmtId="41" fontId="4" fillId="0" borderId="0" xfId="7" applyNumberFormat="1" applyFont="1"/>
    <x:xf numFmtId="42" fontId="8" fillId="0" borderId="0" xfId="7" applyNumberFormat="1"/>
    <x:xf numFmtId="0" fontId="39" fillId="0" borderId="29" xfId="0" applyFont="1" applyBorder="1" applyAlignment="1">
      <x:alignment horizontal="center" vertical="center"/>
    </x:xf>
    <x:xf numFmtId="0" fontId="39" fillId="0" borderId="21" xfId="0" applyFont="1" applyBorder="1" applyAlignment="1">
      <x:alignment horizontal="center" vertical="center"/>
    </x:xf>
    <x:xf numFmtId="0" fontId="39" fillId="0" borderId="20" xfId="0" applyFont="1" applyBorder="1" applyAlignment="1">
      <x:alignment horizontal="center" vertical="center"/>
    </x:xf>
    <x:xf numFmtId="0" fontId="39" fillId="0" borderId="23" xfId="0" applyFont="1" applyBorder="1" applyAlignment="1">
      <x:alignment horizontal="center" vertical="center"/>
    </x:xf>
    <x:xf numFmtId="0" fontId="39" fillId="0" borderId="0" xfId="0" applyFont="1" applyAlignment="1">
      <x:alignment horizontal="left" vertical="center" indent="1"/>
    </x:xf>
    <x:xf numFmtId="0" fontId="8" fillId="0" borderId="0" xfId="0" applyFont="1" applyAlignment="1">
      <x:alignment horizontal="left" vertical="top" wrapText="1"/>
    </x:xf>
    <x:xf numFmtId="0" fontId="24" fillId="0" borderId="0" xfId="0" applyFont="1" applyAlignment="1">
      <x:alignment horizontal="center" vertical="center" wrapText="1"/>
    </x:xf>
    <x:xf numFmtId="0" fontId="24" fillId="0" borderId="12" xfId="0" applyFont="1" applyBorder="1" applyAlignment="1">
      <x:alignment horizontal="center" wrapText="1"/>
    </x:xf>
    <x:xf numFmtId="164" fontId="24" fillId="0" borderId="33" xfId="47" applyNumberFormat="1" applyFont="1" applyBorder="1" applyAlignment="1">
      <x:alignment vertical="center" wrapText="1"/>
    </x:xf>
    <x:xf numFmtId="164" fontId="24" fillId="0" borderId="0" xfId="47" applyNumberFormat="1" applyFont="1" applyAlignment="1">
      <x:alignment vertical="center" wrapText="1"/>
    </x:xf>
    <x:xf numFmtId="164" fontId="54" fillId="0" borderId="0" xfId="47" applyNumberFormat="1" applyFont="1" applyAlignment="1">
      <x:alignment vertical="center" wrapText="1"/>
    </x:xf>
    <x:xf numFmtId="164" fontId="24" fillId="9" borderId="0" xfId="47" applyNumberFormat="1" applyFont="1" applyFill="1" applyAlignment="1">
      <x:alignment vertical="center" wrapText="1"/>
    </x:xf>
    <x:xf numFmtId="0" fontId="24" fillId="0" borderId="0" xfId="47" applyNumberFormat="1" applyFont="1" applyAlignment="1">
      <x:alignment horizontal="right" vertical="center" wrapText="1"/>
    </x:xf>
    <x:xf numFmtId="164" fontId="24" fillId="0" borderId="18" xfId="47" applyNumberFormat="1" applyFont="1" applyBorder="1" applyAlignment="1">
      <x:alignment horizontal="right" vertical="center" wrapText="1"/>
    </x:xf>
    <x:xf numFmtId="164" fontId="24" fillId="0" borderId="18" xfId="47" applyNumberFormat="1" applyFont="1" applyBorder="1" applyAlignment="1">
      <x:alignment vertical="center" wrapText="1"/>
    </x:xf>
    <x:xf numFmtId="164" fontId="24" fillId="0" borderId="0" xfId="47" applyNumberFormat="1" applyFont="1" applyAlignment="1">
      <x:alignment horizontal="right" vertical="center" wrapText="1"/>
    </x:xf>
    <x:xf numFmtId="10" fontId="24" fillId="0" borderId="0" xfId="46" applyNumberFormat="1" applyFont="1"/>
    <x:xf numFmtId="164" fontId="24" fillId="9" borderId="0" xfId="47" applyNumberFormat="1" applyFont="1" applyFill="1" applyAlignment="1">
      <x:alignment horizontal="right" vertical="center" wrapText="1"/>
    </x:xf>
    <x:xf numFmtId="37" fontId="8" fillId="9" borderId="21" xfId="14" applyNumberFormat="1" applyFill="1" applyBorder="1" applyAlignment="1">
      <x:alignment horizontal="left" vertical="top"/>
    </x:xf>
    <x:xf numFmtId="0" fontId="8" fillId="9" borderId="22" xfId="0" applyFont="1" applyFill="1" applyBorder="1" applyAlignment="1">
      <x:alignment horizontal="left" vertical="top" wrapText="1"/>
    </x:xf>
    <x:xf numFmtId="0" fontId="8" fillId="9" borderId="22" xfId="0" applyFont="1" applyFill="1" applyBorder="1" applyAlignment="1">
      <x:alignment horizontal="left" wrapText="1"/>
    </x:xf>
    <x:xf numFmtId="164" fontId="8" fillId="0" borderId="0" xfId="18" applyNumberFormat="1" applyFont="1"/>
    <x:xf numFmtId="164" fontId="8" fillId="0" borderId="12" xfId="47" applyNumberFormat="1" applyFont="1" applyBorder="1"/>
    <x:xf numFmtId="164" fontId="53" fillId="0" borderId="0" xfId="47" applyNumberFormat="1" applyFont="1"/>
    <x:xf numFmtId="166" fontId="24" fillId="0" borderId="12" xfId="45" applyNumberFormat="1" applyFont="1" applyBorder="1"/>
    <x:xf numFmtId="164" fontId="24" fillId="0" borderId="0" xfId="8" applyNumberFormat="1" applyFont="1"/>
    <x:xf numFmtId="164" fontId="8" fillId="0" borderId="0" xfId="156" applyNumberFormat="1" applyFont="1"/>
    <x:xf numFmtId="164" fontId="8" fillId="0" borderId="0" xfId="156" applyNumberFormat="1" applyFont="1" applyProtection="1">
      <x:protection locked="0"/>
    </x:xf>
    <x:xf numFmtId="164" fontId="24" fillId="9" borderId="0" xfId="8" applyNumberFormat="1" applyFont="1" applyFill="1"/>
    <x:xf numFmtId="42" fontId="24" fillId="0" borderId="0" xfId="8" applyNumberFormat="1" applyFont="1"/>
    <x:xf numFmtId="42" fontId="24" fillId="9" borderId="0" xfId="8" applyNumberFormat="1" applyFont="1" applyFill="1"/>
    <x:xf numFmtId="0" fontId="8" fillId="0" borderId="0" xfId="157" applyFont="1"/>
    <x:xf numFmtId="0" fontId="15" fillId="0" borderId="12" xfId="0" applyFont="1" applyBorder="1" applyAlignment="1">
      <x:alignment horizontal="left" indent="1"/>
    </x:xf>
    <x:xf numFmtId="164" fontId="24" fillId="0" borderId="0" xfId="47" applyNumberFormat="1" applyFont="1"/>
    <x:xf numFmtId="0" fontId="15" fillId="0" borderId="0" xfId="0" applyFont="1" applyAlignment="1">
      <x:alignment horizontal="left" indent="1"/>
    </x:xf>
    <x:xf numFmtId="0" fontId="15" fillId="0" borderId="0" xfId="0" applyFont="1" applyAlignment="1">
      <x:alignment vertical="top"/>
    </x:xf>
    <x:xf numFmtId="0" fontId="8" fillId="0" borderId="0" xfId="14" applyAlignment="1">
      <x:alignment horizontal="left" vertical="top" wrapText="1"/>
    </x:xf>
    <x:xf numFmtId="0" fontId="24" fillId="0" borderId="0" xfId="150"/>
    <x:xf numFmtId="0" fontId="24" fillId="0" borderId="0" xfId="150" applyAlignment="1">
      <x:alignment horizontal="center"/>
    </x:xf>
    <x:xf numFmtId="0" fontId="24" fillId="0" borderId="0" xfId="150" applyAlignment="1">
      <x:alignment horizontal="left"/>
    </x:xf>
    <x:xf numFmtId="0" fontId="39" fillId="0" borderId="12" xfId="0" applyFont="1" applyBorder="1" applyAlignment="1">
      <x:alignment horizontal="center" wrapText="1"/>
    </x:xf>
    <x:xf numFmtId="0" fontId="39" fillId="0" borderId="12" xfId="0" applyFont="1" applyBorder="1" applyAlignment="1">
      <x:alignment horizontal="left" wrapText="1"/>
    </x:xf>
    <x:xf numFmtId="0" fontId="39" fillId="0" borderId="0" xfId="0" applyFont="1" applyAlignment="1">
      <x:alignment horizontal="left" wrapText="1" indent="1"/>
    </x:xf>
    <x:xf numFmtId="0" fontId="39" fillId="0" borderId="0" xfId="0" applyFont="1" applyAlignment="1">
      <x:alignment horizontal="center" wrapText="1"/>
    </x:xf>
    <x:xf numFmtId="0" fontId="39" fillId="0" borderId="0" xfId="0" applyFont="1" applyAlignment="1">
      <x:alignment horizontal="left" wrapText="1"/>
    </x:xf>
    <x:xf numFmtId="0" fontId="63" fillId="0" borderId="0" xfId="0" applyFont="1"/>
    <x:xf numFmtId="164" fontId="8" fillId="0" borderId="0" xfId="8" applyNumberFormat="1" applyFont="1" applyProtection="1">
      <x:protection locked="0"/>
    </x:xf>
    <x:xf numFmtId="164" fontId="39" fillId="0" borderId="0" xfId="0" applyNumberFormat="1" applyFont="1"/>
    <x:xf numFmtId="42" fontId="39" fillId="0" borderId="18" xfId="47" applyNumberFormat="1" applyFont="1" applyBorder="1"/>
    <x:xf numFmtId="164" fontId="65" fillId="0" borderId="0" xfId="149" applyNumberFormat="1" applyFont="1" applyProtection="1">
      <x:protection locked="0"/>
    </x:xf>
    <x:xf numFmtId="164" fontId="65" fillId="0" borderId="0" xfId="149" applyNumberFormat="1" applyFont="1"/>
    <x:xf numFmtId="167" fontId="65" fillId="0" borderId="0" xfId="46" applyNumberFormat="1" applyFont="1"/>
    <x:xf numFmtId="42" fontId="24" fillId="0" borderId="0" xfId="47" applyNumberFormat="1" applyFont="1"/>
    <x:xf numFmtId="42" fontId="39" fillId="0" borderId="19" xfId="0" applyNumberFormat="1" applyFont="1" applyBorder="1"/>
    <x:xf numFmtId="164" fontId="24" fillId="0" borderId="0" xfId="150" applyNumberFormat="1"/>
    <x:xf numFmtId="0" fontId="66" fillId="5" borderId="0" xfId="0" applyFont="1" applyFill="1" applyAlignment="1">
      <x:alignment horizontal="left"/>
    </x:xf>
    <x:xf numFmtId="0" fontId="8" fillId="5" borderId="0" xfId="0" applyFont="1" applyFill="1" applyAlignment="1">
      <x:alignment horizontal="center"/>
    </x:xf>
    <x:xf numFmtId="0" fontId="8" fillId="5" borderId="0" xfId="0" applyFont="1" applyFill="1"/>
    <x:xf numFmtId="3" fontId="8" fillId="5" borderId="0" xfId="0" applyNumberFormat="1" applyFont="1" applyFill="1" applyAlignment="1">
      <x:alignment horizontal="center"/>
    </x:xf>
    <x:xf numFmtId="0" fontId="67" fillId="0" borderId="0" xfId="150" applyFont="1"/>
    <x:xf numFmtId="0" fontId="67" fillId="0" borderId="0" xfId="150" applyFont="1" applyAlignment="1">
      <x:alignment horizontal="center"/>
    </x:xf>
    <x:xf numFmtId="0" fontId="68" fillId="11" borderId="0" xfId="0" applyFont="1" applyFill="1"/>
    <x:xf numFmtId="0" fontId="23" fillId="0" borderId="0" xfId="14" applyFont="1" applyAlignment="1">
      <x:alignment horizontal="center" wrapText="1"/>
    </x:xf>
    <x:xf numFmtId="0" fontId="9" fillId="0" borderId="0" xfId="0" applyFont="1"/>
    <x:xf numFmtId="0" fontId="70" fillId="0" borderId="0" xfId="160" applyFont="1" applyAlignment="1">
      <x:alignment horizontal="center"/>
    </x:xf>
    <x:xf numFmtId="0" fontId="70" fillId="0" borderId="0" xfId="160" applyFont="1"/>
    <x:xf numFmtId="164" fontId="70" fillId="0" borderId="0" xfId="161" applyNumberFormat="1" applyFont="1"/>
    <x:xf numFmtId="3" fontId="20" fillId="0" borderId="0" xfId="0" applyNumberFormat="1" applyFont="1" applyAlignment="1">
      <x:alignment horizontal="center"/>
    </x:xf>
    <x:xf numFmtId="0" fontId="8" fillId="0" borderId="0" xfId="0" applyFont="1" applyAlignment="1">
      <x:alignment wrapText="1"/>
    </x:xf>
    <x:xf numFmtId="0" fontId="32" fillId="0" borderId="0" xfId="0" applyFont="1"/>
    <x:xf numFmtId="164" fontId="8" fillId="0" borderId="0" xfId="1" applyNumberFormat="1" applyFont="1" applyFill="1" applyBorder="1" applyAlignment="1">
      <x:alignment horizontal="center"/>
    </x:xf>
    <x:xf numFmtId="164" fontId="8" fillId="0" borderId="1" xfId="1" applyNumberFormat="1" applyFont="1" applyFill="1" applyBorder="1" applyAlignment="1">
      <x:alignment horizontal="center"/>
    </x:xf>
    <x:xf numFmtId="2" fontId="8" fillId="0" borderId="0" xfId="0" applyNumberFormat="1" applyFont="1" applyAlignment="1">
      <x:alignment horizontal="center"/>
    </x:xf>
    <x:xf numFmtId="0" fontId="8" fillId="0" borderId="0" xfId="0" applyFont="1" applyAlignment="1">
      <x:alignment horizontal="center"/>
    </x:xf>
    <x:xf numFmtId="0" fontId="7" fillId="5" borderId="0" xfId="0" applyFont="1" applyFill="1" applyAlignment="1">
      <x:alignment horizontal="center"/>
    </x:xf>
    <x:xf numFmtId="4" fontId="20" fillId="0" borderId="0" xfId="0" applyNumberFormat="1" applyFont="1" applyAlignment="1">
      <x:alignment horizontal="right"/>
    </x:xf>
    <x:xf numFmtId="175" fontId="15" fillId="0" borderId="0" xfId="12" applyNumberFormat="1" applyFont="1" applyAlignment="1">
      <x:alignment horizontal="right"/>
    </x:xf>
    <x:xf numFmtId="0" fontId="15" fillId="5" borderId="0" xfId="0" applyFont="1" applyFill="1" applyAlignment="1">
      <x:alignment horizontal="left"/>
    </x:xf>
    <x:xf numFmtId="10" fontId="15" fillId="2" borderId="0" xfId="0" applyNumberFormat="1" applyFont="1" applyFill="1"/>
    <x:xf numFmtId="0" fontId="12" fillId="0" borderId="0" xfId="0" applyFont="1" applyAlignment="1">
      <x:alignment horizontal="center"/>
    </x:xf>
    <x:xf numFmtId="0" fontId="28" fillId="0" borderId="0" xfId="0" applyFont="1" applyAlignment="1">
      <x:alignment horizontal="left"/>
    </x:xf>
    <x:xf numFmtId="0" fontId="7" fillId="0" borderId="0" xfId="0" applyFont="1" applyAlignment="1">
      <x:alignment vertical="center"/>
    </x:xf>
    <x:xf numFmtId="0" fontId="15" fillId="0" borderId="14" xfId="0" applyFont="1" applyBorder="1" applyAlignment="1">
      <x:alignment horizontal="center"/>
    </x:xf>
    <x:xf numFmtId="0" fontId="15" fillId="0" borderId="15" xfId="0" applyFont="1" applyBorder="1" applyAlignment="1">
      <x:alignment horizontal="center"/>
    </x:xf>
    <x:xf numFmtId="3" fontId="15" fillId="0" borderId="15" xfId="0" applyNumberFormat="1" applyFont="1" applyBorder="1" applyAlignment="1">
      <x:alignment horizontal="center"/>
    </x:xf>
    <x:xf numFmtId="3" fontId="15" fillId="0" borderId="15" xfId="0" applyNumberFormat="1" applyFont="1" applyBorder="1"/>
    <x:xf numFmtId="0" fontId="15" fillId="0" borderId="15" xfId="0" applyFont="1" applyBorder="1" applyAlignment="1">
      <x:alignment horizontal="left"/>
    </x:xf>
    <x:xf numFmtId="164" fontId="15" fillId="2" borderId="0" xfId="47" applyNumberFormat="1" applyFont="1" applyFill="1"/>
    <x:xf numFmtId="164" fontId="15" fillId="2" borderId="0" xfId="47" applyNumberFormat="1" applyFont="1" applyFill="1" applyAlignment="1"/>
    <x:xf numFmtId="164" fontId="15" fillId="0" borderId="18" xfId="47" applyNumberFormat="1" applyFont="1" applyFill="1" applyBorder="1" applyAlignment="1"/>
    <x:xf numFmtId="164" fontId="15" fillId="0" borderId="18" xfId="47" applyNumberFormat="1" applyFont="1" applyBorder="1" applyAlignment="1"/>
    <x:xf numFmtId="164" fontId="15" fillId="0" borderId="0" xfId="47" applyNumberFormat="1" applyFont="1" applyFill="1" applyBorder="1" applyAlignment="1"/>
    <x:xf numFmtId="164" fontId="15" fillId="0" borderId="12" xfId="47" applyNumberFormat="1" applyFont="1" applyFill="1" applyBorder="1" applyAlignment="1"/>
    <x:xf numFmtId="164" fontId="15" fillId="0" borderId="0" xfId="47" applyNumberFormat="1" applyFont="1" applyFill="1" applyAlignment="1"/>
    <x:xf numFmtId="164" fontId="15" fillId="2" borderId="0" xfId="47" applyNumberFormat="1" applyFont="1" applyFill="1" applyBorder="1" applyAlignment="1"/>
    <x:xf numFmtId="164" fontId="15" fillId="0" borderId="0" xfId="47" applyNumberFormat="1" applyFont="1" applyBorder="1" applyAlignment="1"/>
    <x:xf numFmtId="164" fontId="15" fillId="0" borderId="19" xfId="47" applyNumberFormat="1" applyFont="1" applyBorder="1"/>
    <x:xf numFmtId="164" fontId="15" fillId="0" borderId="0" xfId="47" applyNumberFormat="1" applyFont="1" applyAlignment="1"/>
    <x:xf numFmtId="164" fontId="15" fillId="2" borderId="12" xfId="47" applyNumberFormat="1" applyFont="1" applyFill="1" applyBorder="1" applyAlignment="1"/>
    <x:xf numFmtId="10" fontId="15" fillId="0" borderId="0" xfId="12" applyNumberFormat="1" applyFont="1" applyBorder="1" applyAlignment="1"/>
    <x:xf numFmtId="164" fontId="15" fillId="0" borderId="0" xfId="47" applyNumberFormat="1" applyFont="1" applyFill="1" applyBorder="1" applyAlignment="1">
      <x:alignment horizontal="right"/>
    </x:xf>
    <x:xf numFmtId="164" fontId="15" fillId="0" borderId="18" xfId="47" applyNumberFormat="1" applyFont="1" applyFill="1" applyBorder="1" applyAlignment="1">
      <x:alignment horizontal="right"/>
    </x:xf>
    <x:xf numFmtId="164" fontId="15" fillId="0" borderId="18" xfId="47" applyNumberFormat="1" applyFont="1" applyBorder="1" applyAlignment="1">
      <x:alignment horizontal="right"/>
    </x:xf>
    <x:xf numFmtId="164" fontId="15" fillId="0" borderId="18" xfId="47" applyNumberFormat="1" applyFont="1" applyBorder="1"/>
    <x:xf numFmtId="164" fontId="15" fillId="0" borderId="0" xfId="47" applyNumberFormat="1" applyFont="1" applyFill="1" applyAlignment="1">
      <x:alignment horizontal="right"/>
    </x:xf>
    <x:xf numFmtId="164" fontId="15" fillId="0" borderId="0" xfId="47" applyNumberFormat="1" applyFont="1" applyBorder="1" applyAlignment="1">
      <x:alignment horizontal="right"/>
    </x:xf>
    <x:xf numFmtId="164" fontId="15" fillId="0" borderId="0" xfId="47" applyNumberFormat="1" applyFont="1" applyFill="1"/>
    <x:xf numFmtId="164" fontId="15" fillId="0" borderId="12" xfId="47" applyNumberFormat="1" applyFont="1" applyFill="1" applyBorder="1"/>
    <x:xf numFmtId="164" fontId="15" fillId="0" borderId="12" xfId="47" applyNumberFormat="1" applyFont="1" applyFill="1" applyBorder="1" applyAlignment="1">
      <x:alignment horizontal="right"/>
    </x:xf>
    <x:xf numFmtId="164" fontId="20" fillId="0" borderId="0" xfId="47" applyNumberFormat="1" applyFont="1" applyFill="1" applyAlignment="1">
      <x:alignment horizontal="right"/>
    </x:xf>
    <x:xf numFmtId="164" fontId="15" fillId="0" borderId="19" xfId="47" applyNumberFormat="1" applyFont="1" applyBorder="1" applyAlignment="1"/>
    <x:xf numFmtId="164" fontId="15" fillId="5" borderId="0" xfId="47" applyNumberFormat="1" applyFont="1" applyFill="1" applyBorder="1" applyAlignment="1">
      <x:alignment horizontal="center" wrapText="1"/>
    </x:xf>
    <x:xf numFmtId="164" fontId="20" fillId="0" borderId="0" xfId="47" applyNumberFormat="1" applyFont="1" applyAlignment="1">
      <x:alignment horizontal="right"/>
    </x:xf>
    <x:xf numFmtId="10" fontId="15" fillId="0" borderId="12" xfId="0" applyNumberFormat="1" applyFont="1" applyBorder="1" applyAlignment="1">
      <x:alignment horizontal="right"/>
    </x:xf>
    <x:xf numFmtId="164" fontId="15" fillId="0" borderId="0" xfId="47" applyNumberFormat="1" applyFont="1" applyAlignment="1">
      <x:alignment horizontal="right"/>
    </x:xf>
    <x:xf numFmtId="164" fontId="15" fillId="0" borderId="19" xfId="47" applyNumberFormat="1" applyFont="1" applyBorder="1" applyAlignment="1">
      <x:alignment horizontal="right"/>
    </x:xf>
    <x:xf numFmtId="164" fontId="15" fillId="2" borderId="12" xfId="47" applyNumberFormat="1" applyFont="1" applyFill="1" applyBorder="1" applyAlignment="1">
      <x:alignment horizontal="right"/>
    </x:xf>
    <x:xf numFmtId="186" fontId="15" fillId="0" borderId="0" xfId="0" applyNumberFormat="1" applyFont="1"/>
    <x:xf numFmtId="186" fontId="15" fillId="2" borderId="0" xfId="0" applyNumberFormat="1" applyFont="1" applyFill="1"/>
    <x:xf numFmtId="186" fontId="15" fillId="0" borderId="12" xfId="0" applyNumberFormat="1" applyFont="1" applyBorder="1"/>
    <x:xf numFmtId="164" fontId="15" fillId="0" borderId="19" xfId="47" applyNumberFormat="1" applyFont="1" applyFill="1" applyBorder="1" applyAlignment="1">
      <x:alignment horizontal="right"/>
    </x:xf>
    <x:xf numFmtId="164" fontId="15" fillId="0" borderId="0" xfId="47" applyNumberFormat="1" applyFont="1" applyBorder="1"/>
    <x:xf numFmtId="164" fontId="15" fillId="0" borderId="0" xfId="47" applyNumberFormat="1" applyFont="1" applyFill="1" applyBorder="1"/>
    <x:xf numFmtId="0" fontId="24" fillId="0" borderId="0" xfId="0" applyFont="1" applyAlignment="1">
      <x:alignment horizontal="left" wrapText="1"/>
    </x:xf>
    <x:xf numFmtId="37" fontId="24" fillId="0" borderId="0" xfId="0" applyNumberFormat="1" applyFont="1" applyAlignment="1">
      <x:alignment horizontal="right" wrapText="1"/>
    </x:xf>
    <x:xf numFmtId="0" fontId="24" fillId="0" borderId="0" xfId="0" applyFont="1" applyAlignment="1">
      <x:alignment horizontal="right" wrapText="1"/>
    </x:xf>
    <x:xf numFmtId="0" fontId="24" fillId="0" borderId="0" xfId="0" applyFont="1" applyAlignment="1">
      <x:alignment horizontal="left" vertical="center" wrapText="1"/>
    </x:xf>
    <x:xf numFmtId="37" fontId="24" fillId="0" borderId="0" xfId="0" applyNumberFormat="1" applyFont="1"/>
    <x:xf numFmtId="0" fontId="24" fillId="2" borderId="0" xfId="0" applyFont="1" applyFill="1"/>
    <x:xf numFmtId="41" fontId="24" fillId="0" borderId="0" xfId="0" applyNumberFormat="1" applyFont="1" applyAlignment="1">
      <x:alignment horizontal="right"/>
    </x:xf>
    <x:xf numFmtId="41" fontId="24" fillId="9" borderId="12" xfId="0" applyNumberFormat="1" applyFont="1" applyFill="1" applyBorder="1" applyAlignment="1">
      <x:alignment horizontal="right"/>
    </x:xf>
    <x:xf numFmtId="0" fontId="24" fillId="0" borderId="0" xfId="0" applyFont="1" applyAlignment="1">
      <x:alignment horizontal="left"/>
    </x:xf>
    <x:xf numFmtId="164" fontId="8" fillId="0" borderId="0" xfId="8" applyNumberFormat="1" applyFont="1" applyFill="1" applyAlignment="1"/>
    <x:xf numFmtId="164" fontId="8" fillId="0" borderId="0" xfId="8" applyNumberFormat="1" applyFont="1" applyFill="1"/>
    <x:xf numFmtId="0" fontId="8" fillId="0" borderId="0" xfId="0" applyFont="1" applyAlignment="1">
      <x:alignment horizontal="center" vertical="center" wrapText="1"/>
    </x:xf>
    <x:xf numFmtId="0" fontId="24" fillId="0" borderId="0" xfId="160" applyFont="1" applyAlignment="1">
      <x:alignment horizontal="center"/>
    </x:xf>
    <x:xf numFmtId="0" fontId="24" fillId="0" borderId="0" xfId="160" applyFont="1"/>
    <x:xf numFmtId="164" fontId="24" fillId="0" borderId="0" xfId="161" applyNumberFormat="1" applyFont="1"/>
    <x:xf numFmtId="0" fontId="39" fillId="0" borderId="12" xfId="160" applyFont="1" applyBorder="1" applyAlignment="1">
      <x:alignment horizontal="center" wrapText="1"/>
    </x:xf>
    <x:xf numFmtId="0" fontId="39" fillId="0" borderId="0" xfId="160" applyFont="1" applyAlignment="1">
      <x:alignment horizontal="center" wrapText="1"/>
    </x:xf>
    <x:xf numFmtId="164" fontId="39" fillId="0" borderId="12" xfId="161" applyNumberFormat="1" applyFont="1" applyBorder="1" applyAlignment="1">
      <x:alignment horizontal="center" wrapText="1"/>
    </x:xf>
    <x:xf numFmtId="0" fontId="71" fillId="0" borderId="0" xfId="160" applyFont="1" applyAlignment="1">
      <x:alignment horizontal="left" wrapText="1"/>
    </x:xf>
    <x:xf numFmtId="164" fontId="39" fillId="0" borderId="0" xfId="161" applyNumberFormat="1" applyFont="1" applyBorder="1" applyAlignment="1">
      <x:alignment horizontal="center" wrapText="1"/>
    </x:xf>
    <x:xf numFmtId="0" fontId="24" fillId="0" borderId="0" xfId="160" applyFont="1" applyAlignment="1">
      <x:alignment horizontal="left" indent="1"/>
    </x:xf>
    <x:xf numFmtId="164" fontId="24" fillId="9" borderId="0" xfId="161" applyNumberFormat="1" applyFont="1" applyFill="1"/>
    <x:xf numFmtId="0" fontId="24" fillId="0" borderId="0" xfId="160" quotePrefix="1" applyFont="1" applyAlignment="1">
      <x:alignment horizontal="center"/>
    </x:xf>
    <x:xf numFmtId="0" fontId="24" fillId="0" borderId="18" xfId="160" applyFont="1" applyBorder="1"/>
    <x:xf numFmtId="164" fontId="24" fillId="0" borderId="18" xfId="161" applyNumberFormat="1" applyFont="1" applyBorder="1"/>
    <x:xf numFmtId="172" fontId="24" fillId="0" borderId="0" xfId="161" applyNumberFormat="1" applyFont="1"/>
    <x:xf numFmtId="164" fontId="24" fillId="0" borderId="0" xfId="161" applyNumberFormat="1" applyFont="1" applyBorder="1"/>
    <x:xf numFmtId="185" fontId="24" fillId="0" borderId="0" xfId="161" applyNumberFormat="1" applyFont="1"/>
    <x:xf numFmtId="172" fontId="24" fillId="0" borderId="0" xfId="161" quotePrefix="1" applyNumberFormat="1" applyFont="1"/>
    <x:xf numFmtId="0" fontId="71" fillId="0" borderId="0" xfId="160" applyFont="1"/>
    <x:xf numFmtId="0" fontId="7" fillId="5" borderId="0" xfId="0" applyFont="1" applyFill="1" applyAlignment="1">
      <x:alignment horizontal="left"/>
    </x:xf>
    <x:xf numFmtId="0" fontId="3" fillId="3" borderId="4" xfId="0" applyFont="1" applyFill="1" applyBorder="1" applyAlignment="1">
      <x:alignment horizontal="center" wrapText="1"/>
    </x:xf>
    <x:xf numFmtId="3" fontId="8" fillId="0" borderId="1" xfId="0" applyNumberFormat="1" applyFont="1" applyBorder="1" applyAlignment="1">
      <x:alignment horizontal="center"/>
    </x:xf>
    <x:xf numFmtId="0" fontId="9" fillId="0" borderId="0" xfId="0" applyFont="1" applyAlignment="1">
      <x:alignment horizontal="center"/>
    </x:xf>
    <x:xf numFmtId="0" fontId="8" fillId="0" borderId="1" xfId="0" applyFont="1" applyBorder="1" applyAlignment="1">
      <x:alignment horizontal="center"/>
    </x:xf>
    <x:xf numFmtId="0" fontId="47" fillId="0" borderId="0" xfId="0" applyFont="1"/>
    <x:xf numFmtId="0" fontId="8" fillId="0" borderId="6" xfId="0" applyFont="1" applyBorder="1" applyAlignment="1">
      <x:alignment horizontal="centerContinuous"/>
    </x:xf>
    <x:xf numFmtId="3" fontId="8" fillId="0" borderId="1" xfId="8" applyNumberFormat="1" applyFont="1" applyBorder="1" applyAlignment="1">
      <x:alignment horizontal="center"/>
    </x:xf>
    <x:xf numFmtId="0" fontId="9" fillId="0" borderId="0" xfId="0" applyFont="1" applyAlignment="1">
      <x:alignment horizontal="center" wrapText="1"/>
    </x:xf>
    <x:xf numFmtId="0" fontId="8" fillId="0" borderId="0" xfId="0" applyFont="1" applyAlignment="1">
      <x:alignment horizontal="center" wrapText="1"/>
    </x:xf>
    <x:xf numFmtId="0" fontId="9" fillId="0" borderId="5" xfId="0" applyFont="1" applyBorder="1" applyAlignment="1">
      <x:alignment horizontal="center"/>
    </x:xf>
    <x:xf numFmtId="10" fontId="8" fillId="9" borderId="7" xfId="143" applyNumberFormat="1" applyFont="1" applyFill="1" applyBorder="1" applyAlignment="1">
      <x:alignment horizontal="center"/>
    </x:xf>
    <x:xf numFmtId="10" fontId="8" fillId="9" borderId="1" xfId="143" applyNumberFormat="1" applyFont="1" applyFill="1" applyBorder="1" applyAlignment="1">
      <x:alignment horizontal="center"/>
    </x:xf>
    <x:xf numFmtId="0" fontId="3" fillId="3" borderId="2" xfId="0" applyFont="1" applyFill="1" applyBorder="1" applyAlignment="1">
      <x:alignment horizontal="center" wrapText="1"/>
    </x:xf>
    <x:xf numFmtId="0" fontId="9" fillId="0" borderId="5" xfId="0" applyFont="1" applyBorder="1"/>
    <x:xf numFmtId="0" fontId="9" fillId="2" borderId="5" xfId="0" applyFont="1" applyFill="1" applyBorder="1" applyAlignment="1">
      <x:alignment horizontal="center"/>
    </x:xf>
    <x:xf numFmtId="0" fontId="3" fillId="0" borderId="1" xfId="0" applyFont="1" applyBorder="1"/>
    <x:xf numFmtId="0" fontId="3" fillId="0" borderId="4" xfId="0" applyFont="1" applyBorder="1" applyAlignment="1">
      <x:alignment wrapText="1"/>
    </x:xf>
    <x:xf numFmtId="0" fontId="4" fillId="0" borderId="4" xfId="0" applyFont="1" applyBorder="1" applyAlignment="1">
      <x:alignment wrapText="1"/>
    </x:xf>
    <x:xf numFmtId="0" fontId="3" fillId="0" borderId="2" xfId="0" applyFont="1" applyBorder="1"/>
    <x:xf numFmtId="0" fontId="9" fillId="0" borderId="0" xfId="26" applyFont="1"/>
    <x:xf numFmtId="9" fontId="8" fillId="0" borderId="5" xfId="2" applyFont="1" applyBorder="1" applyAlignment="1">
      <x:alignment horizontal="left"/>
    </x:xf>
    <x:xf numFmtId="9" fontId="8" fillId="0" borderId="5" xfId="2" applyFont="1" applyFill="1" applyBorder="1" applyAlignment="1">
      <x:alignment horizontal="left"/>
    </x:xf>
    <x:xf numFmtId="9" fontId="8" fillId="0" borderId="7" xfId="2" applyFont="1" applyFill="1" applyBorder="1" applyAlignment="1">
      <x:alignment horizontal="left"/>
    </x:xf>
    <x:xf numFmtId="0" fontId="8" fillId="0" borderId="4" xfId="0" applyFont="1" applyBorder="1"/>
    <x:xf numFmtId="0" fontId="8" fillId="0" borderId="3" xfId="0" applyFont="1" applyBorder="1"/>
    <x:xf numFmtId="0" fontId="9" fillId="0" borderId="34" xfId="26" quotePrefix="1" applyFont="1" applyBorder="1" applyAlignment="1">
      <x:alignment horizontal="left" wrapText="1"/>
    </x:xf>
    <x:xf numFmtId="0" fontId="9" fillId="0" borderId="12" xfId="26" applyFont="1" applyBorder="1"/>
    <x:xf numFmtId="0" fontId="9" fillId="0" borderId="12" xfId="26" applyFont="1" applyBorder="1" applyAlignment="1">
      <x:alignment wrapText="1"/>
    </x:xf>
    <x:xf numFmtId="0" fontId="9" fillId="0" borderId="12" xfId="26" applyFont="1" applyBorder="1" applyAlignment="1">
      <x:alignment horizontal="center" wrapText="1"/>
    </x:xf>
    <x:xf numFmtId="3" fontId="8" fillId="0" borderId="34" xfId="32" applyNumberFormat="1" applyBorder="1" applyAlignment="1">
      <x:alignment horizontal="center" wrapText="1"/>
    </x:xf>
    <x:xf numFmtId="0" fontId="8" fillId="0" borderId="12" xfId="32" applyBorder="1" applyAlignment="1">
      <x:alignment horizontal="center" wrapText="1"/>
    </x:xf>
    <x:xf numFmtId="3" fontId="8" fillId="0" borderId="12" xfId="32" applyNumberFormat="1" applyBorder="1" applyAlignment="1">
      <x:alignment horizontal="center" wrapText="1"/>
    </x:xf>
    <x:xf numFmtId="0" fontId="8" fillId="0" borderId="12" xfId="0" applyFont="1" applyBorder="1"/>
    <x:xf numFmtId="0" fontId="8" fillId="0" borderId="13" xfId="0" applyFont="1" applyBorder="1"/>
    <x:xf numFmtId="164" fontId="8" fillId="9" borderId="5" xfId="47" applyNumberFormat="1" applyFont="1" applyFill="1" applyBorder="1"/>
    <x:xf numFmtId="164" fontId="8" fillId="0" borderId="35" xfId="47" applyNumberFormat="1" applyFont="1" applyFill="1" applyBorder="1"/>
    <x:xf numFmtId="164" fontId="8" fillId="0" borderId="36" xfId="47" applyNumberFormat="1" applyFont="1" applyFill="1" applyBorder="1"/>
    <x:xf numFmtId="164" fontId="8" fillId="0" borderId="38" xfId="47" applyNumberFormat="1" applyFont="1" applyFill="1" applyBorder="1"/>
    <x:xf numFmtId="0" fontId="8" fillId="0" borderId="0" xfId="26" applyAlignment="1">
      <x:alignment horizontal="left"/>
    </x:xf>
    <x:xf numFmtId="164" fontId="24" fillId="0" borderId="39" xfId="47" applyNumberFormat="1" applyFont="1" applyFill="1" applyBorder="1"/>
    <x:xf numFmtId="164" fontId="8" fillId="0" borderId="40" xfId="47" applyNumberFormat="1" applyFont="1" applyFill="1" applyBorder="1"/>
    <x:xf numFmtId="164" fontId="9" fillId="0" borderId="40" xfId="47" applyNumberFormat="1" applyFont="1" applyFill="1" applyBorder="1"/>
    <x:xf numFmtId="43" fontId="8" fillId="0" borderId="0" xfId="8" applyFont="1" applyFill="1"/>
    <x:xf numFmtId="0" fontId="3" fillId="0" borderId="4" xfId="0" applyFont="1" applyBorder="1"/>
    <x:xf numFmtId="166" fontId="8" fillId="0" borderId="5" xfId="6" applyNumberFormat="1" applyFont="1" applyBorder="1"/>
    <x:xf numFmtId="44" fontId="8" fillId="0" borderId="7" xfId="6" applyFont="1" applyBorder="1"/>
    <x:xf numFmtId="166" fontId="8" fillId="0" borderId="1" xfId="6" applyNumberFormat="1" applyFont="1" applyBorder="1"/>
    <x:xf numFmtId="164" fontId="9" fillId="0" borderId="7" xfId="1" applyNumberFormat="1" applyFont="1" applyBorder="1" applyAlignment="1">
      <x:alignment horizontal="center"/>
    </x:xf>
    <x:xf numFmtId="0" fontId="4" fillId="3" borderId="4" xfId="0" applyFont="1" applyFill="1" applyBorder="1" applyAlignment="1">
      <x:alignment horizontal="center"/>
    </x:xf>
    <x:xf numFmtId="0" fontId="4" fillId="3" borderId="3" xfId="0" applyFont="1" applyFill="1" applyBorder="1" applyAlignment="1">
      <x:alignment horizontal="center"/>
    </x:xf>
    <x:xf numFmtId="0" fontId="8" fillId="0" borderId="6" xfId="0" applyFont="1" applyBorder="1" applyAlignment="1">
      <x:alignment horizontal="center"/>
    </x:xf>
    <x:xf numFmtId="0" fontId="4" fillId="3" borderId="4" xfId="0" applyFont="1" applyFill="1" applyBorder="1" applyAlignment="1">
      <x:alignment wrapText="1"/>
    </x:xf>
    <x:xf numFmtId="0" fontId="4" fillId="3" borderId="3" xfId="0" applyFont="1" applyFill="1" applyBorder="1" applyAlignment="1">
      <x:alignment wrapText="1"/>
    </x:xf>
    <x:xf numFmtId="0" fontId="3" fillId="3" borderId="4" xfId="0" applyFont="1" applyFill="1" applyBorder="1" applyAlignment="1">
      <x:alignment wrapText="1"/>
    </x:xf>
    <x:xf numFmtId="164" fontId="8" fillId="9" borderId="0" xfId="0" applyNumberFormat="1" applyFont="1" applyFill="1"/>
    <x:xf numFmtId="0" fontId="8" fillId="0" borderId="6" xfId="0" applyFont="1" applyBorder="1" applyAlignment="1">
      <x:alignment horizontal="left" wrapText="1"/>
    </x:xf>
    <x:xf numFmtId="164" fontId="8" fillId="0" borderId="1" xfId="0" applyNumberFormat="1" applyFont="1" applyBorder="1"/>
    <x:xf numFmtId="164" fontId="8" fillId="0" borderId="0" xfId="8" applyNumberFormat="1" applyFont="1" applyFill="1" applyBorder="1"/>
    <x:xf numFmtId="164" fontId="8" fillId="0" borderId="1" xfId="1" applyNumberFormat="1" applyFont="1" applyFill="1" applyBorder="1"/>
    <x:xf numFmtId="0" fontId="8" fillId="0" borderId="1" xfId="0" applyFont="1" applyBorder="1" applyAlignment="1">
      <x:alignment horizontal="left"/>
    </x:xf>
    <x:xf numFmtId="0" fontId="8" fillId="0" borderId="8" xfId="0" applyFont="1" applyBorder="1" applyAlignment="1">
      <x:alignment horizontal="left"/>
    </x:xf>
    <x:xf numFmtId="0" fontId="3" fillId="4" borderId="2" xfId="0" applyFont="1" applyFill="1" applyBorder="1" applyAlignment="1">
      <x:alignment horizontal="center" wrapText="1"/>
    </x:xf>
    <x:xf numFmtId="0" fontId="3" fillId="4" borderId="4" xfId="0" applyFont="1" applyFill="1" applyBorder="1" applyAlignment="1">
      <x:alignment horizontal="center" wrapText="1"/>
    </x:xf>
    <x:xf numFmtId="0" fontId="4" fillId="4" borderId="4" xfId="0" applyFont="1" applyFill="1" applyBorder="1" applyAlignment="1">
      <x:alignment wrapText="1"/>
    </x:xf>
    <x:xf numFmtId="0" fontId="4" fillId="4" borderId="3" xfId="0" applyFont="1" applyFill="1" applyBorder="1" applyAlignment="1">
      <x:alignment wrapText="1"/>
    </x:xf>
    <x:xf numFmtId="164" fontId="8" fillId="0" borderId="0" xfId="1" applyNumberFormat="1" applyFont="1" applyBorder="1"/>
    <x:xf numFmtId="164" fontId="8" fillId="0" borderId="1" xfId="1" applyNumberFormat="1" applyFont="1" applyBorder="1"/>
    <x:xf numFmtId="0" fontId="3" fillId="0" borderId="0" xfId="0" applyFont="1" applyAlignment="1">
      <x:alignment horizontal="center"/>
    </x:xf>
    <x:xf numFmtId="37" fontId="8" fillId="0" borderId="0" xfId="0" applyNumberFormat="1" applyFont="1" applyAlignment="1">
      <x:alignment horizontal="left"/>
    </x:xf>
    <x:xf numFmtId="0" fontId="56" fillId="0" borderId="0" xfId="0" applyFont="1" applyAlignment="1">
      <x:alignment horizontal="center"/>
    </x:xf>
    <x:xf numFmtId="3" fontId="8" fillId="0" borderId="6" xfId="0" applyNumberFormat="1" applyFont="1" applyBorder="1"/>
    <x:xf numFmtId="3" fontId="56" fillId="0" borderId="0" xfId="0" applyNumberFormat="1" applyFont="1" applyAlignment="1">
      <x:alignment horizontal="center"/>
    </x:xf>
    <x:xf numFmtId="3" fontId="56" fillId="0" borderId="6" xfId="0" applyNumberFormat="1" applyFont="1" applyBorder="1"/>
    <x:xf numFmtId="0" fontId="8" fillId="0" borderId="1" xfId="0" applyFont="1" applyBorder="1" applyAlignment="1">
      <x:alignment horizontal="right"/>
    </x:xf>
    <x:xf numFmtId="0" fontId="56" fillId="0" borderId="1" xfId="0" applyFont="1" applyBorder="1" applyAlignment="1">
      <x:alignment horizontal="center"/>
    </x:xf>
    <x:xf numFmtId="0" fontId="24" fillId="0" borderId="1" xfId="0" applyFont="1" applyBorder="1"/>
    <x:xf numFmtId="0" fontId="24" fillId="0" borderId="8" xfId="0" applyFont="1" applyBorder="1"/>
    <x:xf numFmtId="3" fontId="8" fillId="0" borderId="6" xfId="0" applyNumberFormat="1" applyFont="1" applyBorder="1" applyAlignment="1">
      <x:alignment horizontal="left"/>
    </x:xf>
    <x:xf numFmtId="0" fontId="8" fillId="0" borderId="6" xfId="0" applyFont="1" applyBorder="1" applyAlignment="1">
      <x:alignment horizontal="left"/>
    </x:xf>
    <x:xf numFmtId="3" fontId="8" fillId="0" borderId="8" xfId="0" applyNumberFormat="1" applyFont="1" applyBorder="1" applyAlignment="1">
      <x:alignment horizontal="left"/>
    </x:xf>
    <x:xf numFmtId="0" fontId="24" fillId="0" borderId="5" xfId="0" applyFont="1" applyBorder="1"/>
    <x:xf numFmtId="164" fontId="24" fillId="0" borderId="0" xfId="1" applyNumberFormat="1" applyFont="1" applyFill="1" applyBorder="1"/>
    <x:xf numFmtId="0" fontId="24" fillId="0" borderId="4" xfId="0" applyFont="1" applyBorder="1"/>
    <x:xf numFmtId="0" fontId="24" fillId="0" borderId="3" xfId="0" applyFont="1" applyBorder="1"/>
    <x:xf numFmtId="3" fontId="9" fillId="0" borderId="6" xfId="0" applyNumberFormat="1" applyFont="1" applyBorder="1" applyAlignment="1">
      <x:alignment horizontal="center"/>
    </x:xf>
    <x:xf numFmtId="0" fontId="24" fillId="0" borderId="6" xfId="0" applyFont="1" applyBorder="1"/>
    <x:xf numFmtId="164" fontId="8" fillId="0" borderId="6" xfId="1" applyNumberFormat="1" applyFont="1" applyFill="1" applyBorder="1" applyAlignment="1">
      <x:alignment horizontal="left"/>
    </x:xf>
    <x:xf numFmtId="0" fontId="24" fillId="0" borderId="12" xfId="0" applyFont="1" applyBorder="1" applyAlignment="1">
      <x:alignment wrapText="1"/>
    </x:xf>
    <x:xf numFmtId="181" fontId="24" fillId="0" borderId="6" xfId="0" applyNumberFormat="1" applyFont="1" applyBorder="1"/>
    <x:xf numFmtId="0" fontId="8" fillId="0" borderId="12" xfId="7" applyBorder="1"/>
    <x:xf numFmtId="0" fontId="8" fillId="0" borderId="8" xfId="0" applyFont="1" applyBorder="1" applyAlignment="1">
      <x:alignment horizontal="center"/>
    </x:xf>
    <x:xf numFmtId="0" fontId="24" fillId="0" borderId="2" xfId="0" applyFont="1" applyBorder="1"/>
    <x:xf numFmtId="3" fontId="8" fillId="0" borderId="6" xfId="0" applyNumberFormat="1" applyFont="1" applyBorder="1" applyAlignment="1">
      <x:alignment horizontal="center"/>
    </x:xf>
    <x:xf numFmtId="3" fontId="8" fillId="0" borderId="8" xfId="0" applyNumberFormat="1" applyFont="1" applyBorder="1" applyAlignment="1">
      <x:alignment horizontal="center"/>
    </x:xf>
    <x:xf numFmtId="0" fontId="3" fillId="3" borderId="4" xfId="0" applyFont="1" applyFill="1" applyBorder="1" applyAlignment="1">
      <x:alignment horizontal="center"/>
    </x:xf>
    <x:xf numFmtId="2" fontId="9" fillId="0" borderId="5" xfId="0" applyNumberFormat="1" applyFont="1" applyBorder="1" applyAlignment="1">
      <x:alignment horizontal="center"/>
    </x:xf>
    <x:xf numFmtId="164" fontId="9" fillId="0" borderId="0" xfId="1" applyNumberFormat="1" applyFont="1" applyFill="1" applyBorder="1" applyAlignment="1">
      <x:alignment horizontal="center"/>
    </x:xf>
    <x:xf numFmtId="164" fontId="24" fillId="0" borderId="0" xfId="47" applyNumberFormat="1" applyFont="1" applyBorder="1"/>
    <x:xf numFmtId="164" fontId="3" fillId="0" borderId="0" xfId="47" applyNumberFormat="1" applyFont="1" applyFill="1" applyBorder="1" applyAlignment="1">
      <x:alignment horizontal="center"/>
    </x:xf>
    <x:xf numFmtId="0" fontId="8" fillId="0" borderId="0" xfId="5"/>
    <x:xf numFmtId="0" fontId="24" fillId="7" borderId="6" xfId="0" applyFont="1" applyFill="1" applyBorder="1" applyAlignment="1">
      <x:alignment horizontal="center"/>
    </x:xf>
    <x:xf numFmtId="0" fontId="24" fillId="7" borderId="6" xfId="0" applyFont="1" applyFill="1" applyBorder="1"/>
    <x:xf numFmtId="0" fontId="24" fillId="7" borderId="34" xfId="0" applyFont="1" applyFill="1" applyBorder="1" applyAlignment="1">
      <x:alignment horizontal="left"/>
    </x:xf>
    <x:xf numFmtId="0" fontId="9" fillId="7" borderId="12" xfId="0" applyFont="1" applyFill="1" applyBorder="1" applyAlignment="1">
      <x:alignment horizontal="left"/>
    </x:xf>
    <x:xf numFmtId="0" fontId="9" fillId="7" borderId="12" xfId="0" applyFont="1" applyFill="1" applyBorder="1" applyAlignment="1">
      <x:alignment horizontal="center"/>
    </x:xf>
    <x:xf numFmtId="164" fontId="9" fillId="7" borderId="12" xfId="8" applyNumberFormat="1" applyFont="1" applyFill="1" applyBorder="1" applyAlignment="1">
      <x:alignment horizontal="center"/>
    </x:xf>
    <x:xf numFmtId="0" fontId="8" fillId="7" borderId="6" xfId="8" applyNumberFormat="1" applyFont="1" applyFill="1" applyBorder="1"/>
    <x:xf numFmtId="0" fontId="8" fillId="7" borderId="6" xfId="58" applyNumberFormat="1" applyFont="1" applyFill="1" applyBorder="1"/>
    <x:xf numFmtId="166" fontId="24" fillId="7" borderId="19" xfId="58" applyNumberFormat="1" applyFont="1" applyFill="1" applyBorder="1"/>
    <x:xf numFmtId="0" fontId="73" fillId="7" borderId="5" xfId="0" applyFont="1" applyFill="1" applyBorder="1" applyAlignment="1">
      <x:alignment horizontal="left"/>
    </x:xf>
    <x:xf numFmtId="0" fontId="24" fillId="7" borderId="5" xfId="0" applyFont="1" applyFill="1" applyBorder="1" applyAlignment="1">
      <x:alignment horizontal="left" vertical="center"/>
    </x:xf>
    <x:xf numFmtId="0" fontId="24" fillId="7" borderId="7" xfId="0" applyFont="1" applyFill="1" applyBorder="1" applyAlignment="1">
      <x:alignment horizontal="left" vertical="center"/>
    </x:xf>
    <x:xf numFmtId="0" fontId="24" fillId="7" borderId="1" xfId="0" applyFont="1" applyFill="1" applyBorder="1" applyAlignment="1">
      <x:alignment horizontal="center"/>
    </x:xf>
    <x:xf numFmtId="164" fontId="24" fillId="7" borderId="1" xfId="8" applyNumberFormat="1" applyFont="1" applyFill="1" applyBorder="1"/>
    <x:xf numFmtId="164" fontId="24" fillId="7" borderId="1" xfId="0" applyNumberFormat="1" applyFont="1" applyFill="1" applyBorder="1"/>
    <x:xf numFmtId="0" fontId="9" fillId="7" borderId="1" xfId="0" applyFont="1" applyFill="1" applyBorder="1" applyAlignment="1">
      <x:alignment horizontal="center"/>
    </x:xf>
    <x:xf numFmtId="0" fontId="24" fillId="7" borderId="8" xfId="0" applyFont="1" applyFill="1" applyBorder="1" applyAlignment="1">
      <x:alignment horizontal="center"/>
    </x:xf>
    <x:xf numFmtId="0" fontId="13" fillId="0" borderId="0" xfId="0" applyFont="1" applyAlignment="1">
      <x:alignment horizontal="left"/>
    </x:xf>
    <x:xf numFmtId="0" fontId="9" fillId="0" borderId="1" xfId="0" applyFont="1" applyBorder="1"/>
    <x:xf numFmtId="164" fontId="9" fillId="0" borderId="1" xfId="1" applyNumberFormat="1" applyFont="1" applyFill="1" applyBorder="1" applyAlignment="1">
      <x:alignment horizontal="center"/>
    </x:xf>
    <x:xf numFmtId="176" fontId="38" fillId="0" borderId="0" xfId="8" applyNumberFormat="1" applyFont="1"/>
    <x:xf numFmtId="176" fontId="38" fillId="0" borderId="0" xfId="10" applyNumberFormat="1" applyFont="1"/>
    <x:xf numFmtId="176" fontId="8" fillId="0" borderId="0" xfId="32" applyNumberFormat="1"/>
    <x:xf numFmtId="164" fontId="8" fillId="0" borderId="0" xfId="8" applyNumberFormat="1" applyFont="1" applyFill="1" applyBorder="1" applyAlignment="1"/>
    <x:xf numFmtId="0" fontId="8" fillId="0" borderId="0" xfId="27" applyNumberFormat="1" applyFont="1"/>
    <x:xf numFmtId="164" fontId="75" fillId="0" borderId="0" xfId="8" applyNumberFormat="1" applyFont="1" applyFill="1" applyBorder="1"/>
    <x:xf numFmtId="3" fontId="8" fillId="0" borderId="0" xfId="27" applyNumberFormat="1" applyFont="1"/>
    <x:xf numFmtId="0" fontId="8" fillId="0" borderId="0" xfId="27" applyNumberFormat="1" applyFont="1" applyAlignment="1" applyProtection="1">
      <x:alignment horizontal="center"/>
      <x:protection locked="0"/>
    </x:xf>
    <x:xf numFmtId="0" fontId="75" fillId="0" borderId="0" xfId="27" applyNumberFormat="1" applyFont="1"/>
    <x:xf numFmtId="49" fontId="8" fillId="0" borderId="0" xfId="27" applyNumberFormat="1" applyFont="1"/>
    <x:xf numFmtId="0" fontId="8" fillId="0" borderId="0" xfId="27" applyNumberFormat="1" applyFont="1" applyAlignment="1">
      <x:alignment horizontal="center"/>
    </x:xf>
    <x:xf numFmtId="49" fontId="8" fillId="0" borderId="0" xfId="27" applyNumberFormat="1" applyFont="1" applyAlignment="1">
      <x:alignment horizontal="center"/>
    </x:xf>
    <x:xf numFmtId="3" fontId="9" fillId="0" borderId="0" xfId="27" applyNumberFormat="1" applyFont="1" applyAlignment="1">
      <x:alignment horizontal="center"/>
    </x:xf>
    <x:xf numFmtId="164" fontId="8" fillId="0" borderId="0" xfId="8" applyNumberFormat="1" applyFont="1" applyFill="1" applyBorder="1" applyAlignment="1">
      <x:alignment horizontal="center"/>
    </x:xf>
    <x:xf numFmtId="168" fontId="9" fillId="0" borderId="0" xfId="27" applyFont="1" applyAlignment="1">
      <x:alignment horizontal="center"/>
    </x:xf>
    <x:xf numFmtId="0" fontId="9" fillId="0" borderId="0" xfId="27" applyNumberFormat="1" applyFont="1" applyAlignment="1" applyProtection="1">
      <x:alignment horizontal="center"/>
      <x:protection locked="0"/>
    </x:xf>
    <x:xf numFmtId="0" fontId="9" fillId="0" borderId="0" xfId="27" applyNumberFormat="1" applyFont="1" applyAlignment="1">
      <x:alignment horizontal="center"/>
    </x:xf>
    <x:xf numFmtId="0" fontId="9" fillId="0" borderId="0" xfId="27" applyNumberFormat="1" applyFont="1"/>
    <x:xf numFmtId="3" fontId="8" fillId="0" borderId="0" xfId="27" applyNumberFormat="1" applyFont="1" applyAlignment="1">
      <x:alignment horizontal="center"/>
    </x:xf>
    <x:xf numFmtId="3" fontId="8" fillId="0" borderId="0" xfId="27" applyNumberFormat="1" applyFont="1" applyAlignment="1">
      <x:alignment horizontal="left"/>
    </x:xf>
    <x:xf numFmtId="43" fontId="8" fillId="0" borderId="0" xfId="8" applyFont="1" applyFill="1" applyBorder="1" applyAlignment="1"/>
    <x:xf numFmtId="43" fontId="41" fillId="0" borderId="0" xfId="8" applyFont="1" applyFill="1" applyBorder="1" applyAlignment="1"/>
    <x:xf numFmtId="10" fontId="41" fillId="0" borderId="0" xfId="12" applyNumberFormat="1" applyFont="1" applyFill="1" applyBorder="1" applyAlignment="1"/>
    <x:xf numFmtId="10" fontId="9" fillId="0" borderId="0" xfId="27" applyNumberFormat="1" applyFont="1"/>
    <x:xf numFmtId="3" fontId="9" fillId="0" borderId="0" xfId="27" applyNumberFormat="1" applyFont="1"/>
    <x:xf numFmtId="178" fontId="9" fillId="0" borderId="0" xfId="27" applyNumberFormat="1" applyFont="1"/>
    <x:xf numFmtId="10" fontId="8" fillId="0" borderId="0" xfId="27" applyNumberFormat="1" applyFont="1"/>
    <x:xf numFmtId="168" fontId="8" fillId="0" borderId="0" xfId="27" applyFont="1" applyAlignment="1">
      <x:alignment horizontal="left"/>
    </x:xf>
    <x:xf numFmtId="168" fontId="8" fillId="0" borderId="0" xfId="27" applyFont="1" applyAlignment="1">
      <x:alignment horizontal="center"/>
    </x:xf>
    <x:xf numFmtId="168" fontId="9" fillId="0" borderId="0" xfId="27" applyFont="1"/>
    <x:xf numFmtId="3" fontId="9" fillId="0" borderId="0" xfId="27" applyNumberFormat="1" applyFont="1" applyAlignment="1">
      <x:alignment horizontal="left"/>
    </x:xf>
    <x:xf numFmtId="43" fontId="9" fillId="0" borderId="0" xfId="8" applyFont="1" applyFill="1" applyBorder="1" applyAlignment="1"/>
    <x:xf numFmtId="10" fontId="9" fillId="0" borderId="0" xfId="12" applyNumberFormat="1" applyFont="1" applyFill="1" applyBorder="1" applyAlignment="1"/>
    <x:xf numFmtId="0" fontId="8" fillId="0" borderId="0" xfId="27" applyNumberFormat="1" applyFont="1" applyAlignment="1">
      <x:alignment horizontal="fill"/>
    </x:xf>
    <x:xf numFmtId="168" fontId="4" fillId="0" borderId="0" xfId="27" applyFont="1"/>
    <x:xf numFmtId="3" fontId="4" fillId="0" borderId="0" xfId="27" applyNumberFormat="1" applyFont="1"/>
    <x:xf numFmtId="167" fontId="8" fillId="0" borderId="0" xfId="27" applyNumberFormat="1" applyFont="1" applyAlignment="1">
      <x:alignment horizontal="left"/>
    </x:xf>
    <x:xf numFmtId="167" fontId="8" fillId="0" borderId="0" xfId="27" applyNumberFormat="1" applyFont="1" applyAlignment="1">
      <x:alignment horizontal="center"/>
    </x:xf>
    <x:xf numFmtId="179" fontId="8" fillId="0" borderId="0" xfId="27" applyNumberFormat="1" applyFont="1"/>
    <x:xf numFmtId="49" fontId="8" fillId="0" borderId="0" xfId="27" applyNumberFormat="1" applyFont="1" applyAlignment="1">
      <x:alignment horizontal="left"/>
    </x:xf>
    <x:xf numFmtId="0" fontId="8" fillId="0" borderId="0" xfId="27" applyNumberFormat="1" applyFont="1" applyAlignment="1">
      <x:alignment horizontal="right"/>
    </x:xf>
    <x:xf numFmtId="177" fontId="9" fillId="0" borderId="0" xfId="27" applyNumberFormat="1" applyFont="1" applyAlignment="1">
      <x:alignment horizontal="center"/>
    </x:xf>
    <x:xf numFmtId="177" fontId="9" fillId="0" borderId="0" xfId="27" quotePrefix="1" applyNumberFormat="1" applyFont="1" applyAlignment="1">
      <x:alignment horizontal="center"/>
    </x:xf>
    <x:xf numFmtId="168" fontId="9" fillId="0" borderId="20" xfId="27" applyFont="1" applyBorder="1"/>
    <x:xf numFmtId="168" fontId="9" fillId="0" borderId="18" xfId="27" applyFont="1" applyBorder="1"/>
    <x:xf numFmtId="168" fontId="9" fillId="0" borderId="20" xfId="27" applyFont="1" applyBorder="1" applyAlignment="1">
      <x:alignment horizontal="center" wrapText="1"/>
    </x:xf>
    <x:xf numFmtId="0" fontId="9" fillId="0" borderId="20" xfId="27" applyNumberFormat="1" applyFont="1" applyBorder="1" applyAlignment="1">
      <x:alignment horizontal="center" wrapText="1"/>
    </x:xf>
    <x:xf numFmtId="168" fontId="9" fillId="0" borderId="22" xfId="27" applyFont="1" applyBorder="1" applyAlignment="1">
      <x:alignment horizontal="center" wrapText="1"/>
    </x:xf>
    <x:xf numFmtId="3" fontId="9" fillId="0" borderId="22" xfId="27" applyNumberFormat="1" applyFont="1" applyBorder="1" applyAlignment="1">
      <x:alignment horizontal="center" wrapText="1"/>
    </x:xf>
    <x:xf numFmtId="0" fontId="8" fillId="0" borderId="20" xfId="27" applyNumberFormat="1" applyFont="1" applyBorder="1"/>
    <x:xf numFmtId="0" fontId="8" fillId="0" borderId="20" xfId="27" applyNumberFormat="1" applyFont="1" applyBorder="1" applyAlignment="1">
      <x:alignment horizontal="center"/>
    </x:xf>
    <x:xf numFmtId="0" fontId="8" fillId="0" borderId="22" xfId="27" applyNumberFormat="1" applyFont="1" applyBorder="1" applyAlignment="1">
      <x:alignment horizontal="center"/>
    </x:xf>
    <x:xf numFmtId="0" fontId="8" fillId="0" borderId="22" xfId="27" applyNumberFormat="1" applyFont="1" applyBorder="1" applyAlignment="1">
      <x:alignment horizontal="center" wrapText="1"/>
    </x:xf>
    <x:xf numFmtId="3" fontId="8" fillId="0" borderId="22" xfId="27" applyNumberFormat="1" applyFont="1" applyBorder="1" applyAlignment="1">
      <x:alignment horizontal="center" wrapText="1"/>
    </x:xf>
    <x:xf numFmtId="3" fontId="8" fillId="0" borderId="20" xfId="27" applyNumberFormat="1" applyFont="1" applyBorder="1" applyAlignment="1">
      <x:alignment horizontal="center"/>
    </x:xf>
    <x:xf numFmtId="0" fontId="8" fillId="0" borderId="26" xfId="27" applyNumberFormat="1" applyFont="1" applyBorder="1"/>
    <x:xf numFmtId="0" fontId="8" fillId="0" borderId="28" xfId="27" applyNumberFormat="1" applyFont="1" applyBorder="1"/>
    <x:xf numFmtId="3" fontId="8" fillId="0" borderId="26" xfId="27" applyNumberFormat="1" applyFont="1" applyBorder="1"/>
    <x:xf numFmtId="168" fontId="8" fillId="0" borderId="0" xfId="49" applyFont="1"/>
    <x:xf numFmtId="0" fontId="8" fillId="0" borderId="0" xfId="8" applyNumberFormat="1" applyFont="1" applyFill="1" applyBorder="1" applyAlignment="1"/>
    <x:xf numFmtId="166" fontId="8" fillId="9" borderId="0" xfId="10" applyNumberFormat="1" applyFont="1" applyFill="1" applyBorder="1" applyAlignment="1"/>
    <x:xf numFmtId="164" fontId="8" fillId="0" borderId="26" xfId="8" applyNumberFormat="1" applyFont="1" applyFill="1" applyBorder="1" applyAlignment="1"/>
    <x:xf numFmtId="164" fontId="8" fillId="9" borderId="0" xfId="8" applyNumberFormat="1" applyFont="1" applyFill="1" applyBorder="1" applyAlignment="1"/>
    <x:xf numFmtId="164" fontId="8" fillId="9" borderId="30" xfId="8" applyNumberFormat="1" applyFont="1" applyFill="1" applyBorder="1" applyAlignment="1"/>
    <x:xf numFmtId="168" fontId="8" fillId="9" borderId="0" xfId="49" applyFont="1" applyFill="1"/>
    <x:xf numFmtId="0" fontId="8" fillId="9" borderId="0" xfId="8" applyNumberFormat="1" applyFont="1" applyFill="1" applyBorder="1" applyAlignment="1">
      <x:alignment horizontal="left"/>
    </x:xf>
    <x:xf numFmtId="43" fontId="8" fillId="0" borderId="26" xfId="8" applyFont="1" applyFill="1" applyBorder="1" applyAlignment="1"/>
    <x:xf numFmtId="168" fontId="8" fillId="9" borderId="0" xfId="27" applyFont="1" applyFill="1"/>
    <x:xf numFmtId="168" fontId="8" fillId="0" borderId="12" xfId="27" applyFont="1" applyBorder="1"/>
    <x:xf numFmtId="168" fontId="8" fillId="9" borderId="12" xfId="27" applyFont="1" applyFill="1" applyBorder="1"/>
    <x:xf numFmtId="168" fontId="8" fillId="0" borderId="24" xfId="27" applyFont="1" applyBorder="1"/>
    <x:xf numFmtId="164" fontId="8" fillId="0" borderId="24" xfId="8" applyNumberFormat="1" applyFont="1" applyFill="1" applyBorder="1" applyAlignment="1"/>
    <x:xf numFmtId="164" fontId="8" fillId="9" borderId="12" xfId="8" applyNumberFormat="1" applyFont="1" applyFill="1" applyBorder="1" applyAlignment="1"/>
    <x:xf numFmtId="164" fontId="76" fillId="9" borderId="31" xfId="8" applyNumberFormat="1" applyFont="1" applyFill="1" applyBorder="1" applyAlignment="1"/>
    <x:xf numFmtId="164" fontId="76" fillId="0" borderId="24" xfId="8" applyNumberFormat="1" applyFont="1" applyFill="1" applyBorder="1" applyAlignment="1"/>
    <x:xf numFmtId="168" fontId="8" fillId="0" borderId="0" xfId="27" applyFont="1" applyAlignment="1">
      <x:alignment horizontal="center" vertical="top"/>
    </x:xf>
    <x:xf numFmtId="168" fontId="14" fillId="0" borderId="0" xfId="27" applyFont="1"/>
    <x:xf numFmtId="168" fontId="8" fillId="0" borderId="0" xfId="34" applyFont="1"/>
    <x:xf numFmtId="168" fontId="10" fillId="0" borderId="0" xfId="27" applyFont="1"/>
    <x:xf numFmtId="0" fontId="8" fillId="0" borderId="0" xfId="60" applyAlignment="1">
      <x:alignment horizontal="left"/>
    </x:xf>
    <x:xf numFmtId="0" fontId="8" fillId="0" borderId="0" xfId="8" applyNumberFormat="1" applyFont="1" applyFill="1" applyBorder="1" applyAlignment="1" applyProtection="1">
      <x:alignment horizontal="center"/>
      <x:protection locked="0"/>
    </x:xf>
    <x:xf numFmtId="0" fontId="8" fillId="0" borderId="0" xfId="8" applyNumberFormat="1" applyFont="1" applyFill="1" applyAlignment="1">
      <x:alignment horizontal="center"/>
    </x:xf>
    <x:xf numFmtId="168" fontId="8" fillId="0" borderId="0" xfId="34" applyFont="1" applyAlignment="1">
      <x:alignment horizontal="center"/>
    </x:xf>
    <x:xf numFmtId="168" fontId="8" fillId="0" borderId="28" xfId="34" applyFont="1" applyBorder="1"/>
    <x:xf numFmtId="168" fontId="8" fillId="0" borderId="32" xfId="34" applyFont="1" applyBorder="1" applyAlignment="1">
      <x:alignment horizontal="center"/>
    </x:xf>
    <x:xf numFmtId="168" fontId="8" fillId="0" borderId="18" xfId="34" applyFont="1" applyBorder="1"/>
    <x:xf numFmtId="168" fontId="8" fillId="0" borderId="29" xfId="34" applyFont="1" applyBorder="1"/>
    <x:xf numFmtId="168" fontId="8" fillId="0" borderId="31" xfId="34" applyFont="1" applyBorder="1"/>
    <x:xf numFmtId="168" fontId="8" fillId="0" borderId="24" xfId="34" applyFont="1" applyBorder="1" applyAlignment="1">
      <x:alignment horizontal="center"/>
    </x:xf>
    <x:xf numFmtId="168" fontId="8" fillId="0" borderId="12" xfId="34" applyFont="1" applyBorder="1"/>
    <x:xf numFmtId="168" fontId="8" fillId="0" borderId="25" xfId="34" applyFont="1" applyBorder="1"/>
    <x:xf numFmtId="168" fontId="8" fillId="0" borderId="32" xfId="34" applyFont="1" applyBorder="1"/>
    <x:xf numFmtId="164" fontId="8" fillId="9" borderId="0" xfId="8" applyNumberFormat="1" applyFont="1" applyFill="1" applyBorder="1"/>
    <x:xf numFmtId="168" fontId="8" fillId="0" borderId="26" xfId="34" applyFont="1" applyBorder="1"/>
    <x:xf numFmtId="168" fontId="8" fillId="0" borderId="26" xfId="34" applyFont="1" applyBorder="1" applyAlignment="1">
      <x:alignment horizontal="center"/>
    </x:xf>
    <x:xf numFmtId="168" fontId="8" fillId="0" borderId="28" xfId="34" applyFont="1" applyBorder="1" applyAlignment="1">
      <x:alignment horizontal="center"/>
    </x:xf>
    <x:xf numFmtId="168" fontId="8" fillId="0" borderId="30" xfId="34" applyFont="1" applyBorder="1" applyAlignment="1">
      <x:alignment horizontal="center"/>
    </x:xf>
    <x:xf numFmtId="168" fontId="8" fillId="0" borderId="24" xfId="27" applyFont="1" applyBorder="1" applyAlignment="1">
      <x:alignment horizontal="center"/>
    </x:xf>
    <x:xf numFmtId="164" fontId="8" fillId="9" borderId="26" xfId="8" applyNumberFormat="1" applyFont="1" applyFill="1" applyBorder="1"/>
    <x:xf numFmtId="164" fontId="8" fillId="9" borderId="27" xfId="8" applyNumberFormat="1" applyFont="1" applyFill="1" applyBorder="1" applyAlignment="1">
      <x:alignment horizontal="center"/>
    </x:xf>
    <x:xf numFmtId="164" fontId="8" fillId="9" borderId="26" xfId="8" applyNumberFormat="1" applyFont="1" applyFill="1" applyBorder="1" applyAlignment="1">
      <x:alignment horizontal="center"/>
    </x:xf>
    <x:xf numFmtId="168" fontId="8" fillId="9" borderId="26" xfId="49" applyFont="1" applyFill="1" applyBorder="1"/>
    <x:xf numFmtId="43" fontId="8" fillId="9" borderId="27" xfId="8" applyFont="1" applyFill="1" applyBorder="1"/>
    <x:xf numFmtId="168" fontId="8" fillId="9" borderId="0" xfId="34" applyFont="1" applyFill="1"/>
    <x:xf numFmtId="168" fontId="8" fillId="0" borderId="24" xfId="34" applyFont="1" applyBorder="1"/>
    <x:xf numFmtId="166" fontId="8" fillId="0" borderId="24" xfId="10" applyNumberFormat="1" applyFont="1" applyFill="1" applyBorder="1"/>
    <x:xf numFmtId="10" fontId="8" fillId="0" borderId="25" xfId="12" applyNumberFormat="1" applyFont="1" applyFill="1" applyBorder="1"/>
    <x:xf numFmtId="172" fontId="8" fillId="0" borderId="0" xfId="8" applyNumberFormat="1" applyFont="1" applyFill="1"/>
    <x:xf numFmtId="168" fontId="8" fillId="0" borderId="0" xfId="34" applyFont="1" applyProtection="1"/>
    <x:xf numFmtId="43" fontId="8" fillId="0" borderId="0" xfId="8" applyFont="1" applyFill="1" applyAlignment="1"/>
    <x:xf numFmtId="0" fontId="9" fillId="0" borderId="0" xfId="8" applyNumberFormat="1" applyFont="1" applyFill="1" applyBorder="1" applyAlignment="1">
      <x:alignment horizontal="left"/>
    </x:xf>
    <x:xf numFmtId="168" fontId="8" fillId="0" borderId="12" xfId="27" applyFont="1" applyBorder="1" applyAlignment="1">
      <x:alignment horizontal="center"/>
    </x:xf>
    <x:xf numFmtId="168" fontId="8" fillId="0" borderId="28" xfId="27" applyFont="1" applyBorder="1" applyAlignment="1">
      <x:alignment horizontal="center"/>
    </x:xf>
    <x:xf numFmtId="168" fontId="8" fillId="0" borderId="32" xfId="27" applyFont="1" applyBorder="1" applyAlignment="1">
      <x:alignment horizontal="center"/>
    </x:xf>
    <x:xf numFmtId="168" fontId="8" fillId="0" borderId="31" xfId="27" applyFont="1" applyBorder="1" applyAlignment="1">
      <x:alignment horizontal="center"/>
    </x:xf>
    <x:xf numFmtId="0" fontId="8" fillId="0" borderId="0" xfId="8" applyNumberFormat="1" applyFont="1" applyFill="1" applyAlignment="1">
      <x:alignment horizontal="center" vertical="top"/>
    </x:xf>
    <x:xf numFmtId="0" fontId="8" fillId="0" borderId="0" xfId="34" applyNumberFormat="1" applyFont="1" applyAlignment="1">
      <x:alignment horizontal="center" vertical="top"/>
    </x:xf>
    <x:xf numFmtId="0" fontId="8" fillId="0" borderId="0" xfId="5" applyAlignment="1">
      <x:alignment horizontal="left"/>
    </x:xf>
    <x:xf numFmtId="0" fontId="8" fillId="0" borderId="0" xfId="3" applyAlignment="1">
      <x:alignment horizontal="center"/>
    </x:xf>
    <x:xf numFmtId="0" fontId="8" fillId="0" borderId="0" xfId="5" applyAlignment="1">
      <x:alignment horizontal="center"/>
    </x:xf>
    <x:xf numFmtId="164" fontId="8" fillId="2" borderId="0" xfId="8" applyNumberFormat="1" applyFont="1" applyFill="1"/>
    <x:xf numFmtId="164" fontId="8" fillId="0" borderId="0" xfId="10" applyNumberFormat="1" applyFont="1" applyFill="1"/>
    <x:xf numFmtId="166" fontId="8" fillId="0" borderId="0" xfId="10" applyNumberFormat="1" applyFont="1" applyFill="1" applyBorder="1"/>
    <x:xf numFmtId="0" fontId="8" fillId="0" borderId="18" xfId="0" applyFont="1" applyBorder="1" applyAlignment="1">
      <x:alignment horizontal="center"/>
    </x:xf>
    <x:xf numFmtId="0" fontId="8" fillId="0" borderId="29" xfId="0" applyFont="1" applyBorder="1" applyAlignment="1">
      <x:alignment horizontal="center"/>
    </x:xf>
    <x:xf numFmtId="168" fontId="8" fillId="0" borderId="0" xfId="27" applyFont="1" applyAlignment="1">
      <x:alignment horizontal="center" wrapText="1"/>
    </x:xf>
    <x:xf numFmtId="168" fontId="8" fillId="0" borderId="27" xfId="27" applyFont="1" applyBorder="1" applyAlignment="1">
      <x:alignment horizontal="center"/>
    </x:xf>
    <x:xf numFmtId="0" fontId="8" fillId="0" borderId="27" xfId="0" applyFont="1" applyBorder="1" applyAlignment="1">
      <x:alignment horizontal="center" wrapText="1"/>
    </x:xf>
    <x:xf numFmtId="172" fontId="8" fillId="0" borderId="0" xfId="8" applyNumberFormat="1" applyFont="1" applyFill="1" applyBorder="1"/>
    <x:xf numFmtId="164" fontId="8" fillId="0" borderId="27" xfId="47" applyNumberFormat="1" applyFont="1" applyFill="1" applyBorder="1"/>
    <x:xf numFmtId="43" fontId="8" fillId="0" borderId="0" xfId="8" applyFont="1" applyFill="1" applyBorder="1"/>
    <x:xf numFmtId="43" fontId="8" fillId="0" borderId="0" xfId="8" applyFont="1" applyFill="1" applyBorder="1" applyAlignment="1">
      <x:alignment horizontal="center"/>
    </x:xf>
    <x:xf numFmtId="180" fontId="8" fillId="0" borderId="0" xfId="8" applyNumberFormat="1" applyFont="1" applyFill="1" applyBorder="1" applyAlignment="1"/>
    <x:xf numFmtId="0" fontId="8" fillId="9" borderId="30" xfId="0" applyFont="1" applyFill="1" applyBorder="1"/>
    <x:xf numFmtId="43" fontId="8" fillId="0" borderId="27" xfId="8" applyFont="1" applyFill="1" applyBorder="1"/>
    <x:xf numFmtId="164" fontId="8" fillId="0" borderId="12" xfId="8" applyNumberFormat="1" applyFont="1" applyFill="1" applyBorder="1"/>
    <x:xf numFmtId="43" fontId="8" fillId="0" borderId="12" xfId="8" applyFont="1" applyFill="1" applyBorder="1"/>
    <x:xf numFmtId="164" fontId="8" fillId="0" borderId="25" xfId="8" applyNumberFormat="1" applyFont="1" applyFill="1" applyBorder="1"/>
    <x:xf numFmtId="10" fontId="8" fillId="0" borderId="0" xfId="12" applyNumberFormat="1" applyFont="1" applyFill="1" applyBorder="1"/>
    <x:xf numFmtId="0" fontId="8" fillId="0" borderId="0" xfId="60"/>
    <x:xf numFmtId="0" fontId="8" fillId="0" borderId="0" xfId="60" applyAlignment="1">
      <x:alignment horizontal="center"/>
    </x:xf>
    <x:xf numFmtId="164" fontId="8" fillId="0" borderId="0" xfId="1" applyNumberFormat="1" applyFont="1" applyFill="1"/>
    <x:xf numFmtId="165" fontId="8" fillId="0" borderId="0" xfId="2" applyNumberFormat="1" applyFont="1" applyAlignment="1">
      <x:alignment horizontal="right"/>
    </x:xf>
    <x:xf numFmtId="164" fontId="24" fillId="2" borderId="0" xfId="47" applyNumberFormat="1" applyFont="1" applyFill="1"/>
    <x:xf numFmtId="0" fontId="79" fillId="0" borderId="0" xfId="25" applyNumberFormat="1" applyFont="1" applyAlignment="1">
      <x:alignment horizontal="center"/>
    </x:xf>
    <x:xf numFmtId="168" fontId="8" fillId="0" borderId="0" xfId="25" applyFont="1"/>
    <x:xf numFmtId="0" fontId="8" fillId="0" borderId="0" xfId="26"/>
    <x:xf numFmtId="0" fontId="8" fillId="0" borderId="0" xfId="25" applyNumberFormat="1" applyFont="1" applyAlignment="1">
      <x:alignment horizontal="center"/>
    </x:xf>
    <x:xf numFmtId="0" fontId="8" fillId="0" borderId="0" xfId="26" applyAlignment="1">
      <x:alignment horizontal="center"/>
    </x:xf>
    <x:xf numFmtId="168" fontId="8" fillId="0" borderId="0" xfId="25" applyFont="1" applyAlignment="1">
      <x:alignment horizontal="right"/>
    </x:xf>
    <x:xf numFmtId="0" fontId="9" fillId="0" borderId="0" xfId="26" applyFont="1" applyAlignment="1">
      <x:alignment horizontal="centerContinuous"/>
    </x:xf>
    <x:xf numFmtId="0" fontId="8" fillId="0" borderId="0" xfId="54" applyNumberFormat="1" applyFont="1" applyAlignment="1">
      <x:alignment horizontal="center"/>
    </x:xf>
    <x:xf numFmtId="0" fontId="9" fillId="0" borderId="0" xfId="26" applyFont="1" applyAlignment="1">
      <x:alignment horizontal="center" wrapText="1"/>
    </x:xf>
    <x:xf numFmtId="168" fontId="8" fillId="0" borderId="0" xfId="54" applyFont="1"/>
    <x:xf numFmtId="0" fontId="8" fillId="0" borderId="0" xfId="54" applyNumberFormat="1" applyFont="1" applyAlignment="1">
      <x:alignment horizontal="center" wrapText="1"/>
    </x:xf>
    <x:xf numFmtId="168" fontId="9" fillId="0" borderId="0" xfId="54" applyFont="1" applyAlignment="1">
      <x:alignment horizontal="center" wrapText="1"/>
    </x:xf>
    <x:xf numFmtId="168" fontId="8" fillId="0" borderId="0" xfId="54" applyFont="1" applyAlignment="1">
      <x:alignment wrapText="1"/>
    </x:xf>
    <x:xf numFmtId="0" fontId="9" fillId="0" borderId="0" xfId="26" applyFont="1" applyAlignment="1">
      <x:alignment horizontal="center"/>
    </x:xf>
    <x:xf numFmtId="168" fontId="79" fillId="0" borderId="0" xfId="54" applyFont="1"/>
    <x:xf numFmtId="0" fontId="8" fillId="0" borderId="0" xfId="55" applyAlignment="1">
      <x:alignment horizontal="left" wrapText="1"/>
    </x:xf>
    <x:xf numFmtId="37" fontId="8" fillId="0" borderId="0" xfId="8" applyNumberFormat="1" applyFont="1" applyFill="1" applyAlignment="1">
      <x:alignment horizontal="center"/>
    </x:xf>
    <x:xf numFmtId="168" fontId="79" fillId="0" borderId="0" xfId="25" applyFont="1"/>
    <x:xf numFmtId="0" fontId="8" fillId="0" borderId="0" xfId="26" quotePrefix="1" applyAlignment="1">
      <x:alignment horizontal="left"/>
    </x:xf>
    <x:xf numFmtId="41" fontId="8" fillId="9" borderId="0" xfId="26" applyNumberFormat="1" applyFill="1"/>
    <x:xf numFmtId="164" fontId="8" fillId="9" borderId="0" xfId="8" applyNumberFormat="1" applyFont="1" applyFill="1"/>
    <x:xf numFmtId="164" fontId="8" fillId="0" borderId="20" xfId="8" applyNumberFormat="1" applyFont="1" applyFill="1" applyBorder="1"/>
    <x:xf numFmtId="164" fontId="8" fillId="0" borderId="19" xfId="8" applyNumberFormat="1" applyFont="1" applyFill="1" applyBorder="1"/>
    <x:xf numFmtId="37" fontId="8" fillId="0" borderId="0" xfId="26" applyNumberFormat="1"/>
    <x:xf numFmtId="168" fontId="8" fillId="0" borderId="0" xfId="31" applyFont="1"/>
    <x:xf numFmtId="0" fontId="9" fillId="0" borderId="0" xfId="26" applyFont="1" applyAlignment="1">
      <x:alignment horizontal="centerContinuous" wrapText="1"/>
    </x:xf>
    <x:xf numFmtId="0" fontId="9" fillId="0" borderId="0" xfId="28" applyFont="1" applyAlignment="1">
      <x:alignment horizontal="center" wrapText="1"/>
    </x:xf>
    <x:xf numFmtId="168" fontId="9" fillId="0" borderId="0" xfId="25" applyFont="1" applyAlignment="1">
      <x:alignment horizontal="center"/>
    </x:xf>
    <x:xf numFmtId="168" fontId="9" fillId="0" borderId="0" xfId="25" quotePrefix="1" applyFont="1" applyAlignment="1">
      <x:alignment horizontal="center"/>
    </x:xf>
    <x:xf numFmtId="0" fontId="8" fillId="0" borderId="0" xfId="29" applyAlignment="1">
      <x:alignment horizontal="left" wrapText="1"/>
    </x:xf>
    <x:xf numFmtId="37" fontId="8" fillId="0" borderId="0" xfId="8" applyNumberFormat="1" applyFont="1" applyFill="1" applyAlignment="1">
      <x:alignment horizontal="center" wrapText="1"/>
    </x:xf>
    <x:xf numFmtId="0" fontId="8" fillId="0" borderId="0" xfId="28" applyFont="1" applyAlignment="1">
      <x:alignment horizontal="center" wrapText="1"/>
    </x:xf>
    <x:xf numFmtId="3" fontId="8" fillId="0" borderId="0" xfId="30" applyNumberFormat="1" applyAlignment="1">
      <x:alignment horizontal="center" wrapText="1"/>
    </x:xf>
    <x:xf numFmtId="0" fontId="8" fillId="0" borderId="0" xfId="26" applyAlignment="1">
      <x:alignment horizontal="center" wrapText="1"/>
    </x:xf>
    <x:xf numFmtId="41" fontId="14" fillId="10" borderId="0" xfId="26" applyNumberFormat="1" applyFont="1" applyFill="1"/>
    <x:xf numFmtId="164" fontId="8" fillId="9" borderId="0" xfId="26" applyNumberFormat="1" applyFill="1"/>
    <x:xf numFmtId="43" fontId="8" fillId="0" borderId="19" xfId="8" applyFont="1" applyFill="1" applyBorder="1"/>
    <x:xf numFmtId="168" fontId="8" fillId="0" borderId="0" xfId="25" applyFont="1" applyAlignment="1">
      <x:alignment horizontal="center"/>
    </x:xf>
    <x:xf numFmtId="0" fontId="76" fillId="0" borderId="0" xfId="25" applyNumberFormat="1" applyFont="1" applyAlignment="1">
      <x:alignment horizontal="center"/>
    </x:xf>
    <x:xf numFmtId="168" fontId="76" fillId="0" borderId="0" xfId="25" applyFont="1" applyAlignment="1">
      <x:alignment horizontal="center"/>
    </x:xf>
    <x:xf numFmtId="44" fontId="76" fillId="0" borderId="0" xfId="25" applyNumberFormat="1" applyFont="1"/>
    <x:xf numFmtId="168" fontId="8" fillId="0" borderId="0" xfId="25" applyFont="1" applyAlignment="1">
      <x:alignment vertical="center" wrapText="1"/>
    </x:xf>
    <x:xf numFmtId="168" fontId="8" fillId="0" borderId="0" xfId="25" applyFont="1" applyAlignment="1">
      <x:alignment horizontal="left" vertical="center"/>
    </x:xf>
    <x:xf numFmtId="168" fontId="8" fillId="0" borderId="0" xfId="25" applyFont="1" applyAlignment="1">
      <x:alignment horizontal="left" vertical="center" wrapText="1"/>
    </x:xf>
    <x:xf numFmtId="41" fontId="8" fillId="0" borderId="0" xfId="26" applyNumberFormat="1"/>
    <x:xf numFmtId="0" fontId="8" fillId="0" borderId="0" xfId="25" applyNumberFormat="1" applyFont="1" applyAlignment="1">
      <x:alignment horizontal="center" wrapText="1"/>
    </x:xf>
    <x:xf numFmtId="168" fontId="9" fillId="0" borderId="0" xfId="25" applyFont="1" applyAlignment="1">
      <x:alignment horizontal="center" wrapText="1"/>
    </x:xf>
    <x:xf numFmtId="168" fontId="8" fillId="0" borderId="0" xfId="25" applyFont="1" applyAlignment="1">
      <x:alignment wrapText="1"/>
    </x:xf>
    <x:xf numFmtId="43" fontId="8" fillId="0" borderId="0" xfId="26" applyNumberFormat="1" applyAlignment="1">
      <x:alignment horizontal="center"/>
    </x:xf>
    <x:xf numFmtId="0" fontId="79" fillId="0" borderId="0" xfId="54" applyNumberFormat="1" applyFont="1" applyAlignment="1">
      <x:alignment horizontal="center"/>
    </x:xf>
    <x:xf numFmtId="0" fontId="9" fillId="0" borderId="0" xfId="26" quotePrefix="1" applyFont="1" applyAlignment="1">
      <x:alignment horizontal="left"/>
    </x:xf>
    <x:xf numFmtId="0" fontId="8" fillId="9" borderId="0" xfId="26" quotePrefix="1" applyFill="1" applyAlignment="1">
      <x:alignment horizontal="left"/>
    </x:xf>
    <x:xf numFmtId="0" fontId="8" fillId="0" borderId="0" xfId="26" quotePrefix="1" applyAlignment="1">
      <x:alignment horizontal="center"/>
    </x:xf>
    <x:xf numFmtId="0" fontId="8" fillId="9" borderId="0" xfId="26" quotePrefix="1" applyFill="1" applyAlignment="1">
      <x:alignment horizontal="center"/>
    </x:xf>
    <x:xf numFmtId="164" fontId="8" fillId="9" borderId="0" xfId="47" applyNumberFormat="1" applyFont="1" applyFill="1" applyAlignment="1"/>
    <x:xf numFmtId="10" fontId="8" fillId="9" borderId="0" xfId="46" applyNumberFormat="1" applyFont="1" applyFill="1" applyAlignment="1"/>
    <x:xf numFmtId="166" fontId="8" fillId="0" borderId="0" xfId="10" quotePrefix="1" applyNumberFormat="1" applyFont="1" applyFill="1" applyAlignment="1">
      <x:alignment horizontal="left"/>
    </x:xf>
    <x:xf numFmtId="164" fontId="8" fillId="9" borderId="0" xfId="8" quotePrefix="1" applyNumberFormat="1" applyFont="1" applyFill="1" applyAlignment="1">
      <x:alignment horizontal="left"/>
    </x:xf>
    <x:xf numFmtId="166" fontId="8" fillId="9" borderId="0" xfId="45" quotePrefix="1" applyNumberFormat="1" applyFont="1" applyFill="1" applyAlignment="1">
      <x:alignment horizontal="center"/>
    </x:xf>
    <x:xf numFmtId="168" fontId="8" fillId="9" borderId="0" xfId="56" applyFont="1" applyFill="1"/>
    <x:xf numFmtId="166" fontId="8" fillId="0" borderId="0" xfId="58" quotePrefix="1" applyNumberFormat="1" applyFont="1" applyFill="1" applyAlignment="1">
      <x:alignment horizontal="left"/>
    </x:xf>
    <x:xf numFmtId="166" fontId="8" fillId="9" borderId="0" xfId="57" quotePrefix="1" applyNumberFormat="1" applyFont="1" applyFill="1" applyAlignment="1">
      <x:alignment horizontal="center"/>
    </x:xf>
    <x:xf numFmtId="0" fontId="9" fillId="0" borderId="0" xfId="26" quotePrefix="1" applyFont="1" applyAlignment="1">
      <x:alignment horizontal="center"/>
    </x:xf>
    <x:xf numFmtId="39" fontId="8" fillId="9" borderId="0" xfId="8" quotePrefix="1" applyNumberFormat="1" applyFont="1" applyFill="1" applyAlignment="1">
      <x:alignment horizontal="left"/>
    </x:xf>
    <x:xf numFmtId="164" fontId="8" fillId="0" borderId="0" xfId="8" quotePrefix="1" applyNumberFormat="1" applyFont="1" applyFill="1" applyAlignment="1">
      <x:alignment horizontal="left"/>
    </x:xf>
    <x:xf numFmtId="164" fontId="8" fillId="9" borderId="0" xfId="47" quotePrefix="1" applyNumberFormat="1" applyFont="1" applyFill="1" applyAlignment="1">
      <x:alignment horizontal="left"/>
    </x:xf>
    <x:xf numFmtId="0" fontId="24" fillId="0" borderId="0" xfId="33" applyFont="1" applyAlignment="1">
      <x:alignment horizontal="center"/>
    </x:xf>
    <x:xf numFmtId="164" fontId="8" fillId="0" borderId="0" xfId="47" applyNumberFormat="1" applyFont="1" applyAlignment="1"/>
    <x:xf numFmtId="168" fontId="8" fillId="0" borderId="0" xfId="56" applyFont="1"/>
    <x:xf numFmtId="1" fontId="8" fillId="0" borderId="12" xfId="0" applyNumberFormat="1" applyFont="1" applyBorder="1" applyAlignment="1">
      <x:alignment horizontal="center"/>
    </x:xf>
    <x:xf numFmtId="0" fontId="9" fillId="0" borderId="0" xfId="147" applyFont="1" applyAlignment="1">
      <x:alignment horizontal="center"/>
    </x:xf>
    <x:xf numFmtId="0" fontId="8" fillId="0" borderId="0" xfId="47" applyNumberFormat="1" applyFont="1" applyAlignment="1">
      <x:alignment horizontal="left"/>
    </x:xf>
    <x:xf numFmtId="1" fontId="8" fillId="0" borderId="0" xfId="147" applyNumberFormat="1" applyFont="1" applyAlignment="1">
      <x:alignment horizontal="center"/>
    </x:xf>
    <x:xf numFmtId="164" fontId="8" fillId="0" borderId="12" xfId="147" applyNumberFormat="1" applyFont="1" applyBorder="1" applyAlignment="1" applyProtection="1">
      <x:alignment horizontal="center"/>
      <x:protection locked="0"/>
    </x:xf>
    <x:xf numFmtId="182" fontId="8" fillId="0" borderId="0" xfId="147" applyNumberFormat="1" applyFont="1" applyAlignment="1">
      <x:alignment horizontal="left"/>
    </x:xf>
    <x:xf numFmtId="183" fontId="8" fillId="0" borderId="0" xfId="147" applyNumberFormat="1" applyFont="1" applyAlignment="1">
      <x:alignment horizontal="center"/>
    </x:xf>
    <x:xf numFmtId="166" fontId="8" fillId="9" borderId="0" xfId="45" applyNumberFormat="1" applyFont="1" applyFill="1"/>
    <x:xf numFmtId="166" fontId="8" fillId="0" borderId="0" xfId="0" applyNumberFormat="1" applyFont="1" applyProtection="1">
      <x:protection locked="0"/>
    </x:xf>
    <x:xf numFmtId="183" fontId="8" fillId="0" borderId="0" xfId="0" applyNumberFormat="1" applyFont="1" applyAlignment="1">
      <x:alignment horizontal="center"/>
    </x:xf>
    <x:xf numFmtId="0" fontId="8" fillId="0" borderId="0" xfId="147" applyFont="1" applyAlignment="1">
      <x:alignment horizontal="left"/>
    </x:xf>
    <x:xf numFmtId="164" fontId="8" fillId="0" borderId="0" xfId="47" applyNumberFormat="1" applyFont="1"/>
    <x:xf numFmtId="166" fontId="8" fillId="0" borderId="20" xfId="45" applyNumberFormat="1" applyFont="1" applyBorder="1" applyProtection="1">
      <x:protection locked="0"/>
    </x:xf>
    <x:xf numFmtId="10" fontId="8" fillId="0" borderId="0" xfId="46" applyNumberFormat="1" applyFont="1"/>
    <x:xf numFmtId="179" fontId="8" fillId="0" borderId="0" xfId="0" applyNumberFormat="1" applyFont="1"/>
    <x:xf numFmtId="164" fontId="8" fillId="0" borderId="0" xfId="47" applyNumberFormat="1" applyFont="1" applyProtection="1">
      <x:protection locked="0"/>
    </x:xf>
    <x:xf numFmtId="164" fontId="14" fillId="0" borderId="0" xfId="47" applyNumberFormat="1" applyFont="1"/>
    <x:xf numFmtId="0" fontId="24" fillId="0" borderId="0" xfId="148" applyFont="1" applyAlignment="1">
      <x:alignment horizontal="center"/>
    </x:xf>
    <x:xf numFmtId="43" fontId="24" fillId="0" borderId="0" xfId="8" applyFont="1" applyAlignment="1">
      <x:alignment horizontal="center"/>
    </x:xf>
    <x:xf numFmtId="164" fontId="14" fillId="0" borderId="0" xfId="8" applyNumberFormat="1" applyFont="1"/>
    <x:xf numFmtId="0" fontId="24" fillId="0" borderId="0" xfId="148" applyFont="1"/>
    <x:xf numFmtId="10" fontId="24" fillId="0" borderId="0" xfId="12" applyNumberFormat="1" applyFont="1" applyAlignment="1">
      <x:alignment horizontal="center"/>
    </x:xf>
    <x:xf numFmtId="0" fontId="24" fillId="0" borderId="0" xfId="148" applyFont="1" applyAlignment="1">
      <x:alignment horizontal="left"/>
    </x:xf>
    <x:xf numFmtId="0" fontId="39" fillId="0" borderId="0" xfId="148" applyFont="1" applyAlignment="1">
      <x:alignment horizontal="left" vertical="center"/>
    </x:xf>
    <x:xf numFmtId="169" fontId="39" fillId="0" borderId="0" xfId="8" applyNumberFormat="1" applyFont="1" applyAlignment="1">
      <x:alignment horizontal="center"/>
    </x:xf>
    <x:xf numFmtId="0" fontId="24" fillId="0" borderId="0" xfId="148" applyFont="1" applyAlignment="1">
      <x:alignment horizontal="left" indent="1"/>
    </x:xf>
    <x:xf numFmtId="0" fontId="8" fillId="0" borderId="0" xfId="148" applyAlignment="1">
      <x:alignment horizontal="left" indent="1"/>
    </x:xf>
    <x:xf numFmtId="164" fontId="24" fillId="0" borderId="18" xfId="161" applyNumberFormat="1" applyFont="1" applyFill="1" applyBorder="1"/>
    <x:xf numFmtId="10" fontId="8" fillId="0" borderId="0" xfId="46" applyNumberFormat="1" applyFont="1" applyFill="1"/>
    <x:xf numFmtId="164" fontId="15" fillId="0" borderId="0" xfId="47" quotePrefix="1" applyNumberFormat="1" applyFont="1" applyFill="1" applyAlignment="1">
      <x:alignment horizontal="right"/>
    </x:xf>
    <x:xf numFmtId="164" fontId="15" fillId="0" borderId="12" xfId="47" quotePrefix="1" applyNumberFormat="1" applyFont="1" applyFill="1" applyBorder="1" applyAlignment="1">
      <x:alignment horizontal="right"/>
    </x:xf>
    <x:xf numFmtId="10" fontId="8" fillId="0" borderId="0" xfId="46" applyNumberFormat="1" applyFont="1" applyAlignment="1">
      <x:alignment horizontal="center" vertical="center" wrapText="1"/>
    </x:xf>
    <x:xf numFmtId="10" fontId="24" fillId="0" borderId="0" xfId="12" applyNumberFormat="1" applyFont="1" applyFill="1" applyAlignment="1">
      <x:alignment horizontal="center"/>
    </x:xf>
    <x:xf numFmtId="0" fontId="8" fillId="0" borderId="0" xfId="20" applyFont="1" applyAlignment="1">
      <x:alignment wrapText="1"/>
    </x:xf>
    <x:xf numFmtId="41" fontId="8" fillId="0" borderId="0" xfId="7" applyNumberFormat="1" applyAlignment="1">
      <x:alignment wrapText="1"/>
    </x:xf>
    <x:xf numFmtId="41" fontId="8" fillId="0" borderId="0" xfId="7" applyNumberFormat="1" applyAlignment="1">
      <x:alignment horizontal="center" wrapText="1"/>
    </x:xf>
    <x:xf numFmtId="49" fontId="8" fillId="0" borderId="0" xfId="7" applyNumberFormat="1" applyAlignment="1">
      <x:alignment horizontal="left" wrapText="1"/>
    </x:xf>
    <x:xf numFmtId="41" fontId="4" fillId="0" borderId="0" xfId="7" applyNumberFormat="1" applyFont="1" applyAlignment="1">
      <x:alignment wrapText="1"/>
    </x:xf>
    <x:xf numFmtId="0" fontId="8" fillId="0" borderId="0" xfId="7" applyAlignment="1">
      <x:alignment wrapText="1"/>
    </x:xf>
    <x:xf numFmtId="42" fontId="8" fillId="0" borderId="0" xfId="7" applyNumberFormat="1" applyAlignment="1">
      <x:alignment wrapText="1"/>
    </x:xf>
    <x:xf numFmtId="187" fontId="24" fillId="0" borderId="1" xfId="47" applyNumberFormat="1" applyFont="1" applyFill="1" applyBorder="1" applyAlignment="1">
      <x:alignment horizontal="center"/>
    </x:xf>
    <x:xf numFmtId="0" fontId="3" fillId="0" borderId="4" xfId="0" applyFont="1" applyBorder="1" applyAlignment="1">
      <x:alignment horizontal="center" wrapText="1"/>
    </x:xf>
    <x:xf numFmtId="164" fontId="24" fillId="9" borderId="0" xfId="47" applyNumberFormat="1" applyFont="1" applyFill="1" applyBorder="1" applyAlignment="1">
      <x:alignment horizontal="center"/>
    </x:xf>
    <x:xf numFmtId="166" fontId="24" fillId="0" borderId="0" xfId="6" applyNumberFormat="1" applyFont="1" applyFill="1" applyBorder="1"/>
    <x:xf numFmtId="10" fontId="8" fillId="0" borderId="8" xfId="46" applyNumberFormat="1" applyFont="1" applyBorder="1" applyAlignment="1">
      <x:alignment horizontal="left"/>
    </x:xf>
    <x:xf numFmtId="164" fontId="8" fillId="9" borderId="0" xfId="47" applyNumberFormat="1" applyFont="1" applyFill="1" applyAlignment="1">
      <x:alignment vertical="center" wrapText="1"/>
    </x:xf>
    <x:xf numFmtId="0" fontId="80" fillId="0" borderId="6" xfId="0" applyFont="1" applyBorder="1" applyAlignment="1">
      <x:alignment horizontal="left" wrapText="1"/>
    </x:xf>
    <x:xf numFmtId="0" fontId="80" fillId="0" borderId="6" xfId="0" applyFont="1" applyBorder="1"/>
    <x:xf numFmtId="0" fontId="80" fillId="0" borderId="1" xfId="0" applyFont="1" applyBorder="1"/>
    <x:xf numFmtId="0" fontId="80" fillId="0" borderId="8" xfId="0" applyFont="1" applyBorder="1"/>
    <x:xf numFmtId="164" fontId="8" fillId="9" borderId="0" xfId="47" applyNumberFormat="1" applyFont="1" applyFill="1" applyBorder="1"/>
    <x:xf numFmtId="0" fontId="80" fillId="0" borderId="0" xfId="0" applyFont="1"/>
    <x:xf numFmtId="0" fontId="80" fillId="0" borderId="0" xfId="0" applyFont="1" applyAlignment="1">
      <x:alignment horizontal="left" wrapText="1"/>
    </x:xf>
    <x:xf numFmtId="164" fontId="8" fillId="0" borderId="0" xfId="1" applyNumberFormat="1"/>
    <x:xf numFmtId="164" fontId="8" fillId="0" borderId="0" xfId="1" applyNumberFormat="1" applyFill="1"/>
    <x:xf numFmtId="165" fontId="8" fillId="0" borderId="0" xfId="2" applyNumberFormat="1"/>
    <x:xf numFmtId="0" fontId="81" fillId="0" borderId="0" xfId="60" applyFont="1"/>
    <x:xf numFmtId="0" fontId="8" fillId="0" borderId="0" xfId="3" applyAlignment="1">
      <x:alignment horizontal="left" vertical="center" wrapText="1"/>
    </x:xf>
    <x:xf numFmtId="0" fontId="80" fillId="0" borderId="5" xfId="60" applyFont="1" applyBorder="1"/>
    <x:xf numFmtId="0" fontId="80" fillId="0" borderId="6" xfId="60" applyFont="1" applyBorder="1" applyAlignment="1">
      <x:alignment horizontal="center"/>
    </x:xf>
    <x:xf numFmtId="0" fontId="80" fillId="2" borderId="5" xfId="60" applyFont="1" applyFill="1" applyBorder="1" applyAlignment="1">
      <x:alignment horizontal="center"/>
    </x:xf>
    <x:xf numFmtId="0" fontId="8" fillId="0" borderId="6" xfId="60" applyBorder="1" applyAlignment="1">
      <x:alignment horizontal="center"/>
    </x:xf>
    <x:xf numFmtId="0" fontId="82" fillId="2" borderId="5" xfId="60" applyFont="1" applyFill="1" applyBorder="1" applyAlignment="1">
      <x:alignment horizontal="center"/>
    </x:xf>
    <x:xf numFmtId="0" fontId="82" fillId="0" borderId="0" xfId="60" applyFont="1" applyAlignment="1">
      <x:alignment horizontal="center"/>
    </x:xf>
    <x:xf numFmtId="0" fontId="82" fillId="0" borderId="6" xfId="60" applyFont="1" applyBorder="1" applyAlignment="1">
      <x:alignment horizontal="center"/>
    </x:xf>
    <x:xf numFmtId="0" fontId="82" fillId="2" borderId="5" xfId="0" applyFont="1" applyFill="1" applyBorder="1" applyAlignment="1">
      <x:alignment horizontal="center"/>
    </x:xf>
    <x:xf numFmtId="0" fontId="82" fillId="0" borderId="0" xfId="0" applyFont="1" applyAlignment="1">
      <x:alignment horizontal="center"/>
    </x:xf>
    <x:xf numFmtId="0" fontId="82" fillId="0" borderId="6" xfId="0" applyFont="1" applyBorder="1" applyAlignment="1">
      <x:alignment horizontal="center"/>
    </x:xf>
    <x:xf numFmtId="0" fontId="80" fillId="0" borderId="0" xfId="60" applyFont="1"/>
    <x:xf numFmtId="0" fontId="80" fillId="0" borderId="6" xfId="60" applyFont="1" applyBorder="1"/>
    <x:xf numFmtId="0" fontId="80" fillId="0" borderId="0" xfId="60" applyFont="1" applyAlignment="1">
      <x:alignment horizontal="center"/>
    </x:xf>
    <x:xf numFmtId="164" fontId="80" fillId="0" borderId="6" xfId="1" applyNumberFormat="1" applyFont="1" applyBorder="1" applyAlignment="1">
      <x:alignment horizontal="center"/>
    </x:xf>
    <x:xf numFmtId="0" fontId="80" fillId="2" borderId="5" xfId="0" applyFont="1" applyFill="1" applyBorder="1" applyAlignment="1">
      <x:alignment horizontal="center"/>
    </x:xf>
    <x:xf numFmtId="0" fontId="80" fillId="0" borderId="0" xfId="0" applyFont="1" applyAlignment="1">
      <x:alignment horizontal="center"/>
    </x:xf>
    <x:xf numFmtId="0" fontId="80" fillId="0" borderId="6" xfId="0" applyFont="1" applyBorder="1" applyAlignment="1">
      <x:alignment horizontal="center"/>
    </x:xf>
    <x:xf numFmtId="43" fontId="80" fillId="0" borderId="0" xfId="60" applyNumberFormat="1" applyFont="1"/>
    <x:xf numFmtId="164" fontId="80" fillId="0" borderId="6" xfId="1" applyNumberFormat="1" applyFont="1" applyBorder="1"/>
    <x:xf numFmtId="0" fontId="80" fillId="0" borderId="6" xfId="60" applyFont="1" applyBorder="1" applyAlignment="1">
      <x:alignment horizontal="center" wrapText="1"/>
    </x:xf>
    <x:xf numFmtId="165" fontId="80" fillId="0" borderId="0" xfId="143" applyNumberFormat="1" applyFont="1" applyBorder="1"/>
    <x:xf numFmtId="165" fontId="80" fillId="0" borderId="6" xfId="143" applyNumberFormat="1" applyFont="1" applyBorder="1"/>
    <x:xf numFmtId="0" fontId="8" fillId="0" borderId="0" xfId="3" applyAlignment="1">
      <x:alignment wrapText="1"/>
    </x:xf>
    <x:xf numFmtId="164" fontId="80" fillId="2" borderId="5" xfId="1" applyNumberFormat="1" applyFont="1" applyFill="1" applyBorder="1"/>
    <x:xf numFmtId="164" fontId="83" fillId="0" borderId="0" xfId="1" applyNumberFormat="1" applyFont="1" applyBorder="1"/>
    <x:xf numFmtId="164" fontId="83" fillId="0" borderId="6" xfId="1" applyNumberFormat="1" applyFont="1" applyBorder="1"/>
    <x:xf numFmtId="164" fontId="80" fillId="0" borderId="0" xfId="1" applyNumberFormat="1" applyFont="1" applyBorder="1"/>
    <x:xf numFmtId="164" fontId="80" fillId="2" borderId="5" xfId="4" applyNumberFormat="1" applyFont="1" applyFill="1" applyBorder="1"/>
    <x:xf numFmtId="0" fontId="80" fillId="0" borderId="0" xfId="3" applyFont="1" applyAlignment="1">
      <x:alignment wrapText="1"/>
    </x:xf>
    <x:xf numFmtId="164" fontId="80" fillId="0" borderId="5" xfId="1" applyNumberFormat="1" applyFont="1" applyBorder="1"/>
    <x:xf numFmtId="164" fontId="80" fillId="0" borderId="0" xfId="1" applyNumberFormat="1" applyFont="1" applyFill="1" applyBorder="1"/>
    <x:xf numFmtId="164" fontId="80" fillId="0" borderId="6" xfId="1" applyNumberFormat="1" applyFont="1" applyFill="1" applyBorder="1"/>
    <x:xf numFmtId="0" fontId="80" fillId="0" borderId="7" xfId="60" applyFont="1" applyBorder="1"/>
    <x:xf numFmtId="0" fontId="80" fillId="0" borderId="8" xfId="60" applyFont="1" applyBorder="1" applyAlignment="1">
      <x:alignment horizontal="center"/>
    </x:xf>
    <x:xf numFmtId="164" fontId="80" fillId="0" borderId="7" xfId="1" applyNumberFormat="1" applyFont="1" applyBorder="1"/>
    <x:xf numFmtId="164" fontId="80" fillId="0" borderId="1" xfId="1" applyNumberFormat="1" applyFont="1" applyBorder="1"/>
    <x:xf numFmtId="164" fontId="80" fillId="0" borderId="8" xfId="1" applyNumberFormat="1" applyFont="1" applyBorder="1"/>
    <x:xf numFmtId="0" fontId="80" fillId="0" borderId="1" xfId="60" applyFont="1" applyBorder="1"/>
    <x:xf numFmtId="0" fontId="80" fillId="0" borderId="8" xfId="60" applyFont="1" applyBorder="1"/>
    <x:xf numFmtId="0" fontId="82" fillId="0" borderId="9" xfId="60" applyFont="1" applyBorder="1" applyAlignment="1">
      <x:alignment horizontal="center"/>
    </x:xf>
    <x:xf numFmtId="0" fontId="82" fillId="0" borderId="4" xfId="60" applyFont="1" applyBorder="1" applyAlignment="1">
      <x:alignment horizontal="center"/>
    </x:xf>
    <x:xf numFmtId="164" fontId="82" fillId="0" borderId="3" xfId="1" applyNumberFormat="1" applyFont="1" applyBorder="1" applyAlignment="1">
      <x:alignment horizontal="center"/>
    </x:xf>
    <x:xf numFmtId="0" fontId="82" fillId="0" borderId="2" xfId="60" applyFont="1" applyBorder="1" applyAlignment="1">
      <x:alignment horizontal="center"/>
    </x:xf>
    <x:xf numFmtId="0" fontId="82" fillId="0" borderId="3" xfId="60" applyFont="1" applyBorder="1" applyAlignment="1">
      <x:alignment horizontal="center"/>
    </x:xf>
    <x:xf numFmtId="0" fontId="80" fillId="0" borderId="10" xfId="60" applyFont="1" applyBorder="1" applyAlignment="1">
      <x:alignment horizontal="center"/>
    </x:xf>
    <x:xf numFmtId="164" fontId="80" fillId="0" borderId="0" xfId="60" applyNumberFormat="1" applyFont="1"/>
    <x:xf numFmtId="166" fontId="80" fillId="0" borderId="10" xfId="6" applyNumberFormat="1" applyFont="1" applyBorder="1"/>
    <x:xf numFmtId="166" fontId="80" fillId="0" borderId="6" xfId="60" applyNumberFormat="1" applyFont="1" applyBorder="1"/>
    <x:xf numFmtId="166" fontId="80" fillId="0" borderId="0" xfId="60" applyNumberFormat="1" applyFont="1"/>
    <x:xf numFmtId="164" fontId="80" fillId="0" borderId="5" xfId="60" applyNumberFormat="1" applyFont="1" applyBorder="1"/>
    <x:xf numFmtId="164" fontId="8" fillId="0" borderId="0" xfId="60" applyNumberFormat="1"/>
    <x:xf numFmtId="164" fontId="80" fillId="0" borderId="6" xfId="4" applyNumberFormat="1" applyFont="1" applyBorder="1"/>
    <x:xf numFmtId="166" fontId="8" fillId="0" borderId="0" xfId="60" applyNumberFormat="1"/>
    <x:xf numFmtId="164" fontId="80" fillId="0" borderId="0" xfId="155" applyNumberFormat="1" applyFont="1" applyBorder="1"/>
    <x:xf numFmtId="164" fontId="80" fillId="0" borderId="6" xfId="155" applyNumberFormat="1" applyFont="1" applyBorder="1"/>
    <x:xf numFmtId="43" fontId="80" fillId="0" borderId="0" xfId="155" applyFont="1" applyBorder="1"/>
    <x:xf numFmtId="164" fontId="80" fillId="0" borderId="6" xfId="4" applyNumberFormat="1" applyFont="1" applyFill="1" applyBorder="1"/>
    <x:xf numFmtId="166" fontId="80" fillId="0" borderId="10" xfId="6" applyNumberFormat="1" applyFont="1" applyFill="1" applyBorder="1"/>
    <x:xf numFmtId="164" fontId="82" fillId="0" borderId="10" xfId="60" applyNumberFormat="1" applyFont="1" applyBorder="1"/>
    <x:xf numFmtId="164" fontId="82" fillId="0" borderId="0" xfId="60" applyNumberFormat="1" applyFont="1"/>
    <x:xf numFmtId="164" fontId="82" fillId="0" borderId="6" xfId="1" applyNumberFormat="1" applyFont="1" applyBorder="1"/>
    <x:xf numFmtId="164" fontId="82" fillId="0" borderId="11" xfId="60" applyNumberFormat="1" applyFont="1" applyBorder="1"/>
    <x:xf numFmtId="164" fontId="82" fillId="0" borderId="1" xfId="60" applyNumberFormat="1" applyFont="1" applyBorder="1"/>
    <x:xf numFmtId="164" fontId="82" fillId="0" borderId="8" xfId="1" applyNumberFormat="1" applyFont="1" applyBorder="1"/>
    <x:xf numFmtId="166" fontId="80" fillId="0" borderId="11" xfId="6" applyNumberFormat="1" applyFont="1" applyBorder="1"/>
    <x:xf numFmtId="166" fontId="80" fillId="0" borderId="1" xfId="60" applyNumberFormat="1" applyFont="1" applyBorder="1"/>
    <x:xf numFmtId="164" fontId="80" fillId="0" borderId="0" xfId="1" applyNumberFormat="1" applyFont="1"/>
    <x:xf numFmtId="166" fontId="80" fillId="0" borderId="0" xfId="6" applyNumberFormat="1" applyFont="1"/>
    <x:xf numFmtId="43" fontId="8" fillId="0" borderId="0" xfId="60" applyNumberFormat="1"/>
    <x:xf numFmtId="164" fontId="8" fillId="0" borderId="0" xfId="1" applyNumberFormat="1" applyFill="1" applyBorder="1"/>
    <x:xf numFmtId="10" fontId="15" fillId="0" borderId="0" xfId="46" applyNumberFormat="1" applyFont="1" applyFill="1" applyAlignment="1">
      <x:alignment horizontal="right"/>
    </x:xf>
    <x:xf numFmtId="168" fontId="14" fillId="0" borderId="0" xfId="0" applyNumberFormat="1" applyFont="1"/>
    <x:xf numFmtId="41" fontId="8" fillId="9" borderId="22" xfId="0" applyNumberFormat="1" applyFont="1" applyFill="1" applyBorder="1" applyAlignment="1">
      <x:alignment vertical="top"/>
    </x:xf>
    <x:xf numFmtId="43" fontId="8" fillId="9" borderId="0" xfId="47" applyFont="1" applyFill="1" applyBorder="1"/>
    <x:xf numFmtId="10" fontId="8" fillId="0" borderId="0" xfId="46" applyNumberFormat="1" applyFont="1" applyBorder="1" applyAlignment="1">
      <x:alignment horizontal="center"/>
    </x:xf>
    <x:xf numFmtId="9" fontId="8" fillId="0" borderId="0" xfId="47" applyNumberFormat="1" applyFont="1" applyBorder="1" applyAlignment="1">
      <x:alignment horizontal="center"/>
    </x:xf>
    <x:xf numFmtId="164" fontId="8" fillId="0" borderId="0" xfId="47" applyNumberFormat="1" applyFont="1" applyBorder="1"/>
    <x:xf numFmtId="10" fontId="8" fillId="0" borderId="0" xfId="46" applyNumberFormat="1" applyFont="1" applyBorder="1" applyAlignment="1">
      <x:alignment horizontal="right"/>
    </x:xf>
    <x:xf numFmtId="43" fontId="8" fillId="0" borderId="0" xfId="0" applyNumberFormat="1" applyFont="1"/>
    <x:xf numFmtId="10" fontId="24" fillId="0" borderId="0" xfId="46" applyNumberFormat="1" applyFont="1" applyFill="1" applyBorder="1" applyAlignment="1">
      <x:alignment horizontal="center"/>
    </x:xf>
    <x:xf numFmtId="168" fontId="85" fillId="0" borderId="0" xfId="27" applyFont="1"/>
    <x:xf numFmtId="0" fontId="86" fillId="0" borderId="0" xfId="0" applyFont="1" applyAlignment="1">
      <x:alignment horizontal="right"/>
    </x:xf>
    <x:xf numFmtId="166" fontId="15" fillId="2" borderId="0" xfId="10" applyNumberFormat="1" applyFont="1" applyFill="1" applyBorder="1"/>
    <x:xf numFmtId="0" fontId="87" fillId="0" borderId="0" xfId="0" applyFont="1"/>
    <x:xf numFmtId="0" fontId="86" fillId="0" borderId="0" xfId="0" applyFont="1"/>
    <x:xf numFmtId="0" fontId="10" fillId="0" borderId="0" xfId="0" applyFont="1"/>
    <x:xf numFmtId="41" fontId="10" fillId="0" borderId="0" xfId="7" applyNumberFormat="1" applyFont="1"/>
    <x:xf numFmtId="10" fontId="14" fillId="0" borderId="0" xfId="12" applyNumberFormat="1" applyFont="1" applyAlignment="1">
      <x:alignment horizontal="center"/>
    </x:xf>
    <x:xf numFmtId="10" fontId="14" fillId="0" borderId="0" xfId="12" applyNumberFormat="1" applyFont="1" applyFill="1" applyAlignment="1">
      <x:alignment horizontal="center"/>
    </x:xf>
    <x:xf numFmtId="169" fontId="10" fillId="0" borderId="0" xfId="8" applyNumberFormat="1" applyFont="1" applyAlignment="1">
      <x:alignment horizontal="center"/>
    </x:xf>
    <x:xf numFmtId="10" fontId="14" fillId="0" borderId="0" xfId="46" applyNumberFormat="1" applyFont="1" applyAlignment="1">
      <x:alignment horizontal="center" vertical="center" wrapText="1"/>
    </x:xf>
    <x:xf numFmtId="164" fontId="8" fillId="0" borderId="5" xfId="8" applyNumberFormat="1" applyFont="1" applyFill="1" applyBorder="1"/>
    <x:xf numFmtId="164" fontId="8" fillId="0" borderId="7" xfId="1" applyNumberFormat="1" applyFont="1" applyFill="1" applyBorder="1"/>
    <x:xf numFmtId="166" fontId="8" fillId="9" borderId="0" xfId="45" applyNumberFormat="1" applyFont="1" applyFill="1" applyProtection="1">
      <x:protection locked="0"/>
    </x:xf>
    <x:xf numFmtId="164" fontId="8" fillId="9" borderId="0" xfId="47" applyNumberFormat="1" applyFont="1" applyFill="1" applyProtection="1">
      <x:protection locked="0"/>
    </x:xf>
    <x:xf numFmtId="43" fontId="14" fillId="0" borderId="0" xfId="0" applyNumberFormat="1" applyFont="1"/>
    <x:xf numFmtId="10" fontId="14" fillId="0" borderId="0" xfId="46" applyNumberFormat="1" applyFont="1"/>
    <x:xf numFmtId="164" fontId="8" fillId="9" borderId="7" xfId="47" applyNumberFormat="1" applyFont="1" applyFill="1" applyBorder="1"/>
    <x:xf numFmtId="164" fontId="8" fillId="9" borderId="1" xfId="47" applyNumberFormat="1" applyFont="1" applyFill="1" applyBorder="1"/>
    <x:xf numFmtId="164" fontId="8" fillId="9" borderId="5" xfId="1" applyNumberFormat="1" applyFont="1" applyFill="1" applyBorder="1"/>
    <x:xf numFmtId="164" fontId="8" fillId="9" borderId="7" xfId="1" applyNumberFormat="1" applyFont="1" applyFill="1" applyBorder="1"/>
    <x:xf numFmtId="164" fontId="8" fillId="0" borderId="0" xfId="1" applyNumberFormat="1" applyFont="1" applyFill="1" applyBorder="1"/>
    <x:xf numFmtId="10" fontId="8" fillId="0" borderId="0" xfId="12" applyNumberFormat="1" applyFont="1" applyAlignment="1">
      <x:alignment horizontal="center"/>
    </x:xf>
    <x:xf numFmtId="10" fontId="14" fillId="0" borderId="0" xfId="12" applyNumberFormat="1" applyFont="1" applyAlignment="1">
      <x:alignment horizontal="left"/>
    </x:xf>
    <x:xf numFmtId="10" fontId="8" fillId="0" borderId="0" xfId="12" applyNumberFormat="1" applyFont="1" applyFill="1" applyAlignment="1">
      <x:alignment horizontal="center"/>
    </x:xf>
    <x:xf numFmtId="42" fontId="24" fillId="0" borderId="0" xfId="150" applyNumberFormat="1"/>
    <x:xf numFmtId="0" fontId="24" fillId="9" borderId="21" xfId="14" applyFont="1" applyFill="1" applyBorder="1" applyAlignment="1">
      <x:alignment vertical="top"/>
    </x:xf>
    <x:xf numFmtId="0" fontId="42" fillId="0" borderId="0" xfId="51" applyFont="1"/>
    <x:xf numFmtId="0" fontId="8" fillId="0" borderId="0" xfId="5" applyAlignment="1">
      <x:alignment horizontal="center" wrapText="1"/>
    </x:xf>
    <x:xf numFmtId="43" fontId="24" fillId="0" borderId="0" xfId="47" applyFont="1" applyBorder="1"/>
    <x:xf numFmtId="169" fontId="15" fillId="0" borderId="0" xfId="47" applyNumberFormat="1" applyFont="1" applyFill="1" applyBorder="1" applyAlignment="1">
      <x:alignment horizontal="right"/>
    </x:xf>
    <x:xf numFmtId="10" fontId="15" fillId="0" borderId="19" xfId="12" applyNumberFormat="1" applyFont="1" applyBorder="1" applyAlignment="1"/>
    <x:xf numFmtId="10" fontId="15" fillId="0" borderId="19" xfId="46" applyNumberFormat="1" applyFont="1" applyBorder="1" applyAlignment="1"/>
    <x:xf numFmtId="10" fontId="15" fillId="0" borderId="19" xfId="12" applyNumberFormat="1" applyFont="1" applyFill="1" applyBorder="1" applyAlignment="1"/>
    <x:xf numFmtId="10" fontId="24" fillId="0" borderId="0" xfId="143" applyNumberFormat="1" applyFont="1"/>
    <x:xf numFmtId="10" fontId="8" fillId="0" borderId="0" xfId="143" applyNumberFormat="1" applyFont="1"/>
    <x:xf numFmtId="10" fontId="24" fillId="2" borderId="0" xfId="0" applyNumberFormat="1" applyFont="1" applyFill="1" applyAlignment="1">
      <x:alignment horizontal="center" wrapText="1"/>
    </x:xf>
    <x:xf numFmtId="166" fontId="8" fillId="0" borderId="0" xfId="45" applyNumberFormat="1" applyFont="1" applyAlignment="1">
      <x:alignment horizontal="center"/>
    </x:xf>
    <x:xf numFmtId="10" fontId="80" fillId="0" borderId="5" xfId="60" applyNumberFormat="1" applyFont="1" applyBorder="1"/>
    <x:xf numFmtId="10" fontId="80" fillId="0" borderId="5" xfId="143" applyNumberFormat="1" applyFont="1" applyBorder="1"/>
    <x:xf numFmtId="10" fontId="8" fillId="0" borderId="0" xfId="2" applyNumberFormat="1" applyFont="1" applyAlignment="1">
      <x:alignment horizontal="right"/>
    </x:xf>
    <x:xf numFmtId="10" fontId="80" fillId="0" borderId="5" xfId="0" applyNumberFormat="1" applyFont="1" applyBorder="1"/>
    <x:xf numFmtId="169" fontId="9" fillId="9" borderId="7" xfId="47" applyNumberFormat="1" applyFont="1" applyFill="1" applyBorder="1"/>
    <x:xf numFmtId="166" fontId="8" fillId="0" borderId="0" xfId="45" applyNumberFormat="1" applyFont="1" applyFill="1" applyAlignment="1">
      <x:alignment horizontal="center"/>
    </x:xf>
    <x:xf numFmtId="166" fontId="8" fillId="0" borderId="5" xfId="45" applyNumberFormat="1" applyFont="1" applyFill="1" applyBorder="1"/>
    <x:xf numFmtId="166" fontId="8" fillId="0" borderId="5" xfId="45" applyNumberFormat="1" applyFont="1" applyFill="1" applyBorder="1" applyAlignment="1">
      <x:alignment horizontal="center"/>
    </x:xf>
    <x:xf numFmtId="166" fontId="8" fillId="0" borderId="5" xfId="45" applyNumberFormat="1" applyFont="1" applyBorder="1"/>
    <x:xf numFmtId="166" fontId="8" fillId="0" borderId="5" xfId="45" applyNumberFormat="1" applyFont="1" applyBorder="1" applyAlignment="1">
      <x:alignment horizontal="center"/>
    </x:xf>
    <x:xf numFmtId="166" fontId="8" fillId="0" borderId="7" xfId="45" applyNumberFormat="1" applyFont="1" applyBorder="1" applyAlignment="1">
      <x:alignment horizontal="center"/>
    </x:xf>
    <x:xf numFmtId="166" fontId="8" fillId="0" borderId="5" xfId="45" applyNumberFormat="1" applyFont="1" applyFill="1" applyBorder="1" applyAlignment="1">
      <x:alignment horizontal="right"/>
    </x:xf>
    <x:xf numFmtId="166" fontId="8" fillId="0" borderId="7" xfId="45" applyNumberFormat="1" applyFont="1" applyFill="1" applyBorder="1" applyAlignment="1">
      <x:alignment horizontal="right"/>
    </x:xf>
    <x:xf numFmtId="166" fontId="8" fillId="9" borderId="1" xfId="45" applyNumberFormat="1" applyFont="1" applyFill="1" applyBorder="1" applyAlignment="1">
      <x:alignment horizontal="center"/>
    </x:xf>
    <x:xf numFmtId="166" fontId="8" fillId="0" borderId="1" xfId="45" applyNumberFormat="1" applyFont="1" applyFill="1" applyBorder="1" applyAlignment="1">
      <x:alignment horizontal="center"/>
    </x:xf>
    <x:xf numFmtId="166" fontId="8" fillId="0" borderId="7" xfId="45" applyNumberFormat="1" applyFont="1" applyFill="1" applyBorder="1" applyAlignment="1">
      <x:alignment horizontal="center"/>
    </x:xf>
    <x:xf numFmtId="44" fontId="14" fillId="0" borderId="0" xfId="45" applyFont="1"/>
    <x:xf numFmtId="0" fontId="88" fillId="0" borderId="0" xfId="0" applyFont="1"/>
    <x:xf numFmtId="164" fontId="8" fillId="9" borderId="0" xfId="161" applyNumberFormat="1" applyFont="1" applyFill="1"/>
    <x:xf numFmtId="164" fontId="8" fillId="0" borderId="0" xfId="47" applyNumberFormat="1" applyFont="1" applyFill="1" applyBorder="1"/>
    <x:xf numFmtId="164" fontId="8" fillId="0" borderId="1" xfId="47" applyNumberFormat="1" applyFont="1" applyFill="1" applyBorder="1"/>
    <x:xf numFmtId="41" fontId="8" fillId="9" borderId="22" xfId="0" applyNumberFormat="1" applyFont="1" applyFill="1" applyBorder="1" applyAlignment="1">
      <x:alignment horizontal="left"/>
    </x:xf>
    <x:xf numFmtId="0" fontId="39" fillId="0" borderId="31" xfId="14" applyFont="1" applyBorder="1" applyAlignment="1">
      <x:alignment horizontal="left"/>
    </x:xf>
    <x:xf numFmtId="0" fontId="8" fillId="0" borderId="25" xfId="14" applyBorder="1" applyAlignment="1">
      <x:alignment horizontal="left"/>
    </x:xf>
    <x:xf numFmtId="0" fontId="8" fillId="0" borderId="23" xfId="14" applyBorder="1" applyAlignment="1">
      <x:alignment horizontal="left"/>
    </x:xf>
    <x:xf numFmtId="0" fontId="39" fillId="0" borderId="21" xfId="14" applyFont="1" applyBorder="1" applyAlignment="1">
      <x:alignment horizontal="left"/>
    </x:xf>
    <x:xf numFmtId="0" fontId="24" fillId="9" borderId="31" xfId="14" applyFont="1" applyFill="1" applyBorder="1" applyAlignment="1">
      <x:alignment horizontal="left"/>
    </x:xf>
    <x:xf numFmtId="0" fontId="8" fillId="9" borderId="23" xfId="14" applyFill="1" applyBorder="1" applyAlignment="1">
      <x:alignment horizontal="left"/>
    </x:xf>
    <x:xf numFmtId="41" fontId="8" fillId="2" borderId="22" xfId="0" applyNumberFormat="1" applyFont="1" applyFill="1" applyBorder="1" applyAlignment="1">
      <x:alignment horizontal="left"/>
    </x:xf>
    <x:xf numFmtId="0" fontId="24" fillId="9" borderId="21" xfId="14" applyFont="1" applyFill="1" applyBorder="1" applyAlignment="1">
      <x:alignment horizontal="left"/>
    </x:xf>
    <x:xf numFmtId="41" fontId="8" fillId="9" borderId="22" xfId="0" applyNumberFormat="1" applyFont="1" applyFill="1" applyBorder="1" applyAlignment="1">
      <x:alignment horizontal="left" vertical="top"/>
    </x:xf>
    <x:xf numFmtId="41" fontId="8" fillId="0" borderId="22" xfId="0" applyNumberFormat="1" applyFont="1" applyBorder="1" applyAlignment="1">
      <x:alignment horizontal="left" vertical="top"/>
    </x:xf>
    <x:xf numFmtId="37" fontId="8" fillId="2" borderId="23" xfId="14" applyNumberFormat="1" applyFill="1" applyBorder="1" applyAlignment="1">
      <x:alignment vertical="top"/>
    </x:xf>
    <x:xf numFmtId="41" fontId="8" fillId="2" borderId="22" xfId="14" applyNumberFormat="1" applyFill="1" applyBorder="1" applyAlignment="1">
      <x:alignment vertical="top"/>
    </x:xf>
    <x:xf numFmtId="0" fontId="39" fillId="0" borderId="21" xfId="14" applyFont="1" applyBorder="1" applyAlignment="1">
      <x:alignment vertical="top"/>
    </x:xf>
    <x:xf numFmtId="0" fontId="8" fillId="0" borderId="23" xfId="14" applyBorder="1" applyAlignment="1">
      <x:alignment vertical="top"/>
    </x:xf>
    <x:xf numFmtId="41" fontId="8" fillId="0" borderId="22" xfId="0" applyNumberFormat="1" applyFont="1" applyBorder="1" applyAlignment="1">
      <x:alignment vertical="top"/>
    </x:xf>
    <x:xf numFmtId="0" fontId="24" fillId="9" borderId="31" xfId="14" applyFont="1" applyFill="1" applyBorder="1" applyAlignment="1">
      <x:alignment vertical="top"/>
    </x:xf>
    <x:xf numFmtId="0" fontId="8" fillId="9" borderId="25" xfId="14" applyFill="1" applyBorder="1" applyAlignment="1">
      <x:alignment vertical="top"/>
    </x:xf>
    <x:xf numFmtId="0" fontId="8" fillId="0" borderId="0" xfId="17" applyFont="1" applyAlignment="1">
      <x:alignment vertical="top"/>
    </x:xf>
    <x:xf numFmtId="0" fontId="8" fillId="9" borderId="22" xfId="152" applyFill="1" applyBorder="1" applyAlignment="1">
      <x:alignment wrapText="1"/>
    </x:xf>
    <x:xf numFmtId="37" fontId="8" fillId="9" borderId="22" xfId="14" applyNumberFormat="1" applyFill="1" applyBorder="1"/>
    <x:xf numFmtId="0" fontId="8" fillId="2" borderId="23" xfId="0" applyFont="1" applyFill="1" applyBorder="1"/>
    <x:xf numFmtId="37" fontId="8" fillId="2" borderId="23" xfId="0" applyNumberFormat="1" applyFont="1" applyFill="1" applyBorder="1"/>
    <x:xf numFmtId="37" fontId="8" fillId="9" borderId="21" xfId="14" applyNumberFormat="1" applyFill="1" applyBorder="1" applyAlignment="1">
      <x:alignment horizontal="left"/>
    </x:xf>
    <x:xf numFmtId="37" fontId="8" fillId="9" borderId="23" xfId="14" applyNumberFormat="1" applyFill="1" applyBorder="1" applyAlignment="1">
      <x:alignment horizontal="left"/>
    </x:xf>
    <x:xf numFmtId="37" fontId="8" fillId="9" borderId="22" xfId="14" applyNumberFormat="1" applyFill="1" applyBorder="1" applyAlignment="1">
      <x:alignment horizontal="left"/>
    </x:xf>
    <x:xf numFmtId="0" fontId="8" fillId="2" borderId="21" xfId="0" applyFont="1" applyFill="1" applyBorder="1" applyAlignment="1">
      <x:alignment horizontal="left"/>
    </x:xf>
    <x:xf numFmtId="0" fontId="8" fillId="2" borderId="23" xfId="0" applyFont="1" applyFill="1" applyBorder="1" applyAlignment="1">
      <x:alignment horizontal="left"/>
    </x:xf>
    <x:xf numFmtId="37" fontId="8" fillId="2" borderId="23" xfId="0" applyNumberFormat="1" applyFont="1" applyFill="1" applyBorder="1" applyAlignment="1">
      <x:alignment horizontal="left"/>
    </x:xf>
    <x:xf numFmtId="166" fontId="8" fillId="9" borderId="0" xfId="45" applyNumberFormat="1" applyFont="1" applyFill="1" applyBorder="1"/>
    <x:xf numFmtId="164" fontId="8" fillId="0" borderId="0" xfId="47" applyNumberFormat="1" applyFont="1" applyAlignment="1">
      <x:alignment horizontal="center"/>
    </x:xf>
    <x:xf numFmtId="166" fontId="24" fillId="0" borderId="0" xfId="45" applyNumberFormat="1" applyFont="1" applyBorder="1"/>
    <x:xf numFmtId="168" fontId="15" fillId="0" borderId="0" xfId="25" applyFont="1"/>
    <x:xf numFmtId="0" fontId="15" fillId="0" borderId="0" xfId="26" applyFont="1"/>
    <x:xf numFmtId="168" fontId="15" fillId="0" borderId="0" xfId="25" applyFont="1" applyAlignment="1">
      <x:alignment horizontal="right"/>
    </x:xf>
    <x:xf numFmtId="168" fontId="31" fillId="0" borderId="0" xfId="25" applyFont="1"/>
    <x:xf numFmtId="168" fontId="79" fillId="0" borderId="0" xfId="25" applyFont="1" applyAlignment="1">
      <x:alignment horizontal="center"/>
    </x:xf>
    <x:xf numFmtId="0" fontId="31" fillId="0" borderId="0" xfId="60" applyFont="1"/>
    <x:xf numFmtId="0" fontId="80" fillId="0" borderId="9" xfId="60" applyFont="1" applyBorder="1"/>
    <x:xf numFmtId="0" fontId="80" fillId="0" borderId="10" xfId="60" applyFont="1" applyBorder="1"/>
    <x:xf numFmtId="0" fontId="80" fillId="0" borderId="11" xfId="60" applyFont="1" applyBorder="1"/>
    <x:xf numFmtId="0" fontId="31" fillId="0" borderId="0" xfId="0" applyFont="1"/>
    <x:xf numFmtId="0" fontId="2" fillId="0" borderId="0" xfId="0" applyFont="1"/>
    <x:xf numFmtId="168" fontId="31" fillId="0" borderId="0" xfId="27" applyFont="1"/>
    <x:xf numFmtId="0" fontId="31" fillId="0" borderId="0" xfId="27" applyNumberFormat="1" applyFont="1" applyProtection="1">
      <x:protection locked="0"/>
    </x:xf>
    <x:xf numFmtId="0" fontId="15" fillId="0" borderId="0" xfId="27" applyNumberFormat="1" applyFont="1" applyProtection="1">
      <x:protection locked="0"/>
    </x:xf>
    <x:xf numFmtId="0" fontId="15" fillId="0" borderId="0" xfId="27" applyNumberFormat="1" applyFont="1"/>
    <x:xf numFmtId="0" fontId="31" fillId="0" borderId="0" xfId="27" applyNumberFormat="1" applyFont="1"/>
    <x:xf numFmtId="164" fontId="104" fillId="0" borderId="0" xfId="8" applyNumberFormat="1" applyFont="1" applyFill="1" applyBorder="1"/>
    <x:xf numFmtId="0" fontId="105" fillId="0" borderId="0" xfId="27" applyNumberFormat="1" applyFont="1" applyAlignment="1">
      <x:alignment horizontal="center"/>
    </x:xf>
    <x:xf numFmtId="164" fontId="105" fillId="0" borderId="0" xfId="8" applyNumberFormat="1" applyFont="1" applyFill="1" applyBorder="1"/>
    <x:xf numFmtId="0" fontId="105" fillId="0" borderId="0" xfId="27" applyNumberFormat="1" applyFont="1"/>
    <x:xf numFmtId="0" fontId="15" fillId="0" borderId="0" xfId="32" applyFont="1"/>
    <x:xf numFmtId="0" fontId="31" fillId="0" borderId="0" xfId="20" applyFont="1"/>
    <x:xf numFmtId="0" fontId="106" fillId="0" borderId="0" xfId="0" applyFont="1"/>
    <x:xf numFmtId="164" fontId="9" fillId="0" borderId="37" xfId="47" applyNumberFormat="1" applyFont="1" applyFill="1" applyBorder="1"/>
    <x:xf numFmtId="0" fontId="107" fillId="0" borderId="0" xfId="0" applyFont="1"/>
    <x:xf numFmtId="0" fontId="108" fillId="0" borderId="0" xfId="0" applyFont="1"/>
    <x:xf numFmtId="0" fontId="106" fillId="0" borderId="0" xfId="160" applyFont="1"/>
    <x:xf numFmtId="0" fontId="45" fillId="0" borderId="0" xfId="160" applyFont="1"/>
    <x:xf numFmtId="0" fontId="8" fillId="2" borderId="0" xfId="5" applyFill="1" applyAlignment="1">
      <x:alignment horizontal="left"/>
    </x:xf>
    <x:xf numFmtId="37" fontId="24" fillId="2" borderId="0" xfId="0" applyNumberFormat="1" applyFont="1" applyFill="1" applyAlignment="1">
      <x:alignment horizontal="left" wrapText="1"/>
    </x:xf>
    <x:xf numFmtId="0" fontId="24" fillId="2" borderId="0" xfId="0" applyFont="1" applyFill="1" applyAlignment="1">
      <x:alignment horizontal="left" vertical="center" wrapText="1"/>
    </x:xf>
    <x:xf numFmtId="37" fontId="24" fillId="0" borderId="0" xfId="0" applyNumberFormat="1" applyFont="1" applyAlignment="1">
      <x:alignment horizontal="left" vertical="center" wrapText="1"/>
    </x:xf>
    <x:xf numFmtId="41" fontId="8" fillId="2" borderId="0" xfId="0" applyNumberFormat="1" applyFont="1" applyFill="1" applyAlignment="1">
      <x:alignment wrapText="1"/>
    </x:xf>
    <x:xf numFmtId="41" fontId="24" fillId="0" borderId="0" xfId="0" applyNumberFormat="1" applyFont="1" applyAlignment="1">
      <x:alignment wrapText="1"/>
    </x:xf>
    <x:xf numFmtId="41" fontId="8" fillId="2" borderId="0" xfId="8" applyNumberFormat="1" applyFont="1" applyFill="1" applyAlignment="1">
      <x:alignment horizontal="right"/>
    </x:xf>
    <x:xf numFmtId="41" fontId="8" fillId="0" borderId="0" xfId="0" applyNumberFormat="1" applyFont="1" applyAlignment="1">
      <x:alignment horizontal="right"/>
    </x:xf>
    <x:xf numFmtId="0" fontId="109" fillId="0" borderId="0" xfId="0" applyFont="1" applyAlignment="1">
      <x:alignment horizontal="left"/>
    </x:xf>
    <x:xf numFmtId="0" fontId="106" fillId="0" borderId="0" xfId="150" applyFont="1"/>
    <x:xf numFmtId="0" fontId="106" fillId="0" borderId="0" xfId="150" applyFont="1" applyAlignment="1">
      <x:alignment horizontal="center"/>
    </x:xf>
    <x:xf numFmtId="0" fontId="44" fillId="0" borderId="0" xfId="0" applyFont="1" applyAlignment="1">
      <x:alignment horizontal="left"/>
    </x:xf>
    <x:xf numFmtId="0" fontId="31" fillId="0" borderId="0" xfId="17" applyFont="1"/>
    <x:xf numFmtId="0" fontId="15" fillId="0" borderId="0" xfId="17" applyFont="1"/>
    <x:xf numFmtId="0" fontId="7" fillId="6" borderId="1" xfId="0" applyFont="1" applyFill="1" applyBorder="1" applyAlignment="1">
      <x:alignment horizontal="center"/>
    </x:xf>
    <x:xf numFmtId="0" fontId="14" fillId="0" borderId="0" xfId="5" applyFont="1"/>
    <x:xf numFmtId="0" fontId="80" fillId="2" borderId="5" xfId="1" applyNumberFormat="1" applyFont="1" applyFill="1" applyBorder="1" applyAlignment="1">
      <x:alignment horizontal="center"/>
    </x:xf>
    <x:xf numFmtId="0" fontId="80" fillId="0" borderId="0" xfId="1" applyNumberFormat="1" applyFont="1" applyFill="1" applyBorder="1" applyAlignment="1">
      <x:alignment horizontal="center"/>
    </x:xf>
    <x:xf numFmtId="0" fontId="80" fillId="0" borderId="6" xfId="1" applyNumberFormat="1" applyFont="1" applyFill="1" applyBorder="1" applyAlignment="1">
      <x:alignment horizontal="center"/>
    </x:xf>
    <x:xf numFmtId="43" fontId="8" fillId="9" borderId="29" xfId="8" applyFont="1" applyFill="1" applyBorder="1"/>
    <x:xf numFmtId="164" fontId="8" fillId="9" borderId="32" xfId="8" applyNumberFormat="1" applyFont="1" applyFill="1" applyBorder="1" applyAlignment="1">
      <x:alignment horizontal="center"/>
    </x:xf>
    <x:xf numFmtId="168" fontId="8" fillId="0" borderId="0" xfId="27" applyFont="1" applyAlignment="1">
      <x:alignment vertical="top"/>
    </x:xf>
    <x:xf numFmtId="168" fontId="8" fillId="0" borderId="0" xfId="49" applyFont="1" applyAlignment="1">
      <x:alignment vertical="top"/>
    </x:xf>
    <x:xf numFmtId="168" fontId="8" fillId="9" borderId="0" xfId="49" applyFont="1" applyFill="1" applyAlignment="1">
      <x:alignment vertical="top" wrapText="1"/>
    </x:xf>
    <x:xf numFmtId="0" fontId="8" fillId="9" borderId="0" xfId="8" applyNumberFormat="1" applyFont="1" applyFill="1" applyBorder="1" applyAlignment="1">
      <x:alignment horizontal="left" vertical="top"/>
    </x:xf>
    <x:xf numFmtId="43" fontId="8" fillId="0" borderId="0" xfId="8" applyFont="1" applyFill="1" applyBorder="1" applyAlignment="1">
      <x:alignment vertical="top"/>
    </x:xf>
    <x:xf numFmtId="164" fontId="8" fillId="0" borderId="26" xfId="8" applyNumberFormat="1" applyFont="1" applyFill="1" applyBorder="1" applyAlignment="1">
      <x:alignment vertical="top"/>
    </x:xf>
    <x:xf numFmtId="164" fontId="8" fillId="9" borderId="0" xfId="8" applyNumberFormat="1" applyFont="1" applyFill="1" applyBorder="1" applyAlignment="1">
      <x:alignment vertical="top"/>
    </x:xf>
    <x:xf numFmtId="164" fontId="8" fillId="9" borderId="30" xfId="8" applyNumberFormat="1" applyFont="1" applyFill="1" applyBorder="1" applyAlignment="1">
      <x:alignment vertical="top"/>
    </x:xf>
    <x:xf numFmtId="164" fontId="8" fillId="0" borderId="0" xfId="8" applyNumberFormat="1" applyFont="1" applyFill="1" applyBorder="1" applyAlignment="1">
      <x:alignment vertical="top"/>
    </x:xf>
    <x:xf numFmtId="0" fontId="8" fillId="9" borderId="26" xfId="8" applyNumberFormat="1" applyFont="1" applyFill="1" applyBorder="1" applyAlignment="1">
      <x:alignment horizontal="left"/>
    </x:xf>
    <x:xf numFmtId="168" fontId="8" fillId="9" borderId="26" xfId="49" applyFont="1" applyFill="1" applyBorder="1" applyAlignment="1">
      <x:alignment wrapText="1"/>
    </x:xf>
    <x:xf numFmtId="168" fontId="33" fillId="0" borderId="0" xfId="27" quotePrefix="1" applyFont="1" applyAlignment="1">
      <x:alignment horizontal="left" wrapText="1"/>
    </x:xf>
    <x:xf numFmtId="168" fontId="8" fillId="0" borderId="0" xfId="27" applyFont="1" applyAlignment="1">
      <x:alignment wrapText="1"/>
    </x:xf>
    <x:xf numFmtId="168" fontId="8" fillId="0" borderId="0" xfId="27" applyFont="1" applyAlignment="1">
      <x:alignment horizontal="left" wrapText="1"/>
    </x:xf>
    <x:xf numFmtId="0" fontId="8" fillId="0" borderId="28" xfId="0" applyFont="1" applyBorder="1" applyAlignment="1">
      <x:alignment horizontal="center" wrapText="1"/>
    </x:xf>
    <x:xf numFmtId="0" fontId="8" fillId="0" borderId="30" xfId="0" applyFont="1" applyBorder="1" applyAlignment="1">
      <x:alignment wrapText="1"/>
    </x:xf>
    <x:xf numFmtId="0" fontId="8" fillId="0" borderId="30" xfId="0" applyFont="1" applyBorder="1" applyAlignment="1">
      <x:alignment horizontal="center" wrapText="1"/>
    </x:xf>
    <x:xf numFmtId="168" fontId="8" fillId="0" borderId="30" xfId="27" applyFont="1" applyBorder="1" applyAlignment="1">
      <x:alignment wrapText="1"/>
    </x:xf>
    <x:xf numFmtId="0" fontId="8" fillId="0" borderId="24" xfId="0" applyFont="1" applyBorder="1" applyAlignment="1">
      <x:alignment wrapText="1"/>
    </x:xf>
    <x:xf numFmtId="0" fontId="8" fillId="0" borderId="0" xfId="60" applyAlignment="1">
      <x:alignment horizontal="left" wrapText="1"/>
    </x:xf>
    <x:xf numFmtId="0" fontId="80" fillId="0" borderId="2" xfId="60" applyFont="1" applyBorder="1" applyAlignment="1">
      <x:alignment horizontal="left" wrapText="1"/>
    </x:xf>
    <x:xf numFmtId="0" fontId="80" fillId="0" borderId="3" xfId="60" applyFont="1" applyBorder="1" applyAlignment="1">
      <x:alignment horizontal="left" wrapText="1"/>
    </x:xf>
    <x:xf numFmtId="0" fontId="80" fillId="0" borderId="4" xfId="60" applyFont="1" applyBorder="1" applyAlignment="1">
      <x:alignment horizontal="left" wrapText="1"/>
    </x:xf>
    <x:xf numFmtId="0" fontId="24" fillId="0" borderId="0" xfId="0" applyFont="1" applyAlignment="1">
      <x:alignment vertical="top" wrapText="1"/>
    </x:xf>
    <x:xf numFmtId="0" fontId="9" fillId="0" borderId="0" xfId="60" applyFont="1" applyAlignment="1">
      <x:alignment horizontal="center"/>
    </x:xf>
    <x:xf numFmtId="0" fontId="24" fillId="0" borderId="0" xfId="0" applyFont="1" applyAlignment="1">
      <x:alignment horizontal="center" wrapText="1"/>
    </x:xf>
    <x:xf numFmtId="0" fontId="12" fillId="0" borderId="0" xfId="0" applyFont="1" applyAlignment="1">
      <x:alignment horizontal="center" vertical="top"/>
    </x:xf>
    <x:xf numFmtId="37" fontId="15" fillId="0" borderId="0" xfId="0" applyNumberFormat="1" applyFont="1" applyAlignment="1">
      <x:alignment horizontal="left" vertical="top"/>
    </x:xf>
    <x:xf numFmtId="0" fontId="15" fillId="0" borderId="0" xfId="0" applyFont="1" applyAlignment="1">
      <x:alignment horizontal="left" vertical="top"/>
    </x:xf>
    <x:xf numFmtId="168" fontId="15" fillId="0" borderId="0" xfId="19" applyFont="1" applyAlignment="1" applyProtection="1">
      <x:alignment vertical="top"/>
      <x:protection locked="0"/>
    </x:xf>
    <x:xf numFmtId="168" fontId="15" fillId="0" borderId="0" xfId="19" applyFont="1" applyAlignment="1">
      <x:alignment vertical="top"/>
    </x:xf>
    <x:xf numFmtId="0" fontId="3" fillId="3" borderId="3" xfId="0" applyFont="1" applyFill="1" applyBorder="1" applyAlignment="1">
      <x:alignment horizontal="center" wrapText="1"/>
    </x:xf>
    <x:xf numFmtId="0" fontId="0" fillId="0" borderId="0" xfId="0" applyAlignment="1">
      <x:alignment horizontal="left"/>
    </x:xf>
    <x:xf numFmtId="0" fontId="24" fillId="0" borderId="0" xfId="160" applyFont="1" applyAlignment="1">
      <x:alignment horizontal="left"/>
    </x:xf>
    <x:xf numFmtId="0" fontId="39" fillId="0" borderId="12" xfId="160" applyFont="1" applyBorder="1" applyAlignment="1">
      <x:alignment horizontal="left" wrapText="1"/>
    </x:xf>
    <x:xf numFmtId="0" fontId="70" fillId="0" borderId="0" xfId="160" applyFont="1" applyAlignment="1">
      <x:alignment horizontal="left"/>
    </x:xf>
    <x:xf numFmtId="0" fontId="8" fillId="0" borderId="6" xfId="0" applyFont="1" applyBorder="1" applyAlignment="1">
      <x:alignment wrapText="1"/>
    </x:xf>
    <x:xf numFmtId="0" fontId="3" fillId="0" borderId="0" xfId="0" applyFont="1" applyAlignment="1">
      <x:alignment horizontal="left"/>
    </x:xf>
    <x:xf numFmtId="0" fontId="8" fillId="0" borderId="5" xfId="0" applyFont="1" applyBorder="1" applyAlignment="1">
      <x:alignment horizontal="left"/>
    </x:xf>
    <x:xf numFmtId="0" fontId="8" fillId="0" borderId="7" xfId="0" applyFont="1" applyBorder="1" applyAlignment="1">
      <x:alignment horizontal="left"/>
    </x:xf>
    <x:xf numFmtId="0" fontId="24" fillId="0" borderId="7" xfId="0" applyFont="1" applyBorder="1" applyAlignment="1">
      <x:alignment horizontal="left"/>
    </x:xf>
    <x:xf numFmtId="0" fontId="9" fillId="0" borderId="5" xfId="0" applyFont="1" applyBorder="1" applyAlignment="1">
      <x:alignment horizontal="left"/>
    </x:xf>
    <x:xf numFmtId="0" fontId="24" fillId="0" borderId="5" xfId="0" applyFont="1" applyBorder="1" applyAlignment="1">
      <x:alignment horizontal="left"/>
    </x:xf>
    <x:xf numFmtId="0" fontId="3" fillId="3" borderId="2" xfId="0" applyFont="1" applyFill="1" applyBorder="1" applyAlignment="1">
      <x:alignment horizontal="left"/>
    </x:xf>
    <x:xf numFmtId="0" fontId="74" fillId="0" borderId="0" xfId="0" applyFont="1" applyAlignment="1">
      <x:alignment horizontal="left"/>
    </x:xf>
    <x:xf numFmtId="0" fontId="14" fillId="0" borderId="5" xfId="0" applyFont="1" applyBorder="1" applyAlignment="1">
      <x:alignment horizontal="left"/>
    </x:xf>
    <x:xf numFmtId="0" fontId="14" fillId="0" borderId="7" xfId="0" applyFont="1" applyBorder="1" applyAlignment="1">
      <x:alignment horizontal="left"/>
    </x:xf>
    <x:xf numFmtId="0" fontId="14" fillId="0" borderId="0" xfId="0" applyFont="1" applyAlignment="1">
      <x:alignment horizontal="left"/>
    </x:xf>
    <x:xf numFmtId="0" fontId="74" fillId="0" borderId="1" xfId="0" applyFont="1" applyBorder="1" applyAlignment="1">
      <x:alignment horizontal="left"/>
    </x:xf>
    <x:xf numFmtId="0" fontId="24" fillId="7" borderId="5" xfId="0" applyFont="1" applyFill="1" applyBorder="1" applyAlignment="1">
      <x:alignment horizontal="left"/>
    </x:xf>
    <x:xf numFmtId="0" fontId="24" fillId="0" borderId="1" xfId="0" applyFont="1" applyBorder="1" applyAlignment="1">
      <x:alignment horizontal="right"/>
    </x:xf>
    <x:xf numFmtId="164" fontId="24" fillId="0" borderId="1" xfId="1" applyNumberFormat="1" applyFont="1" applyFill="1" applyBorder="1"/>
    <x:xf numFmtId="0" fontId="39" fillId="0" borderId="1" xfId="0" applyFont="1" applyBorder="1"/>
    <x:xf numFmtId="0" fontId="9" fillId="0" borderId="7" xfId="0" applyFont="1" applyBorder="1" applyAlignment="1">
      <x:alignment horizontal="center"/>
    </x:xf>
    <x:xf numFmtId="0" fontId="24" fillId="7" borderId="2" xfId="0" applyFont="1" applyFill="1" applyBorder="1" applyAlignment="1">
      <x:alignment horizontal="left"/>
    </x:xf>
    <x:xf numFmtId="0" fontId="24" fillId="7" borderId="4" xfId="0" applyFont="1" applyFill="1" applyBorder="1" applyAlignment="1">
      <x:alignment horizontal="center"/>
    </x:xf>
    <x:xf numFmtId="0" fontId="24" fillId="7" borderId="4" xfId="0" applyFont="1" applyFill="1" applyBorder="1" applyAlignment="1">
      <x:alignment horizontal="left"/>
    </x:xf>
    <x:xf numFmtId="2" fontId="24" fillId="7" borderId="4" xfId="0" applyNumberFormat="1" applyFont="1" applyFill="1" applyBorder="1" applyAlignment="1">
      <x:alignment horizontal="center"/>
    </x:xf>
    <x:xf numFmtId="164" fontId="24" fillId="7" borderId="4" xfId="8" applyNumberFormat="1" applyFont="1" applyFill="1" applyBorder="1"/>
    <x:xf numFmtId="164" fontId="9" fillId="7" borderId="4" xfId="8" applyNumberFormat="1" applyFont="1" applyFill="1" applyBorder="1" applyAlignment="1">
      <x:alignment horizontal="center"/>
    </x:xf>
    <x:xf numFmtId="164" fontId="24" fillId="7" borderId="4" xfId="0" applyNumberFormat="1" applyFont="1" applyFill="1" applyBorder="1"/>
    <x:xf numFmtId="0" fontId="9" fillId="7" borderId="4" xfId="0" applyFont="1" applyFill="1" applyBorder="1" applyAlignment="1">
      <x:alignment horizontal="center"/>
    </x:xf>
    <x:xf numFmtId="0" fontId="24" fillId="7" borderId="3" xfId="0" applyFont="1" applyFill="1" applyBorder="1" applyAlignment="1">
      <x:alignment horizontal="center"/>
    </x:xf>
    <x:xf numFmtId="164" fontId="24" fillId="7" borderId="0" xfId="8" applyNumberFormat="1" applyFont="1" applyFill="1" applyBorder="1"/>
    <x:xf numFmtId="164" fontId="9" fillId="7" borderId="0" xfId="8" applyNumberFormat="1" applyFont="1" applyFill="1" applyBorder="1" applyAlignment="1">
      <x:alignment horizontal="center"/>
    </x:xf>
    <x:xf numFmtId="0" fontId="24" fillId="7" borderId="0" xfId="0" applyFont="1" applyFill="1"/>
    <x:xf numFmtId="164" fontId="24" fillId="7" borderId="0" xfId="8" applyNumberFormat="1" applyFont="1" applyFill="1" applyBorder="1" applyAlignment="1">
      <x:alignment horizontal="center"/>
    </x:xf>
    <x:xf numFmtId="0" fontId="24" fillId="7" borderId="0" xfId="0" applyFont="1" applyFill="1" applyAlignment="1">
      <x:alignment horizontal="left"/>
    </x:xf>
    <x:xf numFmtId="166" fontId="24" fillId="7" borderId="0" xfId="58" applyNumberFormat="1" applyFont="1" applyFill="1" applyBorder="1" applyAlignment="1">
      <x:alignment horizontal="center"/>
    </x:xf>
    <x:xf numFmtId="10" fontId="24" fillId="9" borderId="0" xfId="151" applyNumberFormat="1" applyFont="1" applyFill="1" applyBorder="1" applyAlignment="1">
      <x:alignment horizontal="center"/>
    </x:xf>
    <x:xf numFmtId="164" fontId="24" fillId="7" borderId="0" xfId="8" quotePrefix="1" applyNumberFormat="1" applyFont="1" applyFill="1" applyBorder="1" applyAlignment="1">
      <x:alignment horizontal="center"/>
    </x:xf>
    <x:xf numFmtId="166" fontId="24" fillId="7" borderId="0" xfId="58" applyNumberFormat="1" applyFont="1" applyFill="1" applyBorder="1"/>
    <x:xf numFmtId="0" fontId="8" fillId="7" borderId="0" xfId="8" applyNumberFormat="1" applyFont="1" applyFill="1" applyBorder="1"/>
    <x:xf numFmtId="164" fontId="24" fillId="9" borderId="0" xfId="8" applyNumberFormat="1" applyFont="1" applyFill="1" applyBorder="1"/>
    <x:xf numFmtId="0" fontId="8" fillId="7" borderId="0" xfId="58" applyNumberFormat="1" applyFont="1" applyFill="1" applyBorder="1"/>
    <x:xf numFmtId="0" fontId="8" fillId="0" borderId="2" xfId="0" applyFont="1" applyBorder="1"/>
    <x:xf numFmtId="164" fontId="8" fillId="0" borderId="4" xfId="0" applyNumberFormat="1" applyFont="1" applyBorder="1"/>
    <x:xf numFmtId="164" fontId="8" fillId="9" borderId="0" xfId="8" applyNumberFormat="1" applyFont="1" applyFill="1" applyBorder="1" applyAlignment="1">
      <x:alignment horizontal="center"/>
    </x:xf>
    <x:xf numFmtId="10" fontId="8" fillId="0" borderId="0" xfId="8" applyNumberFormat="1" applyFont="1" applyFill="1" applyBorder="1" applyAlignment="1">
      <x:alignment horizontal="center"/>
    </x:xf>
    <x:xf numFmtId="164" fontId="8" fillId="0" borderId="0" xfId="47" applyNumberFormat="1" applyFont="1" applyFill="1" applyBorder="1" applyAlignment="1">
      <x:alignment horizontal="center" wrapText="1"/>
    </x:xf>
    <x:xf numFmtId="164" fontId="8" fillId="0" borderId="0" xfId="8" applyNumberFormat="1" applyFont="1" applyFill="1" applyBorder="1" applyAlignment="1">
      <x:alignment horizontal="center" wrapText="1"/>
    </x:xf>
    <x:xf numFmtId="164" fontId="24" fillId="0" borderId="0" xfId="47" applyNumberFormat="1" applyFont="1" applyFill="1" applyBorder="1"/>
    <x:xf numFmtId="164" fontId="9" fillId="0" borderId="0" xfId="47" applyNumberFormat="1" applyFont="1" applyFill="1" applyBorder="1"/>
    <x:xf numFmtId="168" fontId="8" fillId="44" borderId="22" xfId="25" applyFont="1" applyFill="1" applyBorder="1" applyAlignment="1">
      <x:alignment horizontal="center" wrapText="1"/>
    </x:xf>
    <x:xf numFmtId="0" fontId="8" fillId="0" borderId="0" xfId="162" applyNumberFormat="1" applyFont="1" applyFill="1" applyAlignment="1">
      <x:alignment horizontal="center" vertical="top"/>
    </x:xf>
    <x:xf numFmtId="0" fontId="8" fillId="0" borderId="0" xfId="162" applyNumberFormat="1" applyFont="1" applyFill="1" applyAlignment="1">
      <x:alignment horizontal="left" vertical="top" wrapText="1"/>
    </x:xf>
    <x:xf numFmtId="0" fontId="8" fillId="0" borderId="0" xfId="0" applyFont="1" applyAlignment="1">
      <x:alignment vertical="top" wrapText="1"/>
    </x:xf>
    <x:xf numFmtId="0" fontId="13" fillId="0" borderId="0" xfId="0" applyFont="1" applyAlignment="1">
      <x:alignment horizontal="center" wrapText="1"/>
    </x:xf>
    <x:xf numFmtId="168" fontId="110" fillId="0" borderId="0" xfId="27" applyFont="1"/>
    <x:xf numFmtId="0" fontId="110" fillId="0" borderId="0" xfId="27" applyNumberFormat="1" applyFont="1"/>
    <x:xf numFmtId="49" fontId="110" fillId="0" borderId="0" xfId="27" applyNumberFormat="1" applyFont="1"/>
    <x:xf numFmtId="0" fontId="111" fillId="0" borderId="0" xfId="27" applyNumberFormat="1" applyFont="1"/>
    <x:xf numFmtId="164" fontId="111" fillId="0" borderId="0" xfId="8" applyNumberFormat="1" applyFont="1" applyFill="1" applyBorder="1"/>
    <x:xf numFmtId="0" fontId="8" fillId="0" borderId="0" xfId="27" applyNumberFormat="1" applyFont="1" applyAlignment="1" applyProtection="1">
      <x:alignment horizontal="left"/>
      <x:protection locked="0"/>
    </x:xf>
    <x:xf numFmtId="49" fontId="9" fillId="0" borderId="0" xfId="27" applyNumberFormat="1" applyFont="1" applyAlignment="1">
      <x:alignment horizontal="left"/>
    </x:xf>
    <x:xf numFmtId="168" fontId="9" fillId="0" borderId="21" xfId="27" applyFont="1" applyBorder="1" applyAlignment="1">
      <x:alignment horizontal="left" wrapText="1"/>
    </x:xf>
    <x:xf numFmtId="0" fontId="8" fillId="0" borderId="21" xfId="27" applyNumberFormat="1" applyFont="1" applyBorder="1" applyAlignment="1">
      <x:alignment horizontal="left"/>
    </x:xf>
    <x:xf numFmtId="0" fontId="8" fillId="0" borderId="30" xfId="27" applyNumberFormat="1" applyFont="1" applyBorder="1" applyAlignment="1">
      <x:alignment horizontal="left"/>
    </x:xf>
    <x:xf numFmtId="168" fontId="8" fillId="0" borderId="30" xfId="49" applyFont="1" applyBorder="1" applyAlignment="1">
      <x:alignment horizontal="left"/>
    </x:xf>
    <x:xf numFmtId="168" fontId="8" fillId="0" borderId="0" xfId="27" applyFont="1" applyAlignment="1">
      <x:alignment horizontal="left" vertical="top"/>
    </x:xf>
    <x:xf numFmtId="168" fontId="8" fillId="0" borderId="30" xfId="27" applyFont="1" applyBorder="1" applyAlignment="1">
      <x:alignment horizontal="left"/>
    </x:xf>
    <x:xf numFmtId="168" fontId="8" fillId="0" borderId="31" xfId="27" applyFont="1" applyBorder="1" applyAlignment="1">
      <x:alignment horizontal="left"/>
    </x:xf>
    <x:xf numFmtId="168" fontId="8" fillId="0" borderId="1" xfId="27" applyFont="1" applyBorder="1" applyAlignment="1">
      <x:alignment horizontal="left"/>
    </x:xf>
    <x:xf numFmtId="0" fontId="9" fillId="0" borderId="0" xfId="27" applyNumberFormat="1" applyFont="1" applyAlignment="1" applyProtection="1">
      <x:alignment horizontal="left"/>
      <x:protection locked="0"/>
    </x:xf>
    <x:xf numFmtId="0" fontId="18" fillId="0" borderId="0" xfId="27" applyNumberFormat="1" applyFont="1" applyAlignment="1" applyProtection="1">
      <x:alignment horizontal="left"/>
      <x:protection locked="0"/>
    </x:xf>
    <x:xf numFmtId="0" fontId="73" fillId="0" borderId="0" xfId="27" applyNumberFormat="1" applyFont="1" applyAlignment="1" applyProtection="1">
      <x:alignment horizontal="left"/>
      <x:protection locked="0"/>
    </x:xf>
    <x:xf numFmtId="168" fontId="8" fillId="0" borderId="30" xfId="27" applyFont="1" applyBorder="1" applyAlignment="1">
      <x:alignment horizontal="left" vertical="top"/>
    </x:xf>
    <x:xf numFmtId="168" fontId="15" fillId="0" borderId="0" xfId="27" applyFont="1" applyAlignment="1">
      <x:alignment horizontal="left"/>
    </x:xf>
    <x:xf numFmtId="0" fontId="8" fillId="0" borderId="0" xfId="8" applyNumberFormat="1" applyFont="1" applyFill="1" applyAlignment="1">
      <x:alignment horizontal="left"/>
    </x:xf>
    <x:xf numFmtId="0" fontId="2" fillId="0" borderId="0" xfId="60" applyFont="1"/>
    <x:xf numFmtId="0" fontId="7" fillId="0" borderId="0" xfId="60" applyFont="1"/>
    <x:xf numFmtId="0" fontId="2" fillId="0" borderId="0" xfId="60" applyFont="1" applyAlignment="1">
      <x:alignment horizontal="left"/>
    </x:xf>
    <x:xf numFmtId="0" fontId="7" fillId="0" borderId="0" xfId="60" applyFont="1" applyAlignment="1">
      <x:alignment horizontal="left"/>
    </x:xf>
    <x:xf numFmtId="0" fontId="4" fillId="0" borderId="0" xfId="0" applyFont="1" applyAlignment="1">
      <x:alignment horizontal="left"/>
    </x:xf>
    <x:xf numFmtId="168" fontId="8" fillId="9" borderId="0" xfId="34" applyFont="1" applyFill="1" applyAlignment="1">
      <x:alignment horizontal="center"/>
    </x:xf>
    <x:xf numFmtId="164" fontId="8" fillId="0" borderId="6" xfId="8" applyNumberFormat="1" applyFont="1" applyFill="1" applyBorder="1"/>
    <x:xf numFmtId="164" fontId="8" fillId="0" borderId="8" xfId="8" applyNumberFormat="1" applyFont="1" applyFill="1" applyBorder="1"/>
    <x:xf numFmtId="0" fontId="8" fillId="0" borderId="0" xfId="0" applyFont="1" applyAlignment="1">
      <x:alignment horizontal="right" vertical="top"/>
    </x:xf>
    <x:xf numFmtId="0" fontId="112" fillId="0" borderId="0" xfId="0" applyFont="1"/>
    <x:xf numFmtId="0" fontId="112" fillId="0" borderId="0" xfId="0" applyFont="1" applyAlignment="1">
      <x:alignment horizontal="center"/>
    </x:xf>
    <x:xf numFmtId="0" fontId="3" fillId="0" borderId="0" xfId="60" applyFont="1" applyAlignment="1">
      <x:alignment wrapText="1"/>
    </x:xf>
    <x:xf numFmtId="0" fontId="8" fillId="0" borderId="0" xfId="60" applyAlignment="1">
      <x:alignment wrapText="1"/>
    </x:xf>
    <x:xf numFmtId="166" fontId="15" fillId="0" borderId="20" xfId="10" applyNumberFormat="1" applyFont="1" applyFill="1" applyBorder="1"/>
    <x:xf numFmtId="0" fontId="3" fillId="3" borderId="4" xfId="0" applyFont="1" applyFill="1" applyBorder="1"/>
    <x:xf numFmtId="0" fontId="9" fillId="4" borderId="4" xfId="0" applyFont="1" applyFill="1" applyBorder="1"/>
    <x:xf numFmtId="0" fontId="39" fillId="4" borderId="3" xfId="0" applyFont="1" applyFill="1" applyBorder="1" applyAlignment="1">
      <x:alignment horizontal="center"/>
    </x:xf>
    <x:xf numFmtId="164" fontId="8" fillId="0" borderId="1" xfId="7" applyNumberFormat="1" applyBorder="1"/>
    <x:xf numFmtId="0" fontId="8" fillId="0" borderId="1" xfId="7" applyBorder="1"/>
    <x:xf numFmtId="0" fontId="112" fillId="0" borderId="0" xfId="0" applyFont="1" applyAlignment="1">
      <x:alignment horizontal="left"/>
    </x:xf>
    <x:xf numFmtId="0" fontId="112" fillId="0" borderId="1" xfId="0" applyFont="1" applyBorder="1" applyAlignment="1">
      <x:alignment horizontal="left"/>
    </x:xf>
    <x:xf numFmtId="0" fontId="112" fillId="0" borderId="1" xfId="0" applyFont="1" applyBorder="1" applyAlignment="1">
      <x:alignment horizontal="center"/>
    </x:xf>
    <x:xf numFmtId="164" fontId="24" fillId="0" borderId="0" xfId="47" applyNumberFormat="1" applyFont="1" applyFill="1" applyBorder="1" applyAlignment="1">
      <x:alignment horizontal="center"/>
    </x:xf>
    <x:xf numFmtId="164" fontId="24" fillId="9" borderId="0" xfId="47" applyNumberFormat="1" applyFont="1" applyFill="1" applyBorder="1"/>
    <x:xf numFmtId="10" fontId="24" fillId="0" borderId="0" xfId="46" applyNumberFormat="1" applyFont="1" applyFill="1" applyBorder="1" applyAlignment="1"/>
    <x:xf numFmtId="43" fontId="24" fillId="9" borderId="0" xfId="47" applyFont="1" applyFill="1" applyBorder="1"/>
    <x:xf numFmtId="0" fontId="2" fillId="0" borderId="0" xfId="0" applyFont="1" applyAlignment="1">
      <x:alignment horizontal="center"/>
    </x:xf>
    <x:xf numFmtId="164" fontId="8" fillId="0" borderId="5" xfId="47" applyNumberFormat="1" applyFont="1" applyFill="1" applyBorder="1"/>
    <x:xf numFmtId="43" fontId="24" fillId="0" borderId="0" xfId="47" applyFont="1" applyFill="1" applyBorder="1"/>
    <x:xf numFmtId="41" fontId="8" fillId="9" borderId="0" xfId="45" applyNumberFormat="1" applyFont="1" applyFill="1" applyProtection="1">
      <x:protection locked="0"/>
    </x:xf>
    <x:xf numFmtId="164" fontId="8" fillId="0" borderId="0" xfId="147" applyNumberFormat="1" applyFont="1" applyAlignment="1" applyProtection="1">
      <x:alignment horizontal="center"/>
      <x:protection locked="0"/>
    </x:xf>
    <x:xf numFmtId="166" fontId="8" fillId="0" borderId="0" xfId="45" applyNumberFormat="1" applyFont="1" applyBorder="1" applyProtection="1">
      <x:protection locked="0"/>
    </x:xf>
    <x:xf numFmtId="0" fontId="112" fillId="0" borderId="0" xfId="25" applyNumberFormat="1" applyFont="1" applyAlignment="1">
      <x:alignment horizontal="center"/>
    </x:xf>
    <x:xf numFmtId="168" fontId="112" fillId="0" borderId="0" xfId="25" applyFont="1" applyAlignment="1">
      <x:alignment horizontal="center"/>
    </x:xf>
    <x:xf numFmtId="0" fontId="112" fillId="0" borderId="0" xfId="26" applyFont="1" applyAlignment="1">
      <x:alignment horizontal="center"/>
    </x:xf>
    <x:xf numFmtId="41" fontId="24" fillId="0" borderId="0" xfId="0" applyNumberFormat="1" applyFont="1"/>
    <x:xf numFmtId="0" fontId="8" fillId="0" borderId="0" xfId="0" applyFont="1" applyAlignment="1">
      <x:alignment horizontal="left" vertical="top" wrapText="1"/>
    </x:xf>
    <x:xf numFmtId="0" fontId="24" fillId="0" borderId="0" xfId="0" applyFont="1" applyAlignment="1">
      <x:alignment horizontal="center" vertical="center" wrapText="1"/>
    </x:xf>
    <x:xf numFmtId="0" fontId="24" fillId="0" borderId="0" xfId="0" applyFont="1" applyAlignment="1">
      <x:alignment horizontal="center"/>
    </x:xf>
    <x:xf numFmtId="0" fontId="24" fillId="0" borderId="0" xfId="0" applyFont="1" applyBorder="1" applyAlignment="1">
      <x:alignment horizontal="center" vertical="center" wrapText="1"/>
    </x:xf>
    <x:xf numFmtId="0" fontId="20" fillId="0" borderId="15" xfId="0" applyFont="1" applyBorder="1" applyAlignment="1">
      <x:alignment horizontal="center"/>
    </x:xf>
    <x:xf numFmtId="0" fontId="44" fillId="0" borderId="0" xfId="0" applyFont="1" applyAlignment="1">
      <x:alignment horizontal="center"/>
    </x:xf>
    <x:xf numFmtId="0" fontId="24" fillId="0" borderId="0" xfId="0" applyFont="1" applyAlignment="1">
      <x:alignment horizontal="center"/>
    </x:xf>
    <x:xf numFmtId="0" fontId="45" fillId="0" borderId="0" xfId="0" applyFont="1" applyAlignment="1">
      <x:alignment horizontal="center"/>
    </x:xf>
    <x:xf numFmtId="0" fontId="7" fillId="0" borderId="0" xfId="32" applyFont="1" applyFill="1" applyAlignment="1">
      <x:alignment horizontal="center"/>
    </x:xf>
    <x:xf numFmtId="0" fontId="15" fillId="0" borderId="0" xfId="32" applyFont="1" applyFill="1"/>
    <x:xf numFmtId="0" fontId="8" fillId="0" borderId="0" xfId="32" applyFill="1"/>
    <x:xf numFmtId="0" fontId="0" fillId="0" borderId="0" xfId="0" applyFill="1"/>
    <x:xf numFmtId="0" fontId="9" fillId="0" borderId="0" xfId="7" applyFont="1" applyFill="1" applyAlignment="1">
      <x:alignment horizontal="center"/>
    </x:xf>
    <x:xf numFmtId="176" fontId="8" fillId="0" borderId="0" xfId="32" applyNumberFormat="1" applyFill="1"/>
    <x:xf numFmtId="0" fontId="8" fillId="0" borderId="0" xfId="7" applyFill="1" applyAlignment="1">
      <x:alignment horizontal="center"/>
    </x:xf>
    <x:xf numFmtId="44" fontId="8" fillId="0" borderId="0" xfId="45" applyFont="1" applyFill="1" applyAlignment="1">
      <x:alignment horizontal="center"/>
    </x:xf>
    <x:xf numFmtId="0" fontId="31" fillId="0" borderId="0" xfId="20" applyFont="1" applyFill="1"/>
    <x:xf numFmtId="0" fontId="8" fillId="0" borderId="0" xfId="20" applyFont="1" applyFill="1"/>
    <x:xf numFmtId="176" fontId="38" fillId="0" borderId="0" xfId="23" applyNumberFormat="1" applyFont="1" applyFill="1"/>
    <x:xf numFmtId="42" fontId="8" fillId="0" borderId="0" xfId="20" applyNumberFormat="1" applyFont="1" applyFill="1"/>
    <x:xf numFmtId="0" fontId="14" fillId="0" borderId="0" xfId="20" applyFont="1" applyFill="1"/>
    <x:xf numFmtId="0" fontId="8" fillId="0" borderId="0" xfId="20" applyFont="1" applyFill="1" applyAlignment="1">
      <x:alignment wrapText="1"/>
    </x:xf>
    <x:xf numFmtId="10" fontId="24" fillId="0" borderId="0" xfId="0" applyNumberFormat="1" applyFont="1" applyFill="1" applyAlignment="1">
      <x:alignment horizontal="center" wrapText="1"/>
    </x:xf>
    <x:xf numFmtId="0" fontId="24" fillId="0" borderId="0" xfId="0" applyFont="1" applyFill="1"/>
    <x:xf numFmtId="0" fontId="48" fillId="0" borderId="0" xfId="0" applyFont="1" applyFill="1"/>
    <x:xf numFmtId="0" fontId="47" fillId="0" borderId="0" xfId="0" applyFont="1" applyFill="1" applyAlignment="1">
      <x:alignment horizontal="left"/>
    </x:xf>
    <x:xf numFmtId="164" fontId="24" fillId="0" borderId="0" xfId="0" applyNumberFormat="1" applyFont="1" applyFill="1"/>
    <x:xf numFmtId="0" fontId="8" fillId="0" borderId="0" xfId="0" applyFont="1" applyFill="1"/>
    <x:xf numFmtId="0" fontId="28" fillId="10" borderId="0" xfId="0" applyFont="1" applyFill="1" applyAlignment="1">
      <x:alignment horizontal="left"/>
    </x:xf>
    <x:xf numFmtId="164" fontId="15" fillId="0" borderId="19" xfId="47" applyNumberFormat="1" applyFont="1" applyFill="1" applyBorder="1" applyAlignment="1"/>
    <x:xf numFmtId="0" fontId="24" fillId="0" borderId="12" xfId="0" applyFont="1" applyBorder="1" applyAlignment="1">
      <x:alignment horizontal="center" wrapText="1"/>
    </x:xf>
    <x:xf numFmtId="164" fontId="1" fillId="9" borderId="0" xfId="47" quotePrefix="1" applyNumberFormat="1" applyFont="1" applyFill="1" applyAlignment="1">
      <x:alignment vertical="center" wrapText="1"/>
    </x:xf>
    <x:xf numFmtId="164" fontId="1" fillId="9" borderId="0" xfId="47" applyNumberFormat="1" applyFont="1" applyFill="1" applyAlignment="1">
      <x:alignment vertical="center" wrapText="1"/>
    </x:xf>
    <x:xf numFmtId="0" fontId="38" fillId="0" borderId="0" xfId="0" applyFont="1" applyFill="1"/>
    <x:xf numFmtId="43" fontId="14" fillId="0" borderId="0" xfId="47" applyFont="1" applyFill="1"/>
    <x:xf numFmtId="0" fontId="1" fillId="0" borderId="0" xfId="0" applyFont="1" applyAlignment="1">
      <x:alignment horizontal="left"/>
    </x:xf>
    <x:xf numFmtId="0" fontId="1" fillId="0" borderId="0" xfId="0" applyFont="1"/>
    <x:xf numFmtId="0" fontId="7" fillId="0" borderId="0" xfId="0" applyFont="1" applyAlignment="1">
      <x:alignment horizontal="center"/>
    </x:xf>
    <x:xf numFmtId="0" fontId="23" fillId="0" borderId="0" xfId="0" applyFont="1" applyAlignment="1">
      <x:alignment horizontal="center"/>
    </x:xf>
    <x:xf numFmtId="0" fontId="0" fillId="0" borderId="0" xfId="0"/>
    <x:xf numFmtId="168" fontId="8" fillId="0" borderId="26" xfId="49" applyFont="1" applyFill="1" applyBorder="1"/>
    <x:xf numFmtId="0" fontId="8" fillId="0" borderId="0" xfId="8" applyNumberFormat="1" applyFont="1" applyFill="1" applyBorder="1" applyAlignment="1">
      <x:alignment horizontal="left"/>
    </x:xf>
    <x:xf numFmtId="164" fontId="8" fillId="0" borderId="26" xfId="8" applyNumberFormat="1" applyFont="1" applyFill="1" applyBorder="1"/>
    <x:xf numFmtId="164" fontId="8" fillId="0" borderId="27" xfId="8" applyNumberFormat="1" applyFont="1" applyFill="1" applyBorder="1" applyAlignment="1">
      <x:alignment horizontal="center"/>
    </x:xf>
    <x:xf numFmtId="164" fontId="8" fillId="0" borderId="26" xfId="8" applyNumberFormat="1" applyFont="1" applyFill="1" applyBorder="1" applyAlignment="1">
      <x:alignment horizontal="center"/>
    </x:xf>
    <x:xf numFmtId="168" fontId="8" fillId="0" borderId="0" xfId="27" applyFont="1" applyFill="1"/>
    <x:xf numFmtId="43" fontId="8" fillId="0" borderId="26" xfId="8" applyFont="1" applyFill="1" applyBorder="1"/>
    <x:xf numFmtId="168" fontId="8" fillId="0" borderId="26" xfId="34" applyFont="1" applyFill="1" applyBorder="1"/>
    <x:xf numFmtId="168" fontId="8" fillId="0" borderId="0" xfId="34" applyFont="1" applyFill="1"/>
    <x:xf numFmtId="43" fontId="8" fillId="0" borderId="26" xfId="8" applyFont="1" applyFill="1" applyBorder="1" applyAlignment="1">
      <x:alignment horizontal="center"/>
    </x:xf>
    <x:xf numFmtId="0" fontId="24" fillId="0" borderId="0" xfId="0" applyFont="1" applyFill="1" applyAlignment="1">
      <x:alignment horizontal="left"/>
    </x:xf>
    <x:xf numFmtId="0" fontId="24" fillId="0" borderId="0" xfId="0" applyFont="1" applyFill="1" applyAlignment="1">
      <x:alignment horizontal="left" vertical="center" wrapText="1"/>
    </x:xf>
    <x:xf numFmtId="41" fontId="8" fillId="0" borderId="0" xfId="0" applyNumberFormat="1" applyFont="1" applyFill="1" applyAlignment="1">
      <x:alignment wrapText="1"/>
    </x:xf>
    <x:xf numFmtId="37" fontId="8" fillId="0" borderId="0" xfId="0" applyNumberFormat="1" applyFont="1" applyFill="1"/>
    <x:xf numFmtId="37" fontId="24" fillId="0" borderId="0" xfId="0" applyNumberFormat="1" applyFont="1" applyFill="1"/>
    <x:xf numFmtId="41" fontId="8" fillId="0" borderId="0" xfId="0" applyNumberFormat="1" applyFont="1" applyFill="1"/>
    <x:xf numFmtId="37" fontId="9" fillId="0" borderId="0" xfId="0" applyNumberFormat="1" applyFont="1" applyFill="1" applyAlignment="1">
      <x:alignment horizontal="right" wrapText="1"/>
    </x:xf>
    <x:xf numFmtId="42" fontId="24" fillId="0" borderId="0" xfId="0" applyNumberFormat="1" applyFont="1" applyFill="1"/>
    <x:xf numFmtId="0" fontId="24" fillId="0" borderId="0" xfId="0" applyFont="1" applyAlignment="1">
      <x:alignment horizontal="left" vertical="top" wrapText="1"/>
    </x:xf>
    <x:xf numFmtId="0" fontId="24" fillId="0" borderId="0" xfId="0" applyFont="1" applyAlignment="1">
      <x:alignment horizontal="left" vertical="top"/>
    </x:xf>
    <x:xf numFmtId="0" fontId="39" fillId="0" borderId="0" xfId="0" applyFont="1" applyAlignment="1">
      <x:alignment horizontal="center" vertical="center"/>
    </x:xf>
    <x:xf numFmtId="0" fontId="24" fillId="0" borderId="0" xfId="0" applyFont="1" applyAlignment="1">
      <x:alignment horizontal="center" wrapText="1"/>
    </x:xf>
    <x:xf numFmtId="0" fontId="39" fillId="0" borderId="0" xfId="0" applyFont="1" applyAlignment="1">
      <x:alignment horizontal="left" vertical="center"/>
    </x:xf>
    <x:xf numFmtId="0" fontId="23" fillId="0" borderId="0" xfId="0" applyFont="1" applyAlignment="1">
      <x:alignment horizontal="center"/>
    </x:xf>
    <x:xf numFmtId="0" fontId="24" fillId="0" borderId="0" xfId="0" applyFont="1" applyAlignment="1">
      <x:alignment wrapText="1"/>
    </x:xf>
    <x:xf numFmtId="0" fontId="1" fillId="0" borderId="1" xfId="0" applyFont="1" applyBorder="1"/>
    <x:xf numFmtId="0" fontId="24" fillId="7" borderId="0" xfId="0" applyFont="1" applyFill="1" applyBorder="1"/>
    <x:xf numFmtId="166" fontId="8" fillId="0" borderId="0" xfId="0" applyNumberFormat="1" applyFont="1" applyAlignment="1"/>
    <x:xf numFmtId="0" fontId="8" fillId="0" borderId="0" xfId="0" applyFont="1" applyAlignment="1"/>
    <x:xf numFmtId="166" fontId="8" fillId="0" borderId="0" xfId="45" applyNumberFormat="1" applyFont="1" applyFill="1" applyAlignment="1"/>
    <x:xf numFmtId="166" fontId="8" fillId="9" borderId="0" xfId="45" applyNumberFormat="1" applyFont="1" applyFill="1" applyAlignment="1" applyProtection="1">
      <x:protection locked="0"/>
    </x:xf>
    <x:xf numFmtId="184" fontId="8" fillId="0" borderId="0" xfId="45" applyNumberFormat="1" applyFont="1" applyAlignment="1"/>
    <x:xf numFmtId="164" fontId="8" fillId="9" borderId="0" xfId="47" applyNumberFormat="1" applyFont="1" applyFill="1" applyAlignment="1" applyProtection="1">
      <x:protection locked="0"/>
    </x:xf>
    <x:xf numFmtId="166" fontId="8" fillId="0" borderId="0" xfId="0" applyNumberFormat="1" applyFont="1" applyAlignment="1" applyProtection="1">
      <x:protection locked="0"/>
    </x:xf>
    <x:xf numFmtId="169" fontId="8" fillId="0" borderId="0" xfId="47" applyNumberFormat="1" applyFont="1" applyAlignment="1"/>
    <x:xf numFmtId="164" fontId="8" fillId="0" borderId="0" xfId="47" applyNumberFormat="1" applyFont="1" applyFill="1" applyAlignment="1"/>
    <x:xf numFmtId="164" fontId="8" fillId="0" borderId="0" xfId="47" applyNumberFormat="1" applyFont="1" applyAlignment="1" applyProtection="1">
      <x:protection locked="0"/>
    </x:xf>
    <x:xf numFmtId="164" fontId="8" fillId="0" borderId="0" xfId="47" applyNumberFormat="1" applyFont="1" applyFill="1" applyAlignment="1" applyProtection="1">
      <x:protection locked="0"/>
    </x:xf>
    <x:xf numFmtId="41" fontId="8" fillId="9" borderId="0" xfId="45" applyNumberFormat="1" applyFont="1" applyFill="1" applyAlignment="1" applyProtection="1">
      <x:protection locked="0"/>
    </x:xf>
    <x:xf numFmtId="166" fontId="8" fillId="0" borderId="0" xfId="45" applyNumberFormat="1" applyFont="1" applyAlignment="1"/>
    <x:xf numFmtId="166" fontId="8" fillId="0" borderId="0" xfId="45" applyNumberFormat="1" applyFont="1" applyAlignment="1" applyProtection="1">
      <x:protection locked="0"/>
    </x:xf>
    <x:xf numFmtId="166" fontId="8" fillId="0" borderId="20" xfId="45" applyNumberFormat="1" applyFont="1" applyBorder="1" applyAlignment="1" applyProtection="1">
      <x:protection locked="0"/>
    </x:xf>
    <x:xf numFmtId="184" fontId="8" fillId="0" borderId="20" xfId="45" applyNumberFormat="1" applyFont="1" applyBorder="1" applyAlignment="1" applyProtection="1">
      <x:protection locked="0"/>
    </x:xf>
    <x:xf numFmtId="41" fontId="8" fillId="0" borderId="0" xfId="45" applyNumberFormat="1" applyFont="1" applyFill="1" applyAlignment="1" applyProtection="1">
      <x:protection locked="0"/>
    </x:xf>
    <x:xf numFmtId="41" fontId="8" fillId="9" borderId="0" xfId="45" applyNumberFormat="1" applyFont="1" applyFill="1"/>
    <x:xf numFmtId="41" fontId="8" fillId="0" borderId="0" xfId="0" applyNumberFormat="1" applyFont="1" applyProtection="1">
      <x:protection locked="0"/>
    </x:xf>
    <x:xf numFmtId="168" fontId="112" fillId="0" borderId="0" xfId="27" applyFont="1" applyAlignment="1">
      <x:alignment horizontal="center"/>
    </x:xf>
    <x:xf numFmtId="0" fontId="41" fillId="0" borderId="0" xfId="51" applyFont="1" applyAlignment="1"/>
    <x:xf numFmtId="168" fontId="8" fillId="0" borderId="26" xfId="49" applyFont="1" applyFill="1" applyBorder="1" applyAlignment="1">
      <x:alignment wrapText="1"/>
    </x:xf>
    <x:xf numFmtId="0" fontId="8" fillId="0" borderId="30" xfId="0" applyFont="1" applyFill="1" applyBorder="1" applyAlignment="1">
      <x:alignment wrapText="1"/>
    </x:xf>
    <x:xf numFmtId="0" fontId="8" fillId="0" borderId="30" xfId="0" applyFont="1" applyFill="1" applyBorder="1"/>
    <x:xf numFmtId="0" fontId="8" fillId="0" borderId="26" xfId="0" applyFont="1" applyFill="1" applyBorder="1" applyAlignment="1">
      <x:alignment wrapText="1"/>
    </x:xf>
    <x:xf numFmtId="41" fontId="59" fillId="0" borderId="0" xfId="60" applyNumberFormat="1" applyFont="1"/>
    <x:xf numFmtId="0" fontId="4" fillId="0" borderId="0" xfId="0" applyFont="1" applyAlignment="1">
      <x:alignment vertical="top"/>
    </x:xf>
    <x:xf numFmtId="0" fontId="9" fillId="0" borderId="0" xfId="0" applyFont="1" applyAlignment="1">
      <x:alignment vertical="top"/>
    </x:xf>
    <x:xf numFmtId="0" fontId="24" fillId="0" borderId="0" xfId="0" applyFont="1" applyAlignment="1">
      <x:alignment vertical="top"/>
    </x:xf>
    <x:xf numFmtId="0" fontId="22" fillId="0" borderId="0" xfId="0" applyFont="1" applyAlignment="1">
      <x:alignment vertical="top"/>
    </x:xf>
    <x:xf numFmtId="0" fontId="8" fillId="0" borderId="0" xfId="0" applyFont="1" applyAlignment="1">
      <x:alignment vertical="top"/>
    </x:xf>
    <x:xf numFmtId="0" fontId="39" fillId="0" borderId="0" xfId="0" applyFont="1" applyAlignment="1">
      <x:alignment vertical="top"/>
    </x:xf>
    <x:xf numFmtId="0" fontId="0" fillId="0" borderId="0" xfId="0" applyAlignment="1">
      <x:alignment vertical="top"/>
    </x:xf>
    <x:xf numFmtId="0" fontId="39" fillId="0" borderId="0" xfId="0" applyFont="1" applyAlignment="1"/>
    <x:xf numFmtId="0" fontId="8" fillId="0" borderId="0" xfId="0" applyFont="1" applyAlignment="1">
      <x:alignment horizontal="left" vertical="top"/>
    </x:xf>
    <x:xf numFmtId="0" fontId="0" fillId="0" borderId="0" xfId="0" applyAlignment="1">
      <x:alignment horizontal="left" vertical="top"/>
    </x:xf>
    <x:xf numFmtId="0" fontId="24" fillId="0" borderId="0" xfId="0" applyFont="1" applyAlignment="1">
      <x:alignment horizontal="center" vertical="top"/>
    </x:xf>
    <x:xf numFmtId="0" fontId="16" fillId="0" borderId="0" xfId="0" applyFont="1" applyAlignment="1">
      <x:alignment vertical="top" wrapText="1"/>
    </x:xf>
    <x:xf numFmtId="0" fontId="8" fillId="0" borderId="0" xfId="0" applyFont="1" applyAlignment="1">
      <x:alignment horizontal="center" vertical="top" wrapText="1"/>
    </x:xf>
    <x:xf numFmtId="0" fontId="14" fillId="0" borderId="0" xfId="0" applyFont="1" applyAlignment="1">
      <x:alignment horizontal="right" vertical="top"/>
    </x:xf>
    <x:xf numFmtId="0" fontId="6" fillId="0" borderId="0" xfId="0" applyFont="1" applyAlignment="1">
      <x:alignment vertical="top"/>
    </x:xf>
    <x:xf numFmtId="0" fontId="5" fillId="0" borderId="0" xfId="0" applyFont="1" applyAlignment="1">
      <x:alignment horizontal="right" wrapText="1"/>
    </x:xf>
    <x:xf numFmtId="0" fontId="23" fillId="0" borderId="0" xfId="14" applyNumberFormat="1" applyFont="1" applyAlignment="1">
      <x:alignment horizontal="center" wrapText="1"/>
    </x:xf>
    <x:xf numFmtId="0" fontId="39" fillId="0" borderId="31" xfId="0" applyFont="1" applyBorder="1" applyAlignment="1">
      <x:alignment horizontal="left" vertical="center"/>
    </x:xf>
    <x:xf numFmtId="0" fontId="24" fillId="0" borderId="25" xfId="0" applyFont="1" applyBorder="1" applyAlignment="1">
      <x:alignment vertical="center"/>
    </x:xf>
    <x:xf numFmtId="0" fontId="39" fillId="0" borderId="22" xfId="0" applyFont="1" applyBorder="1" applyAlignment="1">
      <x:alignment horizontal="center" vertical="center" wrapText="1"/>
    </x:xf>
    <x:xf numFmtId="0" fontId="39" fillId="0" borderId="21" xfId="0" applyFont="1" applyBorder="1" applyAlignment="1">
      <x:alignment horizontal="left" vertical="center"/>
    </x:xf>
    <x:xf numFmtId="0" fontId="24" fillId="0" borderId="23" xfId="0" applyFont="1" applyBorder="1" applyAlignment="1">
      <x:alignment vertical="center"/>
    </x:xf>
    <x:xf numFmtId="9" fontId="15" fillId="0" borderId="0" xfId="46" applyFont="1" applyFill="1" applyBorder="1"/>
    <x:xf numFmtId="41" fontId="15" fillId="0" borderId="0" xfId="47" applyNumberFormat="1" applyFont="1" applyAlignment="1"/>
    <x:xf numFmtId="41" fontId="15" fillId="0" borderId="0" xfId="47" applyNumberFormat="1" applyFont="1" applyFill="1" applyAlignment="1"/>
    <x:xf numFmtId="0" fontId="7" fillId="0" borderId="0" xfId="20" applyFont="1" applyAlignment="1">
      <x:alignment horizontal="center"/>
    </x:xf>
    <x:xf numFmtId="0" fontId="7" fillId="0" borderId="0" xfId="32" applyFont="1" applyAlignment="1">
      <x:alignment horizontal="center"/>
    </x:xf>
    <x:xf numFmtId="10" fontId="15" fillId="0" borderId="0" xfId="46" applyNumberFormat="1" applyFont="1" applyAlignment="1"/>
    <x:xf numFmtId="0" fontId="24" fillId="0" borderId="0" xfId="0" applyFont="1" applyAlignment="1">
      <x:alignment horizontal="left" vertical="top" wrapText="1"/>
    </x:xf>
    <x:xf numFmtId="0" fontId="8" fillId="0" borderId="0" xfId="0" applyFont="1" applyAlignment="1">
      <x:alignment horizontal="left" vertical="top" wrapText="1"/>
    </x:xf>
    <x:xf numFmtId="0" fontId="3" fillId="3" borderId="4" xfId="0" applyFont="1" applyFill="1" applyBorder="1" applyAlignment="1">
      <x:alignment horizontal="center" wrapText="1"/>
    </x:xf>
    <x:xf numFmtId="0" fontId="9" fillId="0" borderId="1" xfId="0"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8" fillId="0" borderId="6" xfId="0" applyFont="1" applyBorder="1" applyAlignment="1">
      <x:alignment horizontal="center" wrapText="1"/>
    </x:xf>
    <x:xf numFmtId="168" fontId="8" fillId="0" borderId="28" xfId="34" applyFont="1" applyBorder="1" applyAlignment="1">
      <x:alignment horizontal="center"/>
    </x:xf>
    <x:xf numFmtId="168" fontId="8" fillId="0" borderId="29" xfId="34" applyFont="1" applyBorder="1" applyAlignment="1">
      <x:alignment horizontal="center"/>
    </x:xf>
    <x:xf numFmtId="168" fontId="8" fillId="0" borderId="31" xfId="34" applyFont="1" applyBorder="1" applyAlignment="1">
      <x:alignment horizontal="center"/>
    </x:xf>
    <x:xf numFmtId="168" fontId="8" fillId="0" borderId="25" xfId="34" applyFont="1" applyBorder="1" applyAlignment="1">
      <x:alignment horizontal="center"/>
    </x:xf>
    <x:xf numFmtId="168" fontId="7" fillId="0" borderId="0" xfId="34" applyFont="1" applyAlignment="1">
      <x:alignment horizontal="center"/>
    </x:xf>
    <x:xf numFmtId="0" fontId="7" fillId="0" borderId="0" xfId="0" applyFont="1" applyAlignment="1">
      <x:alignment horizontal="center"/>
    </x:xf>
    <x:xf numFmtId="164" fontId="15" fillId="0" borderId="16" xfId="47" applyNumberFormat="1" applyFont="1" applyBorder="1"/>
    <x:xf numFmtId="164" fontId="15" fillId="0" borderId="16" xfId="47" applyNumberFormat="1" applyFont="1" applyBorder="1" applyAlignment="1"/>
    <x:xf numFmtId="0" fontId="39" fillId="0" borderId="0" xfId="0" applyFont="1" applyAlignment="1">
      <x:alignment horizontal="center" vertical="top"/>
    </x:xf>
    <x:xf numFmtId="0" fontId="1" fillId="0" borderId="0" xfId="0" applyFont="1" applyAlignment="1">
      <x:alignment horizontal="left" vertical="top" wrapText="1"/>
    </x:xf>
    <x:xf numFmtId="0" fontId="24" fillId="0" borderId="0" xfId="0" applyFont="1" applyFill="1" applyAlignment="1">
      <x:alignment horizontal="center"/>
    </x:xf>
    <x:xf numFmtId="0" fontId="8" fillId="0" borderId="0" xfId="150" applyFont="1" applyAlignment="1">
      <x:alignment horizontal="center" vertical="top"/>
    </x:xf>
    <x:xf numFmtId="0" fontId="24" fillId="0" borderId="0" xfId="150" applyAlignment="1">
      <x:alignment horizontal="center" vertical="top"/>
    </x:xf>
    <x:xf numFmtId="0" fontId="24" fillId="0" borderId="0" xfId="150" applyAlignment="1">
      <x:alignment horizontal="left" vertical="top"/>
    </x:xf>
    <x:xf numFmtId="0" fontId="113" fillId="0" borderId="6" xfId="0" applyFont="1" applyBorder="1"/>
    <x:xf numFmtId="0" fontId="9" fillId="0" borderId="0" xfId="0" applyFont="1" applyBorder="1"/>
    <x:xf numFmtId="0" fontId="8" fillId="0" borderId="0" xfId="0" applyFont="1" applyBorder="1"/>
    <x:xf numFmtId="0" fontId="8" fillId="0" borderId="0" xfId="0" applyFont="1" applyBorder="1" applyAlignment="1">
      <x:alignment horizontal="center"/>
    </x:xf>
    <x:xf numFmtId="0" fontId="8" fillId="0" borderId="0" xfId="0" applyFont="1" applyBorder="1" applyAlignment="1">
      <x:alignment horizontal="left"/>
    </x:xf>
    <x:xf numFmtId="0" fontId="56" fillId="0" borderId="0" xfId="0" applyFont="1" applyBorder="1" applyAlignment="1">
      <x:alignment horizontal="center"/>
    </x:xf>
    <x:xf numFmtId="3" fontId="8" fillId="0" borderId="0" xfId="0" applyNumberFormat="1" applyFont="1" applyBorder="1" applyAlignment="1">
      <x:alignment horizontal="center"/>
    </x:xf>
    <x:xf numFmtId="3" fontId="56" fillId="0" borderId="0" xfId="0" applyNumberFormat="1" applyFont="1" applyBorder="1" applyAlignment="1">
      <x:alignment horizontal="center"/>
    </x:xf>
    <x:xf numFmtId="0" fontId="8" fillId="0" borderId="0" xfId="0" applyFont="1" applyBorder="1" applyAlignment="1">
      <x:alignment horizontal="left" wrapText="1"/>
    </x:xf>
    <x:xf numFmtId="0" fontId="8" fillId="0" borderId="0" xfId="0" applyFont="1" applyBorder="1" applyAlignment="1">
      <x:alignment wrapText="1"/>
    </x:xf>
    <x:xf numFmtId="0" fontId="9" fillId="0" borderId="0" xfId="0" applyFont="1" applyBorder="1" applyAlignment="1">
      <x:alignment horizontal="left"/>
    </x:xf>
    <x:xf numFmtId="0" fontId="56" fillId="0" borderId="0" xfId="0" applyFont="1" applyBorder="1" applyAlignment="1">
      <x:alignment horizontal="right"/>
    </x:xf>
    <x:xf numFmtId="0" fontId="56" fillId="0" borderId="0" xfId="0" applyFont="1" applyBorder="1"/>
    <x:xf numFmtId="0" fontId="112" fillId="0" borderId="0" xfId="0" applyFont="1" applyBorder="1" applyAlignment="1">
      <x:alignment horizontal="center"/>
    </x:xf>
    <x:xf numFmtId="166" fontId="8" fillId="9" borderId="0" xfId="45" applyNumberFormat="1" applyFont="1" applyFill="1" applyBorder="1" applyAlignment="1">
      <x:alignment horizontal="center"/>
    </x:xf>
    <x:xf numFmtId="166" fontId="8" fillId="0" borderId="0" xfId="45" applyNumberFormat="1" applyFont="1" applyFill="1" applyBorder="1" applyAlignment="1">
      <x:alignment horizontal="center"/>
    </x:xf>
    <x:xf numFmtId="0" fontId="8" fillId="0" borderId="0" xfId="0" applyFont="1" applyBorder="1" applyAlignment="1">
      <x:alignment horizontal="right"/>
    </x:xf>
    <x:xf numFmtId="0" fontId="10" fillId="0" borderId="0" xfId="0" applyFont="1" applyBorder="1" applyAlignment="1">
      <x:alignment horizontal="center"/>
    </x:xf>
    <x:xf numFmtId="166" fontId="8" fillId="0" borderId="0" xfId="45" applyNumberFormat="1" applyFont="1" applyBorder="1" applyAlignment="1">
      <x:alignment horizontal="center"/>
    </x:xf>
    <x:xf numFmtId="41" fontId="8" fillId="0" borderId="0" xfId="0" applyNumberFormat="1" applyFont="1" applyBorder="1" applyAlignment="1">
      <x:alignment horizontal="center"/>
    </x:xf>
    <x:xf numFmtId="3" fontId="8" fillId="0" borderId="0" xfId="0" applyNumberFormat="1" applyFont="1" applyBorder="1"/>
    <x:xf numFmtId="166" fontId="8" fillId="0" borderId="0" xfId="45" applyNumberFormat="1" applyFont="1" applyFill="1" applyBorder="1"/>
    <x:xf numFmtId="3" fontId="112" fillId="0" borderId="0" xfId="0" applyNumberFormat="1" applyFont="1" applyBorder="1" applyAlignment="1">
      <x:alignment horizontal="center"/>
    </x:xf>
    <x:xf numFmtId="0" fontId="8" fillId="0" borderId="0" xfId="0" applyFont="1" applyBorder="1" applyAlignment="1">
      <x:alignment horizontal="centerContinuous"/>
    </x:xf>
    <x:xf numFmtId="166" fontId="9" fillId="0" borderId="0" xfId="45" applyNumberFormat="1" applyFont="1" applyBorder="1" applyAlignment="1">
      <x:alignment horizontal="center"/>
    </x:xf>
    <x:xf numFmtId="166" fontId="9" fillId="0" borderId="0" xfId="45" applyNumberFormat="1" applyFont="1" applyFill="1" applyBorder="1" applyAlignment="1">
      <x:alignment horizontal="center"/>
    </x:xf>
    <x:xf numFmtId="167" fontId="9" fillId="0" borderId="0" xfId="0" applyNumberFormat="1" applyFont="1" applyBorder="1" applyAlignment="1">
      <x:alignment horizontal="left"/>
    </x:xf>
    <x:xf numFmtId="0" fontId="9" fillId="0" borderId="0" xfId="0" applyFont="1" applyBorder="1" applyAlignment="1">
      <x:alignment horizontal="center"/>
    </x:xf>
    <x:xf numFmtId="3" fontId="9" fillId="0" borderId="0" xfId="0" applyNumberFormat="1" applyFont="1" applyBorder="1" applyAlignment="1">
      <x:alignment horizontal="center"/>
    </x:xf>
    <x:xf numFmtId="3" fontId="9" fillId="0" borderId="0" xfId="0" applyNumberFormat="1" applyFont="1" applyBorder="1"/>
    <x:xf numFmtId="3" fontId="8" fillId="0" borderId="0" xfId="0" applyNumberFormat="1" applyFont="1" applyBorder="1" applyAlignment="1">
      <x:alignment horizontal="left"/>
    </x:xf>
    <x:xf numFmtId="0" fontId="9" fillId="0" borderId="0" xfId="0" applyFont="1" applyBorder="1" applyAlignment="1">
      <x:alignment horizontal="center" wrapText="1"/>
    </x:xf>
    <x:xf numFmtId="0" fontId="8" fillId="0" borderId="0" xfId="0" applyFont="1" applyBorder="1" applyAlignment="1">
      <x:alignment horizontal="center" wrapText="1"/>
    </x:xf>
    <x:xf numFmtId="0" fontId="24" fillId="0" borderId="0" xfId="0" applyFont="1" applyBorder="1" applyAlignment="1">
      <x:alignment horizontal="right"/>
    </x:xf>
    <x:xf numFmtId="0" fontId="24" fillId="0" borderId="0" xfId="0" applyFont="1" applyBorder="1"/>
    <x:xf numFmtId="164" fontId="8" fillId="0" borderId="0" xfId="0" applyNumberFormat="1" applyFont="1" applyBorder="1"/>
    <x:xf numFmtId="0" fontId="9" fillId="0" borderId="0" xfId="26" quotePrefix="1" applyFont="1" applyBorder="1" applyAlignment="1">
      <x:alignment horizontal="left" wrapText="1"/>
    </x:xf>
    <x:xf numFmtId="0" fontId="9" fillId="0" borderId="0" xfId="26" applyFont="1" applyBorder="1"/>
    <x:xf numFmtId="0" fontId="9" fillId="0" borderId="0" xfId="26" applyFont="1" applyBorder="1" applyAlignment="1">
      <x:alignment wrapText="1"/>
    </x:xf>
    <x:xf numFmtId="10" fontId="8" fillId="0" borderId="0" xfId="2" applyNumberFormat="1" applyFont="1" applyFill="1" applyBorder="1"/>
    <x:xf numFmtId="0" fontId="24" fillId="9" borderId="0" xfId="0" applyFont="1" applyFill="1" applyBorder="1"/>
    <x:xf numFmtId="0" fontId="8" fillId="9" borderId="0" xfId="0" applyFont="1" applyFill="1" applyBorder="1"/>
    <x:xf numFmtId="164" fontId="24" fillId="0" borderId="0" xfId="47" applyNumberFormat="1" applyFont="1" applyFill="1" applyBorder="1" applyAlignment="1"/>
    <x:xf numFmtId="167" fontId="8" fillId="0" borderId="0" xfId="2" applyNumberFormat="1" applyFont="1" applyFill="1" applyBorder="1" applyAlignment="1"/>
    <x:xf numFmtId="0" fontId="3" fillId="0" borderId="0" xfId="0" applyFont="1" applyBorder="1" applyAlignment="1">
      <x:alignment horizontal="center"/>
    </x:xf>
    <x:xf numFmtId="168" fontId="8" fillId="9" borderId="0" xfId="25" applyFont="1" applyFill="1" applyBorder="1" applyAlignment="1">
      <x:alignment horizontal="left"/>
    </x:xf>
    <x:xf numFmtId="168" fontId="8" fillId="0" borderId="0" xfId="25" applyFont="1" applyBorder="1" applyAlignment="1">
      <x:alignment horizontal="left"/>
    </x:xf>
    <x:xf numFmtId="0" fontId="8" fillId="0" borderId="0" xfId="26" applyBorder="1" applyAlignment="1">
      <x:alignment horizontal="left"/>
    </x:xf>
    <x:xf numFmtId="168" fontId="8" fillId="0" borderId="0" xfId="25" applyFont="1" applyBorder="1"/>
    <x:xf numFmtId="181" fontId="24" fillId="0" borderId="0" xfId="0" applyNumberFormat="1" applyFont="1" applyBorder="1"/>
    <x:xf numFmtId="44" fontId="8" fillId="0" borderId="0" xfId="25" applyNumberFormat="1" applyFont="1" applyBorder="1"/>
    <x:xf numFmtId="164" fontId="8" fillId="0" borderId="0" xfId="7" applyNumberFormat="1" applyBorder="1"/>
    <x:xf numFmtId="0" fontId="8" fillId="0" borderId="0" xfId="7" applyBorder="1"/>
    <x:xf numFmtId="1" fontId="8" fillId="0" borderId="0" xfId="7" applyNumberFormat="1" applyBorder="1" applyAlignment="1">
      <x:alignment horizontal="center"/>
    </x:xf>
    <x:xf numFmtId="164" fontId="8" fillId="0" borderId="0" xfId="7" applyNumberFormat="1" applyBorder="1" applyAlignment="1">
      <x:alignment horizontal="right"/>
    </x:xf>
    <x:xf numFmtId="0" fontId="3" fillId="0" borderId="0" xfId="0" applyFont="1" applyBorder="1"/>
    <x:xf numFmtId="43" fontId="8" fillId="9" borderId="31" xfId="8" applyFont="1" applyFill="1" applyBorder="1" applyAlignment="1">
      <x:alignment horizontal="center"/>
    </x:xf>
    <x:xf numFmtId="164" fontId="8" fillId="9" borderId="24" xfId="8" applyNumberFormat="1" applyFont="1" applyFill="1" applyBorder="1" applyAlignment="1"/>
    <x:xf numFmtId="168" fontId="8" fillId="0" borderId="27" xfId="34" applyFont="1" applyBorder="1" applyAlignment="1">
      <x:alignment horizontal="center"/>
    </x:xf>
    <x:xf numFmtId="168" fontId="8" fillId="0" borderId="30" xfId="49" applyFont="1" applyFill="1" applyBorder="1" applyAlignment="1">
      <x:alignment wrapText="1"/>
    </x:xf>
    <x:xf numFmtId="0" fontId="15" fillId="0" borderId="0" xfId="0" applyFont="1" applyAlignment="1">
      <x:alignment horizontal="left" vertical="top" wrapText="1"/>
    </x:xf>
    <x:xf numFmtId="0" fontId="8" fillId="7" borderId="1" xfId="0" applyFont="1" applyFill="1" applyBorder="1" applyAlignment="1">
      <x:alignment horizontal="left" vertical="top" wrapText="1"/>
    </x:xf>
    <x:xf numFmtId="0" fontId="24" fillId="0" borderId="0" xfId="0" applyFont="1" applyAlignment="1">
      <x:alignment horizontal="center"/>
    </x:xf>
    <x:xf numFmtId="41" fontId="8" fillId="9" borderId="0" xfId="10" applyNumberFormat="1" applyFont="1" applyFill="1" applyBorder="1" applyAlignment="1"/>
    <x:xf numFmtId="41" fontId="8" fillId="9" borderId="0" xfId="10" applyNumberFormat="1" applyFont="1" applyFill="1" applyBorder="1" applyAlignment="1">
      <x:alignment vertical="top"/>
    </x:xf>
    <x:xf numFmtId="166" fontId="8" fillId="0" borderId="26" xfId="45" applyNumberFormat="1" applyFont="1" applyFill="1" applyBorder="1" applyAlignment="1"/>
    <x:xf numFmtId="166" fontId="8" fillId="9" borderId="0" xfId="45" applyNumberFormat="1" applyFont="1" applyFill="1" applyBorder="1" applyAlignment="1"/>
    <x:xf numFmtId="166" fontId="8" fillId="0" borderId="0" xfId="45" applyNumberFormat="1" applyFont="1" applyFill="1" applyBorder="1" applyAlignment="1"/>
    <x:xf numFmtId="0" fontId="39" fillId="0" borderId="0" xfId="14" applyFont="1" applyBorder="1"/>
    <x:xf numFmtId="0" fontId="8" fillId="0" borderId="0" xfId="17" applyFont="1" applyBorder="1"/>
    <x:xf numFmtId="41" fontId="8" fillId="0" borderId="0" xfId="17" applyNumberFormat="1" applyFont="1" applyBorder="1"/>
    <x:xf numFmtId="0" fontId="8" fillId="0" borderId="0" xfId="17" applyFont="1" applyBorder="1" applyAlignment="1">
      <x:alignment wrapText="1"/>
    </x:xf>
    <x:xf numFmtId="0" fontId="24" fillId="0" borderId="0" xfId="0" applyFont="1" applyAlignment="1"/>
    <x:xf numFmtId="42" fontId="8" fillId="2" borderId="0" xfId="7" applyNumberFormat="1" applyFill="1" applyAlignment="1"/>
    <x:xf numFmtId="41" fontId="8" fillId="0" borderId="0" xfId="0" applyNumberFormat="1" applyFont="1" applyAlignment="1"/>
    <x:xf numFmtId="41" fontId="24" fillId="0" borderId="0" xfId="0" applyNumberFormat="1" applyFont="1" applyAlignment="1"/>
    <x:xf numFmtId="41" fontId="24" fillId="9" borderId="0" xfId="7" applyNumberFormat="1" applyFont="1" applyFill="1" applyAlignment="1"/>
    <x:xf numFmtId="41" fontId="14" fillId="2" borderId="0" xfId="7" applyNumberFormat="1" applyFont="1" applyFill="1" applyAlignment="1"/>
    <x:xf numFmtId="41" fontId="24" fillId="2" borderId="0" xfId="7" applyNumberFormat="1" applyFont="1" applyFill="1" applyAlignment="1"/>
    <x:xf numFmtId="41" fontId="8" fillId="2" borderId="0" xfId="7" applyNumberFormat="1" applyFill="1" applyAlignment="1"/>
    <x:xf numFmtId="41" fontId="8" fillId="0" borderId="0" xfId="45" applyNumberFormat="1" applyFont="1" applyFill="1" applyAlignment="1"/>
    <x:xf numFmtId="166" fontId="8" fillId="2" borderId="0" xfId="45" applyNumberFormat="1" applyFont="1" applyFill="1" applyAlignment="1"/>
    <x:xf numFmtId="0" fontId="14" fillId="0" borderId="0" xfId="0" applyFont="1" applyAlignment="1">
      <x:alignment horizontal="right"/>
    </x:xf>
    <x:xf numFmtId="0" fontId="6" fillId="0" borderId="0" xfId="0" applyFont="1" applyAlignment="1"/>
    <x:xf numFmtId="0" fontId="0" fillId="0" borderId="0" xfId="0" applyAlignment="1"/>
    <x:xf numFmtId="0" fontId="24" fillId="0" borderId="0" xfId="0" applyNumberFormat="1" applyFont="1" applyAlignment="1">
      <x:alignment horizontal="center"/>
    </x:xf>
    <x:xf numFmtId="0" fontId="24" fillId="0" borderId="0" xfId="0" applyNumberFormat="1" applyFont="1" applyAlignment="1"/>
    <x:xf numFmtId="0" fontId="8" fillId="0" borderId="0" xfId="8" applyNumberFormat="1" applyFont="1" applyFill="1" applyAlignment="1">
      <x:alignment wrapText="1"/>
    </x:xf>
    <x:xf numFmtId="0" fontId="8" fillId="0" borderId="0" xfId="0" applyNumberFormat="1" applyFont="1" applyAlignment="1"/>
    <x:xf numFmtId="0" fontId="8" fillId="0" borderId="0" xfId="8" applyNumberFormat="1" applyFont="1" applyFill="1" applyAlignment="1"/>
    <x:xf numFmtId="0" fontId="14" fillId="0" borderId="0" xfId="0" applyNumberFormat="1" applyFont="1" applyAlignment="1">
      <x:alignment horizontal="center" wrapText="1"/>
    </x:xf>
    <x:xf numFmtId="0" fontId="14" fillId="0" borderId="0" xfId="0" applyNumberFormat="1" applyFont="1" applyAlignment="1">
      <x:alignment horizontal="right"/>
    </x:xf>
    <x:xf numFmtId="0" fontId="6" fillId="0" borderId="0" xfId="0" applyNumberFormat="1" applyFont="1" applyAlignment="1"/>
    <x:xf numFmtId="0" fontId="0" fillId="0" borderId="0" xfId="0" applyNumberFormat="1" applyAlignment="1"/>
    <x:xf numFmtId="164" fontId="39" fillId="0" borderId="0" xfId="8" applyNumberFormat="1" applyFont="1" applyAlignment="1">
      <x:alignment horizontal="center"/>
    </x:xf>
    <x:xf numFmtId="164" fontId="24" fillId="0" borderId="0" xfId="8" applyNumberFormat="1" applyFont="1" applyAlignment="1"/>
    <x:xf numFmtId="9" fontId="8" fillId="0" borderId="0" xfId="46" applyFont="1" applyFill="1" applyAlignment="1">
      <x:alignment wrapText="1"/>
    </x:xf>
    <x:xf numFmtId="42" fontId="8" fillId="0" borderId="0" xfId="7" applyNumberFormat="1" applyFill="1" applyAlignment="1"/>
    <x:xf numFmtId="41" fontId="24" fillId="0" borderId="0" xfId="45" applyNumberFormat="1" applyFont="1" applyFill="1" applyAlignment="1">
      <x:alignment wrapText="1"/>
    </x:xf>
    <x:xf numFmtId="41" fontId="8" fillId="0" borderId="0" xfId="8" applyNumberFormat="1" applyFont="1" applyFill="1" applyBorder="1" applyAlignment="1">
      <x:alignment wrapText="1"/>
    </x:xf>
    <x:xf numFmtId="41" fontId="24" fillId="0" borderId="0" xfId="8" applyNumberFormat="1" applyFont="1" applyFill="1" applyAlignment="1"/>
    <x:xf numFmtId="10" fontId="8" fillId="0" borderId="0" xfId="46" applyNumberFormat="1" applyFont="1" applyFill="1" applyAlignment="1">
      <x:alignment wrapText="1"/>
    </x:xf>
    <x:xf numFmtId="164" fontId="8" fillId="0" borderId="0" xfId="8" applyNumberFormat="1" applyFont="1" applyFill="1" applyBorder="1" applyAlignment="1">
      <x:alignment wrapText="1"/>
    </x:xf>
    <x:xf numFmtId="166" fontId="24" fillId="0" borderId="0" xfId="45" applyNumberFormat="1" applyFont="1" applyFill="1" applyAlignment="1">
      <x:alignment wrapText="1"/>
    </x:xf>
    <x:xf numFmtId="164" fontId="24" fillId="0" borderId="0" xfId="8" applyNumberFormat="1" applyFont="1" applyFill="1" applyBorder="1" applyAlignment="1"/>
    <x:xf numFmtId="164" fontId="24" fillId="0" borderId="0" xfId="8" applyNumberFormat="1" applyFont="1" applyFill="1" applyAlignment="1"/>
    <x:xf numFmtId="164" fontId="8" fillId="0" borderId="0" xfId="8" applyNumberFormat="1" applyFont="1" applyAlignment="1"/>
    <x:xf numFmtId="0" fontId="14" fillId="0" borderId="0" xfId="0" applyFont="1" applyAlignment="1">
      <x:alignment horizontal="center" wrapText="1"/>
    </x:xf>
    <x:xf numFmtId="164" fontId="0" fillId="0" borderId="0" xfId="8" applyNumberFormat="1" applyFont="1" applyAlignment="1"/>
    <x:xf numFmtId="0" fontId="24" fillId="7" borderId="0" xfId="0" applyFont="1" applyFill="1" applyBorder="1" applyAlignment="1">
      <x:alignment horizontal="center"/>
    </x:xf>
    <x:xf numFmtId="164" fontId="24" fillId="7" borderId="0" xfId="0" applyNumberFormat="1" applyFont="1" applyFill="1" applyBorder="1"/>
    <x:xf numFmtId="0" fontId="9" fillId="7" borderId="0" xfId="0" applyFont="1" applyFill="1" applyBorder="1" applyAlignment="1">
      <x:alignment horizontal="center"/>
    </x:xf>
    <x:xf numFmtId="0" fontId="9" fillId="7" borderId="0" xfId="0" applyFont="1" applyFill="1" applyBorder="1" applyAlignment="1">
      <x:alignment horizontal="left"/>
    </x:xf>
    <x:xf numFmtId="1" fontId="24" fillId="7" borderId="0" xfId="0" applyNumberFormat="1" applyFont="1" applyFill="1" applyBorder="1" applyAlignment="1">
      <x:alignment horizontal="center"/>
    </x:xf>
    <x:xf numFmtId="37" fontId="24" fillId="7" borderId="0" xfId="0" applyNumberFormat="1" applyFont="1" applyFill="1" applyBorder="1"/>
    <x:xf numFmtId="0" fontId="73" fillId="7" borderId="0" xfId="0" applyFont="1" applyFill="1" applyBorder="1" applyAlignment="1">
      <x:alignment horizontal="left"/>
    </x:xf>
    <x:xf numFmtId="0" fontId="24" fillId="7" borderId="0" xfId="0" applyFont="1" applyFill="1" applyBorder="1" applyAlignment="1">
      <x:alignment horizontal="left"/>
    </x:xf>
    <x:xf numFmtId="2" fontId="24" fillId="7" borderId="0" xfId="0" applyNumberFormat="1" applyFont="1" applyFill="1" applyBorder="1" applyAlignment="1">
      <x:alignment horizontal="center"/>
    </x:xf>
    <x:xf numFmtId="0" fontId="8" fillId="7" borderId="0" xfId="0" applyFont="1" applyFill="1" applyBorder="1" applyAlignment="1">
      <x:alignment horizontal="left" indent="1"/>
    </x:xf>
    <x:xf numFmtId="0" fontId="9" fillId="7" borderId="0" xfId="0" applyFont="1" applyFill="1" applyBorder="1" applyAlignment="1">
      <x:alignment horizontal="left" vertical="top"/>
    </x:xf>
    <x:xf numFmtId="2" fontId="1" fillId="7" borderId="0" xfId="0" applyNumberFormat="1" applyFont="1" applyFill="1" applyBorder="1" applyAlignment="1">
      <x:alignment horizontal="center"/>
    </x:xf>
    <x:xf numFmtId="0" fontId="8" fillId="7" borderId="0" xfId="0" applyFont="1" applyFill="1" applyBorder="1" applyAlignment="1">
      <x:alignment vertical="top" wrapText="1"/>
    </x:xf>
    <x:xf numFmtId="0" fontId="8" fillId="0" borderId="26" xfId="8" applyNumberFormat="1" applyFont="1" applyFill="1" applyBorder="1" applyAlignment="1">
      <x:alignment horizontal="left"/>
    </x:xf>
    <x:xf numFmtId="41" fontId="8" fillId="0" borderId="32" xfId="0" applyNumberFormat="1" applyFont="1" applyBorder="1"/>
    <x:xf numFmtId="0" fontId="8" fillId="0" borderId="32" xfId="14" applyBorder="1" applyAlignment="1">
      <x:alignment wrapText="1"/>
    </x:xf>
    <x:xf numFmtId="10" fontId="8" fillId="2" borderId="22" xfId="46" applyNumberFormat="1" applyFont="1" applyFill="1" applyBorder="1"/>
    <x:xf numFmtId="0" fontId="8" fillId="0" borderId="30" xfId="17" applyFont="1" applyBorder="1" applyAlignment="1">
      <x:alignment horizontal="left"/>
    </x:xf>
    <x:xf numFmtId="0" fontId="8" fillId="0" borderId="0" xfId="17" applyFont="1" applyBorder="1" applyAlignment="1">
      <x:alignment horizontal="left"/>
    </x:xf>
    <x:xf numFmtId="164" fontId="8" fillId="0" borderId="0" xfId="17" applyNumberFormat="1" applyFont="1" applyBorder="1"/>
    <x:xf numFmtId="0" fontId="8" fillId="0" borderId="27" xfId="17" applyFont="1" applyBorder="1"/>
    <x:xf numFmtId="10" fontId="8" fillId="2" borderId="0" xfId="46" applyNumberFormat="1" applyFont="1" applyFill="1" applyBorder="1"/>
    <x:xf numFmtId="0" fontId="8" fillId="9" borderId="24" xfId="14" applyFill="1" applyBorder="1"/>
    <x:xf numFmtId="41" fontId="8" fillId="9" borderId="24" xfId="0" applyNumberFormat="1" applyFont="1" applyFill="1" applyBorder="1"/>
    <x:xf numFmtId="41" fontId="8" fillId="2" borderId="24" xfId="0" applyNumberFormat="1" applyFont="1" applyFill="1" applyBorder="1"/>
    <x:xf numFmtId="0" fontId="56" fillId="2" borderId="24" xfId="14" applyFont="1" applyFill="1" applyBorder="1" applyAlignment="1">
      <x:alignment wrapText="1"/>
    </x:xf>
    <x:xf numFmtId="0" fontId="8" fillId="0" borderId="21" xfId="17" applyFont="1" applyBorder="1" applyAlignment="1">
      <x:alignment horizontal="left"/>
    </x:xf>
    <x:xf numFmtId="0" fontId="8" fillId="0" borderId="20" xfId="17" applyFont="1" applyBorder="1" applyAlignment="1">
      <x:alignment horizontal="left"/>
    </x:xf>
    <x:xf numFmtId="0" fontId="8" fillId="0" borderId="20" xfId="17" applyFont="1" applyBorder="1"/>
    <x:xf numFmtId="41" fontId="8" fillId="0" borderId="20" xfId="17" applyNumberFormat="1" applyFont="1" applyBorder="1"/>
    <x:xf numFmtId="164" fontId="8" fillId="0" borderId="20" xfId="17" applyNumberFormat="1" applyFont="1" applyBorder="1"/>
    <x:xf numFmtId="0" fontId="8" fillId="0" borderId="24" xfId="17" applyFont="1" applyBorder="1"/>
    <x:xf numFmtId="41" fontId="8" fillId="0" borderId="24" xfId="17" applyNumberFormat="1" applyFont="1" applyBorder="1"/>
    <x:xf numFmtId="0" fontId="8" fillId="0" borderId="24" xfId="17" applyFont="1" applyBorder="1" applyAlignment="1">
      <x:alignment wrapText="1"/>
    </x:xf>
    <x:xf numFmtId="164" fontId="8" fillId="0" borderId="0" xfId="47" applyNumberFormat="1" applyFont="1" applyFill="1"/>
    <x:xf numFmtId="0" fontId="15" fillId="0" borderId="0" xfId="0" applyFont="1" applyAlignment="1">
      <x:alignment horizontal="left" vertical="top" wrapText="1"/>
    </x:xf>
    <x:xf numFmtId="168" fontId="15" fillId="0" borderId="0" xfId="19" applyFont="1" applyAlignment="1" applyProtection="1">
      <x:alignment horizontal="left" vertical="top" wrapText="1"/>
      <x:protection locked="0"/>
    </x:xf>
    <x:xf numFmtId="0" fontId="15" fillId="0" borderId="0" xfId="0" applyFont="1" applyAlignment="1">
      <x:alignment vertical="top" wrapText="1"/>
    </x:xf>
    <x:xf numFmtId="0" fontId="45" fillId="0" borderId="0" xfId="0" applyFont="1" applyAlignment="1">
      <x:alignment vertical="top" wrapText="1"/>
    </x:xf>
    <x:xf numFmtId="0" fontId="39" fillId="0" borderId="28" xfId="0" applyFont="1" applyBorder="1" applyAlignment="1">
      <x:alignment horizontal="center" vertical="center"/>
    </x:xf>
    <x:xf numFmtId="0" fontId="39" fillId="0" borderId="18" xfId="0" applyFont="1" applyBorder="1" applyAlignment="1">
      <x:alignment horizontal="center" vertical="center"/>
    </x:xf>
    <x:xf numFmtId="0" fontId="39" fillId="0" borderId="29" xfId="0" applyFont="1" applyBorder="1" applyAlignment="1">
      <x:alignment horizontal="center" vertical="center"/>
    </x:xf>
    <x:xf numFmtId="0" fontId="39" fillId="0" borderId="21" xfId="0" applyFont="1" applyBorder="1" applyAlignment="1">
      <x:alignment horizontal="center" vertical="center"/>
    </x:xf>
    <x:xf numFmtId="0" fontId="39" fillId="0" borderId="20" xfId="0" applyFont="1" applyBorder="1" applyAlignment="1">
      <x:alignment horizontal="center" vertical="center"/>
    </x:xf>
    <x:xf numFmtId="0" fontId="39" fillId="0" borderId="23" xfId="0" applyFont="1" applyBorder="1" applyAlignment="1">
      <x:alignment horizontal="center" vertical="center"/>
    </x:xf>
    <x:xf numFmtId="0" fontId="109" fillId="0" borderId="0" xfId="0" applyFont="1" applyAlignment="1">
      <x:alignment horizontal="center"/>
    </x:xf>
    <x:xf numFmtId="0" fontId="44" fillId="0" borderId="0" xfId="0" applyFont="1" applyAlignment="1">
      <x:alignment horizontal="center"/>
    </x:xf>
    <x:xf numFmtId="0" fontId="39" fillId="0" borderId="12" xfId="0" applyFont="1" applyBorder="1" applyAlignment="1">
      <x:alignment horizontal="center" vertical="center"/>
    </x:xf>
    <x:xf numFmtId="0" fontId="24" fillId="0" borderId="0" xfId="0" applyFont="1" applyAlignment="1">
      <x:alignment horizontal="left" vertical="top" wrapText="1"/>
    </x:xf>
    <x:xf numFmtId="0" fontId="1" fillId="0" borderId="0" xfId="0" applyFont="1" applyAlignment="1">
      <x:alignment horizontal="left" vertical="top" wrapText="1"/>
    </x:xf>
    <x:xf numFmtId="0" fontId="24" fillId="0" borderId="0" xfId="0" applyFont="1" applyAlignment="1">
      <x:alignment horizontal="left" vertical="top"/>
    </x:xf>
    <x:xf numFmtId="0" fontId="39" fillId="0" borderId="0" xfId="14" applyFont="1" applyAlignment="1">
      <x:alignment horizontal="left" vertical="top" wrapText="1"/>
    </x:xf>
    <x:xf numFmtId="0" fontId="9" fillId="0" borderId="0" xfId="14" applyFont="1" applyAlignment="1">
      <x:alignment horizontal="left" vertical="top" wrapText="1"/>
    </x:xf>
    <x:xf numFmtId="0" fontId="2" fillId="0" borderId="0" xfId="14" applyFont="1" applyAlignment="1">
      <x:alignment horizontal="center"/>
    </x:xf>
    <x:xf numFmtId="0" fontId="7" fillId="0" borderId="0" xfId="17" applyFont="1" applyAlignment="1">
      <x:alignment horizontal="center"/>
    </x:xf>
    <x:xf numFmtId="0" fontId="7" fillId="0" borderId="0" xfId="14" applyFont="1" applyAlignment="1">
      <x:alignment horizontal="center"/>
    </x:xf>
    <x:xf numFmtId="15" fontId="9" fillId="9" borderId="0" xfId="17" quotePrefix="1" applyNumberFormat="1" applyFont="1" applyFill="1" applyAlignment="1">
      <x:alignment horizontal="center"/>
    </x:xf>
    <x:xf numFmtId="0" fontId="8" fillId="0" borderId="0" xfId="14" applyAlignment="1">
      <x:alignment horizontal="left" vertical="top" wrapText="1"/>
    </x:xf>
    <x:xf numFmtId="0" fontId="57" fillId="12" borderId="0" xfId="0" applyFont="1" applyFill="1" applyAlignment="1">
      <x:alignment horizontal="center"/>
    </x:xf>
    <x:xf numFmtId="0" fontId="55" fillId="12" borderId="0" xfId="0" applyFont="1" applyFill="1" applyAlignment="1">
      <x:alignment horizontal="left"/>
    </x:xf>
    <x:xf numFmtId="0" fontId="55" fillId="12" borderId="12" xfId="0" applyFont="1" applyFill="1" applyBorder="1" applyAlignment="1">
      <x:alignment horizontal="left"/>
    </x:xf>
    <x:xf numFmtId="0" fontId="45" fillId="0" borderId="21" xfId="0" applyFont="1" applyBorder="1" applyAlignment="1">
      <x:alignment horizontal="center"/>
    </x:xf>
    <x:xf numFmtId="0" fontId="45" fillId="0" borderId="20" xfId="0" applyFont="1" applyBorder="1" applyAlignment="1">
      <x:alignment horizontal="center"/>
    </x:xf>
    <x:xf numFmtId="0" fontId="45" fillId="0" borderId="23" xfId="0" applyFont="1" applyBorder="1" applyAlignment="1">
      <x:alignment horizontal="center"/>
    </x:xf>
    <x:xf numFmtId="0" fontId="39" fillId="0" borderId="0" xfId="0" applyFont="1" applyAlignment="1">
      <x:alignment horizontal="left" vertical="center" indent="1"/>
    </x:xf>
    <x:xf numFmtId="0" fontId="39" fillId="0" borderId="12" xfId="0" applyFont="1" applyBorder="1" applyAlignment="1">
      <x:alignment horizontal="left" vertical="center" indent="1"/>
    </x:xf>
    <x:xf numFmtId="0" fontId="39" fillId="0" borderId="0" xfId="0" applyFont="1" applyAlignment="1">
      <x:alignment horizontal="left" vertical="center" wrapText="1"/>
    </x:xf>
    <x:xf numFmtId="0" fontId="39" fillId="0" borderId="12" xfId="0" applyFont="1" applyBorder="1" applyAlignment="1">
      <x:alignment horizontal="left" vertical="center" wrapText="1"/>
    </x:xf>
    <x:xf numFmtId="0" fontId="24" fillId="0" borderId="0" xfId="0" applyFont="1" applyAlignment="1">
      <x:alignment horizontal="center" vertical="center" wrapText="1"/>
    </x:xf>
    <x:xf numFmtId="0" fontId="24" fillId="0" borderId="12" xfId="0" applyFont="1" applyBorder="1" applyAlignment="1">
      <x:alignment horizontal="center" vertical="center" wrapText="1"/>
    </x:xf>
    <x:xf numFmtId="0" fontId="24" fillId="0" borderId="0" xfId="0" applyFont="1" applyAlignment="1">
      <x:alignment horizontal="center" wrapText="1"/>
    </x:xf>
    <x:xf numFmtId="0" fontId="24" fillId="0" borderId="12" xfId="0" applyFont="1" applyBorder="1" applyAlignment="1">
      <x:alignment horizontal="center" wrapText="1"/>
    </x:xf>
    <x:xf numFmtId="0" fontId="8" fillId="0" borderId="0" xfId="0" applyFont="1" applyAlignment="1">
      <x:alignment horizontal="left" vertical="top" wrapText="1"/>
    </x:xf>
    <x:xf numFmtId="0" fontId="39" fillId="0" borderId="0" xfId="0" applyFont="1" applyAlignment="1">
      <x:alignment horizontal="center" vertical="center"/>
    </x:xf>
    <x:xf numFmtId="0" fontId="39" fillId="0" borderId="0" xfId="0" applyFont="1" applyAlignment="1">
      <x:alignment horizontal="left" vertical="center"/>
    </x:xf>
    <x:xf numFmtId="0" fontId="39" fillId="0" borderId="12" xfId="0" applyFont="1" applyBorder="1" applyAlignment="1">
      <x:alignment horizontal="left" vertical="center"/>
    </x:xf>
    <x:xf numFmtId="0" fontId="24" fillId="0" borderId="0" xfId="0" applyFont="1" applyAlignment="1">
      <x:alignment horizontal="left" vertical="center" wrapText="1" indent="1"/>
    </x:xf>
    <x:xf numFmtId="0" fontId="24" fillId="0" borderId="12" xfId="0" applyFont="1" applyBorder="1" applyAlignment="1">
      <x:alignment horizontal="left" vertical="center" wrapText="1" indent="1"/>
    </x:xf>
    <x:xf numFmtId="0" fontId="8" fillId="0" borderId="0" xfId="150" applyFont="1" applyAlignment="1">
      <x:alignment horizontal="left" vertical="top" wrapText="1"/>
    </x:xf>
    <x:xf numFmtId="0" fontId="24" fillId="0" borderId="0" xfId="150" applyAlignment="1">
      <x:alignment horizontal="left" vertical="top" wrapText="1"/>
    </x:xf>
    <x:xf numFmtId="0" fontId="58" fillId="12" borderId="21" xfId="0" applyFont="1" applyFill="1" applyBorder="1" applyAlignment="1">
      <x:alignment horizontal="center"/>
    </x:xf>
    <x:xf numFmtId="0" fontId="58" fillId="12" borderId="20" xfId="0" applyFont="1" applyFill="1" applyBorder="1" applyAlignment="1">
      <x:alignment horizontal="center"/>
    </x:xf>
    <x:xf numFmtId="0" fontId="58" fillId="12" borderId="23" xfId="0" applyFont="1" applyFill="1" applyBorder="1" applyAlignment="1">
      <x:alignment horizontal="center"/>
    </x:xf>
    <x:xf numFmtId="0" fontId="44" fillId="0" borderId="21" xfId="0" applyFont="1" applyBorder="1" applyAlignment="1">
      <x:alignment horizontal="center"/>
    </x:xf>
    <x:xf numFmtId="0" fontId="44" fillId="0" borderId="20" xfId="0" applyFont="1" applyBorder="1" applyAlignment="1">
      <x:alignment horizontal="center"/>
    </x:xf>
    <x:xf numFmtId="0" fontId="44" fillId="0" borderId="23" xfId="0" applyFont="1" applyBorder="1" applyAlignment="1">
      <x:alignment horizontal="center"/>
    </x:xf>
    <x:xf numFmtId="0" fontId="2" fillId="0" borderId="0" xfId="0" applyFont="1" applyAlignment="1">
      <x:alignment horizontal="center"/>
    </x:xf>
    <x:xf numFmtId="0" fontId="7" fillId="0" borderId="0" xfId="0" applyFont="1" applyAlignment="1">
      <x:alignment horizontal="center"/>
    </x:xf>
    <x:xf numFmtId="0" fontId="23" fillId="0" borderId="0" xfId="0" applyFont="1" applyAlignment="1">
      <x:alignment horizontal="center"/>
    </x:xf>
    <x:xf numFmtId="0" fontId="8" fillId="0" borderId="0" xfId="0" applyFont="1" applyAlignment="1">
      <x:alignment horizontal="center"/>
    </x:xf>
    <x:xf numFmtId="0" fontId="24" fillId="0" borderId="0" xfId="160" applyFont="1" applyAlignment="1">
      <x:alignment horizontal="left" vertical="top" wrapText="1"/>
    </x:xf>
    <x:xf numFmtId="0" fontId="107" fillId="0" borderId="0" xfId="0" applyFont="1"/>
    <x:xf numFmtId="0" fontId="11" fillId="0" borderId="0" xfId="0" applyFont="1" applyAlignment="1">
      <x:alignment horizontal="center"/>
    </x:xf>
    <x:xf numFmtId="0" fontId="0" fillId="0" borderId="0" xfId="0"/>
    <x:xf numFmtId="0" fontId="45" fillId="0" borderId="0" xfId="0" applyFont="1"/>
    <x:xf numFmtId="168" fontId="8" fillId="0" borderId="30" xfId="25" applyFont="1" applyBorder="1" applyAlignment="1">
      <x:alignment horizontal="left" vertical="top" wrapText="1"/>
    </x:xf>
    <x:xf numFmtId="168" fontId="8" fillId="0" borderId="0" xfId="25" applyFont="1" applyAlignment="1">
      <x:alignment horizontal="left" vertical="top" wrapText="1"/>
    </x:xf>
    <x:xf numFmtId="0" fontId="13" fillId="4" borderId="14" xfId="0" applyFont="1" applyFill="1" applyBorder="1" applyAlignment="1">
      <x:alignment horizontal="center" wrapText="1"/>
    </x:xf>
    <x:xf numFmtId="0" fontId="13" fillId="4" borderId="15" xfId="0" applyFont="1" applyFill="1" applyBorder="1" applyAlignment="1">
      <x:alignment horizontal="center" wrapText="1"/>
    </x:xf>
    <x:xf numFmtId="0" fontId="13" fillId="4" borderId="16" xfId="0" applyFont="1" applyFill="1" applyBorder="1" applyAlignment="1">
      <x:alignment horizontal="center" wrapText="1"/>
    </x:xf>
    <x:xf numFmtId="9" fontId="8" fillId="0" borderId="5" xfId="2" applyFont="1" applyFill="1" applyBorder="1" applyAlignment="1">
      <x:alignment horizontal="left" wrapText="1"/>
    </x:xf>
    <x:xf numFmtId="9" fontId="8" fillId="0" borderId="0" xfId="2" applyFont="1" applyFill="1" applyBorder="1" applyAlignment="1">
      <x:alignment horizontal="left" wrapText="1"/>
    </x:xf>
    <x:xf numFmtId="9" fontId="8" fillId="0" borderId="6" xfId="2" applyFont="1" applyFill="1" applyBorder="1" applyAlignment="1">
      <x:alignment horizontal="left" wrapText="1"/>
    </x:xf>
    <x:xf numFmtId="0" fontId="2" fillId="0" borderId="0" xfId="153" applyFont="1" applyAlignment="1">
      <x:alignment horizontal="center"/>
    </x:xf>
    <x:xf numFmtId="168" fontId="8" fillId="44" borderId="21" xfId="25" applyFont="1" applyFill="1" applyBorder="1" applyAlignment="1">
      <x:alignment horizontal="left" wrapText="1"/>
    </x:xf>
    <x:xf numFmtId="168" fontId="8" fillId="44" borderId="20" xfId="25" applyFont="1" applyFill="1" applyBorder="1" applyAlignment="1">
      <x:alignment horizontal="left" wrapText="1"/>
    </x:xf>
    <x:xf numFmtId="168" fontId="8" fillId="44" borderId="23" xfId="25" applyFont="1" applyFill="1" applyBorder="1" applyAlignment="1">
      <x:alignment horizontal="left" wrapText="1"/>
    </x:xf>
    <x:xf numFmtId="0" fontId="8" fillId="0" borderId="0" xfId="0" applyFont="1" applyBorder="1" applyAlignment="1">
      <x:alignment horizontal="center" wrapText="1"/>
    </x:xf>
    <x:xf numFmtId="0" fontId="8" fillId="0" borderId="6" xfId="0" applyFont="1" applyBorder="1" applyAlignment="1">
      <x:alignment horizontal="center" wrapText="1"/>
    </x:xf>
    <x:xf numFmtId="164" fontId="8" fillId="0" borderId="1" xfId="0" applyNumberFormat="1"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3" fillId="3" borderId="2" xfId="0" applyFont="1" applyFill="1" applyBorder="1" applyAlignment="1">
      <x:alignment horizontal="center"/>
    </x:xf>
    <x:xf numFmtId="0" fontId="3" fillId="3" borderId="4" xfId="0" applyFont="1" applyFill="1" applyBorder="1" applyAlignment="1">
      <x:alignment horizontal="center"/>
    </x:xf>
    <x:xf numFmtId="0" fontId="3" fillId="3" borderId="3" xfId="0" applyFont="1" applyFill="1" applyBorder="1" applyAlignment="1">
      <x:alignment horizontal="center"/>
    </x:xf>
    <x:xf numFmtId="0" fontId="3" fillId="3" borderId="4" xfId="0" applyFont="1" applyFill="1" applyBorder="1" applyAlignment="1">
      <x:alignment horizontal="center" wrapText="1"/>
    </x:xf>
    <x:xf numFmtId="0" fontId="8" fillId="0" borderId="4" xfId="0" applyFont="1" applyBorder="1" applyAlignment="1">
      <x:alignment horizontal="center" wrapText="1"/>
    </x:xf>
    <x:xf numFmtId="0" fontId="8" fillId="0" borderId="3" xfId="0" applyFont="1" applyBorder="1" applyAlignment="1">
      <x:alignment horizontal="center" wrapText="1"/>
    </x:xf>
    <x:xf numFmtId="0" fontId="3" fillId="0" borderId="0" xfId="0" applyFont="1" applyBorder="1" applyAlignment="1">
      <x:alignment horizontal="center" wrapText="1"/>
    </x:xf>
    <x:xf numFmtId="3" fontId="8" fillId="0" borderId="0" xfId="0" applyNumberFormat="1" applyFont="1" applyBorder="1" applyAlignment="1">
      <x:alignment horizontal="left" wrapText="1"/>
    </x:xf>
    <x:xf numFmtId="0" fontId="24" fillId="0" borderId="0" xfId="0" applyFont="1" applyBorder="1" applyAlignment="1">
      <x:alignment wrapText="1"/>
    </x:xf>
    <x:xf numFmtId="0" fontId="24" fillId="0" borderId="6" xfId="0" applyFont="1" applyBorder="1" applyAlignment="1">
      <x:alignment wrapText="1"/>
    </x:xf>
    <x:xf numFmtId="0" fontId="8" fillId="0" borderId="1" xfId="0" applyFont="1" applyBorder="1" applyAlignment="1">
      <x:alignment horizontal="left" vertical="top" wrapText="1"/>
    </x:xf>
    <x:xf numFmtId="0" fontId="24" fillId="0" borderId="1" xfId="0" applyFont="1" applyBorder="1" applyAlignment="1">
      <x:alignment horizontal="left" wrapText="1"/>
    </x:xf>
    <x:xf numFmtId="0" fontId="24" fillId="0" borderId="8" xfId="0" applyFont="1" applyBorder="1" applyAlignment="1">
      <x:alignment horizontal="left" wrapText="1"/>
    </x:xf>
    <x:xf numFmtId="0" fontId="9" fillId="0" borderId="0" xfId="0" applyFont="1" applyBorder="1" applyAlignment="1">
      <x:alignment horizontal="center" wrapText="1"/>
    </x:xf>
    <x:xf numFmtId="0" fontId="8" fillId="0" borderId="1" xfId="0" applyFont="1" applyBorder="1" applyAlignment="1" applyProtection="1">
      <x:alignment horizontal="left"/>
      <x:protection locked="0"/>
    </x:xf>
    <x:xf numFmtId="0" fontId="8" fillId="0" borderId="8" xfId="0" applyFont="1" applyBorder="1" applyAlignment="1" applyProtection="1">
      <x:alignment horizontal="left"/>
      <x:protection locked="0"/>
    </x:xf>
    <x:xf numFmtId="164" fontId="8" fillId="0" borderId="1" xfId="1" applyNumberFormat="1" applyFont="1" applyFill="1" applyBorder="1" applyAlignment="1">
      <x:alignment horizontal="center" wrapText="1"/>
    </x:xf>
    <x:xf numFmtId="164" fontId="8" fillId="0" borderId="8" xfId="1" applyNumberFormat="1" applyFont="1" applyFill="1" applyBorder="1" applyAlignment="1">
      <x:alignment horizontal="center" wrapText="1"/>
    </x:xf>
    <x:xf numFmtId="0" fontId="8" fillId="0" borderId="1" xfId="0" applyFont="1" applyBorder="1" applyAlignment="1">
      <x:alignment horizontal="left" wrapText="1"/>
    </x:xf>
    <x:xf numFmtId="0" fontId="8" fillId="0" borderId="8" xfId="0" applyFont="1" applyBorder="1" applyAlignment="1">
      <x:alignment horizontal="left" wrapText="1"/>
    </x:xf>
    <x:xf numFmtId="0" fontId="3" fillId="3" borderId="3" xfId="0" applyFont="1" applyFill="1" applyBorder="1" applyAlignment="1">
      <x:alignment horizontal="center" wrapText="1"/>
    </x:xf>
    <x:xf numFmtId="0" fontId="9" fillId="0" borderId="6" xfId="0" applyFont="1" applyBorder="1" applyAlignment="1">
      <x:alignment horizontal="center" wrapText="1"/>
    </x:xf>
    <x:xf numFmtId="0" fontId="3" fillId="4" borderId="2" xfId="0" applyFont="1" applyFill="1" applyBorder="1" applyAlignment="1">
      <x:alignment horizontal="center"/>
    </x:xf>
    <x:xf numFmtId="0" fontId="3" fillId="4" borderId="4" xfId="0" applyFont="1" applyFill="1" applyBorder="1" applyAlignment="1">
      <x:alignment horizontal="center"/>
    </x:xf>
    <x:xf numFmtId="0" fontId="3" fillId="4" borderId="3" xfId="0" applyFont="1" applyFill="1" applyBorder="1" applyAlignment="1">
      <x:alignment horizontal="center"/>
    </x:xf>
    <x:xf numFmtId="0" fontId="8" fillId="0" borderId="0" xfId="0" applyFont="1" applyAlignment="1">
      <x:alignment wrapText="1"/>
    </x:xf>
    <x:xf numFmtId="0" fontId="38" fillId="0" borderId="0" xfId="0" applyFont="1" applyAlignment="1">
      <x:alignment wrapText="1"/>
    </x:xf>
    <x:xf numFmtId="0" fontId="38" fillId="0" borderId="6" xfId="0" applyFont="1" applyBorder="1" applyAlignment="1">
      <x:alignment wrapText="1"/>
    </x:xf>
    <x:xf numFmtId="164" fontId="9" fillId="0" borderId="7" xfId="1" applyNumberFormat="1" applyFont="1" applyFill="1" applyBorder="1" applyAlignment="1">
      <x:alignment horizontal="center"/>
    </x:xf>
    <x:xf numFmtId="164" fontId="8" fillId="0" borderId="1" xfId="1" applyNumberFormat="1" applyFont="1" applyFill="1" applyBorder="1" applyAlignment="1">
      <x:alignment horizontal="center"/>
    </x:xf>
    <x:xf numFmtId="164" fontId="9" fillId="0" borderId="1" xfId="1" applyNumberFormat="1" applyFont="1" applyFill="1" applyBorder="1" applyAlignment="1">
      <x:alignment horizontal="center"/>
    </x:xf>
    <x:xf numFmtId="0" fontId="4" fillId="3" borderId="4" xfId="0" applyFont="1" applyFill="1" applyBorder="1" applyAlignment="1">
      <x:alignment horizontal="center" wrapText="1"/>
    </x:xf>
    <x:xf numFmtId="0" fontId="4" fillId="3" borderId="3" xfId="0" applyFont="1" applyFill="1" applyBorder="1" applyAlignment="1">
      <x:alignment horizontal="center" wrapText="1"/>
    </x:xf>
    <x:xf numFmtId="0" fontId="9" fillId="0" borderId="1" xfId="0" applyFont="1" applyBorder="1" applyAlignment="1">
      <x:alignment horizontal="center" wrapText="1"/>
    </x:xf>
    <x:xf numFmtId="0" fontId="24" fillId="0" borderId="0" xfId="0" applyFont="1" applyBorder="1" applyAlignment="1">
      <x:alignment horizontal="left" vertical="center" wrapText="1"/>
    </x:xf>
    <x:xf numFmtId="0" fontId="24" fillId="0" borderId="6" xfId="0" applyFont="1" applyBorder="1" applyAlignment="1">
      <x:alignment horizontal="left" vertical="center" wrapText="1"/>
    </x:xf>
    <x:xf numFmtId="0" fontId="8" fillId="0" borderId="0" xfId="30" applyBorder="1" applyAlignment="1">
      <x:alignment horizontal="left" vertical="top" wrapText="1"/>
    </x:xf>
    <x:xf numFmtId="0" fontId="13" fillId="4" borderId="2" xfId="0" applyFont="1" applyFill="1" applyBorder="1" applyAlignment="1">
      <x:alignment horizontal="left"/>
    </x:xf>
    <x:xf numFmtId="0" fontId="13" fillId="4" borderId="4" xfId="0" applyFont="1" applyFill="1" applyBorder="1" applyAlignment="1">
      <x:alignment horizontal="left"/>
    </x:xf>
    <x:xf numFmtId="2" fontId="9" fillId="0" borderId="5" xfId="0" applyNumberFormat="1" applyFont="1" applyBorder="1" applyAlignment="1">
      <x:alignment horizontal="center"/>
    </x:xf>
    <x:xf numFmtId="2" fontId="8" fillId="0" borderId="0" xfId="0" applyNumberFormat="1" applyFont="1" applyAlignment="1">
      <x:alignment horizontal="center"/>
    </x:xf>
    <x:xf numFmtId="2" fontId="9" fillId="0" borderId="0" xfId="0" applyNumberFormat="1" applyFont="1" applyAlignment="1">
      <x:alignment horizontal="center"/>
    </x:xf>
    <x:xf numFmtId="0" fontId="24" fillId="0" borderId="4" xfId="0" applyFont="1" applyBorder="1" applyAlignment="1">
      <x:alignment wrapText="1"/>
    </x:xf>
    <x:xf numFmtId="0" fontId="24" fillId="0" borderId="3" xfId="0" applyFont="1" applyBorder="1" applyAlignment="1">
      <x:alignment wrapText="1"/>
    </x:xf>
    <x:xf numFmtId="164" fontId="9" fillId="0" borderId="5" xfId="1" applyNumberFormat="1" applyFont="1" applyFill="1" applyBorder="1" applyAlignment="1">
      <x:alignment horizontal="center"/>
    </x:xf>
    <x:xf numFmtId="164" fontId="8" fillId="0" borderId="0" xfId="1" applyNumberFormat="1" applyFont="1" applyFill="1" applyBorder="1" applyAlignment="1">
      <x:alignment horizontal="center"/>
    </x:xf>
    <x:xf numFmtId="164" fontId="9" fillId="0" borderId="0" xfId="1" applyNumberFormat="1" applyFont="1" applyFill="1" applyBorder="1" applyAlignment="1">
      <x:alignment horizontal="center"/>
    </x:xf>
    <x:xf numFmtId="0" fontId="24" fillId="0" borderId="4" xfId="0" applyFont="1" applyBorder="1" applyAlignment="1">
      <x:alignment horizontal="center"/>
    </x:xf>
    <x:xf numFmtId="0" fontId="24" fillId="7" borderId="0" xfId="0" applyFont="1" applyFill="1" applyBorder="1" applyAlignment="1">
      <x:alignment horizontal="left" vertical="top" wrapText="1"/>
    </x:xf>
    <x:xf numFmtId="0" fontId="24" fillId="7" borderId="0" xfId="0" applyFont="1" applyFill="1" applyBorder="1" applyAlignment="1">
      <x:alignment horizontal="left" vertical="center" wrapText="1"/>
    </x:xf>
    <x:xf numFmtId="0" fontId="8" fillId="7" borderId="0" xfId="0" applyFont="1" applyFill="1" applyBorder="1" applyAlignment="1">
      <x:alignment horizontal="left" vertical="top" wrapText="1"/>
    </x:xf>
    <x:xf numFmtId="0" fontId="2" fillId="0" borderId="0" xfId="20" applyFont="1" applyAlignment="1">
      <x:alignment horizontal="center"/>
    </x:xf>
    <x:xf numFmtId="0" fontId="7" fillId="0" borderId="0" xfId="20" applyFont="1" applyAlignment="1">
      <x:alignment horizontal="center"/>
    </x:xf>
    <x:xf numFmtId="0" fontId="2" fillId="0" borderId="0" xfId="32" applyFont="1" applyAlignment="1">
      <x:alignment horizontal="center"/>
    </x:xf>
    <x:xf numFmtId="0" fontId="7" fillId="0" borderId="0" xfId="32" applyFont="1" applyAlignment="1">
      <x:alignment horizontal="center"/>
    </x:xf>
    <x:xf numFmtId="168" fontId="8" fillId="0" borderId="0" xfId="34" applyFont="1" applyAlignment="1">
      <x:alignment horizontal="left" vertical="center" wrapText="1"/>
    </x:xf>
    <x:xf numFmtId="168" fontId="8" fillId="0" borderId="0" xfId="27" applyFont="1" applyAlignment="1">
      <x:alignment horizontal="left" vertical="top" wrapText="1"/>
    </x:xf>
    <x:xf numFmtId="168" fontId="8" fillId="0" borderId="0" xfId="27" applyFont="1" applyAlignment="1">
      <x:alignment horizontal="left" wrapText="1"/>
    </x:xf>
    <x:xf numFmtId="168" fontId="8" fillId="0" borderId="0" xfId="27" applyFont="1" applyAlignment="1">
      <x:alignment horizontal="left"/>
    </x:xf>
    <x:xf numFmtId="3" fontId="7" fillId="0" borderId="0" xfId="27" applyNumberFormat="1" applyFont="1" applyAlignment="1">
      <x:alignment horizontal="center"/>
    </x:xf>
    <x:xf numFmtId="0" fontId="7" fillId="0" borderId="0" xfId="27" applyNumberFormat="1" applyFont="1" applyAlignment="1" applyProtection="1">
      <x:alignment horizontal="center"/>
      <x:protection locked="0"/>
    </x:xf>
    <x:xf numFmtId="168" fontId="9" fillId="0" borderId="26" xfId="27" applyFont="1" applyBorder="1" applyAlignment="1">
      <x:alignment horizontal="center"/>
    </x:xf>
    <x:xf numFmtId="168" fontId="9" fillId="0" borderId="24" xfId="27" applyFont="1" applyBorder="1" applyAlignment="1">
      <x:alignment horizontal="center"/>
    </x:xf>
    <x:xf numFmtId="168" fontId="9" fillId="0" borderId="27" xfId="27" applyFont="1" applyBorder="1" applyAlignment="1">
      <x:alignment horizontal="center" wrapText="1"/>
    </x:xf>
    <x:xf numFmtId="168" fontId="9" fillId="0" borderId="25" xfId="27" applyFont="1" applyBorder="1" applyAlignment="1">
      <x:alignment horizontal="center" wrapText="1"/>
    </x:xf>
    <x:xf numFmtId="168" fontId="8" fillId="0" borderId="0" xfId="34" applyFont="1" applyAlignment="1">
      <x:alignment horizontal="left" vertical="top" wrapText="1"/>
    </x:xf>
    <x:xf numFmtId="0" fontId="2" fillId="0" borderId="0" xfId="50" applyNumberFormat="1" applyFont="1" applyAlignment="1" applyProtection="1">
      <x:alignment horizontal="center"/>
      <x:protection locked="0"/>
    </x:xf>
    <x:xf numFmtId="0" fontId="7" fillId="0" borderId="0" xfId="50" applyNumberFormat="1" applyFont="1" applyAlignment="1" applyProtection="1">
      <x:alignment horizontal="center"/>
      <x:protection locked="0"/>
    </x:xf>
    <x:xf numFmtId="168" fontId="8" fillId="0" borderId="28" xfId="34" applyFont="1" applyBorder="1" applyAlignment="1">
      <x:alignment horizontal="center"/>
    </x:xf>
    <x:xf numFmtId="168" fontId="8" fillId="0" borderId="29" xfId="34" applyFont="1" applyBorder="1" applyAlignment="1">
      <x:alignment horizontal="center"/>
    </x:xf>
    <x:xf numFmtId="168" fontId="8" fillId="0" borderId="31" xfId="34" applyFont="1" applyBorder="1" applyAlignment="1">
      <x:alignment horizontal="center"/>
    </x:xf>
    <x:xf numFmtId="168" fontId="8" fillId="0" borderId="25" xfId="34" applyFont="1" applyBorder="1" applyAlignment="1">
      <x:alignment horizontal="center"/>
    </x:xf>
    <x:xf numFmtId="0" fontId="80" fillId="0" borderId="5" xfId="5" applyFont="1" applyBorder="1" applyAlignment="1">
      <x:alignment horizontal="left" wrapText="1"/>
    </x:xf>
    <x:xf numFmtId="0" fontId="80" fillId="0" borderId="6" xfId="5" applyFont="1" applyBorder="1" applyAlignment="1">
      <x:alignment horizontal="left" wrapText="1"/>
    </x:xf>
    <x:xf numFmtId="0" fontId="82" fillId="0" borderId="2" xfId="60" applyFont="1" applyBorder="1" applyAlignment="1">
      <x:alignment horizontal="left" wrapText="1"/>
    </x:xf>
    <x:xf numFmtId="0" fontId="82" fillId="0" borderId="4" xfId="60" applyFont="1" applyBorder="1" applyAlignment="1">
      <x:alignment horizontal="left" wrapText="1"/>
    </x:xf>
    <x:xf numFmtId="0" fontId="82" fillId="0" borderId="3" xfId="60" applyFont="1" applyBorder="1" applyAlignment="1">
      <x:alignment horizontal="left" wrapText="1"/>
    </x:xf>
    <x:xf numFmtId="0" fontId="82" fillId="0" borderId="2" xfId="0" applyFont="1" applyBorder="1" applyAlignment="1">
      <x:alignment horizontal="left" wrapText="1"/>
    </x:xf>
    <x:xf numFmtId="0" fontId="82" fillId="0" borderId="4" xfId="0" applyFont="1" applyBorder="1" applyAlignment="1">
      <x:alignment horizontal="left" wrapText="1"/>
    </x:xf>
    <x:xf numFmtId="0" fontId="82" fillId="0" borderId="3" xfId="0" applyFont="1" applyBorder="1" applyAlignment="1">
      <x:alignment horizontal="left" wrapText="1"/>
    </x:xf>
    <x:xf numFmtId="0" fontId="3" fillId="0" borderId="0" xfId="60" applyFont="1" applyAlignment="1">
      <x:alignment horizontal="left" vertical="top" wrapText="1"/>
    </x:xf>
    <x:xf numFmtId="0" fontId="24" fillId="0" borderId="0" xfId="0" applyFont="1" applyAlignment="1">
      <x:alignment horizontal="center"/>
    </x:xf>
    <x:xf numFmtId="0" fontId="45" fillId="0" borderId="0" xfId="0" applyFont="1" applyAlignment="1">
      <x:alignment horizontal="center"/>
    </x:xf>
    <x:xf numFmtId="0" fontId="2" fillId="0" borderId="0" xfId="26" applyFont="1" applyAlignment="1">
      <x:alignment horizontal="center"/>
    </x:xf>
    <x:xf numFmtId="0" fontId="7" fillId="0" borderId="0" xfId="26" applyFont="1" applyAlignment="1">
      <x:alignment horizontal="center"/>
    </x:xf>
    <x:xf numFmtId="0" fontId="76" fillId="0" borderId="0" xfId="30" applyFont="1" applyAlignment="1">
      <x:alignment horizontal="left" vertical="top" wrapText="1"/>
    </x:xf>
    <x:xf numFmtId="0" fontId="9" fillId="8" borderId="21" xfId="26" applyFont="1" applyFill="1" applyBorder="1" applyAlignment="1">
      <x:alignment horizontal="center"/>
    </x:xf>
    <x:xf numFmtId="0" fontId="9" fillId="8" borderId="20" xfId="26" applyFont="1" applyFill="1" applyBorder="1" applyAlignment="1">
      <x:alignment horizontal="center"/>
    </x:xf>
    <x:xf numFmtId="0" fontId="9" fillId="8" borderId="23" xfId="26" applyFont="1" applyFill="1" applyBorder="1" applyAlignment="1">
      <x:alignment horizontal="center"/>
    </x:xf>
    <x:xf numFmtId="168" fontId="9" fillId="8" borderId="21" xfId="54" applyFont="1" applyFill="1" applyBorder="1" applyAlignment="1">
      <x:alignment horizontal="center"/>
    </x:xf>
    <x:xf numFmtId="0" fontId="24" fillId="0" borderId="20" xfId="0" applyFont="1" applyBorder="1" applyAlignment="1">
      <x:alignment horizontal="center"/>
    </x:xf>
    <x:xf numFmtId="168" fontId="9" fillId="0" borderId="0" xfId="25" applyFont="1" applyAlignment="1">
      <x:alignment horizontal="center"/>
    </x:xf>
    <x:xf numFmtId="168" fontId="8" fillId="0" borderId="0" xfId="25" applyFont="1" applyAlignment="1">
      <x:alignment horizontal="left" vertical="center" wrapText="1"/>
    </x:xf>
    <x:xf numFmtId="0" fontId="24" fillId="0" borderId="23" xfId="0" applyFont="1" applyBorder="1"/>
    <x:xf numFmtId="0" fontId="24" fillId="0" borderId="23" xfId="0" applyFont="1" applyBorder="1" applyAlignment="1">
      <x:alignment horizontal="center"/>
    </x:xf>
    <x:xf numFmtId="0" fontId="9" fillId="8" borderId="14" xfId="26" applyFont="1" applyFill="1" applyBorder="1" applyAlignment="1">
      <x:alignment horizontal="center"/>
    </x:xf>
    <x:xf numFmtId="0" fontId="38" fillId="0" borderId="15" xfId="0" applyFont="1" applyBorder="1" applyAlignment="1">
      <x:alignment horizontal="center"/>
    </x:xf>
    <x:xf numFmtId="0" fontId="38" fillId="0" borderId="16" xfId="0" applyFont="1" applyBorder="1"/>
    <x:xf numFmtId="0" fontId="9" fillId="8" borderId="15" xfId="26" applyFont="1" applyFill="1" applyBorder="1" applyAlignment="1">
      <x:alignment horizontal="center"/>
    </x:xf>
    <x:xf numFmtId="0" fontId="9" fillId="8" borderId="16" xfId="26" applyFont="1" applyFill="1" applyBorder="1" applyAlignment="1">
      <x:alignment horizontal="center"/>
    </x:xf>
    <x:xf numFmtId="0" fontId="38" fillId="0" borderId="15" xfId="0" applyFont="1" applyBorder="1"/>
    <x:xf numFmtId="168" fontId="23" fillId="0" borderId="0" xfId="34" applyFont="1" applyAlignment="1">
      <x:alignment horizontal="center"/>
    </x:xf>
    <x:xf numFmtId="168" fontId="7" fillId="0" borderId="0" xfId="34" applyFont="1" applyAlignment="1">
      <x:alignment horizontal="center"/>
    </x:xf>
  </x:cellXfs>
  <x:cellStyles count="265">
    <x:cellStyle name="20% - Accent1 2" xfId="199" xr:uid="{6CB49301-FE18-405A-94C2-802318A00518}"/>
    <x:cellStyle name="20% - Accent2 2" xfId="203" xr:uid="{12CDF22B-3B32-4D16-AD09-F93B2977F709}"/>
    <x:cellStyle name="20% - Accent3 2" xfId="207" xr:uid="{1C29468D-D546-4FEF-8C1F-CC183EF43995}"/>
    <x:cellStyle name="20% - Accent4 2" xfId="211" xr:uid="{BB82102E-31BF-4EE5-8C1E-83F4EB7231B5}"/>
    <x:cellStyle name="20% - Accent5 2" xfId="215" xr:uid="{6FDFE71D-A39D-413F-B80F-2190BAF4FA61}"/>
    <x:cellStyle name="20% - Accent6 2" xfId="219" xr:uid="{BED41BE4-FDF2-4F36-B1F3-2F03D495AF57}"/>
    <x:cellStyle name="40% - Accent1 2" xfId="200" xr:uid="{351227BA-9653-492A-AA68-C431693FA19B}"/>
    <x:cellStyle name="40% - Accent2 2" xfId="204" xr:uid="{4CDA12BF-02D1-4C4A-AAE0-BC1C600F6C7B}"/>
    <x:cellStyle name="40% - Accent3 2" xfId="208" xr:uid="{7C704485-9B1E-48A7-B352-37787845C303}"/>
    <x:cellStyle name="40% - Accent4 2" xfId="212" xr:uid="{376B2092-3C9C-4C52-9E33-799C7A53279F}"/>
    <x:cellStyle name="40% - Accent5 2" xfId="216" xr:uid="{FC91FE89-82B8-4F30-849C-1ACAFA7512DE}"/>
    <x:cellStyle name="40% - Accent6 2" xfId="220" xr:uid="{936C36F4-4BE0-461F-91B0-1991251BC61C}"/>
    <x:cellStyle name="60% - Accent1 2" xfId="201" xr:uid="{4B787160-4049-42D9-B37F-EE1FC4E888AF}"/>
    <x:cellStyle name="60% - Accent2 2" xfId="205" xr:uid="{168740F7-2B1D-4D7F-A253-8554EA04C96D}"/>
    <x:cellStyle name="60% - Accent3 2" xfId="209" xr:uid="{5ED9DA92-118E-4579-9BB3-42E969F0D4A4}"/>
    <x:cellStyle name="60% - Accent4 2" xfId="213" xr:uid="{8E6CCD52-3D24-400C-8C6D-DE3139CD8E49}"/>
    <x:cellStyle name="60% - Accent5 2" xfId="217" xr:uid="{1388E580-2421-4AD2-BCCF-BC647A1E0C51}"/>
    <x:cellStyle name="60% - Accent6 2" xfId="221" xr:uid="{E740B548-7995-4288-BD26-DAFD855939C1}"/>
    <x:cellStyle name="Accent1 2" xfId="198" xr:uid="{8677E62C-2C93-4F32-925F-1EF8A39FD772}"/>
    <x:cellStyle name="Accent2 2" xfId="202" xr:uid="{6F9E24CA-2ECB-4D6D-9B4A-9A654C4C8C48}"/>
    <x:cellStyle name="Accent3 2" xfId="206" xr:uid="{4EE0466A-1C53-4235-B569-221C71327403}"/>
    <x:cellStyle name="Accent4 2" xfId="210" xr:uid="{7E37861B-ED87-473F-BC52-862B3FB4B59E}"/>
    <x:cellStyle name="Accent5 2" xfId="214" xr:uid="{FA82BA53-4E80-4EE0-BEC0-A61C24414795}"/>
    <x:cellStyle name="Accent6 2" xfId="218" xr:uid="{BF032C1A-1C98-463E-8D11-AF6A79FAAD0D}"/>
    <x:cellStyle name="Bad 2" xfId="187" xr:uid="{9DDEB455-9A80-4EFE-9877-52308CC4C18E}"/>
    <x:cellStyle name="Calculation 2" xfId="191" xr:uid="{1917C0B2-A9BC-4A64-A261-B0C1DDA426D3}"/>
    <x:cellStyle name="Check Cell 2" xfId="193" xr:uid="{FE2915D7-CAC9-48F8-89E4-DA44EEB5FEB1}"/>
    <x:cellStyle name="Comma" xfId="47" builtinId="3"/>
    <x:cellStyle name="Comma [0] 3 2" xfId="39" xr:uid="{EC5EA9AE-B745-47C8-AFE6-56FBEE149A5C}"/>
    <x:cellStyle name="Comma [0] 3 2 2" xfId="42" xr:uid="{36FED332-A54D-4C01-AB73-D6D936DA350F}"/>
    <x:cellStyle name="Comma 10 10 2" xfId="162" xr:uid="{45CE10CE-CEBD-4B0E-AE29-0605C9B20A44}"/>
    <x:cellStyle name="Comma 10 11" xfId="8" xr:uid="{00000000-0005-0000-0000-000000000000}"/>
    <x:cellStyle name="Comma 10 12" xfId="223" xr:uid="{38F6DDE7-B642-4812-8103-6069C3325FE6}"/>
    <x:cellStyle name="Comma 10 12 2" xfId="233" xr:uid="{D93A8F04-FAA6-4B6E-BDE4-99B655E547AE}"/>
    <x:cellStyle name="Comma 10 2 2 3" xfId="262" xr:uid="{1D4F89E4-5643-4779-BE84-3EF4EE517FB9}"/>
    <x:cellStyle name="Comma 11 5" xfId="18" xr:uid="{00000000-0005-0000-0000-000001000000}"/>
    <x:cellStyle name="Comma 11 5 2" xfId="172" xr:uid="{081E2C39-F1D7-4922-9B76-80FD3BB326A9}"/>
    <x:cellStyle name="Comma 11 5 3" xfId="174" xr:uid="{BC267E72-AD45-449D-AFD2-953C002854C0}"/>
    <x:cellStyle name="Comma 12 3" xfId="36" xr:uid="{793204FC-3948-4602-94EC-98AD7FF36119}"/>
    <x:cellStyle name="Comma 12 3 3" xfId="44" xr:uid="{08107E8A-72FB-4847-8156-800256E9A81A}"/>
    <x:cellStyle name="Comma 13" xfId="141" xr:uid="{93391D93-C156-44D1-8940-46A6DABCF3C8}"/>
    <x:cellStyle name="Comma 13 2" xfId="38" xr:uid="{5CEED328-A282-48CB-8341-E0C6B014E7B0}"/>
    <x:cellStyle name="Comma 2" xfId="9" xr:uid="{00000000-0005-0000-0000-000002000000}"/>
    <x:cellStyle name="Comma 2 10" xfId="11" xr:uid="{00000000-0005-0000-0000-000003000000}"/>
    <x:cellStyle name="Comma 2 2" xfId="226" xr:uid="{F8EB0E56-1F41-49EC-81B9-CED46BFFCECD}"/>
    <x:cellStyle name="Comma 2 3" xfId="246" xr:uid="{621F2783-FD69-4861-9F0C-3974C92F9427}"/>
    <x:cellStyle name="Comma 202" xfId="66" xr:uid="{3A4AACEB-BD8C-4DDE-BDDF-B85B03D58B55}"/>
    <x:cellStyle name="Comma 203 2" xfId="179" xr:uid="{777C2E9B-8AAA-4504-ABE6-4CBFE99763BC}"/>
    <x:cellStyle name="Comma 204 2" xfId="64" xr:uid="{4C192BCA-A7DB-4F43-A404-AE981DDBFC69}"/>
    <x:cellStyle name="Comma 23" xfId="16" xr:uid="{00000000-0005-0000-0000-000004000000}"/>
    <x:cellStyle name="Comma 250" xfId="24" xr:uid="{00000000-0005-0000-0000-000005000000}"/>
    <x:cellStyle name="Comma 3" xfId="149" xr:uid="{90CEACF5-94F4-4ECF-9781-6DF475E855B4}"/>
    <x:cellStyle name="Comma 3 2" xfId="228" xr:uid="{DA99E3AF-78BD-466F-9361-A805063E87BC}"/>
    <x:cellStyle name="Comma 3 2 2 2" xfId="156" xr:uid="{EE23BE1E-9729-4E6B-A2AA-2534FE145031}"/>
    <x:cellStyle name="Comma 3 3" xfId="257" xr:uid="{5B2001E5-6E48-4045-AE84-88F6A754292C}"/>
    <x:cellStyle name="Comma 3 4" xfId="249" xr:uid="{9F422325-2C1A-430F-BB79-D33AAB20F04C}"/>
    <x:cellStyle name="Comma 4" xfId="1" xr:uid="{00000000-0005-0000-0000-000006000000}"/>
    <x:cellStyle name="Comma 4 2" xfId="230" xr:uid="{196F74ED-0C5C-4798-9F48-FE5E3713C6E4}"/>
    <x:cellStyle name="Comma 4 2 2" xfId="4" xr:uid="{00000000-0005-0000-0000-000007000000}"/>
    <x:cellStyle name="Comma 4 3" xfId="155" xr:uid="{FC5B0B23-5940-4432-A824-189BA1EF5D39}"/>
    <x:cellStyle name="Comma 5" xfId="161" xr:uid="{0B639AE9-9FDC-40EC-9AD3-A2F49053E4AE}"/>
    <x:cellStyle name="Comma 5 2" xfId="238" xr:uid="{49391A45-BF8A-44A5-8045-68648A64F04F}"/>
    <x:cellStyle name="Comma 5 3" xfId="263" xr:uid="{616737AE-E649-4E78-AD10-E1253193EE0D}"/>
    <x:cellStyle name="Comma 6" xfId="243" xr:uid="{039F737C-F42C-489C-8CA0-1EC5C06B63DA}"/>
    <x:cellStyle name="Comma 7" xfId="252" xr:uid="{D14E7EF6-BC51-4545-8529-0AC6FBD9C50E}"/>
    <x:cellStyle name="Comma 8" xfId="260" xr:uid="{19EF5ED2-F6D2-432D-AE45-81EF64221870}"/>
    <x:cellStyle name="Comma 9" xfId="173" xr:uid="{C15A0E8B-4CFC-44F3-9F3F-225AEEAE3B13}"/>
    <x:cellStyle name="Comma 94" xfId="89" xr:uid="{31F9AFAC-5C0D-43D5-BA41-0B1249F04827}"/>
    <x:cellStyle name="Currency" xfId="45" builtinId="4"/>
    <x:cellStyle name="Currency 102 2" xfId="62" xr:uid="{B2027717-BECC-4B82-B03D-AE282B997F39}"/>
    <x:cellStyle name="Currency 103 2" xfId="177" xr:uid="{01E60EDA-67F1-4CD1-8E98-B4585E09543A}"/>
    <x:cellStyle name="Currency 114" xfId="22" xr:uid="{00000000-0005-0000-0000-000008000000}"/>
    <x:cellStyle name="Currency 115 2" xfId="57" xr:uid="{248496BE-8401-41B1-97C1-33F262328C1D}"/>
    <x:cellStyle name="Currency 2" xfId="10" xr:uid="{00000000-0005-0000-0000-000009000000}"/>
    <x:cellStyle name="Currency 2 10" xfId="58" xr:uid="{B8E7765C-F23D-40BB-AEAE-1418B11CDBC9}"/>
    <x:cellStyle name="Currency 2 2" xfId="251" xr:uid="{37C72875-903C-48EB-A06E-3408670BFFBD}"/>
    <x:cellStyle name="Currency 2 3" xfId="258" xr:uid="{14B4317B-6E21-4301-A94E-6D7EE8E1FEE9}"/>
    <x:cellStyle name="Currency 2 4" xfId="245" xr:uid="{A50C9F6C-EFCB-48C7-8C5D-0C5F722C0A0B}"/>
    <x:cellStyle name="Currency 3" xfId="6" xr:uid="{00000000-0005-0000-0000-00000A000000}"/>
    <x:cellStyle name="Currency 3 2" xfId="154" xr:uid="{D5AAA10A-972D-442A-83E2-4358336805D5}"/>
    <x:cellStyle name="Currency 4" xfId="181" xr:uid="{E5085E7F-E850-4679-A297-D9CE4DC403CE}"/>
    <x:cellStyle name="Currency 4 2" xfId="253" xr:uid="{FAC1AED0-FFC1-4CA4-BCA9-6A79A86F1F38}"/>
    <x:cellStyle name="Currency 5" xfId="241" xr:uid="{AFBF92AE-5A46-4F83-810F-0385F8135CFE}"/>
    <x:cellStyle name="Explanatory Text 2" xfId="196" xr:uid="{1EEA314B-9E18-49A1-8B1A-B1195E50E9B2}"/>
    <x:cellStyle name="Good 2" xfId="186" xr:uid="{210C3078-F0C1-4838-815C-1419A6CFBB1A}"/>
    <x:cellStyle name="Heading 1 2" xfId="182" xr:uid="{0F26B925-F91B-48F6-AB01-64C4A8B2A6F5}"/>
    <x:cellStyle name="Heading 2 2" xfId="183" xr:uid="{D9B8DCDC-2249-4EBC-8B60-A179DF117B7C}"/>
    <x:cellStyle name="Heading 3 2" xfId="184" xr:uid="{A7CED1FB-E29E-4200-ACBC-B18F334B6CB9}"/>
    <x:cellStyle name="Heading 4 2" xfId="185" xr:uid="{C66A2C77-B63D-4C0C-A483-571CB53F567E}"/>
    <x:cellStyle name="Input 2" xfId="189" xr:uid="{63E6A062-C94A-40DC-ACB9-CD8A3CEF651C}"/>
    <x:cellStyle name="Linked Cell 2" xfId="192" xr:uid="{49C1F1FF-9A1D-45F9-84CA-8CA379746427}"/>
    <x:cellStyle name="Neutral 2" xfId="188" xr:uid="{1BD13616-16CB-4420-8215-9064E4E0BDCE}"/>
    <x:cellStyle name="Normal" xfId="0" builtinId="0"/>
    <x:cellStyle name="Normal - Style1 5" xfId="60" xr:uid="{B4A35AC0-40A5-4B53-92FB-8EF9644159A7}"/>
    <x:cellStyle name="Normal 10" xfId="160" xr:uid="{37167B43-408C-4F66-A733-8AA92A9D554E}"/>
    <x:cellStyle name="Normal 10 2" xfId="14" xr:uid="{00000000-0005-0000-0000-00000C000000}"/>
    <x:cellStyle name="Normal 10 2 18" xfId="261" xr:uid="{7746C6D4-D0BE-4CA2-AA5F-0D500D23159A}"/>
    <x:cellStyle name="Normal 10 2 2" xfId="17" xr:uid="{00000000-0005-0000-0000-00000D000000}"/>
    <x:cellStyle name="Normal 10 2 2 2" xfId="170" xr:uid="{F2842E83-41E4-4FB1-A8A7-B70F7B8DE545}"/>
    <x:cellStyle name="Normal 10 2 2 2 2 2 2" xfId="146" xr:uid="{64FC8B2C-8BA9-4388-94BF-7ED4AB14C17C}"/>
    <x:cellStyle name="Normal 10 3" xfId="34" xr:uid="{7EE115DD-BC38-4A41-A835-2AD5997A445A}"/>
    <x:cellStyle name="Normal 10 3 7" xfId="56" xr:uid="{8946D956-3B3F-4C11-AFA5-77B0D2298F3B}"/>
    <x:cellStyle name="Normal 10 4" xfId="232" xr:uid="{351F80D7-C83F-4869-837A-38B5E2D37A9C}"/>
    <x:cellStyle name="Normal 11" xfId="152" xr:uid="{7BDDC2A8-6AA1-458E-A8E5-41AE8AB44F53}"/>
    <x:cellStyle name="Normal 11 2" xfId="234" xr:uid="{65DA3BE8-07CE-4B21-8B3A-10E39804805C}"/>
    <x:cellStyle name="Normal 12" xfId="235" xr:uid="{A9F6722A-816A-413E-98B7-1B1654F10110}"/>
    <x:cellStyle name="Normal 12 2" xfId="33" xr:uid="{B1EA86CD-76E8-421C-8A01-BA953F82EBAC}"/>
    <x:cellStyle name="Normal 12 2 2 2" xfId="43" xr:uid="{A13903E3-6D80-4FD0-AB69-10F6BB18A7DC}"/>
    <x:cellStyle name="Normal 12 2 3" xfId="41" xr:uid="{3F66D6ED-5287-4072-AC52-B4E08CD80373}"/>
    <x:cellStyle name="Normal 12 3" xfId="171" xr:uid="{38A86C08-1E0E-48BA-844A-AC89E702471E}"/>
    <x:cellStyle name="Normal 13" xfId="236" xr:uid="{A5AF99FC-D98E-4289-B2FF-9E17C175AC5B}"/>
    <x:cellStyle name="Normal 13 2" xfId="37" xr:uid="{6EBB980F-74AF-4023-9F9F-9BF1F5EC05C9}"/>
    <x:cellStyle name="Normal 14" xfId="237" xr:uid="{4B8A156E-AC12-47F3-8353-663F71A72AE5}"/>
    <x:cellStyle name="Normal 15" xfId="239" xr:uid="{ADB23051-B5FB-4CB1-A840-3F453CB51A34}"/>
    <x:cellStyle name="Normal 150 2" xfId="61" xr:uid="{A74945D3-B01D-49BA-988C-8485FB78EA18}"/>
    <x:cellStyle name="Normal 151 2" xfId="59" xr:uid="{9D80449F-4C35-486C-9B2A-35E59CB0C760}"/>
    <x:cellStyle name="Normal 154" xfId="48" xr:uid="{9B612339-0E2D-4D29-BD23-05CC0422BA07}"/>
    <x:cellStyle name="Normal 155" xfId="69" xr:uid="{390F1241-90F4-49F6-8F6C-2B6AB0838E2D}"/>
    <x:cellStyle name="Normal 157" xfId="72" xr:uid="{899FBCA5-625A-4AA8-B731-99115FF5D05D}"/>
    <x:cellStyle name="Normal 158" xfId="73" xr:uid="{12880B0A-FC40-4F05-9AEB-EFF13EF69132}"/>
    <x:cellStyle name="Normal 159" xfId="74" xr:uid="{27DD747B-411F-409D-8453-BCE830254AA9}"/>
    <x:cellStyle name="Normal 16" xfId="180" xr:uid="{4F9ECACD-40F7-4CBE-98AF-970A2A9E1C08}"/>
    <x:cellStyle name="Normal 16 2" xfId="40" xr:uid="{D920D4DF-0ABE-43AB-9547-A69509A4DC36}"/>
    <x:cellStyle name="Normal 160" xfId="75" xr:uid="{CAB0A9B9-8108-4517-9F5F-95145B04B534}"/>
    <x:cellStyle name="Normal 161" xfId="76" xr:uid="{43AFCAFB-50F2-4B68-9B5A-441D2C556792}"/>
    <x:cellStyle name="Normal 17" xfId="240" xr:uid="{74A9B368-C87E-4B23-B6F7-C483F1841A5B}"/>
    <x:cellStyle name="Normal 173" xfId="71" xr:uid="{9CC58BCA-FAC5-42CC-8383-F42F76BBDB73}"/>
    <x:cellStyle name="Normal 18" xfId="250" xr:uid="{E3F8906C-4850-4A69-B4B8-D9FC4710ED86}"/>
    <x:cellStyle name="Normal 19" xfId="259" xr:uid="{788F5AD7-BB04-4F27-962B-3A3011DFE5F0}"/>
    <x:cellStyle name="Normal 2" xfId="5" xr:uid="{00000000-0005-0000-0000-00000E000000}"/>
    <x:cellStyle name="Normal 2 10" xfId="7" xr:uid="{00000000-0005-0000-0000-00000F000000}"/>
    <x:cellStyle name="Normal 2 10 2 2 2" xfId="142" xr:uid="{7060F6CD-1E22-4BE3-B8DF-6910592428C0}"/>
    <x:cellStyle name="Normal 2 2" xfId="53" xr:uid="{B08F26E5-48BE-4E7E-BFEE-6F0CFAFD4D8E}"/>
    <x:cellStyle name="Normal 2 3" xfId="163" xr:uid="{908803EF-7002-4679-996F-188B00F9C07B}"/>
    <x:cellStyle name="Normal 2 3 2" xfId="222" xr:uid="{FA38C704-E735-4BD7-AAD5-F1F538266969}"/>
    <x:cellStyle name="Normal 2 4" xfId="244" xr:uid="{A8389D42-E385-4360-B15A-84CF68DAAB5E}"/>
    <x:cellStyle name="Normal 216" xfId="90" xr:uid="{9F107082-F9AE-4C0B-8494-B7B880DB02FE}"/>
    <x:cellStyle name="Normal 218" xfId="65" xr:uid="{6D9A54FF-1202-4662-BBAB-03E0D6D8ADFB}"/>
    <x:cellStyle name="Normal 227" xfId="144" xr:uid="{8ABAE285-02EE-47D4-85A8-9A5FC4D7C841}"/>
    <x:cellStyle name="Normal 253" xfId="21" xr:uid="{00000000-0005-0000-0000-000010000000}"/>
    <x:cellStyle name="Normal 254" xfId="23" xr:uid="{00000000-0005-0000-0000-000011000000}"/>
    <x:cellStyle name="Normal 255" xfId="68" xr:uid="{14072940-B50F-4616-A634-7D19051FE473}"/>
    <x:cellStyle name="Normal 258" xfId="77" xr:uid="{3FE87C1C-30E6-4FA8-9CE5-8727E334092E}"/>
    <x:cellStyle name="Normal 259" xfId="78" xr:uid="{0A373C13-BA6A-4804-A34B-679780A15ED0}"/>
    <x:cellStyle name="Normal 260" xfId="79" xr:uid="{10F1F00F-3F2D-4AA5-B335-72282A580444}"/>
    <x:cellStyle name="Normal 261" xfId="80" xr:uid="{A13605FD-045E-4E59-8358-87A66942A29C}"/>
    <x:cellStyle name="Normal 262" xfId="81" xr:uid="{09C0D646-19AA-4F3F-B7F3-8466443868F6}"/>
    <x:cellStyle name="Normal 263" xfId="82" xr:uid="{01375633-9C12-4F19-9743-5812728FA639}"/>
    <x:cellStyle name="Normal 264" xfId="83" xr:uid="{93DFA91D-E425-4EA7-B74F-457387F8F982}"/>
    <x:cellStyle name="Normal 265" xfId="84" xr:uid="{B418CDD6-1965-48EB-B375-9711027D00A3}"/>
    <x:cellStyle name="Normal 266" xfId="85" xr:uid="{040EDF12-9CC1-4510-B791-81B31EF72532}"/>
    <x:cellStyle name="Normal 267" xfId="86" xr:uid="{6229370D-0D3D-4130-AE3C-0FED6DE8D352}"/>
    <x:cellStyle name="Normal 268" xfId="87" xr:uid="{31EC1CB6-8363-480E-8F47-83B25A2260E6}"/>
    <x:cellStyle name="Normal 269" xfId="88" xr:uid="{3C1FF2B1-8188-4C21-A3AD-B24667970E98}"/>
    <x:cellStyle name="Normal 27" xfId="176" xr:uid="{AD56CFB8-4364-4274-B6D9-060811474149}"/>
    <x:cellStyle name="Normal 270" xfId="92" xr:uid="{4674BE3A-1929-47D6-8202-444E0B8C4ED8}"/>
    <x:cellStyle name="Normal 272" xfId="93" xr:uid="{0251185D-FAE1-4BC9-811A-734C0FC51A37}"/>
    <x:cellStyle name="Normal 273" xfId="70" xr:uid="{9306007C-9FFB-473D-94E7-36F287FACBC0}"/>
    <x:cellStyle name="Normal 274" xfId="94" xr:uid="{62826214-A792-472C-BDAA-5EE78EA7181A}"/>
    <x:cellStyle name="Normal 275" xfId="95" xr:uid="{91312869-EC08-4742-8915-40C945846CAA}"/>
    <x:cellStyle name="Normal 276" xfId="96" xr:uid="{794849A4-40A7-43F3-B1A2-A7AD33E772DA}"/>
    <x:cellStyle name="Normal 277" xfId="97" xr:uid="{908A0A4D-B974-4D9E-97AB-53CC8095C046}"/>
    <x:cellStyle name="Normal 278" xfId="98" xr:uid="{FB7DE139-5411-4B7E-9E9D-FD8784E57852}"/>
    <x:cellStyle name="Normal 279" xfId="99" xr:uid="{236BF631-03D4-4A21-976A-564FC2BD0166}"/>
    <x:cellStyle name="Normal 280" xfId="100" xr:uid="{229DB3EE-ECDC-4F46-9F57-228341195044}"/>
    <x:cellStyle name="Normal 281" xfId="101" xr:uid="{F46FAFF1-94C5-4E5D-8AAB-89E389307965}"/>
    <x:cellStyle name="Normal 282" xfId="102" xr:uid="{57BD1F48-322C-435E-8802-8A02F11C3E79}"/>
    <x:cellStyle name="Normal 283" xfId="105" xr:uid="{616826B4-0D16-4404-8086-BA3D901B983C}"/>
    <x:cellStyle name="Normal 284" xfId="103" xr:uid="{216F5F47-276E-420F-B867-9CCE9B13F9D8}"/>
    <x:cellStyle name="Normal 285" xfId="104" xr:uid="{AFD8D45A-D5C7-4DD1-B879-67C296A9740C}"/>
    <x:cellStyle name="Normal 286" xfId="106" xr:uid="{04AA2DC1-2032-461B-8FA7-AB535F99E3B3}"/>
    <x:cellStyle name="Normal 291" xfId="107" xr:uid="{DEEAB593-2D83-4E79-ACF9-264CA16A475C}"/>
    <x:cellStyle name="Normal 292" xfId="108" xr:uid="{F08DDA87-DCCD-464F-9B50-EB3B2397B385}"/>
    <x:cellStyle name="Normal 293" xfId="110" xr:uid="{976E8FB2-7632-43EF-BAFD-64F5BD8B3F12}"/>
    <x:cellStyle name="Normal 294" xfId="111" xr:uid="{DADF31EB-EE3D-482F-B9BA-74CBCCFD6A87}"/>
    <x:cellStyle name="Normal 295" xfId="112" xr:uid="{95324DB3-E9FB-474A-8848-1AC8D1D34B12}"/>
    <x:cellStyle name="Normal 296" xfId="113" xr:uid="{729E9B7B-72B3-489F-98C1-20E4D0436547}"/>
    <x:cellStyle name="Normal 297" xfId="114" xr:uid="{A4D57C30-85F9-48B8-A892-5FCA5B56A17E}"/>
    <x:cellStyle name="Normal 298" xfId="116" xr:uid="{81E99399-8607-4120-A761-97048B23BAB1}"/>
    <x:cellStyle name="Normal 3" xfId="20" xr:uid="{00000000-0005-0000-0000-000012000000}"/>
    <x:cellStyle name="Normal 3 2" xfId="32" xr:uid="{99F8AE8C-05F2-490A-A25C-6008C9A4EA1B}"/>
    <x:cellStyle name="Normal 3 3" xfId="52" xr:uid="{A9628838-9A52-4CCC-A869-45E6B0DC1BAA}"/>
    <x:cellStyle name="Normal 3 4" xfId="247" xr:uid="{D704F560-322D-4D9A-B0B1-3B03B0896F52}"/>
    <x:cellStyle name="Normal 3_Attach O, GG, Support -New Method 2-14-11" xfId="30" xr:uid="{A98F5369-1071-44F5-B789-FF6BABDA384D}"/>
    <x:cellStyle name="Normal 301" xfId="119" xr:uid="{32D8D07B-82DF-4A28-82A6-E58685CD6928}"/>
    <x:cellStyle name="Normal 302" xfId="115" xr:uid="{8B3DB0C9-5915-401F-92CA-EF94B1B9B584}"/>
    <x:cellStyle name="Normal 303" xfId="117" xr:uid="{84635B33-FE6C-4A30-9E77-AAC4D635B959}"/>
    <x:cellStyle name="Normal 304" xfId="118" xr:uid="{9E328DBD-AB3C-41ED-9A43-39D57D8DE382}"/>
    <x:cellStyle name="Normal 307" xfId="120" xr:uid="{F46299DD-AE97-4091-AC80-13BB3B54002D}"/>
    <x:cellStyle name="Normal 308" xfId="121" xr:uid="{E9F1F483-0856-4253-B03A-1B982BC4A617}"/>
    <x:cellStyle name="Normal 310" xfId="122" xr:uid="{080AE531-2674-4F18-9447-9E86FB15F246}"/>
    <x:cellStyle name="Normal 311" xfId="123" xr:uid="{9B1963BF-C6A9-4A69-BACE-FB358018EC6A}"/>
    <x:cellStyle name="Normal 312" xfId="124" xr:uid="{E6427BD9-E68D-497C-80B0-734546ED8C01}"/>
    <x:cellStyle name="Normal 313" xfId="125" xr:uid="{49329C41-069E-42A5-9EA7-0015A56B68C9}"/>
    <x:cellStyle name="Normal 314" xfId="126" xr:uid="{8B3A6F2C-FF29-4994-998E-54BD6B136B7F}"/>
    <x:cellStyle name="Normal 315" xfId="127" xr:uid="{EAD5F534-D7F5-4A33-A4CA-E3918BFB3FD1}"/>
    <x:cellStyle name="Normal 316" xfId="128" xr:uid="{DCB78C98-8D74-49D9-9C82-CBD30620BF98}"/>
    <x:cellStyle name="Normal 318" xfId="129" xr:uid="{2F283C00-AFCB-4758-867E-3FC125EC31F7}"/>
    <x:cellStyle name="Normal 319" xfId="130" xr:uid="{608D6B30-CB30-4BDD-BF98-6A4E01C84CE2}"/>
    <x:cellStyle name="Normal 322" xfId="131" xr:uid="{EBF88B40-87B2-474F-BF40-D948DB72CB3A}"/>
    <x:cellStyle name="Normal 323" xfId="132" xr:uid="{170BC3FC-342F-40EB-B22E-825049BB6BE4}"/>
    <x:cellStyle name="Normal 324" xfId="133" xr:uid="{604C0C84-ECE2-4150-80E5-1F286F4A598C}"/>
    <x:cellStyle name="Normal 325" xfId="134" xr:uid="{8F225383-70F0-428D-BD7D-EF8516E05291}"/>
    <x:cellStyle name="Normal 326" xfId="135" xr:uid="{4E8E114E-F856-4368-8249-92CF726557B5}"/>
    <x:cellStyle name="Normal 327" xfId="136" xr:uid="{8F28B5EF-A267-48A6-8FEC-1BEDE9E3E88C}"/>
    <x:cellStyle name="Normal 328" xfId="137" xr:uid="{009DA125-3F8C-4267-B832-0F2406EDD65A}"/>
    <x:cellStyle name="Normal 329" xfId="138" xr:uid="{E9B2805A-F3F8-47A5-AB63-210D9137369F}"/>
    <x:cellStyle name="Normal 330" xfId="139" xr:uid="{FA0BC58C-0DF1-4064-9ECF-4B7AF54B4405}"/>
    <x:cellStyle name="Normal 332" xfId="109" xr:uid="{19C67990-A026-4BCC-A7FD-FDD2E3EE3AA6}"/>
    <x:cellStyle name="Normal 4" xfId="25" xr:uid="{B697ADF7-9665-47A6-A433-57C5A4664A4C}"/>
    <x:cellStyle name="Normal 4 2" xfId="224" xr:uid="{7F4981BC-630D-49F6-B4C5-A32E3368505B}"/>
    <x:cellStyle name="Normal 4 22 2" xfId="54" xr:uid="{F9CE5AA6-8F32-4710-BE7E-7C7AB769A92B}"/>
    <x:cellStyle name="Normal 4 3" xfId="248" xr:uid="{57EBFB42-DAC0-4BA2-B19D-FB29E998AB97}"/>
    <x:cellStyle name="Normal 49" xfId="175" xr:uid="{C6CE04AF-1CAD-4F06-BD77-C0958119C275}"/>
    <x:cellStyle name="Normal 5" xfId="29" xr:uid="{ABEF3B4C-7566-4705-A3E6-4EE55CD213A7}"/>
    <x:cellStyle name="Normal 5 10" xfId="55" xr:uid="{0A548DCF-D9FB-4463-8728-E09F8AEC0420}"/>
    <x:cellStyle name="Normal 5 2" xfId="225" xr:uid="{CA847612-2ADB-4E68-AE44-4EC3D2D39E9C}"/>
    <x:cellStyle name="Normal 5 60" xfId="150" xr:uid="{B016BD67-61A2-4FBD-9ECB-7C4C20EC1C71}"/>
    <x:cellStyle name="Normal 6" xfId="140" xr:uid="{D256F818-538F-4052-9CF8-E4428465FBAC}"/>
    <x:cellStyle name="Normal 6 12" xfId="157" xr:uid="{1EE0B7CF-DE9B-4AEE-84DD-9490C72D8CAB}"/>
    <x:cellStyle name="Normal 6 2" xfId="255" xr:uid="{F9E903B0-9878-484C-823B-065467FD6B74}"/>
    <x:cellStyle name="Normal 62" xfId="264" xr:uid="{FEAAC0BE-D37C-4B4C-8297-6E9A99CDDCD8}"/>
    <x:cellStyle name="Normal 7" xfId="27" xr:uid="{D5B5E0E3-DC2B-44D9-8A11-A6C8C1AD539A}"/>
    <x:cellStyle name="Normal 7 2" xfId="227" xr:uid="{48872C88-D6DA-4F40-8849-9E2D87780527}"/>
    <x:cellStyle name="Normal 7 3" xfId="256" xr:uid="{C1620777-9473-4D39-9360-BFB731ED9581}"/>
    <x:cellStyle name="Normal 8" xfId="145" xr:uid="{56776621-D035-4D92-8F56-61856F74D484}"/>
    <x:cellStyle name="Normal 8 2" xfId="158" xr:uid="{422D86E0-F105-486B-AB4F-CEED0C6DC207}"/>
    <x:cellStyle name="Normal 8 3" xfId="168" xr:uid="{4319A08B-6E43-490E-AEEF-0472F509F44C}"/>
    <x:cellStyle name="Normal 8 3 2" xfId="229" xr:uid="{807B4728-B5A2-4A0D-AFC4-00FB8239F655}"/>
    <x:cellStyle name="Normal 8 4" xfId="166" xr:uid="{9AFF8781-5B5A-4DA7-B2A2-E1A9CFE8FA1A}"/>
    <x:cellStyle name="Normal 9" xfId="153" xr:uid="{880F2C80-EE04-4EAB-ACEC-B8A30062EA2F}"/>
    <x:cellStyle name="Normal 9 2" xfId="159" xr:uid="{3096AFC6-0A11-4C93-AE4B-F1F1F0620EFD}"/>
    <x:cellStyle name="Normal 9 3" xfId="169" xr:uid="{C37EC728-C2E2-4A41-AEE3-E4E76D9752F5}"/>
    <x:cellStyle name="Normal 9 3 2" xfId="231" xr:uid="{679703FD-A29E-4A72-9CD5-240FD78A5B7B}"/>
    <x:cellStyle name="Normal 9 4" xfId="167" xr:uid="{E2377ED9-FBA6-4021-A35C-029C8CE28F85}"/>
    <x:cellStyle name="Normal_1995 FCWS" xfId="13" xr:uid="{00000000-0005-0000-0000-000013000000}"/>
    <x:cellStyle name="Normal_21 Exh B" xfId="28" xr:uid="{E637EC89-4F75-46C0-8A30-734C3B82DD3C}"/>
    <x:cellStyle name="Normal_A" xfId="147" xr:uid="{8AE7C0E9-7D53-49DE-8C4E-839574C0B585}"/>
    <x:cellStyle name="Normal_ATC Projected 2008 Monthly Plant Balances for Attachment O 2 (2)" xfId="31" xr:uid="{5128B2CE-F3BA-485E-96A3-83A8E94DF1A1}"/>
    <x:cellStyle name="Normal_Attachment GG Example 8 26 09" xfId="50" xr:uid="{EEE6A2A1-B928-41C0-96E8-909E360409DE}"/>
    <x:cellStyle name="Normal_Attachment GG Template ER11-28 11-18-10" xfId="49" xr:uid="{585443FF-1015-471D-BADF-E86BA0A38E8A}"/>
    <x:cellStyle name="Normal_FN1 Ratebase Draft SPP template (6-11-04) v2" xfId="19" xr:uid="{00000000-0005-0000-0000-000014000000}"/>
    <x:cellStyle name="Normal_interest calc Book1" xfId="51" xr:uid="{09A44AD0-5449-4A62-859C-2E66FEB484AA}"/>
    <x:cellStyle name="Normal_Red Line and Clean Copy 5-5-2010 populated attachment 9 and supplement (2)" xfId="148" xr:uid="{784F00CF-1F83-494E-ABA6-3995AD6C9434}"/>
    <x:cellStyle name="Normal_Schedule O Info for Mike" xfId="26" xr:uid="{D429D4BE-27AC-4EE5-B08E-4DF2596DF515}"/>
    <x:cellStyle name="Normal_TrAILCo attach 6 &amp; 7 and Appendix A" xfId="3" xr:uid="{00000000-0005-0000-0000-000015000000}"/>
    <x:cellStyle name="Note 2" xfId="195" xr:uid="{17E200CE-66FB-4BAA-ADA8-C59641F551A7}"/>
    <x:cellStyle name="Output 2" xfId="190" xr:uid="{151A1149-60DF-4CE8-BB3E-D0F9190CB22A}"/>
    <x:cellStyle name="Percent" xfId="46" builtinId="5"/>
    <x:cellStyle name="Percent 10" xfId="143" xr:uid="{48A8448C-DDC7-474B-B1EE-49D4EC2AE1E4}"/>
    <x:cellStyle name="Percent 109" xfId="67" xr:uid="{9B409385-2AB3-4193-80CE-6A71A999EC08}"/>
    <x:cellStyle name="Percent 109 2" xfId="178" xr:uid="{83D350A7-12BB-40CF-B53D-97E4B049D798}"/>
    <x:cellStyle name="Percent 110 2" xfId="63" xr:uid="{BBBA8DF2-D622-4B90-AEF1-180A911E59CB}"/>
    <x:cellStyle name="Percent 2" xfId="12" xr:uid="{00000000-0005-0000-0000-000018000000}"/>
    <x:cellStyle name="Percent 2 10" xfId="151" xr:uid="{F0088B70-972B-4855-AED6-0FCB95D50778}"/>
    <x:cellStyle name="Percent 2 2" xfId="164" xr:uid="{295553A1-45C5-4BB2-A404-C580CECD3A50}"/>
    <x:cellStyle name="Percent 24" xfId="15" xr:uid="{00000000-0005-0000-0000-000019000000}"/>
    <x:cellStyle name="Percent 3" xfId="254" xr:uid="{E5EC6577-8802-49E3-87C3-B43D2815E88A}"/>
    <x:cellStyle name="Percent 3 2" xfId="2" xr:uid="{00000000-0005-0000-0000-00001A000000}"/>
    <x:cellStyle name="Percent 38" xfId="91" xr:uid="{2E8E0232-E2B5-4A2E-BDF3-C7F154FDB518}"/>
    <x:cellStyle name="Percent 4" xfId="242" xr:uid="{78240452-17BE-4053-A9CB-42884EE856B1}"/>
    <x:cellStyle name="Percent 9 2 2" xfId="35" xr:uid="{58D62F26-1917-4D1A-AC3A-B686F12AA3DA}"/>
    <x:cellStyle name="Title" xfId="165" builtinId="15" customBuiltin="1"/>
    <x:cellStyle name="Total 2" xfId="197" xr:uid="{FDE90509-326C-4A29-841B-55B7A6B17708}"/>
    <x:cellStyle name="Warning Text 2" xfId="194" xr:uid="{D9153EDE-09C8-484E-AB68-87B00EBEC614}"/>
  </x:cellStyles>
  <x:dxfs count="0"/>
  <x:tableStyles count="0" defaultTableStyle="TableStyleMedium2" defaultPivotStyle="PivotStyleLight16"/>
  <x:colors>
    <x:mruColors>
      <x:color rgb="FF66FF66"/>
      <x:color rgb="FFFFFF99"/>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821531</xdr:colOff>
      <xdr:row>125</xdr:row>
      <xdr:rowOff>5774532</xdr:rowOff>
    </xdr:from>
    <xdr:to>
      <xdr:col>15</xdr:col>
      <xdr:colOff>1143799</xdr:colOff>
      <xdr:row>126</xdr:row>
      <xdr:rowOff>8301</xdr:rowOff>
    </xdr:to>
    <xdr:pic>
      <xdr:nvPicPr>
        <xdr:cNvPr id="5" name="Picture 4" descr="" title="">
          <a:extLst>
            <a:ext uri="{FF2B5EF4-FFF2-40B4-BE49-F238E27FC236}">
              <a16:creationId xmlns:a16="http://schemas.microsoft.com/office/drawing/2014/main" id="{94EBD9EF-354B-4C12-BDBC-2B605064A08C}"/>
            </a:ext>
          </a:extLst>
        </xdr:cNvPr>
        <xdr:cNvPicPr>
          <a:picLocks noChangeAspect="1"/>
        </xdr:cNvPicPr>
      </xdr:nvPicPr>
      <xdr:blipFill>
        <a:blip xmlns:r="http://schemas.openxmlformats.org/officeDocument/2006/relationships" r:embed="rId1"/>
        <a:stretch>
          <a:fillRect/>
        </a:stretch>
      </xdr:blipFill>
      <xdr:spPr>
        <a:xfrm>
          <a:off x="821531" y="25788938"/>
          <a:ext cx="12322975" cy="2132398"/>
        </a:xfrm>
        <a:prstGeom prst="rect">
          <a:avLst/>
        </a:prstGeom>
      </xdr:spPr>
    </xdr:pic>
    <xdr:clientData/>
  </xdr:twoCellAnchor>
  <xdr:twoCellAnchor editAs="oneCell">
    <xdr:from>
      <xdr:col>0</xdr:col>
      <xdr:colOff>991126</xdr:colOff>
      <xdr:row>80</xdr:row>
      <xdr:rowOff>39949</xdr:rowOff>
    </xdr:from>
    <xdr:to>
      <xdr:col>15</xdr:col>
      <xdr:colOff>131582</xdr:colOff>
      <xdr:row>118</xdr:row>
      <xdr:rowOff>48482</xdr:rowOff>
    </xdr:to>
    <xdr:pic>
      <xdr:nvPicPr>
        <xdr:cNvPr id="9" name="Picture 8" descr="" title="">
          <a:extLst>
            <a:ext uri="{FF2B5EF4-FFF2-40B4-BE49-F238E27FC236}">
              <a16:creationId xmlns:a16="http://schemas.microsoft.com/office/drawing/2014/main" id="{70D96288-8E4D-4CE6-AFD5-16F37BFD818C}"/>
            </a:ext>
          </a:extLst>
        </xdr:cNvPr>
        <xdr:cNvPicPr>
          <a:picLocks noChangeAspect="1"/>
        </xdr:cNvPicPr>
      </xdr:nvPicPr>
      <xdr:blipFill>
        <a:blip xmlns:r="http://schemas.openxmlformats.org/officeDocument/2006/relationships" r:embed="rId2"/>
        <a:stretch>
          <a:fillRect/>
        </a:stretch>
      </xdr:blipFill>
      <xdr:spPr>
        <a:xfrm>
          <a:off x="991126" y="11684262"/>
          <a:ext cx="11999206" cy="6342658"/>
        </a:xfrm>
        <a:prstGeom prst="rect">
          <a:avLst/>
        </a:prstGeom>
      </xdr:spPr>
    </xdr:pic>
    <xdr:clientData/>
  </xdr:twoCellAnchor>
  <xdr:twoCellAnchor editAs="oneCell">
    <xdr:from>
      <xdr:col>0</xdr:col>
      <xdr:colOff>940594</xdr:colOff>
      <xdr:row>118</xdr:row>
      <xdr:rowOff>47624</xdr:rowOff>
    </xdr:from>
    <xdr:to>
      <xdr:col>15</xdr:col>
      <xdr:colOff>161757</xdr:colOff>
      <xdr:row>152</xdr:row>
      <xdr:rowOff>10288</xdr:rowOff>
    </xdr:to>
    <xdr:pic>
      <xdr:nvPicPr>
        <xdr:cNvPr id="10" name="Picture 9" descr="" title="">
          <a:extLst>
            <a:ext uri="{FF2B5EF4-FFF2-40B4-BE49-F238E27FC236}">
              <a16:creationId xmlns:a16="http://schemas.microsoft.com/office/drawing/2014/main" id="{9B6DE695-2A8D-4DD7-AA48-91B7FBAA00AE}"/>
            </a:ext>
          </a:extLst>
        </xdr:cNvPr>
        <xdr:cNvPicPr>
          <a:picLocks noChangeAspect="1"/>
        </xdr:cNvPicPr>
      </xdr:nvPicPr>
      <xdr:blipFill>
        <a:blip xmlns:r="http://schemas.openxmlformats.org/officeDocument/2006/relationships" r:embed="rId3"/>
        <a:stretch>
          <a:fillRect/>
        </a:stretch>
      </xdr:blipFill>
      <xdr:spPr>
        <a:xfrm>
          <a:off x="940594" y="18026062"/>
          <a:ext cx="12079913" cy="5625277"/>
        </a:xfrm>
        <a:prstGeom prst="rect">
          <a:avLst/>
        </a:prstGeom>
      </xdr:spPr>
    </xdr:pic>
    <xdr:clientData/>
  </xdr:twoCellAnchor>
  <xdr:twoCellAnchor editAs="oneCell">
    <xdr:from>
      <xdr:col>0</xdr:col>
      <xdr:colOff>974989</xdr:colOff>
      <xdr:row>152</xdr:row>
      <xdr:rowOff>45772</xdr:rowOff>
    </xdr:from>
    <xdr:to>
      <xdr:col>15</xdr:col>
      <xdr:colOff>239022</xdr:colOff>
      <xdr:row>159</xdr:row>
      <xdr:rowOff>77684</xdr:rowOff>
    </xdr:to>
    <xdr:pic>
      <xdr:nvPicPr>
        <xdr:cNvPr id="11" name="Picture 10" descr="" title="">
          <a:extLst>
            <a:ext uri="{FF2B5EF4-FFF2-40B4-BE49-F238E27FC236}">
              <a16:creationId xmlns:a16="http://schemas.microsoft.com/office/drawing/2014/main" id="{577C9A6A-55F0-4D4F-9969-FBEC5A8C01B9}"/>
            </a:ext>
          </a:extLst>
        </xdr:cNvPr>
        <xdr:cNvPicPr>
          <a:picLocks noChangeAspect="1"/>
        </xdr:cNvPicPr>
      </xdr:nvPicPr>
      <xdr:blipFill>
        <a:blip xmlns:r="http://schemas.openxmlformats.org/officeDocument/2006/relationships" r:embed="rId4"/>
        <a:stretch>
          <a:fillRect/>
        </a:stretch>
      </xdr:blipFill>
      <xdr:spPr>
        <a:xfrm>
          <a:off x="974989" y="23691585"/>
          <a:ext cx="12122783" cy="1198725"/>
        </a:xfrm>
        <a:prstGeom prst="rect">
          <a:avLst/>
        </a:prstGeom>
      </xdr:spPr>
    </xdr:pic>
    <xdr:clientData/>
  </xdr:twoCellAnchor>
  <xdr:twoCellAnchor editAs="oneCell">
    <xdr:from>
      <xdr:col>0</xdr:col>
      <xdr:colOff>2928933</xdr:colOff>
      <xdr:row>31</xdr:row>
      <xdr:rowOff>119062</xdr:rowOff>
    </xdr:from>
    <xdr:to>
      <xdr:col>13</xdr:col>
      <xdr:colOff>637308</xdr:colOff>
      <xdr:row>79</xdr:row>
      <xdr:rowOff>76198</xdr:rowOff>
    </xdr:to>
    <xdr:pic>
      <xdr:nvPicPr>
        <xdr:cNvPr id="2" name="Picture 1" descr="" title="">
          <a:extLst>
            <a:ext uri="{FF2B5EF4-FFF2-40B4-BE49-F238E27FC236}">
              <a16:creationId xmlns:a16="http://schemas.microsoft.com/office/drawing/2014/main" id="{56364DE1-A101-4A5B-9F34-DBDC1757A8E2}"/>
            </a:ext>
          </a:extLst>
        </xdr:cNvPr>
        <xdr:cNvPicPr>
          <a:picLocks noChangeAspect="1"/>
        </xdr:cNvPicPr>
      </xdr:nvPicPr>
      <xdr:blipFill>
        <a:blip xmlns:r="http://schemas.openxmlformats.org/officeDocument/2006/relationships" r:embed="rId5"/>
        <a:stretch>
          <a:fillRect/>
        </a:stretch>
      </xdr:blipFill>
      <xdr:spPr>
        <a:xfrm>
          <a:off x="2928933" y="5393531"/>
          <a:ext cx="9186000" cy="7993855"/>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H389"/>
  <x:sheetViews>
    <x:sheetView tabSelected="1" zoomScaleNormal="100" workbookViewId="0"/>
  </x:sheetViews>
  <x:sheetFormatPr defaultColWidth="9.140625" defaultRowHeight="15"/>
  <x:cols>
    <x:col min="1" max="1" width="7.42578125" style="15" customWidth="1"/>
    <x:col min="2" max="2" width="5.7109375" style="18" customWidth="1"/>
    <x:col min="3" max="3" width="64" style="18" customWidth="1"/>
    <x:col min="4" max="4" width="35.85546875" style="18" customWidth="1"/>
    <x:col min="5" max="5" width="25.7109375" style="16" customWidth="1"/>
    <x:col min="6" max="6" width="65.7109375" style="18" customWidth="1"/>
    <x:col min="7" max="7" width="2.7109375" style="18" customWidth="1"/>
    <x:col min="8" max="8" width="18.85546875" style="18" bestFit="1" customWidth="1"/>
    <x:col min="9" max="16384" width="9.140625" style="18"/>
  </x:cols>
  <x:sheetData>
    <x:row r="1" spans="1:8" ht="30">
      <x:c r="A1" s="1" t="s">
        <x:v>83</x:v>
      </x:c>
      <x:c r="C1" s="18" t="s">
        <x:v>83</x:v>
      </x:c>
      <x:c r="F1" s="162"/>
      <x:c r="H1" s="1017"/>
    </x:row>
    <x:row r="2" spans="1:8" ht="27.75">
      <x:c r="A2" s="1"/>
      <x:c r="D2" s="68" t="s">
        <x:v>1329</x:v>
      </x:c>
      <x:c r="F2" s="69"/>
      <x:c r="H2" s="1434"/>
    </x:row>
    <x:row r="3" spans="1:8" s="71" customFormat="1" ht="25.5" customHeight="1" thickBot="1">
      <x:c r="A3" s="70"/>
      <x:c r="E3" s="72"/>
    </x:row>
    <x:row r="4" spans="1:8" ht="27.75" customHeight="1" thickBot="1">
      <x:c r="A4" s="73" t="s">
        <x:v>1328</x:v>
      </x:c>
      <x:c r="B4" s="74"/>
      <x:c r="C4" s="74"/>
      <x:c r="D4" s="74"/>
      <x:c r="E4" s="75"/>
      <x:c r="F4" s="76"/>
      <x:c r="H4" s="16"/>
    </x:row>
    <x:row r="5" spans="1:8" s="36" customFormat="1" ht="24" thickBot="1">
      <x:c r="A5" s="77" t="s">
        <x:v>243</x:v>
      </x:c>
      <x:c r="B5" s="78"/>
      <x:c r="C5" s="78"/>
      <x:c r="D5" s="78"/>
      <x:c r="E5" s="1149" t="s">
        <x:v>244</x:v>
      </x:c>
      <x:c r="F5" s="79" t="s">
        <x:v>245</x:v>
      </x:c>
      <x:c r="G5" s="80"/>
      <x:c r="H5" s="81" t="s">
        <x:v>2183</x:v>
      </x:c>
    </x:row>
    <x:row r="6" spans="1:8" s="36" customFormat="1" ht="23.25" customHeight="1">
      <x:c r="A6" s="82" t="s">
        <x:v>246</x:v>
      </x:c>
      <x:c r="E6" s="39"/>
      <x:c r="F6" s="83"/>
      <x:c r="H6" s="83"/>
    </x:row>
    <x:row r="7" spans="1:8" ht="15.75">
      <x:c r="A7" s="84" t="s">
        <x:v>247</x:v>
      </x:c>
      <x:c r="B7" s="85"/>
      <x:c r="C7" s="13"/>
      <x:c r="D7" s="13"/>
      <x:c r="E7" s="465"/>
      <x:c r="F7" s="13"/>
      <x:c r="G7" s="13"/>
      <x:c r="H7" s="45"/>
    </x:row>
    <x:row r="8" spans="1:8" ht="15.75">
      <x:c r="E8" s="39"/>
      <x:c r="H8" s="86"/>
    </x:row>
    <x:row r="9" spans="1:8" ht="18" customHeight="1">
      <x:c r="A9" s="16"/>
      <x:c r="B9" s="18" t="s">
        <x:v>248</x:v>
      </x:c>
      <x:c r="E9" s="29"/>
      <x:c r="F9" s="22"/>
      <x:c r="G9" s="22"/>
      <x:c r="H9" s="22"/>
    </x:row>
    <x:row r="10" spans="1:8">
      <x:c r="A10" s="16">
        <x:v>1</x:v>
      </x:c>
      <x:c r="B10" s="16"/>
      <x:c r="C10" s="18" t="s">
        <x:v>1853</x:v>
      </x:c>
      <x:c r="D10" s="87"/>
      <x:c r="F10" s="22" t="s">
        <x:v>249</x:v>
      </x:c>
      <x:c r="H10" s="88">
        <x:v>3574373.8796519549</x:v>
      </x:c>
    </x:row>
    <x:row r="11" spans="1:8">
      <x:c r="A11" s="16" t="s">
        <x:v>1863</x:v>
      </x:c>
      <x:c r="B11" s="16"/>
      <x:c r="C11" s="18" t="s">
        <x:v>1854</x:v>
      </x:c>
      <x:c r="F11" s="22" t="s">
        <x:v>1852</x:v>
      </x:c>
      <x:c r="H11" s="478">
        <x:v>4392052.84</x:v>
      </x:c>
    </x:row>
    <x:row r="12" spans="1:8">
      <x:c r="A12" s="16" t="s">
        <x:v>1864</x:v>
      </x:c>
      <x:c r="B12" s="16"/>
      <x:c r="C12" s="18" t="s">
        <x:v>1855</x:v>
      </x:c>
      <x:c r="F12" s="22" t="s">
        <x:v>1852</x:v>
      </x:c>
      <x:c r="H12" s="478">
        <x:v>648411.09999999963</x:v>
      </x:c>
    </x:row>
    <x:row r="13" spans="1:8">
      <x:c r="A13" s="16" t="s">
        <x:v>1865</x:v>
      </x:c>
      <x:c r="B13" s="16"/>
      <x:c r="C13" s="18" t="s">
        <x:v>1856</x:v>
      </x:c>
      <x:c r="F13" s="22" t="s">
        <x:v>2145</x:v>
      </x:c>
      <x:c r="H13" s="1278">
        <x:f>SUM(H10:H12)</x:f>
        <x:v>8614837.8196519539</x:v>
      </x:c>
    </x:row>
    <x:row r="14" spans="1:8">
      <x:c r="A14" s="16">
        <x:v>2</x:v>
      </x:c>
      <x:c r="B14" s="16"/>
      <x:c r="C14" s="18" t="s">
        <x:v>1857</x:v>
      </x:c>
      <x:c r="D14" s="22"/>
      <x:c r="E14" s="29"/>
      <x:c r="F14" s="22" t="s">
        <x:v>251</x:v>
      </x:c>
      <x:c r="H14" s="88">
        <x:v>35803002.917518973</x:v>
      </x:c>
    </x:row>
    <x:row r="15" spans="1:8">
      <x:c r="A15" s="16" t="s">
        <x:v>1866</x:v>
      </x:c>
      <x:c r="B15" s="16"/>
      <x:c r="C15" s="18" t="s">
        <x:v>1858</x:v>
      </x:c>
      <x:c r="E15" s="29"/>
      <x:c r="F15" s="22" t="s">
        <x:v>1852</x:v>
      </x:c>
      <x:c r="H15" s="479">
        <x:v>14678471.455449998</x:v>
      </x:c>
    </x:row>
    <x:row r="16" spans="1:8">
      <x:c r="A16" s="16" t="s">
        <x:v>1867</x:v>
      </x:c>
      <x:c r="C16" s="18" t="s">
        <x:v>1859</x:v>
      </x:c>
      <x:c r="E16" s="29"/>
      <x:c r="F16" s="22" t="s">
        <x:v>1852</x:v>
      </x:c>
      <x:c r="H16" s="479">
        <x:v>31996690.585641049</x:v>
      </x:c>
    </x:row>
    <x:row r="17" spans="1:8">
      <x:c r="A17" s="16" t="s">
        <x:v>1868</x:v>
      </x:c>
      <x:c r="B17" s="16"/>
      <x:c r="C17" s="18" t="s">
        <x:v>250</x:v>
      </x:c>
      <x:c r="E17" s="29"/>
      <x:c r="F17" s="18" t="s">
        <x:v>2146</x:v>
      </x:c>
      <x:c r="H17" s="1278">
        <x:f>SUM(H14:H16)</x:f>
        <x:v>82478164.958610028</x:v>
      </x:c>
    </x:row>
    <x:row r="18" spans="1:8">
      <x:c r="A18" s="16">
        <x:v>3</x:v>
      </x:c>
      <x:c r="B18" s="16"/>
      <x:c r="C18" s="18" t="s">
        <x:v>1860</x:v>
      </x:c>
      <x:c r="E18" s="29"/>
      <x:c r="F18" s="18" t="s">
        <x:v>252</x:v>
      </x:c>
      <x:c r="H18" s="1018">
        <x:v>2885607.6823839657</x:v>
      </x:c>
    </x:row>
    <x:row r="19" spans="1:8">
      <x:c r="A19" s="16" t="s">
        <x:v>640</x:v>
      </x:c>
      <x:c r="B19" s="16"/>
      <x:c r="C19" s="18" t="s">
        <x:v>1861</x:v>
      </x:c>
      <x:c r="E19" s="29"/>
      <x:c r="F19" s="22" t="s">
        <x:v>1852</x:v>
      </x:c>
      <x:c r="H19" s="478">
        <x:v>8420987.4998349957</x:v>
      </x:c>
    </x:row>
    <x:row r="20" spans="1:8">
      <x:c r="A20" s="16" t="s">
        <x:v>641</x:v>
      </x:c>
      <x:c r="B20" s="16"/>
      <x:c r="C20" s="18" t="s">
        <x:v>1862</x:v>
      </x:c>
      <x:c r="E20" s="29"/>
      <x:c r="F20" s="22" t="s">
        <x:v>1852</x:v>
      </x:c>
      <x:c r="H20" s="478">
        <x:v>12096771.73836899</x:v>
      </x:c>
    </x:row>
    <x:row r="21" spans="1:8">
      <x:c r="A21" s="16"/>
      <x:c r="B21" s="16"/>
      <x:c r="E21" s="29"/>
      <x:c r="F21" s="22"/>
      <x:c r="H21" s="22"/>
    </x:row>
    <x:row r="22" spans="1:8">
      <x:c r="A22" s="16">
        <x:v>4</x:v>
      </x:c>
      <x:c r="B22" s="16"/>
      <x:c r="C22" s="25" t="s">
        <x:v>42</x:v>
      </x:c>
      <x:c r="D22" s="26"/>
      <x:c r="E22" s="89"/>
      <x:c r="F22" s="26" t="s">
        <x:v>2144</x:v>
      </x:c>
      <x:c r="G22" s="25"/>
      <x:c r="H22" s="480">
        <x:f>H17-H18-H19-H20</x:f>
        <x:v>59074798.038022071</x:v>
      </x:c>
    </x:row>
    <x:row r="23" spans="1:8">
      <x:c r="A23" s="16"/>
      <x:c r="B23" s="16"/>
      <x:c r="E23" s="29"/>
      <x:c r="H23" s="22"/>
    </x:row>
    <x:row r="24" spans="1:8" ht="15.75" thickBot="1">
      <x:c r="A24" s="16">
        <x:v>5</x:v>
      </x:c>
      <x:c r="B24" s="41" t="s">
        <x:v>237</x:v>
      </x:c>
      <x:c r="C24" s="41"/>
      <x:c r="D24" s="41"/>
      <x:c r="E24" s="107"/>
      <x:c r="F24" s="90" t="s">
        <x:v>742</x:v>
      </x:c>
      <x:c r="G24" s="41"/>
      <x:c r="H24" s="1047">
        <x:f>+H13/H22</x:f>
        <x:v>0.14582932326077899</x:v>
      </x:c>
    </x:row>
    <x:row r="25" spans="1:8" ht="15.75" thickTop="1">
      <x:c r="A25" s="16"/>
      <x:c r="B25" s="16"/>
      <x:c r="E25" s="29"/>
      <x:c r="H25" s="91"/>
    </x:row>
    <x:row r="26" spans="1:8">
      <x:c r="A26" s="16"/>
      <x:c r="B26" s="18" t="s">
        <x:v>52</x:v>
      </x:c>
    </x:row>
    <x:row r="27" spans="1:8">
      <x:c r="A27" s="16">
        <x:v>6</x:v>
      </x:c>
      <x:c r="C27" s="18" t="s">
        <x:v>141</x:v>
      </x:c>
      <x:c r="E27" s="105" t="str">
        <x:f>"(Note "&amp;B$342&amp;")"</x:f>
        <x:v>(Note B)</x:v>
      </x:c>
      <x:c r="F27" s="18" t="s">
        <x:v>719</x:v>
      </x:c>
      <x:c r="H27" s="166">
        <x:f>'9A - Gross Plant &amp; ARO'!K24</x:f>
        <x:v>6205727797.920989</x:v>
      </x:c>
    </x:row>
    <x:row r="28" spans="1:8">
      <x:c r="A28" s="16" t="s">
        <x:v>740</x:v>
      </x:c>
      <x:c r="B28" s="16"/>
      <x:c r="C28" s="18" t="s">
        <x:v>696</x:v>
      </x:c>
      <x:c r="F28" s="22" t="s">
        <x:v>741</x:v>
      </x:c>
      <x:c r="H28" s="497">
        <x:f>+'10 - Merger Costs'!C98</x:f>
        <x:v>0</x:v>
      </x:c>
    </x:row>
    <x:row r="29" spans="1:8">
      <x:c r="A29" s="16">
        <x:v>7</x:v>
      </x:c>
      <x:c r="C29" s="18" t="s">
        <x:v>253</x:v>
      </x:c>
      <x:c r="E29" s="105"/>
      <x:c r="F29" s="119" t="str">
        <x:f>"(Line "&amp;A$62&amp;" - "&amp;A$63&amp;")"</x:f>
        <x:v>(Line 24 - 24a)</x:v>
      </x:c>
      <x:c r="H29" s="497">
        <x:f>H62-H63</x:f>
        <x:v>219157283.20384076</x:v>
      </x:c>
    </x:row>
    <x:row r="30" spans="1:8">
      <x:c r="A30" s="16">
        <x:v>8</x:v>
      </x:c>
      <x:c r="C30" s="25" t="s">
        <x:v>254</x:v>
      </x:c>
      <x:c r="D30" s="25"/>
      <x:c r="E30" s="92"/>
      <x:c r="F30" s="26" t="str">
        <x:f>"(Line "&amp;A27&amp;" - "&amp;A28&amp;" +"&amp;A29&amp;")"</x:f>
        <x:v>(Line 6 - 6a +7)</x:v>
      </x:c>
      <x:c r="G30" s="25"/>
      <x:c r="H30" s="480">
        <x:f>+H27-H28+H29</x:f>
        <x:v>6424885081.1248302</x:v>
      </x:c>
    </x:row>
    <x:row r="31" spans="1:8">
      <x:c r="A31" s="16"/>
      <x:c r="H31" s="22"/>
    </x:row>
    <x:row r="32" spans="1:8">
      <x:c r="A32" s="16">
        <x:f>+A30+1</x:f>
        <x:v>9</x:v>
      </x:c>
      <x:c r="C32" s="18" t="s">
        <x:v>142</x:v>
      </x:c>
      <x:c r="F32" s="18" t="s">
        <x:v>787</x:v>
      </x:c>
      <x:c r="H32" s="166">
        <x:f>+'9A - Gross Plant &amp; ARO'!C64</x:f>
        <x:v>1673868039.0718596</x:v>
      </x:c>
    </x:row>
    <x:row r="33" spans="1:8">
      <x:c r="A33" s="16" t="s">
        <x:v>782</x:v>
      </x:c>
      <x:c r="C33" s="18" t="s">
        <x:v>696</x:v>
      </x:c>
      <x:c r="F33" s="22" t="s">
        <x:v>785</x:v>
      </x:c>
      <x:c r="H33" s="497">
        <x:f>+'10 - Merger Costs'!C51</x:f>
        <x:v>0</x:v>
      </x:c>
    </x:row>
    <x:row r="34" spans="1:8">
      <x:c r="A34" s="16">
        <x:f>+A32+1</x:f>
        <x:v>10</x:v>
      </x:c>
      <x:c r="C34" s="18" t="s">
        <x:v>143</x:v>
      </x:c>
      <x:c r="E34" s="105" t="str">
        <x:f>"(Note "&amp;B$341&amp;")"</x:f>
        <x:v>(Note A)</x:v>
      </x:c>
      <x:c r="F34" s="22" t="s">
        <x:v>788</x:v>
      </x:c>
      <x:c r="H34" s="497">
        <x:f>+'9 - Rate Base'!I24</x:f>
        <x:v>11080140.908908181</x:v>
      </x:c>
    </x:row>
    <x:row r="35" spans="1:8">
      <x:c r="A35" s="16" t="s">
        <x:v>783</x:v>
      </x:c>
      <x:c r="C35" s="18" t="s">
        <x:v>696</x:v>
      </x:c>
      <x:c r="F35" s="22" t="s">
        <x:v>812</x:v>
      </x:c>
      <x:c r="H35" s="497">
        <x:f>+'9 - Rate Base'!I25</x:f>
        <x:v>0</x:v>
      </x:c>
    </x:row>
    <x:row r="36" spans="1:8">
      <x:c r="A36" s="16">
        <x:f>+A34+1</x:f>
        <x:v>11</x:v>
      </x:c>
      <x:c r="C36" s="18" t="s">
        <x:v>255</x:v>
      </x:c>
      <x:c r="E36" s="105" t="str">
        <x:f>"(Note "&amp;B$341&amp;")"</x:f>
        <x:v>(Note A)</x:v>
      </x:c>
      <x:c r="F36" s="22" t="s">
        <x:v>789</x:v>
      </x:c>
      <x:c r="H36" s="484">
        <x:f>+'9 - Rate Base'!J24</x:f>
        <x:v>53236456.928761087</x:v>
      </x:c>
    </x:row>
    <x:row r="37" spans="1:8">
      <x:c r="A37" s="16" t="s">
        <x:v>792</x:v>
      </x:c>
      <x:c r="C37" s="18" t="s">
        <x:v>696</x:v>
      </x:c>
      <x:c r="F37" s="22" t="s">
        <x:v>790</x:v>
      </x:c>
      <x:c r="H37" s="484">
        <x:f>+'9 - Rate Base'!J25</x:f>
        <x:v>0</x:v>
      </x:c>
    </x:row>
    <x:row r="38" spans="1:8">
      <x:c r="A38" s="16">
        <x:f>+A36+1</x:f>
        <x:v>12</x:v>
      </x:c>
      <x:c r="C38" s="18" t="s">
        <x:v>257</x:v>
      </x:c>
      <x:c r="E38" s="105" t="str">
        <x:f>"(Note "&amp;B$341&amp;")"</x:f>
        <x:v>(Note A)</x:v>
      </x:c>
      <x:c r="F38" s="22" t="s">
        <x:v>791</x:v>
      </x:c>
      <x:c r="H38" s="484">
        <x:f>+'9 - Rate Base'!H24</x:f>
        <x:v>69810128.97733584</x:v>
      </x:c>
    </x:row>
    <x:row r="39" spans="1:8">
      <x:c r="A39" s="16" t="s">
        <x:v>793</x:v>
      </x:c>
      <x:c r="C39" s="18" t="s">
        <x:v>696</x:v>
      </x:c>
      <x:c r="F39" s="22" t="s">
        <x:v>811</x:v>
      </x:c>
      <x:c r="H39" s="484">
        <x:f>+'9 - Rate Base'!H25</x:f>
        <x:v>0</x:v>
      </x:c>
    </x:row>
    <x:row r="40" spans="1:8">
      <x:c r="A40" s="16">
        <x:v>13</x:v>
      </x:c>
      <x:c r="C40" s="25" t="s">
        <x:v>258</x:v>
      </x:c>
      <x:c r="D40" s="25"/>
      <x:c r="E40" s="92"/>
      <x:c r="F40" s="26" t="str">
        <x:f>"(Line "&amp;A32&amp;" - "&amp;A33&amp;" + "&amp;A34&amp;" - "&amp;A35&amp;" + "&amp;A36&amp;" - "&amp;A37&amp;" + "&amp;A38&amp;" - "&amp;A39&amp;")"</x:f>
        <x:v>(Line 9 - 9a + 10 - 10a + 11 - 11a + 12 - 12a)</x:v>
      </x:c>
      <x:c r="G40" s="25"/>
      <x:c r="H40" s="480">
        <x:f>H32-H33+H34-H35+H36-H37+H38-H39</x:f>
        <x:v>1807994765.8868647</x:v>
      </x:c>
    </x:row>
    <x:row r="41" spans="1:8" ht="17.25" customHeight="1">
      <x:c r="A41" s="16"/>
      <x:c r="F41" s="22"/>
      <x:c r="H41" s="163"/>
    </x:row>
    <x:row r="42" spans="1:8">
      <x:c r="A42" s="16">
        <x:v>14</x:v>
      </x:c>
      <x:c r="C42" s="25" t="s">
        <x:v>259</x:v>
      </x:c>
      <x:c r="D42" s="25"/>
      <x:c r="E42" s="92"/>
      <x:c r="F42" s="26" t="s">
        <x:v>744</x:v>
      </x:c>
      <x:c r="G42" s="25"/>
      <x:c r="H42" s="481">
        <x:f>+H30-H40</x:f>
        <x:v>4616890315.2379656</x:v>
      </x:c>
    </x:row>
    <x:row r="43" spans="1:8">
      <x:c r="A43" s="16"/>
    </x:row>
    <x:row r="44" spans="1:8">
      <x:c r="A44" s="16">
        <x:v>15</x:v>
      </x:c>
      <x:c r="C44" s="18" t="s">
        <x:v>260</x:v>
      </x:c>
      <x:c r="F44" s="119" t="s">
        <x:v>745</x:v>
      </x:c>
      <x:c r="H44" s="497">
        <x:f>+H70-H68</x:f>
        <x:v>2357356167.7527008</x:v>
      </x:c>
    </x:row>
    <x:row r="45" spans="1:8" ht="15.75" thickBot="1">
      <x:c r="A45" s="16">
        <x:v>16</x:v>
      </x:c>
      <x:c r="B45" s="41" t="s">
        <x:v>215</x:v>
      </x:c>
      <x:c r="C45" s="41"/>
      <x:c r="D45" s="41"/>
      <x:c r="E45" s="93"/>
      <x:c r="F45" s="90" t="s">
        <x:v>746</x:v>
      </x:c>
      <x:c r="G45" s="41"/>
      <x:c r="H45" s="1048">
        <x:f>+H44/(H30)</x:f>
        <x:v>0.36691024632926028</x:v>
      </x:c>
    </x:row>
    <x:row r="46" spans="1:8" ht="15.75" thickTop="1">
      <x:c r="A46" s="16"/>
    </x:row>
    <x:row r="47" spans="1:8">
      <x:c r="A47" s="16">
        <x:v>17</x:v>
      </x:c>
      <x:c r="B47" s="16"/>
      <x:c r="C47" s="18" t="s">
        <x:v>261</x:v>
      </x:c>
      <x:c r="E47" s="29"/>
      <x:c r="F47" s="119" t="s">
        <x:v>747</x:v>
      </x:c>
      <x:c r="H47" s="497">
        <x:f>+H89-H68</x:f>
        <x:v>1713817389.9333677</x:v>
      </x:c>
    </x:row>
    <x:row r="48" spans="1:8" ht="15.75" thickBot="1">
      <x:c r="A48" s="16">
        <x:v>18</x:v>
      </x:c>
      <x:c r="B48" s="41" t="s">
        <x:v>262</x:v>
      </x:c>
      <x:c r="C48" s="41"/>
      <x:c r="D48" s="41"/>
      <x:c r="E48" s="93"/>
      <x:c r="F48" s="90" t="s">
        <x:v>748</x:v>
      </x:c>
      <x:c r="G48" s="41"/>
      <x:c r="H48" s="1049">
        <x:f>+H47/H42</x:f>
        <x:v>0.37120600077436178</x:v>
      </x:c>
    </x:row>
    <x:row r="49" spans="1:8" ht="15.75" thickTop="1">
      <x:c r="A49" s="16"/>
      <x:c r="F49" s="22"/>
      <x:c r="H49" s="165"/>
    </x:row>
    <x:row r="50" spans="1:8">
      <x:c r="B50" s="16"/>
      <x:c r="E50" s="29"/>
      <x:c r="H50" s="91"/>
    </x:row>
    <x:row r="51" spans="1:8">
      <x:c r="A51" s="94" t="s">
        <x:v>263</x:v>
      </x:c>
      <x:c r="B51" s="95"/>
      <x:c r="C51" s="13"/>
      <x:c r="D51" s="13"/>
      <x:c r="E51" s="124"/>
      <x:c r="F51" s="13"/>
      <x:c r="G51" s="13"/>
      <x:c r="H51" s="45"/>
    </x:row>
    <x:row r="52" spans="1:8">
      <x:c r="A52" s="96"/>
      <x:c r="B52" s="97"/>
      <x:c r="H52" s="86"/>
    </x:row>
    <x:row r="53" spans="1:8">
      <x:c r="A53" s="16"/>
      <x:c r="B53" s="18" t="s">
        <x:v>53</x:v>
      </x:c>
      <x:c r="E53" s="29"/>
      <x:c r="F53" s="22"/>
      <x:c r="G53" s="16"/>
      <x:c r="H53" s="22"/>
    </x:row>
    <x:row r="54" spans="1:8">
      <x:c r="A54" s="16">
        <x:v>19</x:v>
      </x:c>
      <x:c r="B54" s="16"/>
      <x:c r="C54" s="18" t="s">
        <x:v>264</x:v>
      </x:c>
      <x:c r="E54" s="105" t="str">
        <x:f>"(Note "&amp;B$342&amp;")"</x:f>
        <x:v>(Note B)</x:v>
      </x:c>
      <x:c r="F54" s="22" t="s">
        <x:v>806</x:v>
      </x:c>
      <x:c r="H54" s="166">
        <x:f>+'9 - Rate Base'!C24</x:f>
        <x:v>2267367283.2436771</x:v>
      </x:c>
    </x:row>
    <x:row r="55" spans="1:8">
      <x:c r="A55" s="16" t="s">
        <x:v>794</x:v>
      </x:c>
      <x:c r="C55" s="18" t="s">
        <x:v>696</x:v>
      </x:c>
      <x:c r="F55" s="22" t="s">
        <x:v>795</x:v>
      </x:c>
      <x:c r="H55" s="484">
        <x:f>+'9 - Rate Base'!C25</x:f>
        <x:v>0</x:v>
      </x:c>
    </x:row>
    <x:row r="56" spans="1:8">
      <x:c r="A56" s="16">
        <x:v>20</x:v>
      </x:c>
      <x:c r="B56" s="16"/>
      <x:c r="C56" s="18" t="s">
        <x:v>733</x:v>
      </x:c>
      <x:c r="E56" s="29"/>
      <x:c r="F56" s="15"/>
      <x:c r="H56" s="482">
        <x:v>0</x:v>
      </x:c>
    </x:row>
    <x:row r="57" spans="1:8">
      <x:c r="A57" s="16">
        <x:v>21</x:v>
      </x:c>
      <x:c r="B57" s="16"/>
      <x:c r="C57" s="104" t="s">
        <x:v>733</x:v>
      </x:c>
      <x:c r="D57" s="104"/>
      <x:c r="E57" s="53"/>
      <x:c r="F57" s="52"/>
      <x:c r="G57" s="104"/>
      <x:c r="H57" s="483">
        <x:v>0</x:v>
      </x:c>
    </x:row>
    <x:row r="58" spans="1:8">
      <x:c r="A58" s="16">
        <x:v>22</x:v>
      </x:c>
      <x:c r="B58" s="16"/>
      <x:c r="C58" s="18" t="s">
        <x:v>266</x:v>
      </x:c>
      <x:c r="E58" s="105"/>
      <x:c r="F58" s="26" t="str">
        <x:f>"(Line "&amp;A54&amp;" - "&amp;A55&amp;")"</x:f>
        <x:v>(Line 19 - 19a)</x:v>
      </x:c>
      <x:c r="H58" s="484">
        <x:f>H54-H55+H56+H57</x:f>
        <x:v>2267367283.2436771</x:v>
      </x:c>
    </x:row>
    <x:row r="59" spans="1:8">
      <x:c r="A59" s="16"/>
      <x:c r="B59" s="16"/>
      <x:c r="F59" s="22"/>
      <x:c r="H59" s="484"/>
    </x:row>
    <x:row r="60" spans="1:8">
      <x:c r="A60" s="16">
        <x:v>23</x:v>
      </x:c>
      <x:c r="B60" s="16"/>
      <x:c r="C60" s="18" t="s">
        <x:v>144</x:v>
      </x:c>
      <x:c r="F60" s="22" t="s">
        <x:v>807</x:v>
      </x:c>
      <x:c r="H60" s="484">
        <x:f>+'9 - Rate Base'!D24</x:f>
        <x:v>397926321.77251345</x:v>
      </x:c>
    </x:row>
    <x:row r="61" spans="1:8">
      <x:c r="A61" s="16" t="s">
        <x:v>796</x:v>
      </x:c>
      <x:c r="B61" s="16"/>
      <x:c r="C61" s="18" t="s">
        <x:v>696</x:v>
      </x:c>
      <x:c r="F61" s="22" t="s">
        <x:v>797</x:v>
      </x:c>
      <x:c r="H61" s="484">
        <x:f>+'9 - Rate Base'!D25</x:f>
        <x:v>0</x:v>
      </x:c>
    </x:row>
    <x:row r="62" spans="1:8">
      <x:c r="A62" s="16">
        <x:v>24</x:v>
      </x:c>
      <x:c r="B62" s="16"/>
      <x:c r="C62" s="18" t="s">
        <x:v>267</x:v>
      </x:c>
      <x:c r="E62" s="105" t="str">
        <x:f>"(Notes "&amp;B$341&amp;" &amp; "&amp;B$342&amp;")"</x:f>
        <x:v>(Notes A &amp; B)</x:v>
      </x:c>
      <x:c r="F62" s="22" t="s">
        <x:v>808</x:v>
      </x:c>
      <x:c r="H62" s="482">
        <x:f>+'9 - Rate Base'!E24</x:f>
        <x:v>219157283.20384076</x:v>
      </x:c>
    </x:row>
    <x:row r="63" spans="1:8">
      <x:c r="A63" s="16" t="s">
        <x:v>798</x:v>
      </x:c>
      <x:c r="B63" s="16"/>
      <x:c r="C63" s="18" t="s">
        <x:v>696</x:v>
      </x:c>
      <x:c r="F63" s="119" t="s">
        <x:v>799</x:v>
      </x:c>
      <x:c r="H63" s="484">
        <x:f>+'9 - Rate Base'!E25</x:f>
        <x:v>0</x:v>
      </x:c>
    </x:row>
    <x:row r="64" spans="1:8">
      <x:c r="A64" s="16">
        <x:v>25</x:v>
      </x:c>
      <x:c r="B64" s="16"/>
      <x:c r="C64" s="25" t="s">
        <x:v>268</x:v>
      </x:c>
      <x:c r="D64" s="25"/>
      <x:c r="E64" s="92"/>
      <x:c r="F64" s="26" t="str">
        <x:f>"(Line "&amp;A60&amp;" - "&amp;A61&amp;" + "&amp;A62&amp;" - "&amp;A63&amp;")"</x:f>
        <x:v>(Line 23 - 23a + 24 - 24a)</x:v>
      </x:c>
      <x:c r="G64" s="25"/>
      <x:c r="H64" s="481">
        <x:f>H60-H61+H62-H63</x:f>
        <x:v>617083604.97635424</x:v>
      </x:c>
    </x:row>
    <x:row r="65" spans="1:8">
      <x:c r="A65" s="16">
        <x:v>26</x:v>
      </x:c>
      <x:c r="B65" s="16"/>
      <x:c r="C65" s="425" t="s">
        <x:v>269</x:v>
      </x:c>
      <x:c r="E65" s="29"/>
      <x:c r="F65" s="119" t="str">
        <x:f>"(Line "&amp;A$24&amp;")"</x:f>
        <x:v>(Line 5)</x:v>
      </x:c>
      <x:c r="G65" s="33"/>
      <x:c r="H65" s="117">
        <x:f>+H24</x:f>
        <x:v>0.14582932326077899</x:v>
      </x:c>
    </x:row>
    <x:row r="66" spans="1:8">
      <x:c r="A66" s="16">
        <x:v>27</x:v>
      </x:c>
      <x:c r="C66" s="25" t="s">
        <x:v>270</x:v>
      </x:c>
      <x:c r="D66" s="25"/>
      <x:c r="E66" s="89"/>
      <x:c r="F66" s="22" t="str">
        <x:f>"(Line "&amp;A64&amp;" * "&amp;A65&amp;")"</x:f>
        <x:v>(Line 25 * 26)</x:v>
      </x:c>
      <x:c r="G66" s="25"/>
      <x:c r="H66" s="481">
        <x:f>+H65*H64</x:f>
        <x:v>89988884.509023607</x:v>
      </x:c>
    </x:row>
    <x:row r="67" spans="1:8">
      <x:c r="A67" s="16"/>
      <x:c r="E67" s="53"/>
      <x:c r="H67" s="486"/>
    </x:row>
    <x:row r="68" spans="1:8">
      <x:c r="A68" s="16">
        <x:v>28</x:v>
      </x:c>
      <x:c r="B68" s="16"/>
      <x:c r="C68" s="25" t="s">
        <x:v>271</x:v>
      </x:c>
      <x:c r="D68" s="98"/>
      <x:c r="E68" s="105" t="str">
        <x:f>"(Note "&amp;B$347&amp;")"</x:f>
        <x:v>(Note C)</x:v>
      </x:c>
      <x:c r="F68" s="26" t="s">
        <x:v>720</x:v>
      </x:c>
      <x:c r="G68" s="25"/>
      <x:c r="H68" s="480">
        <x:f>+'9 - Rate Base'!D47</x:f>
        <x:v>5435572</x:v>
      </x:c>
    </x:row>
    <x:row r="69" spans="1:8">
      <x:c r="A69" s="16"/>
      <x:c r="H69" s="486"/>
    </x:row>
    <x:row r="70" spans="1:8" s="36" customFormat="1" ht="16.5" thickBot="1">
      <x:c r="A70" s="16">
        <x:v>29</x:v>
      </x:c>
      <x:c r="B70" s="41" t="s">
        <x:v>272</x:v>
      </x:c>
      <x:c r="C70" s="41"/>
      <x:c r="D70" s="41"/>
      <x:c r="E70" s="93"/>
      <x:c r="F70" s="90" t="str">
        <x:f>"(Line "&amp;A58&amp;" + "&amp;A66&amp;" + "&amp;A68&amp;")"</x:f>
        <x:v>(Line 22 + 27 + 28)</x:v>
      </x:c>
      <x:c r="G70" s="41"/>
      <x:c r="H70" s="487">
        <x:f>SUM(H58,H66,H68)</x:f>
        <x:v>2362791739.7527008</x:v>
      </x:c>
    </x:row>
    <x:row r="71" spans="1:8" ht="15.75" thickTop="1">
      <x:c r="A71" s="16"/>
      <x:c r="H71" s="163"/>
    </x:row>
    <x:row r="72" spans="1:8">
      <x:c r="A72" s="16"/>
      <x:c r="B72" s="18" t="s">
        <x:v>70</x:v>
      </x:c>
      <x:c r="D72" s="22"/>
      <x:c r="E72" s="29"/>
      <x:c r="F72" s="22"/>
      <x:c r="G72" s="49"/>
      <x:c r="H72" s="488"/>
    </x:row>
    <x:row r="73" spans="1:8">
      <x:c r="A73" s="16"/>
      <x:c r="F73" s="22"/>
      <x:c r="G73" s="22"/>
      <x:c r="H73" s="488"/>
    </x:row>
    <x:row r="74" spans="1:8">
      <x:c r="A74" s="16">
        <x:v>30</x:v>
      </x:c>
      <x:c r="B74" s="16"/>
      <x:c r="C74" s="18" t="s">
        <x:v>273</x:v>
      </x:c>
      <x:c r="E74" s="105" t="str">
        <x:f>"(Note "&amp;B$342&amp;")"</x:f>
        <x:v>(Note B)</x:v>
      </x:c>
      <x:c r="F74" s="22" t="s">
        <x:v>803</x:v>
      </x:c>
      <x:c r="H74" s="484">
        <x:f>+'9 - Rate Base'!F24</x:f>
        <x:v>599939517.0497489</x:v>
      </x:c>
    </x:row>
    <x:row r="75" spans="1:8">
      <x:c r="A75" s="16" t="s">
        <x:v>800</x:v>
      </x:c>
      <x:c r="C75" s="104" t="s">
        <x:v>696</x:v>
      </x:c>
      <x:c r="D75" s="104"/>
      <x:c r="E75" s="53"/>
      <x:c r="F75" s="119" t="s">
        <x:v>804</x:v>
      </x:c>
      <x:c r="G75" s="104"/>
      <x:c r="H75" s="483">
        <x:f>+'9 - Rate Base'!F25</x:f>
        <x:v>0</x:v>
      </x:c>
    </x:row>
    <x:row r="76" spans="1:8">
      <x:c r="A76" s="16" t="s">
        <x:v>801</x:v>
      </x:c>
      <x:c r="C76" s="18" t="s">
        <x:v>802</x:v>
      </x:c>
      <x:c r="F76" s="22" t="str">
        <x:f>"(Line "&amp;A74&amp;" - "&amp;A75&amp;")"</x:f>
        <x:v>(Line 30 - 30a)</x:v>
      </x:c>
      <x:c r="H76" s="484">
        <x:f>+H74-H75</x:f>
        <x:v>599939517.0497489</x:v>
      </x:c>
    </x:row>
    <x:row r="77" spans="1:8">
      <x:c r="A77" s="16"/>
      <x:c r="B77" s="16"/>
      <x:c r="F77" s="22"/>
      <x:c r="H77" s="484"/>
    </x:row>
    <x:row r="78" spans="1:8">
      <x:c r="A78" s="16">
        <x:v>31</x:v>
      </x:c>
      <x:c r="B78" s="16"/>
      <x:c r="C78" s="18" t="s">
        <x:v>148</x:v>
      </x:c>
      <x:c r="F78" s="22" t="s">
        <x:v>809</x:v>
      </x:c>
      <x:c r="H78" s="484">
        <x:f>+'9 - Rate Base'!G24</x:f>
        <x:v>164847853.84335759</x:v>
      </x:c>
    </x:row>
    <x:row r="79" spans="1:8">
      <x:c r="A79" s="16" t="s">
        <x:v>805</x:v>
      </x:c>
      <x:c r="B79" s="16"/>
      <x:c r="C79" s="18" t="s">
        <x:v>696</x:v>
      </x:c>
      <x:c r="F79" s="22" t="s">
        <x:v>810</x:v>
      </x:c>
      <x:c r="H79" s="484">
        <x:f>+'9 - Rate Base'!G25</x:f>
        <x:v>0</x:v>
      </x:c>
    </x:row>
    <x:row r="80" spans="1:8">
      <x:c r="A80" s="16">
        <x:v>32</x:v>
      </x:c>
      <x:c r="B80" s="16"/>
      <x:c r="C80" s="18" t="s">
        <x:v>143</x:v>
      </x:c>
      <x:c r="F80" s="22" t="str">
        <x:f>"(Line "&amp;A$34&amp;" - "&amp;A$35&amp;")"</x:f>
        <x:v>(Line 10 - 10a)</x:v>
      </x:c>
      <x:c r="H80" s="484">
        <x:f>+H34-H35</x:f>
        <x:v>11080140.908908181</x:v>
      </x:c>
    </x:row>
    <x:row r="81" spans="1:8">
      <x:c r="A81" s="16">
        <x:v>33</x:v>
      </x:c>
      <x:c r="B81" s="16"/>
      <x:c r="C81" s="18" t="s">
        <x:v>255</x:v>
      </x:c>
      <x:c r="E81" s="105"/>
      <x:c r="F81" s="22" t="str">
        <x:f>"(Line "&amp;A$36&amp;" - "&amp;A$37&amp;")"</x:f>
        <x:v>(Line 11 - 11a)</x:v>
      </x:c>
      <x:c r="H81" s="484">
        <x:f>+H36-H37</x:f>
        <x:v>53236456.928761087</x:v>
      </x:c>
    </x:row>
    <x:row r="82" spans="1:8">
      <x:c r="A82" s="16">
        <x:v>34</x:v>
      </x:c>
      <x:c r="B82" s="16"/>
      <x:c r="C82" s="104" t="s">
        <x:v>274</x:v>
      </x:c>
      <x:c r="D82" s="104"/>
      <x:c r="E82" s="99"/>
      <x:c r="F82" s="119" t="str">
        <x:f>"(Line "&amp;A$38&amp;" - "&amp;A$39&amp;")"</x:f>
        <x:v>(Line 12 - 12a)</x:v>
      </x:c>
      <x:c r="G82" s="104"/>
      <x:c r="H82" s="483">
        <x:f>+H38-H39</x:f>
        <x:v>69810128.97733584</x:v>
      </x:c>
    </x:row>
    <x:row r="83" spans="1:8">
      <x:c r="A83" s="16">
        <x:v>35</x:v>
      </x:c>
      <x:c r="B83" s="16"/>
      <x:c r="C83" s="18" t="s">
        <x:v>258</x:v>
      </x:c>
      <x:c r="E83" s="29"/>
      <x:c r="F83" s="26" t="str">
        <x:f>"(Line "&amp;A78&amp;" - "&amp;A79&amp;" + "&amp;A80&amp;" + "&amp;A81&amp;" + "&amp;A82&amp;")"</x:f>
        <x:v>(Line 31 - 31a + 32 + 33 + 34)</x:v>
      </x:c>
      <x:c r="G83" s="22"/>
      <x:c r="H83" s="484">
        <x:f>H78-H79+H80+H81+H82</x:f>
        <x:v>298974580.65836275</x:v>
      </x:c>
    </x:row>
    <x:row r="84" spans="1:8">
      <x:c r="A84" s="16">
        <x:v>36</x:v>
      </x:c>
      <x:c r="B84" s="16"/>
      <x:c r="C84" s="425" t="s">
        <x:v>269</x:v>
      </x:c>
      <x:c r="E84" s="29"/>
      <x:c r="F84" s="119" t="str">
        <x:f>"(Line "&amp;A$24&amp;")"</x:f>
        <x:v>(Line 5)</x:v>
      </x:c>
      <x:c r="G84" s="22"/>
      <x:c r="H84" s="490">
        <x:f>+H24</x:f>
        <x:v>0.14582932326077899</x:v>
      </x:c>
    </x:row>
    <x:row r="85" spans="1:8">
      <x:c r="A85" s="16">
        <x:v>37</x:v>
      </x:c>
      <x:c r="C85" s="25" t="s">
        <x:v>275</x:v>
      </x:c>
      <x:c r="D85" s="25"/>
      <x:c r="E85" s="92"/>
      <x:c r="F85" s="22" t="str">
        <x:f>"(Line "&amp;A83&amp;" * "&amp;A84&amp;")"</x:f>
        <x:v>(Line 35 * 36)</x:v>
      </x:c>
      <x:c r="G85" s="25"/>
      <x:c r="H85" s="480">
        <x:f>+H84*H83</x:f>
        <x:v>43599260.769584224</x:v>
      </x:c>
    </x:row>
    <x:row r="86" spans="1:8">
      <x:c r="A86" s="16"/>
    </x:row>
    <x:row r="87" spans="1:8" ht="15.75" thickBot="1">
      <x:c r="A87" s="16">
        <x:v>38</x:v>
      </x:c>
      <x:c r="B87" s="41" t="s">
        <x:v>276</x:v>
      </x:c>
      <x:c r="C87" s="41"/>
      <x:c r="D87" s="41"/>
      <x:c r="E87" s="93"/>
      <x:c r="F87" s="90" t="str">
        <x:f>"(Line "&amp;A76&amp;" + "&amp;A85&amp;")"</x:f>
        <x:v>(Line 30b + 37)</x:v>
      </x:c>
      <x:c r="G87" s="41"/>
      <x:c r="H87" s="1330">
        <x:f>+H85+H76</x:f>
        <x:v>643538777.81933308</x:v>
      </x:c>
    </x:row>
    <x:row r="88" spans="1:8" ht="15.75" thickTop="1">
      <x:c r="A88" s="16"/>
    </x:row>
    <x:row r="89" spans="1:8" ht="15.75" thickBot="1">
      <x:c r="A89" s="16">
        <x:v>39</x:v>
      </x:c>
      <x:c r="B89" s="41" t="s">
        <x:v>277</x:v>
      </x:c>
      <x:c r="C89" s="41"/>
      <x:c r="D89" s="41"/>
      <x:c r="E89" s="93"/>
      <x:c r="F89" s="90" t="str">
        <x:f>"(Line "&amp;A70&amp;" - "&amp;A87&amp;")"</x:f>
        <x:v>(Line 29 - 38)</x:v>
      </x:c>
      <x:c r="G89" s="41"/>
      <x:c r="H89" s="1330">
        <x:f>+H70-H87</x:f>
        <x:v>1719252961.9333677</x:v>
      </x:c>
    </x:row>
    <x:row r="90" spans="1:8" ht="15.75" thickTop="1">
      <x:c r="A90" s="16"/>
    </x:row>
    <x:row r="91" spans="1:8">
      <x:c r="A91" s="94" t="s">
        <x:v>278</x:v>
      </x:c>
      <x:c r="B91" s="13"/>
      <x:c r="C91" s="13"/>
      <x:c r="D91" s="13"/>
      <x:c r="E91" s="124"/>
      <x:c r="F91" s="13"/>
      <x:c r="G91" s="13"/>
      <x:c r="H91" s="13"/>
    </x:row>
    <x:row r="92" spans="1:8">
      <x:c r="A92" s="100"/>
      <x:c r="B92" s="101"/>
      <x:c r="C92" s="101"/>
      <x:c r="D92" s="101"/>
    </x:row>
    <x:row r="93" spans="1:8">
      <x:c r="A93" s="16"/>
      <x:c r="B93" s="15" t="s">
        <x:v>819</x:v>
      </x:c>
      <x:c r="C93" s="156"/>
      <x:c r="E93" s="33"/>
      <x:c r="G93" s="156"/>
      <x:c r="H93" s="22"/>
    </x:row>
    <x:row r="94" spans="1:8">
      <x:c r="A94" s="16" t="s">
        <x:v>820</x:v>
      </x:c>
      <x:c r="B94" s="15"/>
      <x:c r="C94" s="18" t="s">
        <x:v>821</x:v>
      </x:c>
      <x:c r="D94" s="18" t="str">
        <x:f>'1A - ADIT Summary'!D187</x:f>
        <x:v>Projected Activity</x:v>
      </x:c>
      <x:c r="E94" s="105" t="str">
        <x:f>"(Note "&amp;B371&amp;")"</x:f>
        <x:v>(Note V)</x:v>
      </x:c>
      <x:c r="F94" s="22" t="str">
        <x:f>"Attachment 1A - ADIT Summary, Line "&amp;'1A - ADIT Summary'!B40&amp;""</x:f>
        <x:v>Attachment 1A - ADIT Summary, Line 24</x:v>
      </x:c>
      <x:c r="G94" s="156"/>
      <x:c r="H94" s="907">
        <x:f>IF('1A - ADIT Summary'!$D$187="True-Up Adjustment", '1A - ADIT Summary'!R40,'1A - ADIT Summary'!L40)</x:f>
        <x:v>46939810.731738091</x:v>
      </x:c>
    </x:row>
    <x:row r="95" spans="1:8">
      <x:c r="A95" s="16" t="s">
        <x:v>822</x:v>
      </x:c>
      <x:c r="B95" s="15"/>
      <x:c r="C95" s="18" t="s">
        <x:v>823</x:v>
      </x:c>
      <x:c r="D95" s="18" t="str">
        <x:f>D94</x:f>
        <x:v>Projected Activity</x:v>
      </x:c>
      <x:c r="E95" s="105" t="str">
        <x:f>"(Note "&amp;B371&amp;")"</x:f>
        <x:v>(Note V)</x:v>
      </x:c>
      <x:c r="F95" s="22" t="str">
        <x:f>"Attachment 1A - ADIT Summary, Line "&amp;'1A - ADIT Summary'!B75&amp;""</x:f>
        <x:v>Attachment 1A - ADIT Summary, Line 48</x:v>
      </x:c>
      <x:c r="G95" s="156"/>
      <x:c r="H95" s="907">
        <x:f>IF('1A - ADIT Summary'!$D$187="True-Up Adjustment", '1A - ADIT Summary'!R75,'1A - ADIT Summary'!L75)</x:f>
        <x:v>0</x:v>
      </x:c>
    </x:row>
    <x:row r="96" spans="1:8">
      <x:c r="A96" s="16" t="s">
        <x:v>824</x:v>
      </x:c>
      <x:c r="B96" s="15"/>
      <x:c r="C96" s="18" t="s">
        <x:v>1075</x:v>
      </x:c>
      <x:c r="D96" s="18" t="str">
        <x:f>D95</x:f>
        <x:v>Projected Activity</x:v>
      </x:c>
      <x:c r="E96" s="105" t="str">
        <x:f>"(Note "&amp;B371&amp;")"</x:f>
        <x:v>(Note V)</x:v>
      </x:c>
      <x:c r="F96" s="22" t="str">
        <x:f>"Attachment 1A - ADIT Summary, Line "&amp;'1A - ADIT Summary'!B110&amp;""</x:f>
        <x:v>Attachment 1A - ADIT Summary, Line 72</x:v>
      </x:c>
      <x:c r="G96" s="156"/>
      <x:c r="H96" s="907">
        <x:f>IF('1A - ADIT Summary'!$D$187="True-Up Adjustment", '1A - ADIT Summary'!R110,'1A - ADIT Summary'!L110)</x:f>
        <x:v>-331947401.54644251</x:v>
      </x:c>
    </x:row>
    <x:row r="97" spans="1:8">
      <x:c r="A97" s="16" t="s">
        <x:v>825</x:v>
      </x:c>
      <x:c r="B97" s="15"/>
      <x:c r="C97" s="18" t="s">
        <x:v>826</x:v>
      </x:c>
      <x:c r="D97" s="18" t="str">
        <x:f>D96</x:f>
        <x:v>Projected Activity</x:v>
      </x:c>
      <x:c r="E97" s="105" t="str">
        <x:f>"(Note "&amp;B371&amp;")"</x:f>
        <x:v>(Note V)</x:v>
      </x:c>
      <x:c r="F97" s="22" t="str">
        <x:f>"Attachment 1A - ADIT Summary, Line "&amp;'1A - ADIT Summary'!B145&amp;""</x:f>
        <x:v>Attachment 1A - ADIT Summary, Line 96</x:v>
      </x:c>
      <x:c r="G97" s="156"/>
      <x:c r="H97" s="907">
        <x:f>IF('1A - ADIT Summary'!$D$187="True-Up Adjustment", '1A - ADIT Summary'!R145,'1A - ADIT Summary'!L145)</x:f>
        <x:v>-6845779.6876341756</x:v>
      </x:c>
    </x:row>
    <x:row r="98" spans="1:8">
      <x:c r="A98" s="16" t="s">
        <x:v>1076</x:v>
      </x:c>
      <x:c r="C98" s="18" t="s">
        <x:v>827</x:v>
      </x:c>
      <x:c r="D98" s="18" t="str">
        <x:f>D97</x:f>
        <x:v>Projected Activity</x:v>
      </x:c>
      <x:c r="E98" s="99" t="str">
        <x:f>"(Note "&amp;B369&amp;")"</x:f>
        <x:v>(Note U)</x:v>
      </x:c>
      <x:c r="F98" s="119" t="str">
        <x:f>"Attachment 1A - ADIT Summary, Line "&amp;'1A - ADIT Summary'!B180&amp;""</x:f>
        <x:v>Attachment 1A - ADIT Summary, Line 120</x:v>
      </x:c>
      <x:c r="H98" s="908">
        <x:f>IF('1A - ADIT Summary'!$D$187="True-Up Adjustment", '1A - ADIT Summary'!R180,'1A - ADIT Summary'!L180)</x:f>
        <x:v>-209588.34653156361</x:v>
      </x:c>
    </x:row>
    <x:row r="99" spans="1:8">
      <x:c r="A99" s="16" t="s">
        <x:v>1077</x:v>
      </x:c>
      <x:c r="C99" s="28" t="s">
        <x:v>282</x:v>
      </x:c>
      <x:c r="D99" s="25"/>
      <x:c r="E99" s="92"/>
      <x:c r="F99" s="22" t="str">
        <x:f>"(Line "&amp;A94&amp;" + "&amp;A95&amp;" + "&amp;A96&amp;" + "&amp;A97&amp;" + "&amp;A98&amp;")"</x:f>
        <x:v>(Line 40a + 40b + 40c + 40d + 40e)</x:v>
      </x:c>
      <x:c r="G99" s="25"/>
      <x:c r="H99" s="491">
        <x:f>SUM(H94:H98)</x:f>
        <x:v>-292062958.84887016</x:v>
      </x:c>
    </x:row>
    <x:row r="100" spans="1:8">
      <x:c r="A100" s="16"/>
      <x:c r="C100" s="15"/>
      <x:c r="H100" s="491"/>
    </x:row>
    <x:row r="101" spans="1:8">
      <x:c r="A101" s="16"/>
      <x:c r="B101" s="18" t="s">
        <x:v>1382</x:v>
      </x:c>
      <x:c r="C101" s="15"/>
      <x:c r="F101" s="22"/>
      <x:c r="H101" s="491"/>
    </x:row>
    <x:row r="102" spans="1:8">
      <x:c r="A102" s="16" t="s">
        <x:v>1078</x:v>
      </x:c>
      <x:c r="C102" s="15" t="s">
        <x:v>1079</x:v>
      </x:c>
      <x:c r="D102" s="18" t="str">
        <x:f>D94</x:f>
        <x:v>Projected Activity</x:v>
      </x:c>
      <x:c r="E102" s="105" t="str">
        <x:f>"(Note "&amp;B380&amp;")"</x:f>
        <x:v>(Note W)</x:v>
      </x:c>
      <x:c r="F102" s="22" t="str">
        <x:f>"Attachment 1D - ADIT Rate Base Adjustment, Line "&amp;'1D - ADIT Rate Base Adjustment'!B123&amp;""</x:f>
        <x:v>Attachment 1D - ADIT Rate Base Adjustment, Line 76</x:v>
      </x:c>
      <x:c r="H102" s="484">
        <x:f>IF('1D - ADIT Rate Base Adjustment'!D249="True-Up Adjustment",'1D - ADIT Rate Base Adjustment'!N123,'1D - ADIT Rate Base Adjustment'!H123)</x:f>
        <x:v>-20038148.051401868</x:v>
      </x:c>
    </x:row>
    <x:row r="103" spans="1:8">
      <x:c r="A103" s="16" t="s">
        <x:v>1080</x:v>
      </x:c>
      <x:c r="C103" s="52" t="s">
        <x:v>1081</x:v>
      </x:c>
      <x:c r="D103" s="104" t="str">
        <x:f>D95</x:f>
        <x:v>Projected Activity</x:v>
      </x:c>
      <x:c r="E103" s="99" t="str">
        <x:f>"(Note "&amp;B380&amp;")"</x:f>
        <x:v>(Note W)</x:v>
      </x:c>
      <x:c r="F103" s="119" t="str">
        <x:f>"Attachment 1D - ADIT Rate Base Adjustment, Line "&amp;'1D - ADIT Rate Base Adjustment'!B242&amp;""</x:f>
        <x:v>Attachment 1D - ADIT Rate Base Adjustment, Line 152</x:v>
      </x:c>
      <x:c r="G103" s="104"/>
      <x:c r="H103" s="483">
        <x:f>IF('1D - ADIT Rate Base Adjustment'!D249="True-Up Adjustment",'1D - ADIT Rate Base Adjustment'!N242,'1D - ADIT Rate Base Adjustment'!H242)</x:f>
        <x:v>0</x:v>
      </x:c>
    </x:row>
    <x:row r="104" spans="1:8">
      <x:c r="A104" s="16">
        <x:v>42</x:v>
      </x:c>
      <x:c r="C104" s="15" t="s">
        <x:v>1082</x:v>
      </x:c>
      <x:c r="F104" s="22" t="str">
        <x:f>"(Line "&amp;A102&amp;" + "&amp;A103&amp;")"</x:f>
        <x:v>(Line 41a + 41b)</x:v>
      </x:c>
      <x:c r="H104" s="491">
        <x:f>H102+H103</x:f>
        <x:v>-20038148.051401868</x:v>
      </x:c>
    </x:row>
    <x:row r="105" spans="1:8">
      <x:c r="A105" s="16"/>
      <x:c r="C105" s="15"/>
      <x:c r="F105" s="119"/>
      <x:c r="H105" s="491"/>
    </x:row>
    <x:row r="106" spans="1:8">
      <x:c r="A106" s="16">
        <x:v>43</x:v>
      </x:c>
      <x:c r="C106" s="28" t="s">
        <x:v>1083</x:v>
      </x:c>
      <x:c r="D106" s="25"/>
      <x:c r="E106" s="92"/>
      <x:c r="F106" s="22" t="str">
        <x:f>"(Line "&amp;A99&amp;" + "&amp;A104&amp;")"</x:f>
        <x:v>(Line 40f + 42)</x:v>
      </x:c>
      <x:c r="G106" s="25"/>
      <x:c r="H106" s="492">
        <x:f>H99+H104</x:f>
        <x:v>-312101106.90027201</x:v>
      </x:c>
    </x:row>
    <x:row r="107" spans="1:8">
      <x:c r="A107" s="100"/>
      <x:c r="B107" s="101"/>
      <x:c r="C107" s="101"/>
      <x:c r="D107" s="101"/>
      <x:c r="H107" s="163"/>
    </x:row>
    <x:row r="108" spans="1:8">
      <x:c r="A108" s="16" t="s">
        <x:v>283</x:v>
      </x:c>
      <x:c r="B108" s="15" t="s">
        <x:v>284</x:v>
      </x:c>
      <x:c r="E108" s="105" t="s">
        <x:v>285</x:v>
      </x:c>
      <x:c r="F108" s="22" t="s">
        <x:v>815</x:v>
      </x:c>
      <x:c r="H108" s="491">
        <x:f>+'9 - Rate Base'!C47</x:f>
        <x:v>0</x:v>
      </x:c>
    </x:row>
    <x:row r="109" spans="1:8" ht="15" customHeight="1">
      <x:c r="A109" s="16"/>
      <x:c r="E109" s="105"/>
      <x:c r="F109" s="22"/>
      <x:c r="H109" s="491"/>
    </x:row>
    <x:row r="110" spans="1:8" ht="15.75">
      <x:c r="A110" s="16" t="s">
        <x:v>286</x:v>
      </x:c>
      <x:c r="B110" s="102" t="s">
        <x:v>287</x:v>
      </x:c>
      <x:c r="C110" s="472"/>
      <x:c r="D110" s="102"/>
      <x:c r="E110" s="102"/>
      <x:c r="F110" s="102" t="s">
        <x:v>721</x:v>
      </x:c>
      <x:c r="H110" s="491">
        <x:f>+'9 - Rate Base'!I47</x:f>
        <x:v>0</x:v>
      </x:c>
    </x:row>
    <x:row r="111" spans="1:8" ht="15.75">
      <x:c r="A111" s="18"/>
      <x:c r="C111" s="472" t="s">
        <x:v>83</x:v>
      </x:c>
      <x:c r="D111" s="102"/>
      <x:c r="E111" s="102"/>
      <x:c r="F111" s="102"/>
      <x:c r="H111" s="491"/>
    </x:row>
    <x:row r="112" spans="1:8">
      <x:c r="A112" s="16"/>
      <x:c r="B112" s="18" t="s">
        <x:v>289</x:v>
      </x:c>
      <x:c r="C112" s="15"/>
      <x:c r="F112" s="22"/>
      <x:c r="H112" s="491"/>
    </x:row>
    <x:row r="113" spans="1:8">
      <x:c r="A113" s="16">
        <x:v>44</x:v>
      </x:c>
      <x:c r="C113" s="15" t="s">
        <x:v>952</x:v>
      </x:c>
      <x:c r="E113" s="16" t="s">
        <x:v>281</x:v>
      </x:c>
      <x:c r="F113" s="102" t="s">
        <x:v>288</x:v>
      </x:c>
      <x:c r="H113" s="491">
        <x:f>+'5 - Cost Support 1'!AC135</x:f>
        <x:v>-3994075.994128726</x:v>
      </x:c>
    </x:row>
    <x:row r="114" spans="1:8">
      <x:c r="A114" s="16"/>
      <x:c r="B114" s="33"/>
      <x:c r="F114" s="58"/>
      <x:c r="G114" s="58"/>
      <x:c r="H114" s="163"/>
    </x:row>
    <x:row r="115" spans="1:8">
      <x:c r="A115" s="16"/>
      <x:c r="B115" s="15" t="s">
        <x:v>108</x:v>
      </x:c>
      <x:c r="C115" s="15"/>
      <x:c r="F115" s="466"/>
      <x:c r="G115" s="174"/>
      <x:c r="H115" s="163"/>
    </x:row>
    <x:row r="116" spans="1:8">
      <x:c r="A116" s="16">
        <x:v>45</x:v>
      </x:c>
      <x:c r="B116" s="112"/>
      <x:c r="C116" s="52" t="s">
        <x:v>110</x:v>
      </x:c>
      <x:c r="D116" s="99"/>
      <x:c r="E116" s="99" t="str">
        <x:f>"(Note "&amp;B$341&amp;")"</x:f>
        <x:v>(Note A)</x:v>
      </x:c>
      <x:c r="F116" s="52" t="s">
        <x:v>722</x:v>
      </x:c>
      <x:c r="G116" s="174"/>
      <x:c r="H116" s="491">
        <x:f>+'9 - Rate Base'!G47</x:f>
        <x:v>17219385.691523209</x:v>
      </x:c>
    </x:row>
    <x:row r="117" spans="1:8">
      <x:c r="A117" s="16">
        <x:v>46</x:v>
      </x:c>
      <x:c r="B117" s="33"/>
      <x:c r="C117" s="18" t="s">
        <x:v>290</x:v>
      </x:c>
      <x:c r="D117" s="25"/>
      <x:c r="E117" s="92"/>
      <x:c r="F117" s="22" t="s">
        <x:v>751</x:v>
      </x:c>
      <x:c r="G117" s="340"/>
      <x:c r="H117" s="493">
        <x:f>+H116</x:f>
        <x:v>17219385.691523209</x:v>
      </x:c>
    </x:row>
    <x:row r="118" spans="1:8">
      <x:c r="A118" s="16"/>
      <x:c r="B118" s="33"/>
      <x:c r="F118" s="58"/>
      <x:c r="G118" s="58"/>
    </x:row>
    <x:row r="119" spans="1:8">
      <x:c r="A119" s="16"/>
      <x:c r="B119" s="33"/>
      <x:c r="C119" s="15"/>
      <x:c r="F119" s="174"/>
      <x:c r="G119" s="174"/>
      <x:c r="H119" s="103"/>
    </x:row>
    <x:row r="120" spans="1:8">
      <x:c r="A120" s="16"/>
      <x:c r="B120" s="15" t="s">
        <x:v>55</x:v>
      </x:c>
      <x:c r="E120" s="108"/>
      <x:c r="F120" s="174"/>
      <x:c r="G120" s="174"/>
      <x:c r="H120" s="103"/>
    </x:row>
    <x:row r="121" spans="1:8">
      <x:c r="A121" s="16">
        <x:v>47</x:v>
      </x:c>
      <x:c r="C121" s="18" t="s">
        <x:v>291</x:v>
      </x:c>
      <x:c r="E121" s="105" t="str">
        <x:f>"(Note "&amp;B$341&amp;")"</x:f>
        <x:v>(Note A)</x:v>
      </x:c>
      <x:c r="F121" s="15" t="s">
        <x:v>723</x:v>
      </x:c>
      <x:c r="H121" s="495">
        <x:f>+'9 - Rate Base'!F47</x:f>
        <x:v>0</x:v>
      </x:c>
    </x:row>
    <x:row r="122" spans="1:8">
      <x:c r="A122" s="16">
        <x:v>48</x:v>
      </x:c>
      <x:c r="B122" s="33"/>
      <x:c r="C122" s="52" t="s">
        <x:v>269</x:v>
      </x:c>
      <x:c r="D122" s="52"/>
      <x:c r="E122" s="53"/>
      <x:c r="F122" s="119" t="str">
        <x:f>"(Line "&amp;A$24&amp;")"</x:f>
        <x:v>(Line 5)</x:v>
      </x:c>
      <x:c r="G122" s="176"/>
      <x:c r="H122" s="50">
        <x:f>+H24</x:f>
        <x:v>0.14582932326077899</x:v>
      </x:c>
    </x:row>
    <x:row r="123" spans="1:8">
      <x:c r="A123" s="16">
        <x:v>49</x:v>
      </x:c>
      <x:c r="B123" s="33"/>
      <x:c r="C123" s="15" t="s">
        <x:v>292</x:v>
      </x:c>
      <x:c r="F123" s="22" t="str">
        <x:f>"(Line "&amp;A121&amp;" * "&amp;A122&amp;")"</x:f>
        <x:v>(Line 47 * 48)</x:v>
      </x:c>
      <x:c r="G123" s="174"/>
      <x:c r="H123" s="493">
        <x:f>+H121*H122</x:f>
        <x:v>0</x:v>
      </x:c>
    </x:row>
    <x:row r="124" spans="1:8">
      <x:c r="A124" s="16">
        <x:v>50</x:v>
      </x:c>
      <x:c r="B124" s="33"/>
      <x:c r="C124" s="15" t="s">
        <x:v>293</x:v>
      </x:c>
      <x:c r="E124" s="99" t="s">
        <x:v>1084</x:v>
      </x:c>
      <x:c r="F124" s="52" t="s">
        <x:v>1056</x:v>
      </x:c>
      <x:c r="G124" s="174"/>
      <x:c r="H124" s="495">
        <x:f>+'9 - Rate Base'!E47</x:f>
        <x:v>12368423.882185336</x:v>
      </x:c>
    </x:row>
    <x:row r="125" spans="1:8" ht="18" customHeight="1">
      <x:c r="A125" s="16">
        <x:v>51</x:v>
      </x:c>
      <x:c r="B125" s="33"/>
      <x:c r="C125" s="25" t="s">
        <x:v>294</x:v>
      </x:c>
      <x:c r="D125" s="25"/>
      <x:c r="E125" s="92"/>
      <x:c r="F125" s="22" t="str">
        <x:f>"(Line "&amp;A123&amp;" + "&amp;A124&amp;")"</x:f>
        <x:v>(Line 49 + 50)</x:v>
      </x:c>
      <x:c r="G125" s="340"/>
      <x:c r="H125" s="494">
        <x:f>SUM(H123:H124)</x:f>
        <x:v>12368423.882185336</x:v>
      </x:c>
    </x:row>
    <x:row r="126" spans="1:8">
      <x:c r="A126" s="16"/>
      <x:c r="B126" s="33"/>
      <x:c r="C126" s="15"/>
      <x:c r="F126" s="174"/>
      <x:c r="G126" s="174"/>
      <x:c r="H126" s="163"/>
    </x:row>
    <x:row r="127" spans="1:8">
      <x:c r="A127" s="16"/>
      <x:c r="B127" s="15" t="s">
        <x:v>295</x:v>
      </x:c>
      <x:c r="F127" s="174"/>
      <x:c r="G127" s="174"/>
      <x:c r="H127" s="163"/>
    </x:row>
    <x:row r="128" spans="1:8">
      <x:c r="A128" s="16">
        <x:v>52</x:v>
      </x:c>
      <x:c r="B128" s="33"/>
      <x:c r="C128" s="15" t="s">
        <x:v>296</x:v>
      </x:c>
      <x:c r="D128" s="15"/>
      <x:c r="F128" s="22" t="str">
        <x:f>"(Line "&amp;A$179&amp;")"</x:f>
        <x:v>(Line 85)</x:v>
      </x:c>
      <x:c r="G128" s="174"/>
      <x:c r="H128" s="495">
        <x:f>+H179</x:f>
        <x:v>39705456.085851431</x:v>
      </x:c>
    </x:row>
    <x:row r="129" spans="1:8">
      <x:c r="A129" s="16">
        <x:v>53</x:v>
      </x:c>
      <x:c r="B129" s="33"/>
      <x:c r="C129" s="15" t="s">
        <x:v>297</x:v>
      </x:c>
      <x:c r="D129" s="15"/>
      <x:c r="F129" s="52" t="s">
        <x:v>298</x:v>
      </x:c>
      <x:c r="H129" s="467">
        <x:v>0.125</x:v>
      </x:c>
    </x:row>
    <x:row r="130" spans="1:8" s="36" customFormat="1" ht="15.75">
      <x:c r="A130" s="16">
        <x:v>54</x:v>
      </x:c>
      <x:c r="B130" s="33"/>
      <x:c r="C130" s="28" t="s">
        <x:v>299</x:v>
      </x:c>
      <x:c r="D130" s="28"/>
      <x:c r="E130" s="92"/>
      <x:c r="F130" s="22" t="str">
        <x:f>"(Line "&amp;A128&amp;" * "&amp;A129&amp;")"</x:f>
        <x:v>(Line 52 * 53)</x:v>
      </x:c>
      <x:c r="G130" s="25"/>
      <x:c r="H130" s="493">
        <x:f>+H128*H129</x:f>
        <x:v>4963182.0107314289</x:v>
      </x:c>
    </x:row>
    <x:row r="131" spans="1:8" s="36" customFormat="1" ht="15.75">
      <x:c r="A131" s="16"/>
      <x:c r="B131" s="33"/>
      <x:c r="C131" s="15"/>
      <x:c r="D131" s="15"/>
      <x:c r="E131" s="16"/>
      <x:c r="F131" s="22"/>
      <x:c r="G131" s="18"/>
      <x:c r="H131" s="496"/>
    </x:row>
    <x:row r="132" spans="1:8" s="36" customFormat="1" ht="15.75">
      <x:c r="A132" s="18"/>
      <x:c r="B132" s="15" t="s">
        <x:v>114</x:v>
      </x:c>
      <x:c r="C132" s="18"/>
      <x:c r="D132" s="15"/>
      <x:c r="E132" s="18"/>
      <x:c r="F132" s="22"/>
      <x:c r="G132" s="18"/>
      <x:c r="H132" s="496"/>
    </x:row>
    <x:row r="133" spans="1:8">
      <x:c r="A133" s="16">
        <x:v>55</x:v>
      </x:c>
      <x:c r="C133" s="18" t="s">
        <x:v>300</x:v>
      </x:c>
      <x:c r="E133" s="105" t="str">
        <x:f>"(Note "&amp;B$358&amp;")"</x:f>
        <x:v>(Note N)</x:v>
      </x:c>
      <x:c r="F133" s="18" t="s">
        <x:v>301</x:v>
      </x:c>
      <x:c r="H133" s="497">
        <x:f>+'5 - Cost Support 1'!G157</x:f>
        <x:v>0</x:v>
      </x:c>
    </x:row>
    <x:row r="134" spans="1:8">
      <x:c r="A134" s="16">
        <x:v>56</x:v>
      </x:c>
      <x:c r="C134" s="104" t="s">
        <x:v>302</x:v>
      </x:c>
      <x:c r="D134" s="104"/>
      <x:c r="E134" s="99" t="str">
        <x:f>+E133</x:f>
        <x:v>(Note N)</x:v>
      </x:c>
      <x:c r="F134" s="104" t="str">
        <x:f>+F133</x:f>
        <x:v>From PJM</x:v>
      </x:c>
      <x:c r="G134" s="104"/>
      <x:c r="H134" s="498">
        <x:f>+'5 - Cost Support 1'!G158</x:f>
        <x:v>0</x:v>
      </x:c>
    </x:row>
    <x:row r="135" spans="1:8">
      <x:c r="A135" s="16">
        <x:v>57</x:v>
      </x:c>
      <x:c r="C135" s="18" t="s">
        <x:v>303</x:v>
      </x:c>
      <x:c r="F135" s="22" t="str">
        <x:f>"(Line "&amp;A133&amp;" - "&amp;A134&amp;")"</x:f>
        <x:v>(Line 55 - 56)</x:v>
      </x:c>
      <x:c r="H135" s="163">
        <x:f>+H133-H134</x:f>
        <x:v>0</x:v>
      </x:c>
    </x:row>
    <x:row r="136" spans="1:8">
      <x:c r="A136" s="16"/>
      <x:c r="H136" s="163"/>
    </x:row>
    <x:row r="137" spans="1:8" ht="15.75" thickBot="1">
      <x:c r="A137" s="16">
        <x:v>58</x:v>
      </x:c>
      <x:c r="B137" s="41" t="s">
        <x:v>304</x:v>
      </x:c>
      <x:c r="C137" s="41"/>
      <x:c r="D137" s="41"/>
      <x:c r="E137" s="93"/>
      <x:c r="F137" s="90" t="str">
        <x:f>"(Line "&amp;A106&amp;" + "&amp;A108&amp;" + "&amp;A110&amp;" + "&amp;A113&amp;" + "&amp;A117&amp;" + "&amp;A125&amp;" + "&amp;A130&amp;" - "&amp;A135&amp;")"</x:f>
        <x:v>(Line 43 + 43a + 43b + 44 + 46 + 51 + 54 - 57)</x:v>
      </x:c>
      <x:c r="G137" s="41"/>
      <x:c r="H137" s="487">
        <x:f>SUM(H106,H108,H110,H113,H117,H125,H130)-H135</x:f>
        <x:v>-281544191.30996072</x:v>
      </x:c>
    </x:row>
    <x:row r="138" spans="1:8" ht="15.75" thickTop="1">
      <x:c r="A138" s="16"/>
      <x:c r="H138" s="163"/>
    </x:row>
    <x:row r="139" spans="1:8" ht="15.75" thickBot="1">
      <x:c r="A139" s="16">
        <x:v>59</x:v>
      </x:c>
      <x:c r="B139" s="41" t="s">
        <x:v>305</x:v>
      </x:c>
      <x:c r="C139" s="41"/>
      <x:c r="D139" s="41"/>
      <x:c r="E139" s="93"/>
      <x:c r="F139" s="90" t="str">
        <x:f>"(Line "&amp;A89&amp;" + "&amp;A137&amp;")"</x:f>
        <x:v>(Line 39 + 58)</x:v>
      </x:c>
      <x:c r="G139" s="41"/>
      <x:c r="H139" s="487">
        <x:f>+H89+H137</x:f>
        <x:v>1437708770.6234069</x:v>
      </x:c>
    </x:row>
    <x:row r="140" spans="1:8" ht="15.75" thickTop="1"/>
    <x:row r="141" spans="1:8">
      <x:c r="A141" s="94" t="s">
        <x:v>306</x:v>
      </x:c>
      <x:c r="B141" s="95"/>
      <x:c r="C141" s="468"/>
      <x:c r="D141" s="13"/>
      <x:c r="E141" s="124"/>
      <x:c r="F141" s="13"/>
      <x:c r="G141" s="13"/>
      <x:c r="H141" s="45"/>
    </x:row>
    <x:row r="142" spans="1:8">
      <x:c r="A142" s="18"/>
      <x:c r="H142" s="86"/>
    </x:row>
    <x:row r="143" spans="1:8">
      <x:c r="A143" s="16"/>
      <x:c r="B143" s="18" t="s">
        <x:v>145</x:v>
      </x:c>
      <x:c r="D143" s="22"/>
      <x:c r="E143" s="29"/>
      <x:c r="G143" s="22"/>
      <x:c r="H143" s="22"/>
    </x:row>
    <x:row r="144" spans="1:8">
      <x:c r="A144" s="16">
        <x:v>60</x:v>
      </x:c>
      <x:c r="B144" s="16"/>
      <x:c r="C144" s="18" t="s">
        <x:v>145</x:v>
      </x:c>
      <x:c r="F144" s="22" t="s">
        <x:v>953</x:v>
      </x:c>
      <x:c r="G144" s="16"/>
      <x:c r="H144" s="484">
        <x:f>+'11A - O&amp;M'!G37</x:f>
        <x:v>24606779.43</x:v>
      </x:c>
    </x:row>
    <x:row r="145" spans="1:8">
      <x:c r="A145" s="16">
        <x:v>61</x:v>
      </x:c>
      <x:c r="B145" s="16"/>
      <x:c r="C145" s="18" t="s">
        <x:v>307</x:v>
      </x:c>
      <x:c r="F145" s="22" t="s">
        <x:v>288</x:v>
      </x:c>
      <x:c r="G145" s="16"/>
      <x:c r="H145" s="484">
        <x:f>'5 - Cost Support 1'!G164</x:f>
        <x:v>0</x:v>
      </x:c>
    </x:row>
    <x:row r="146" spans="1:8">
      <x:c r="A146" s="16">
        <x:v>62</x:v>
      </x:c>
      <x:c r="B146" s="16"/>
      <x:c r="C146" s="18" t="s">
        <x:v>308</x:v>
      </x:c>
      <x:c r="F146" s="22" t="s">
        <x:v>288</x:v>
      </x:c>
      <x:c r="G146" s="16"/>
      <x:c r="H146" s="484">
        <x:f>'5 - Cost Support 1'!J165</x:f>
        <x:v>0</x:v>
      </x:c>
    </x:row>
    <x:row r="147" spans="1:8">
      <x:c r="A147" s="16">
        <x:v>63</x:v>
      </x:c>
      <x:c r="B147" s="16"/>
      <x:c r="C147" s="18" t="s">
        <x:v>309</x:v>
      </x:c>
      <x:c r="F147" s="22" t="s">
        <x:v>310</x:v>
      </x:c>
      <x:c r="H147" s="479">
        <x:v>0</x:v>
      </x:c>
    </x:row>
    <x:row r="148" spans="1:8">
      <x:c r="A148" s="16" t="s">
        <x:v>693</x:v>
      </x:c>
      <x:c r="B148" s="16"/>
      <x:c r="C148" s="18" t="s">
        <x:v>694</x:v>
      </x:c>
      <x:c r="F148" s="22" t="s">
        <x:v>830</x:v>
      </x:c>
      <x:c r="H148" s="484">
        <x:f>+'10 - Merger Costs'!G8</x:f>
        <x:v>0</x:v>
      </x:c>
    </x:row>
    <x:row r="149" spans="1:8">
      <x:c r="A149" s="16">
        <x:v>64</x:v>
      </x:c>
      <x:c r="B149" s="16"/>
      <x:c r="C149" s="18" t="s">
        <x:v>311</x:v>
      </x:c>
      <x:c r="E149" s="105" t="str">
        <x:f>"(Note "&amp;B$361&amp;")"</x:f>
        <x:v>(Note O)</x:v>
      </x:c>
      <x:c r="F149" s="22" t="s">
        <x:v>312</x:v>
      </x:c>
      <x:c r="H149" s="479">
        <x:v>0</x:v>
      </x:c>
    </x:row>
    <x:row r="150" spans="1:8">
      <x:c r="A150" s="16">
        <x:v>65</x:v>
      </x:c>
      <x:c r="B150" s="16"/>
      <x:c r="C150" s="18" t="s">
        <x:v>313</x:v>
      </x:c>
      <x:c r="D150" s="22"/>
      <x:c r="E150" s="99" t="str">
        <x:f>"(Note "&amp;B$341&amp;")"</x:f>
        <x:v>(Note A)</x:v>
      </x:c>
      <x:c r="F150" s="119" t="s">
        <x:v>314</x:v>
      </x:c>
      <x:c r="H150" s="485">
        <x:v>0</x:v>
      </x:c>
    </x:row>
    <x:row r="151" spans="1:8">
      <x:c r="A151" s="16">
        <x:v>66</x:v>
      </x:c>
      <x:c r="C151" s="25" t="s">
        <x:v>145</x:v>
      </x:c>
      <x:c r="D151" s="25"/>
      <x:c r="E151" s="92"/>
      <x:c r="F151" s="22" t="str">
        <x:f>"(Lines "&amp;A144&amp;" - "&amp;A145&amp;" + "&amp;A146&amp;" - "&amp;A147&amp;" - "&amp;A148&amp;" + "&amp;A149&amp;" + "&amp;A150&amp;")"</x:f>
        <x:v>(Lines 60 - 61 + 62 - 63 - 63a + 64 + 65)</x:v>
      </x:c>
      <x:c r="G151" s="25"/>
      <x:c r="H151" s="480">
        <x:f>+H144-H145+H146-H147-H148+H149+H150</x:f>
        <x:v>24606779.43</x:v>
      </x:c>
    </x:row>
    <x:row r="152" spans="1:8">
      <x:c r="A152" s="16"/>
      <x:c r="B152" s="16"/>
      <x:c r="E152" s="29"/>
      <x:c r="H152" s="488"/>
    </x:row>
    <x:row r="153" spans="1:8">
      <x:c r="A153" s="16"/>
      <x:c r="B153" s="18" t="s">
        <x:v>56</x:v>
      </x:c>
      <x:c r="E153" s="29"/>
      <x:c r="H153" s="488"/>
    </x:row>
    <x:row r="154" spans="1:8">
      <x:c r="A154" s="16">
        <x:v>67</x:v>
      </x:c>
      <x:c r="B154" s="16"/>
      <x:c r="C154" s="18" t="s">
        <x:v>315</x:v>
      </x:c>
      <x:c r="E154" s="105" t="str">
        <x:f>"(Note "&amp;B$341&amp;")"</x:f>
        <x:v>(Note A)</x:v>
      </x:c>
      <x:c r="F154" s="22" t="s">
        <x:v>256</x:v>
      </x:c>
      <x:c r="H154" s="479">
        <x:v>0</x:v>
      </x:c>
    </x:row>
    <x:row r="155" spans="1:8">
      <x:c r="A155" s="16">
        <x:v>68</x:v>
      </x:c>
      <x:c r="B155" s="16"/>
      <x:c r="C155" s="18" t="s">
        <x:v>146</x:v>
      </x:c>
      <x:c r="F155" s="22" t="s">
        <x:v>954</x:v>
      </x:c>
      <x:c r="H155" s="484">
        <x:f>+'11B - A&amp;G'!E27</x:f>
        <x:v>110243909.602</x:v>
      </x:c>
    </x:row>
    <x:row r="156" spans="1:8" ht="15.75">
      <x:c r="A156" s="16" t="s">
        <x:v>316</x:v>
      </x:c>
      <x:c r="B156" s="16"/>
      <x:c r="C156" s="18" t="s">
        <x:v>317</x:v>
      </x:c>
      <x:c r="E156" s="105" t="s">
        <x:v>318</x:v>
      </x:c>
      <x:c r="F156" s="22" t="s">
        <x:v>288</x:v>
      </x:c>
      <x:c r="G156" s="36"/>
      <x:c r="H156" s="484">
        <x:f>+'5 - Cost Support 1'!I244</x:f>
        <x:v>-316326.644088</x:v>
      </x:c>
    </x:row>
    <x:row r="157" spans="1:8">
      <x:c r="A157" s="16" t="s">
        <x:v>695</x:v>
      </x:c>
      <x:c r="B157" s="16"/>
      <x:c r="C157" s="18" t="s">
        <x:v>696</x:v>
      </x:c>
      <x:c r="F157" s="22" t="s">
        <x:v>831</x:v>
      </x:c>
      <x:c r="H157" s="484">
        <x:f>+'10 - Merger Costs'!C9</x:f>
        <x:v>0</x:v>
      </x:c>
    </x:row>
    <x:row r="158" spans="1:8">
      <x:c r="A158" s="16" t="s">
        <x:v>1073</x:v>
      </x:c>
      <x:c r="B158" s="16"/>
      <x:c r="C158" s="18" t="s">
        <x:v>1074</x:v>
      </x:c>
      <x:c r="F158" s="22" t="s">
        <x:v>288</x:v>
      </x:c>
      <x:c r="H158" s="484">
        <x:f>'5 - Cost Support 1'!I229+'5 - Cost Support 1'!J229+'5 - Cost Support 1'!K229+'5 - Cost Support 1'!L229+'5 - Cost Support 1'!M229+'5 - Cost Support 1'!N229+'5 - Cost Support 1'!O229+'5 - Cost Support 1'!P229</x:f>
        <x:v>830557.28469099989</x:v>
      </x:c>
    </x:row>
    <x:row r="159" spans="1:8">
      <x:c r="A159" s="16">
        <x:v>69</x:v>
      </x:c>
      <x:c r="B159" s="16"/>
      <x:c r="C159" s="18" t="s">
        <x:v>319</x:v>
      </x:c>
      <x:c r="D159" s="22"/>
      <x:c r="F159" s="18" t="s">
        <x:v>320</x:v>
      </x:c>
      <x:c r="H159" s="484">
        <x:f>+'11B - A&amp;G'!E14</x:f>
        <x:v>686015.6540000001</x:v>
      </x:c>
    </x:row>
    <x:row r="160" spans="1:8">
      <x:c r="A160" s="16">
        <x:v>70</x:v>
      </x:c>
      <x:c r="B160" s="16"/>
      <x:c r="C160" s="18" t="s">
        <x:v>321</x:v>
      </x:c>
      <x:c r="D160" s="22"/>
      <x:c r="E160" s="105" t="str">
        <x:f>"(Note "&amp;B$349&amp;")"</x:f>
        <x:v>(Note E)</x:v>
      </x:c>
      <x:c r="F160" s="18" t="s">
        <x:v>65</x:v>
      </x:c>
      <x:c r="H160" s="484">
        <x:f>+'11B - A&amp;G'!E18</x:f>
        <x:v>1394524.5000000002</x:v>
      </x:c>
    </x:row>
    <x:row r="161" spans="1:8">
      <x:c r="A161" s="16">
        <x:v>71</x:v>
      </x:c>
      <x:c r="B161" s="16"/>
      <x:c r="C161" s="18" t="s">
        <x:v>322</x:v>
      </x:c>
      <x:c r="D161" s="22"/>
      <x:c r="F161" s="18" t="s">
        <x:v>323</x:v>
      </x:c>
      <x:c r="H161" s="484">
        <x:f>+'11B - A&amp;G'!E20</x:f>
        <x:v>836691.13800000004</x:v>
      </x:c>
    </x:row>
    <x:row r="162" spans="1:8">
      <x:c r="A162" s="16">
        <x:v>72</x:v>
      </x:c>
      <x:c r="B162" s="16"/>
      <x:c r="C162" s="18" t="s">
        <x:v>324</x:v>
      </x:c>
      <x:c r="D162" s="22"/>
      <x:c r="F162" s="18" t="s">
        <x:v>325</x:v>
      </x:c>
      <x:c r="H162" s="479">
        <x:v>6509875</x:v>
      </x:c>
    </x:row>
    <x:row r="163" spans="1:8">
      <x:c r="A163" s="16">
        <x:v>73</x:v>
      </x:c>
      <x:c r="B163" s="16"/>
      <x:c r="C163" s="18" t="s">
        <x:v>326</x:v>
      </x:c>
      <x:c r="E163" s="105" t="str">
        <x:f>"(Note "&amp;B$348&amp;")"</x:f>
        <x:v>(Note D)</x:v>
      </x:c>
      <x:c r="F163" s="119" t="s">
        <x:v>327</x:v>
      </x:c>
      <x:c r="H163" s="484">
        <x:v>0</x:v>
      </x:c>
    </x:row>
    <x:row r="164" spans="1:8">
      <x:c r="A164" s="16">
        <x:v>74</x:v>
      </x:c>
      <x:c r="B164" s="16"/>
      <x:c r="C164" s="25" t="s">
        <x:v>328</x:v>
      </x:c>
      <x:c r="D164" s="25"/>
      <x:c r="E164" s="89"/>
      <x:c r="F164" s="22" t="str">
        <x:f>"(Lines "&amp;A154&amp;" + "&amp;A155&amp;") - Sum ("&amp;A157&amp;" to "&amp;A163&amp;")"</x:f>
        <x:v>(Lines 67 + 68) - Sum (68b to 73)</x:v>
      </x:c>
      <x:c r="G164" s="25"/>
      <x:c r="H164" s="481">
        <x:f>H154+H155-SUM(H157:H163)</x:f>
        <x:v>99986246.025308996</x:v>
      </x:c>
    </x:row>
    <x:row r="165" spans="1:8">
      <x:c r="A165" s="16">
        <x:v>75</x:v>
      </x:c>
      <x:c r="B165" s="16"/>
      <x:c r="C165" s="15" t="s">
        <x:v>269</x:v>
      </x:c>
      <x:c r="D165" s="15"/>
      <x:c r="F165" s="104" t="s">
        <x:v>750</x:v>
      </x:c>
      <x:c r="G165" s="174"/>
      <x:c r="H165" s="50">
        <x:f>+H24</x:f>
        <x:v>0.14582932326077899</x:v>
      </x:c>
    </x:row>
    <x:row r="166" spans="1:8">
      <x:c r="A166" s="16">
        <x:v>76</x:v>
      </x:c>
      <x:c r="B166" s="16"/>
      <x:c r="C166" s="25" t="s">
        <x:v>329</x:v>
      </x:c>
      <x:c r="D166" s="25"/>
      <x:c r="E166" s="89"/>
      <x:c r="F166" s="22" t="s">
        <x:v>756</x:v>
      </x:c>
      <x:c r="G166" s="25"/>
      <x:c r="H166" s="481">
        <x:f>+H165*H164</x:f>
        <x:v>14580926.593256565</x:v>
      </x:c>
    </x:row>
    <x:row r="167" spans="1:8">
      <x:c r="A167" s="16"/>
      <x:c r="B167" s="16"/>
      <x:c r="E167" s="29"/>
      <x:c r="H167" s="22"/>
    </x:row>
    <x:row r="168" spans="1:8">
      <x:c r="A168" s="16"/>
      <x:c r="B168" s="18" t="s">
        <x:v>62</x:v>
      </x:c>
      <x:c r="E168" s="29"/>
      <x:c r="H168" s="22"/>
    </x:row>
    <x:row r="169" spans="1:8">
      <x:c r="A169" s="16">
        <x:v>77</x:v>
      </x:c>
      <x:c r="B169" s="33"/>
      <x:c r="C169" s="15" t="s">
        <x:v>63</x:v>
      </x:c>
      <x:c r="D169" s="105"/>
      <x:c r="E169" s="105" t="str">
        <x:f>"(Note "&amp;B$351&amp;")"</x:f>
        <x:v>(Note G)</x:v>
      </x:c>
      <x:c r="F169" s="15" t="s">
        <x:v>65</x:v>
      </x:c>
      <x:c r="H169" s="495">
        <x:f>+'11B - A&amp;G'!J18</x:f>
        <x:v>266043.89</x:v>
      </x:c>
    </x:row>
    <x:row r="170" spans="1:8">
      <x:c r="A170" s="16">
        <x:v>78</x:v>
      </x:c>
      <x:c r="B170" s="33"/>
      <x:c r="C170" s="52" t="s">
        <x:v>330</x:v>
      </x:c>
      <x:c r="D170" s="106"/>
      <x:c r="E170" s="99" t="str">
        <x:f>"(Note "&amp;B$355&amp;")"</x:f>
        <x:v>(Note K)</x:v>
      </x:c>
      <x:c r="F170" s="52" t="s">
        <x:v>323</x:v>
      </x:c>
      <x:c r="G170" s="104"/>
      <x:c r="H170" s="499">
        <x:f>'5 - Cost Support 1'!H58</x:f>
        <x:v>0</x:v>
      </x:c>
    </x:row>
    <x:row r="171" spans="1:8">
      <x:c r="A171" s="16">
        <x:v>79</x:v>
      </x:c>
      <x:c r="B171" s="33"/>
      <x:c r="C171" s="15" t="s">
        <x:v>331</x:v>
      </x:c>
      <x:c r="E171" s="108"/>
      <x:c r="F171" s="22" t="s">
        <x:v>758</x:v>
      </x:c>
      <x:c r="H171" s="495">
        <x:f>+H170+H169</x:f>
        <x:v>266043.89</x:v>
      </x:c>
    </x:row>
    <x:row r="172" spans="1:8">
      <x:c r="A172" s="16"/>
      <x:c r="B172" s="33"/>
      <x:c r="C172" s="15"/>
      <x:c r="E172" s="108"/>
      <x:c r="F172" s="15"/>
      <x:c r="H172" s="500"/>
    </x:row>
    <x:row r="173" spans="1:8">
      <x:c r="A173" s="16">
        <x:v>80</x:v>
      </x:c>
      <x:c r="B173" s="33"/>
      <x:c r="C173" s="15" t="s">
        <x:v>332</x:v>
      </x:c>
      <x:c r="F173" s="15" t="s">
        <x:v>320</x:v>
      </x:c>
      <x:c r="H173" s="495">
        <x:f>H159</x:f>
        <x:v>686015.6540000001</x:v>
      </x:c>
    </x:row>
    <x:row r="174" spans="1:8">
      <x:c r="A174" s="16">
        <x:v>81</x:v>
      </x:c>
      <x:c r="B174" s="33"/>
      <x:c r="C174" s="15" t="s">
        <x:v>330</x:v>
      </x:c>
      <x:c r="E174" s="105" t="str">
        <x:f>"(Note "&amp;B$350&amp;")"</x:f>
        <x:v>(Note F)</x:v>
      </x:c>
      <x:c r="F174" s="52" t="s">
        <x:v>323</x:v>
      </x:c>
      <x:c r="H174" s="499">
        <x:f>+'5 - Cost Support 1'!H71</x:f>
        <x:v>0</x:v>
      </x:c>
    </x:row>
    <x:row r="175" spans="1:8">
      <x:c r="A175" s="16">
        <x:v>82</x:v>
      </x:c>
      <x:c r="B175" s="33"/>
      <x:c r="C175" s="28" t="s">
        <x:v>42</x:v>
      </x:c>
      <x:c r="D175" s="25"/>
      <x:c r="E175" s="92"/>
      <x:c r="F175" s="22" t="s">
        <x:v>759</x:v>
      </x:c>
      <x:c r="G175" s="25"/>
      <x:c r="H175" s="491">
        <x:f>+H173+H174</x:f>
        <x:v>686015.6540000001</x:v>
      </x:c>
    </x:row>
    <x:row r="176" spans="1:8">
      <x:c r="A176" s="16">
        <x:v>83</x:v>
      </x:c>
      <x:c r="B176" s="16"/>
      <x:c r="C176" s="15" t="s">
        <x:v>1433</x:v>
      </x:c>
      <x:c r="D176" s="15"/>
      <x:c r="F176" s="119" t="s">
        <x:v>1434</x:v>
      </x:c>
      <x:c r="G176" s="174"/>
      <x:c r="H176" s="1006">
        <x:f>+H45</x:f>
        <x:v>0.36691024632926028</x:v>
      </x:c>
    </x:row>
    <x:row r="177" spans="1:8">
      <x:c r="A177" s="16">
        <x:v>84</x:v>
      </x:c>
      <x:c r="B177" s="16"/>
      <x:c r="C177" s="25" t="s">
        <x:v>333</x:v>
      </x:c>
      <x:c r="D177" s="25"/>
      <x:c r="E177" s="89"/>
      <x:c r="F177" s="22" t="s">
        <x:v>760</x:v>
      </x:c>
      <x:c r="G177" s="25"/>
      <x:c r="H177" s="492">
        <x:f>+H176*H175</x:f>
        <x:v>251706.17259486864</x:v>
      </x:c>
    </x:row>
    <x:row r="178" spans="1:8">
      <x:c r="A178" s="16"/>
      <x:c r="B178" s="16"/>
      <x:c r="E178" s="29"/>
      <x:c r="H178" s="486"/>
    </x:row>
    <x:row r="179" spans="1:8" ht="15.75" thickBot="1">
      <x:c r="A179" s="16">
        <x:v>85</x:v>
      </x:c>
      <x:c r="B179" s="16"/>
      <x:c r="C179" s="41" t="s">
        <x:v>334</x:v>
      </x:c>
      <x:c r="D179" s="41"/>
      <x:c r="E179" s="107"/>
      <x:c r="F179" s="90" t="s">
        <x:v>761</x:v>
      </x:c>
      <x:c r="G179" s="41"/>
      <x:c r="H179" s="501">
        <x:f>+H151+H166+H171+H177</x:f>
        <x:v>39705456.085851431</x:v>
      </x:c>
    </x:row>
    <x:row r="180" spans="1:8" ht="15.75" thickTop="1">
      <x:c r="A180" s="16"/>
      <x:c r="B180" s="16"/>
      <x:c r="E180" s="29"/>
      <x:c r="F180" s="22"/>
      <x:c r="H180" s="486"/>
    </x:row>
    <x:row r="181" spans="1:8">
      <x:c r="B181" s="16"/>
      <x:c r="E181" s="29"/>
      <x:c r="H181" s="488"/>
    </x:row>
    <x:row r="182" spans="1:8">
      <x:c r="A182" s="94" t="s">
        <x:v>335</x:v>
      </x:c>
      <x:c r="B182" s="95"/>
      <x:c r="C182" s="468"/>
      <x:c r="D182" s="13"/>
      <x:c r="E182" s="124"/>
      <x:c r="F182" s="13"/>
      <x:c r="G182" s="13"/>
      <x:c r="H182" s="502"/>
    </x:row>
    <x:row r="183" spans="1:8">
      <x:c r="A183" s="18"/>
      <x:c r="B183" s="16"/>
      <x:c r="E183" s="29"/>
      <x:c r="H183" s="488"/>
    </x:row>
    <x:row r="184" spans="1:8">
      <x:c r="A184" s="16"/>
      <x:c r="B184" s="15" t="s">
        <x:v>57</x:v>
      </x:c>
      <x:c r="F184" s="33"/>
      <x:c r="G184" s="33"/>
      <x:c r="H184" s="503"/>
    </x:row>
    <x:row r="185" spans="1:8">
      <x:c r="A185" s="16">
        <x:v>86</x:v>
      </x:c>
      <x:c r="B185" s="33"/>
      <x:c r="C185" s="15" t="s">
        <x:v>336</x:v>
      </x:c>
      <x:c r="F185" s="15" t="s">
        <x:v>1435</x:v>
      </x:c>
      <x:c r="H185" s="495">
        <x:f>+'5 - Cost Support 1'!I235</x:f>
        <x:v>72015318.180759132</x:v>
      </x:c>
    </x:row>
    <x:row r="186" spans="1:8">
      <x:c r="A186" s="16"/>
      <x:c r="B186" s="33"/>
      <x:c r="C186" s="15"/>
      <x:c r="F186" s="15"/>
      <x:c r="H186" s="495"/>
    </x:row>
    <x:row r="187" spans="1:8">
      <x:c r="A187" s="362" t="s">
        <x:v>1333</x:v>
      </x:c>
      <x:c r="B187" s="362"/>
      <x:c r="C187" s="102" t="s">
        <x:v>1334</x:v>
      </x:c>
      <x:c r="D187" s="102"/>
      <x:c r="E187" s="362"/>
      <x:c r="F187" s="102" t="s">
        <x:v>288</x:v>
      </x:c>
      <x:c r="H187" s="495">
        <x:f>+'5 - Cost Support 1'!E203</x:f>
        <x:v>0</x:v>
      </x:c>
    </x:row>
    <x:row r="188" spans="1:8">
      <x:c r="A188" s="16"/>
      <x:c r="B188" s="33"/>
      <x:c r="C188" s="15"/>
      <x:c r="F188" s="15"/>
      <x:c r="H188" s="495"/>
    </x:row>
    <x:row r="189" spans="1:8">
      <x:c r="A189" s="16">
        <x:v>87</x:v>
      </x:c>
      <x:c r="B189" s="33"/>
      <x:c r="C189" s="15" t="s">
        <x:v>147</x:v>
      </x:c>
      <x:c r="F189" s="15" t="s">
        <x:v>1436</x:v>
      </x:c>
      <x:c r="H189" s="495">
        <x:f>+'5 - Cost Support 1'!G236</x:f>
        <x:v>20997876.382334564</x:v>
      </x:c>
    </x:row>
    <x:row r="190" spans="1:8">
      <x:c r="A190" s="16" t="s">
        <x:v>737</x:v>
      </x:c>
      <x:c r="B190" s="33"/>
      <x:c r="C190" s="18" t="s">
        <x:v>696</x:v>
      </x:c>
      <x:c r="F190" s="15" t="s">
        <x:v>816</x:v>
      </x:c>
      <x:c r="H190" s="491">
        <x:f>+'10 - Merger Costs'!C15</x:f>
        <x:v>0</x:v>
      </x:c>
    </x:row>
    <x:row r="191" spans="1:8">
      <x:c r="A191" s="16">
        <x:v>88</x:v>
      </x:c>
      <x:c r="B191" s="33"/>
      <x:c r="C191" s="15" t="s">
        <x:v>337</x:v>
      </x:c>
      <x:c r="E191" s="105" t="str">
        <x:f>"(Note "&amp;B$341&amp;")"</x:f>
        <x:v>(Note A)</x:v>
      </x:c>
      <x:c r="F191" s="15" t="s">
        <x:v>817</x:v>
      </x:c>
      <x:c r="H191" s="491">
        <x:f>+'5 - Cost Support 1'!G237</x:f>
        <x:v>2311670.0908584092</x:v>
      </x:c>
    </x:row>
    <x:row r="192" spans="1:8">
      <x:c r="A192" s="16" t="s">
        <x:v>738</x:v>
      </x:c>
      <x:c r="B192" s="33"/>
      <x:c r="C192" s="104" t="s">
        <x:v>696</x:v>
      </x:c>
      <x:c r="D192" s="104"/>
      <x:c r="E192" s="99"/>
      <x:c r="F192" s="52" t="s">
        <x:v>923</x:v>
      </x:c>
      <x:c r="G192" s="104"/>
      <x:c r="H192" s="499">
        <x:f>+'10 - Merger Costs'!C16</x:f>
        <x:v>0</x:v>
      </x:c>
    </x:row>
    <x:row r="193" spans="1:8">
      <x:c r="A193" s="16">
        <x:v>89</x:v>
      </x:c>
      <x:c r="B193" s="33"/>
      <x:c r="C193" s="15" t="s">
        <x:v>42</x:v>
      </x:c>
      <x:c r="F193" s="22" t="str">
        <x:f>"(Line "&amp;87&amp;" - "&amp;A190&amp;" + "&amp;88&amp;" - "&amp;A192&amp;")"</x:f>
        <x:v>(Line 87 - 87a + 88 - 88a)</x:v>
      </x:c>
      <x:c r="H193" s="492">
        <x:f>H189-H190+H191-H192</x:f>
        <x:v>23309546.473192975</x:v>
      </x:c>
    </x:row>
    <x:row r="194" spans="1:8">
      <x:c r="A194" s="16">
        <x:v>90</x:v>
      </x:c>
      <x:c r="B194" s="33"/>
      <x:c r="C194" s="423" t="s">
        <x:v>269</x:v>
      </x:c>
      <x:c r="D194" s="52"/>
      <x:c r="E194" s="53"/>
      <x:c r="F194" s="104" t="str">
        <x:f>"(Line "&amp;A$24&amp;")"</x:f>
        <x:v>(Line 5)</x:v>
      </x:c>
      <x:c r="G194" s="176"/>
      <x:c r="H194" s="504">
        <x:f>+H24</x:f>
        <x:v>0.14582932326077899</x:v>
      </x:c>
    </x:row>
    <x:row r="195" spans="1:8">
      <x:c r="A195" s="16">
        <x:v>91</x:v>
      </x:c>
      <x:c r="B195" s="33"/>
      <x:c r="C195" s="15" t="s">
        <x:v>338</x:v>
      </x:c>
      <x:c r="F195" s="22" t="str">
        <x:f>"(Line "&amp;A193&amp;" * "&amp;A194&amp;")"</x:f>
        <x:v>(Line 89 * 90)</x:v>
      </x:c>
      <x:c r="G195" s="174"/>
      <x:c r="H195" s="492">
        <x:f>+H193*H194</x:f>
        <x:v>3399215.3877014094</x:v>
      </x:c>
    </x:row>
    <x:row r="196" spans="1:8">
      <x:c r="A196" s="16"/>
      <x:c r="B196" s="33"/>
      <x:c r="C196" s="15"/>
      <x:c r="F196" s="15"/>
      <x:c r="G196" s="174"/>
      <x:c r="H196" s="58"/>
    </x:row>
    <x:row r="197" spans="1:8">
      <x:c r="A197" s="16">
        <x:v>92</x:v>
      </x:c>
      <x:c r="B197" s="33"/>
      <x:c r="C197" s="15" t="s">
        <x:v>339</x:v>
      </x:c>
      <x:c r="E197" s="105" t="str">
        <x:f>"(Note "&amp;B$341&amp;")"</x:f>
        <x:v>(Note A)</x:v>
      </x:c>
      <x:c r="F197" s="15" t="s">
        <x:v>1976</x:v>
      </x:c>
      <x:c r="H197" s="491">
        <x:f>+'5 - Cost Support 1'!I238</x:f>
        <x:v>1733965.9769926078</x:v>
      </x:c>
    </x:row>
    <x:row r="198" spans="1:8">
      <x:c r="A198" s="16">
        <x:v>93</x:v>
      </x:c>
      <x:c r="B198" s="33"/>
      <x:c r="C198" s="52" t="s">
        <x:v>340</x:v>
      </x:c>
      <x:c r="D198" s="104"/>
      <x:c r="E198" s="99" t="str">
        <x:f>"(Note "&amp;B$341&amp;")"</x:f>
        <x:v>(Note A)</x:v>
      </x:c>
      <x:c r="F198" s="52" t="s">
        <x:v>818</x:v>
      </x:c>
      <x:c r="G198" s="104"/>
      <x:c r="H198" s="499">
        <x:f>+'5 - Cost Support 1'!I239</x:f>
        <x:v>7232727.5005860003</x:v>
      </x:c>
    </x:row>
    <x:row r="199" spans="1:8">
      <x:c r="A199" s="16">
        <x:v>94</x:v>
      </x:c>
      <x:c r="B199" s="33"/>
      <x:c r="C199" s="15" t="s">
        <x:v>42</x:v>
      </x:c>
      <x:c r="F199" s="22" t="str">
        <x:f>"(Line "&amp;A197&amp;" + "&amp;A198&amp;")"</x:f>
        <x:v>(Line 92 + 93)</x:v>
      </x:c>
      <x:c r="H199" s="495">
        <x:f>+H198+H197</x:f>
        <x:v>8966693.4775786083</x:v>
      </x:c>
    </x:row>
    <x:row r="200" spans="1:8">
      <x:c r="A200" s="16">
        <x:v>95</x:v>
      </x:c>
      <x:c r="B200" s="33"/>
      <x:c r="C200" s="423" t="s">
        <x:v>269</x:v>
      </x:c>
      <x:c r="D200" s="52"/>
      <x:c r="E200" s="53"/>
      <x:c r="F200" s="104" t="str">
        <x:f>"(Line "&amp;A$24&amp;")"</x:f>
        <x:v>(Line 5)</x:v>
      </x:c>
      <x:c r="G200" s="176"/>
      <x:c r="H200" s="504">
        <x:f>+H24</x:f>
        <x:v>0.14582932326077899</x:v>
      </x:c>
    </x:row>
    <x:row r="201" spans="1:8">
      <x:c r="A201" s="16">
        <x:v>96</x:v>
      </x:c>
      <x:c r="B201" s="33"/>
      <x:c r="C201" s="15" t="s">
        <x:v>341</x:v>
      </x:c>
      <x:c r="F201" s="22" t="str">
        <x:f>"(Line "&amp;A199&amp;" * "&amp;A200&amp;")"</x:f>
        <x:v>(Line 94 * 95)</x:v>
      </x:c>
      <x:c r="G201" s="174"/>
      <x:c r="H201" s="496">
        <x:f>+H200*H199</x:f>
        <x:v>1307606.8417221294</x:v>
      </x:c>
    </x:row>
    <x:row r="202" spans="1:8">
      <x:c r="A202" s="16"/>
      <x:c r="B202" s="33"/>
      <x:c r="F202" s="15"/>
      <x:c r="G202" s="174"/>
      <x:c r="H202" s="496"/>
    </x:row>
    <x:row r="203" spans="1:8">
      <x:c r="A203" s="108"/>
      <x:c r="B203" s="109"/>
      <x:c r="C203" s="15"/>
      <x:c r="F203" s="15"/>
      <x:c r="G203" s="174"/>
      <x:c r="H203" s="505"/>
    </x:row>
    <x:row r="204" spans="1:8" s="36" customFormat="1" ht="16.5" thickBot="1">
      <x:c r="A204" s="16">
        <x:v>97</x:v>
      </x:c>
      <x:c r="B204" s="110" t="s">
        <x:v>342</x:v>
      </x:c>
      <x:c r="C204" s="110"/>
      <x:c r="D204" s="41"/>
      <x:c r="E204" s="93"/>
      <x:c r="F204" s="90" t="str">
        <x:f>"(Line "&amp;A185&amp;" + "&amp;A195&amp;" + "&amp;A201&amp;")"</x:f>
        <x:v>(Line 86 + 91 + 96)</x:v>
      </x:c>
      <x:c r="G204" s="111"/>
      <x:c r="H204" s="506">
        <x:f>+H185+H195+H201</x:f>
        <x:v>76722140.41018267</x:v>
      </x:c>
    </x:row>
    <x:row r="205" spans="1:8" ht="15.75" thickTop="1">
      <x:c r="H205" s="163"/>
    </x:row>
    <x:row r="206" spans="1:8">
      <x:c r="A206" s="94" t="s">
        <x:v>343</x:v>
      </x:c>
      <x:c r="B206" s="95"/>
      <x:c r="C206" s="468"/>
      <x:c r="D206" s="13"/>
      <x:c r="E206" s="350"/>
      <x:c r="F206" s="13"/>
      <x:c r="G206" s="13"/>
      <x:c r="H206" s="502"/>
    </x:row>
    <x:row r="207" spans="1:8">
      <x:c r="A207" s="100"/>
      <x:c r="B207" s="16"/>
      <x:c r="E207" s="29"/>
      <x:c r="H207" s="488"/>
    </x:row>
    <x:row r="208" spans="1:8">
      <x:c r="A208" s="16">
        <x:v>98</x:v>
      </x:c>
      <x:c r="B208" s="15" t="s">
        <x:v>344</x:v>
      </x:c>
      <x:c r="C208" s="112"/>
      <x:c r="E208" s="105"/>
      <x:c r="F208" s="18" t="s">
        <x:v>345</x:v>
      </x:c>
      <x:c r="H208" s="497">
        <x:f>+'2 - Other Tax'!G36</x:f>
        <x:v>14199403.489112882</x:v>
      </x:c>
    </x:row>
    <x:row r="209" spans="1:8">
      <x:c r="A209" s="16"/>
      <x:c r="F209" s="15"/>
      <x:c r="H209" s="163"/>
    </x:row>
    <x:row r="210" spans="1:8" ht="15.75" thickBot="1">
      <x:c r="A210" s="16">
        <x:v>99</x:v>
      </x:c>
      <x:c r="B210" s="41" t="s">
        <x:v>346</x:v>
      </x:c>
      <x:c r="C210" s="41"/>
      <x:c r="D210" s="41"/>
      <x:c r="E210" s="93"/>
      <x:c r="F210" s="90" t="str">
        <x:f>"(Line "&amp;A208&amp;")"</x:f>
        <x:v>(Line 98)</x:v>
      </x:c>
      <x:c r="G210" s="41"/>
      <x:c r="H210" s="487">
        <x:f>+H208</x:f>
        <x:v>14199403.489112882</x:v>
      </x:c>
    </x:row>
    <x:row r="211" spans="1:8" ht="15.75" thickTop="1">
      <x:c r="A211" s="16"/>
      <x:c r="H211" s="163"/>
    </x:row>
    <x:row r="212" spans="1:8">
      <x:c r="A212" s="94" t="s">
        <x:v>347</x:v>
      </x:c>
      <x:c r="B212" s="95"/>
      <x:c r="C212" s="468"/>
      <x:c r="D212" s="13"/>
      <x:c r="E212" s="124"/>
      <x:c r="F212" s="13"/>
      <x:c r="G212" s="13"/>
      <x:c r="H212" s="45"/>
    </x:row>
    <x:row r="213" spans="1:8">
      <x:c r="B213" s="16"/>
      <x:c r="E213" s="29"/>
      <x:c r="H213" s="91"/>
    </x:row>
    <x:row r="214" spans="1:8">
      <x:c r="A214" s="16"/>
      <x:c r="B214" s="22" t="s">
        <x:v>2</x:v>
      </x:c>
      <x:c r="E214" s="29"/>
      <x:c r="G214" s="22"/>
    </x:row>
    <x:row r="215" spans="1:8">
      <x:c r="A215" s="16">
        <x:v>100</x:v>
      </x:c>
      <x:c r="B215" s="22"/>
      <x:c r="C215" s="18" t="s">
        <x:v>2</x:v>
      </x:c>
      <x:c r="E215" s="29"/>
      <x:c r="F215" s="22" t="s">
        <x:v>348</x:v>
      </x:c>
      <x:c r="G215" s="22"/>
      <x:c r="H215" s="478">
        <x:v>96325604.920000017</x:v>
      </x:c>
    </x:row>
    <x:row r="216" spans="1:8">
      <x:c r="A216" s="16">
        <x:v>101</x:v>
      </x:c>
      <x:c r="B216" s="16"/>
      <x:c r="C216" s="20" t="s">
        <x:v>349</x:v>
      </x:c>
      <x:c r="D216" s="104"/>
      <x:c r="E216" s="113" t="s">
        <x:v>762</x:v>
      </x:c>
      <x:c r="F216" s="119" t="s">
        <x:v>350</x:v>
      </x:c>
      <x:c r="G216" s="119"/>
      <x:c r="H216" s="507">
        <x:v>0</x:v>
      </x:c>
    </x:row>
    <x:row r="217" spans="1:8">
      <x:c r="A217" s="16">
        <x:v>102</x:v>
      </x:c>
      <x:c r="B217" s="16"/>
      <x:c r="C217" s="22" t="s">
        <x:v>2</x:v>
      </x:c>
      <x:c r="F217" s="22" t="s">
        <x:v>2147</x:v>
      </x:c>
      <x:c r="G217" s="22"/>
      <x:c r="H217" s="486">
        <x:f>+H215-H216</x:f>
        <x:v>96325604.920000017</x:v>
      </x:c>
    </x:row>
    <x:row r="218" spans="1:8">
      <x:c r="A218" s="16"/>
      <x:c r="B218" s="16"/>
      <x:c r="C218" s="22"/>
      <x:c r="G218" s="22"/>
      <x:c r="H218" s="22"/>
    </x:row>
    <x:row r="219" spans="1:8">
      <x:c r="A219" s="16">
        <x:v>103</x:v>
      </x:c>
      <x:c r="B219" s="22" t="s">
        <x:v>351</x:v>
      </x:c>
      <x:c r="E219" s="29" t="s">
        <x:v>352</x:v>
      </x:c>
      <x:c r="F219" s="22" t="s">
        <x:v>353</x:v>
      </x:c>
      <x:c r="G219" s="22"/>
      <x:c r="H219" s="114">
        <x:v>0</x:v>
      </x:c>
    </x:row>
    <x:row r="220" spans="1:8">
      <x:c r="A220" s="16"/>
      <x:c r="B220" s="16"/>
      <x:c r="E220" s="29"/>
      <x:c r="F220" s="22"/>
      <x:c r="G220" s="22"/>
      <x:c r="H220" s="22"/>
    </x:row>
    <x:row r="221" spans="1:8">
      <x:c r="A221" s="16"/>
      <x:c r="B221" s="18" t="s">
        <x:v>354</x:v>
      </x:c>
      <x:c r="E221" s="29"/>
      <x:c r="F221" s="22"/>
      <x:c r="G221" s="22"/>
      <x:c r="H221" s="22"/>
    </x:row>
    <x:row r="222" spans="1:8">
      <x:c r="A222" s="16">
        <x:v>104</x:v>
      </x:c>
      <x:c r="B222" s="16"/>
      <x:c r="C222" s="22" t="s">
        <x:v>355</x:v>
      </x:c>
      <x:c r="D222" s="22"/>
      <x:c r="E222" s="105"/>
      <x:c r="F222" s="22" t="s">
        <x:v>356</x:v>
      </x:c>
      <x:c r="G222" s="22"/>
      <x:c r="H222" s="478">
        <x:v>2226953302.5607696</x:v>
      </x:c>
    </x:row>
    <x:row r="223" spans="1:8">
      <x:c r="A223" s="16">
        <x:v>105</x:v>
      </x:c>
      <x:c r="B223" s="16"/>
      <x:c r="C223" s="22" t="s">
        <x:v>357</x:v>
      </x:c>
      <x:c r="D223" s="22"/>
      <x:c r="E223" s="29" t="s">
        <x:v>181</x:v>
      </x:c>
      <x:c r="F223" s="18" t="str">
        <x:f>"(Line "&amp;A235&amp;")"</x:f>
        <x:v>(Line 114)</x:v>
      </x:c>
      <x:c r="G223" s="22"/>
      <x:c r="H223" s="484">
        <x:f>-H235</x:f>
        <x:v>0</x:v>
      </x:c>
    </x:row>
    <x:row r="224" spans="1:8">
      <x:c r="A224" s="16">
        <x:v>106</x:v>
      </x:c>
      <x:c r="B224" s="16"/>
      <x:c r="C224" s="22" t="s">
        <x:v>358</x:v>
      </x:c>
      <x:c r="D224" s="22"/>
      <x:c r="E224" s="29" t="s">
        <x:v>181</x:v>
      </x:c>
      <x:c r="F224" s="22" t="s">
        <x:v>359</x:v>
      </x:c>
      <x:c r="G224" s="22"/>
      <x:c r="H224" s="485">
        <x:v>2177779</x:v>
      </x:c>
    </x:row>
    <x:row r="225" spans="1:8">
      <x:c r="A225" s="16" t="s">
        <x:v>1057</x:v>
      </x:c>
      <x:c r="B225" s="16"/>
      <x:c r="C225" s="119" t="s">
        <x:v>1058</x:v>
      </x:c>
      <x:c r="D225" s="119"/>
      <x:c r="E225" s="168" t="s">
        <x:v>181</x:v>
      </x:c>
      <x:c r="F225" s="119" t="s">
        <x:v>1059</x:v>
      </x:c>
      <x:c r="G225" s="119"/>
      <x:c r="H225" s="489">
        <x:v>0</x:v>
      </x:c>
    </x:row>
    <x:row r="226" spans="1:8">
      <x:c r="A226" s="16">
        <x:v>107</x:v>
      </x:c>
      <x:c r="B226" s="16"/>
      <x:c r="C226" s="22" t="s">
        <x:v>354</x:v>
      </x:c>
      <x:c r="D226" s="22"/>
      <x:c r="E226" s="105" t="s">
        <x:v>1085</x:v>
      </x:c>
      <x:c r="F226" s="22" t="s">
        <x:v>1060</x:v>
      </x:c>
      <x:c r="H226" s="488">
        <x:f>SUM(H222:H225)</x:f>
        <x:v>2229131081.5607696</x:v>
      </x:c>
    </x:row>
    <x:row r="227" spans="1:8">
      <x:c r="A227" s="16"/>
      <x:c r="B227" s="16"/>
      <x:c r="E227" s="29"/>
      <x:c r="F227" s="22"/>
      <x:c r="H227" s="488"/>
    </x:row>
    <x:row r="228" spans="1:8">
      <x:c r="A228" s="16"/>
      <x:c r="B228" s="18" t="s">
        <x:v>3</x:v>
      </x:c>
      <x:c r="E228" s="29"/>
      <x:c r="F228" s="22"/>
      <x:c r="H228" s="488"/>
    </x:row>
    <x:row r="229" spans="1:8">
      <x:c r="A229" s="16">
        <x:v>108</x:v>
      </x:c>
      <x:c r="B229" s="16"/>
      <x:c r="C229" s="18" t="s">
        <x:v>360</x:v>
      </x:c>
      <x:c r="E229" s="105"/>
      <x:c r="F229" s="18" t="s">
        <x:v>361</x:v>
      </x:c>
      <x:c r="H229" s="478">
        <x:v>2186462307.6923075</x:v>
      </x:c>
    </x:row>
    <x:row r="230" spans="1:8">
      <x:c r="A230" s="16">
        <x:v>109</x:v>
      </x:c>
      <x:c r="B230" s="16"/>
      <x:c r="C230" s="18" t="s">
        <x:v>362</x:v>
      </x:c>
      <x:c r="E230" s="29" t="str">
        <x:f>+E224</x:f>
        <x:v>enter negative</x:v>
      </x:c>
      <x:c r="F230" s="18" t="s">
        <x:v>363</x:v>
      </x:c>
      <x:c r="H230" s="478">
        <x:v>-2866664.7369230743</x:v>
      </x:c>
    </x:row>
    <x:row r="231" spans="1:8">
      <x:c r="A231" s="16">
        <x:v>110</x:v>
      </x:c>
      <x:c r="B231" s="16"/>
      <x:c r="C231" s="18" t="s">
        <x:v>364</x:v>
      </x:c>
      <x:c r="E231" s="16" t="s">
        <x:v>365</x:v>
      </x:c>
      <x:c r="F231" s="18" t="s">
        <x:v>366</x:v>
      </x:c>
      <x:c r="H231" s="479">
        <x:v>0</x:v>
      </x:c>
    </x:row>
    <x:row r="232" spans="1:8">
      <x:c r="A232" s="16">
        <x:v>111</x:v>
      </x:c>
      <x:c r="B232" s="16"/>
      <x:c r="C232" s="18" t="s">
        <x:v>367</x:v>
      </x:c>
      <x:c r="E232" s="29" t="str">
        <x:f>IF(H232&gt;0,"enter positive","enter negative")</x:f>
        <x:v>enter positive</x:v>
      </x:c>
      <x:c r="F232" s="22" t="str">
        <x:f>"Attachment 1B - ADIT EOY, Line "&amp;'1B - ADIT EOY'!B22&amp;""</x:f>
        <x:v>Attachment 1B - ADIT EOY, Line 7</x:v>
      </x:c>
      <x:c r="H232" s="484">
        <x:f>-'1B - ADIT EOY'!E22</x:f>
        <x:v>794496</x:v>
      </x:c>
    </x:row>
    <x:row r="233" spans="1:8">
      <x:c r="A233" s="16">
        <x:v>112</x:v>
      </x:c>
      <x:c r="B233" s="16"/>
      <x:c r="C233" s="18" t="s">
        <x:v>368</x:v>
      </x:c>
      <x:c r="D233" s="113" t="s">
        <x:v>762</x:v>
      </x:c>
      <x:c r="E233" s="168" t="s">
        <x:v>181</x:v>
      </x:c>
      <x:c r="F233" s="119" t="str">
        <x:f>+F216</x:f>
        <x:v>Attachment 8</x:v>
      </x:c>
      <x:c r="H233" s="479">
        <x:f>-'8 - Securitization'!E18</x:f>
        <x:v>0</x:v>
      </x:c>
    </x:row>
    <x:row r="234" spans="1:8">
      <x:c r="A234" s="16">
        <x:v>113</x:v>
      </x:c>
      <x:c r="B234" s="16"/>
      <x:c r="C234" s="25" t="s">
        <x:v>369</x:v>
      </x:c>
      <x:c r="D234" s="25"/>
      <x:c r="E234" s="105" t="s">
        <x:v>955</x:v>
      </x:c>
      <x:c r="F234" s="22" t="str">
        <x:f>"(Sum Lines "&amp;A229&amp;" to "&amp;A233&amp;")"</x:f>
        <x:v>(Sum Lines 108 to 112)</x:v>
      </x:c>
      <x:c r="G234" s="25"/>
      <x:c r="H234" s="480">
        <x:f>SUM(H229:H233)</x:f>
        <x:v>2184390138.9553843</x:v>
      </x:c>
    </x:row>
    <x:row r="235" spans="1:8">
      <x:c r="A235" s="16">
        <x:v>114</x:v>
      </x:c>
      <x:c r="B235" s="16"/>
      <x:c r="C235" s="18" t="s">
        <x:v>370</x:v>
      </x:c>
      <x:c r="E235" s="105" t="s">
        <x:v>1055</x:v>
      </x:c>
      <x:c r="F235" s="18" t="s">
        <x:v>371</x:v>
      </x:c>
      <x:c r="H235" s="479">
        <x:v>0</x:v>
      </x:c>
    </x:row>
    <x:row r="236" spans="1:8">
      <x:c r="A236" s="16">
        <x:v>115</x:v>
      </x:c>
      <x:c r="B236" s="16"/>
      <x:c r="C236" s="18" t="s">
        <x:v>354</x:v>
      </x:c>
      <x:c r="F236" s="119" t="str">
        <x:f>"(Line "&amp;A226&amp;")"</x:f>
        <x:v>(Line 107)</x:v>
      </x:c>
      <x:c r="H236" s="486">
        <x:f>H226</x:f>
        <x:v>2229131081.5607696</x:v>
      </x:c>
    </x:row>
    <x:row r="237" spans="1:8">
      <x:c r="A237" s="16">
        <x:v>116</x:v>
      </x:c>
      <x:c r="B237" s="16"/>
      <x:c r="C237" s="25" t="s">
        <x:v>2134</x:v>
      </x:c>
      <x:c r="D237" s="25"/>
      <x:c r="E237" s="92"/>
      <x:c r="F237" s="22" t="str">
        <x:f>"(Sum Lines "&amp;A234&amp;" to "&amp;A236&amp;")"</x:f>
        <x:v>(Sum Lines 113 to 115)</x:v>
      </x:c>
      <x:c r="G237" s="26"/>
      <x:c r="H237" s="481">
        <x:f>H236+H235+H234</x:f>
        <x:v>4413521220.5161533</x:v>
      </x:c>
    </x:row>
    <x:row r="238" spans="1:8">
      <x:c r="A238" s="16"/>
      <x:c r="B238" s="16"/>
      <x:c r="G238" s="22"/>
      <x:c r="H238" s="29"/>
    </x:row>
    <x:row r="239" spans="1:8">
      <x:c r="A239" s="16">
        <x:v>117</x:v>
      </x:c>
      <x:c r="B239" s="16"/>
      <x:c r="C239" s="15" t="s">
        <x:v>373</x:v>
      </x:c>
      <x:c r="D239" s="18" t="s">
        <x:v>369</x:v>
      </x:c>
      <x:c r="E239" s="458" t="s">
        <x:v>1061</x:v>
      </x:c>
      <x:c r="F239" s="22" t="str">
        <x:f>"(Line "&amp;A229&amp;" / ("&amp;A229&amp;"+"&amp;A235&amp;"+"&amp;A236&amp;"))"</x:f>
        <x:v>(Line 108 / (108+114+115))</x:v>
      </x:c>
      <x:c r="G239" s="22"/>
      <x:c r="H239" s="339">
        <x:f>IF(H237&gt;0,H229/(H229+H235+H236),0)</x:f>
        <x:v>0.49516839866049361</x:v>
      </x:c>
    </x:row>
    <x:row r="240" spans="1:8">
      <x:c r="A240" s="16">
        <x:v>118</x:v>
      </x:c>
      <x:c r="B240" s="16"/>
      <x:c r="C240" s="15" t="s">
        <x:v>374</x:v>
      </x:c>
      <x:c r="D240" s="18" t="s">
        <x:v>370</x:v>
      </x:c>
      <x:c r="E240" s="458" t="s">
        <x:v>1061</x:v>
      </x:c>
      <x:c r="F240" s="22" t="str">
        <x:f>"(Line "&amp;A235&amp;" / ("&amp;A229&amp;"+"&amp;A235&amp;"+"&amp;A236&amp;"))"</x:f>
        <x:v>(Line 114 / (108+114+115))</x:v>
      </x:c>
      <x:c r="G240" s="22"/>
      <x:c r="H240" s="339">
        <x:f>IF(H237&gt;0,H235/(H229+H235+H236),0)</x:f>
        <x:v>0</x:v>
      </x:c>
    </x:row>
    <x:row r="241" spans="1:8">
      <x:c r="A241" s="16">
        <x:v>119</x:v>
      </x:c>
      <x:c r="B241" s="16"/>
      <x:c r="C241" s="15" t="s">
        <x:v>375</x:v>
      </x:c>
      <x:c r="D241" s="18" t="s">
        <x:v>354</x:v>
      </x:c>
      <x:c r="E241" s="458" t="s">
        <x:v>1061</x:v>
      </x:c>
      <x:c r="F241" s="22" t="str">
        <x:f>"(Line "&amp;A236&amp;" / ("&amp;A229&amp;"+"&amp;A235&amp;"+"&amp;A236&amp;"))"</x:f>
        <x:v>(Line 115 / (108+114+115))</x:v>
      </x:c>
      <x:c r="G241" s="22"/>
      <x:c r="H241" s="339">
        <x:f>IF(H237&gt;0,H236/(H229+H235+H236),0)</x:f>
        <x:v>0.50483160133950655</x:v>
      </x:c>
    </x:row>
    <x:row r="242" spans="1:8">
      <x:c r="A242" s="16"/>
      <x:c r="B242" s="16"/>
      <x:c r="C242" s="19"/>
      <x:c r="F242" s="22"/>
      <x:c r="G242" s="22"/>
      <x:c r="H242" s="155"/>
    </x:row>
    <x:row r="243" spans="1:8">
      <x:c r="A243" s="16">
        <x:v>120</x:v>
      </x:c>
      <x:c r="B243" s="16"/>
      <x:c r="C243" s="19" t="s">
        <x:v>376</x:v>
      </x:c>
      <x:c r="D243" s="18" t="s">
        <x:v>369</x:v>
      </x:c>
      <x:c r="E243" s="156"/>
      <x:c r="F243" s="22" t="str">
        <x:f>"(Line "&amp;A217&amp;" / "&amp;A234&amp;")"</x:f>
        <x:v>(Line 102 / 113)</x:v>
      </x:c>
      <x:c r="G243" s="22"/>
      <x:c r="H243" s="508">
        <x:f>IF(H234&gt;0,H217/H234,0)</x:f>
        <x:v>4.4097253142730587E-2</x:v>
      </x:c>
    </x:row>
    <x:row r="244" spans="1:8">
      <x:c r="A244" s="16">
        <x:v>121</x:v>
      </x:c>
      <x:c r="B244" s="16"/>
      <x:c r="C244" s="19" t="s">
        <x:v>377</x:v>
      </x:c>
      <x:c r="D244" s="18" t="s">
        <x:v>370</x:v>
      </x:c>
      <x:c r="F244" s="22" t="str">
        <x:f>"(Line "&amp;A219&amp;" / "&amp;A235&amp;")"</x:f>
        <x:v>(Line 103 / 114)</x:v>
      </x:c>
      <x:c r="G244" s="22"/>
      <x:c r="H244" s="508">
        <x:f>IF(H235&gt;0,H219/H235,0)</x:f>
        <x:v>0</x:v>
      </x:c>
    </x:row>
    <x:row r="245" spans="1:8">
      <x:c r="A245" s="16">
        <x:v>122</x:v>
      </x:c>
      <x:c r="B245" s="16"/>
      <x:c r="C245" s="19" t="s">
        <x:v>378</x:v>
      </x:c>
      <x:c r="D245" s="18" t="s">
        <x:v>354</x:v>
      </x:c>
      <x:c r="E245" s="105" t="str">
        <x:f>"(Note "&amp;B$354&amp;")"</x:f>
        <x:v>(Note J)</x:v>
      </x:c>
      <x:c r="F245" s="22" t="s">
        <x:v>379</x:v>
      </x:c>
      <x:c r="G245" s="22"/>
      <x:c r="H245" s="509">
        <x:v>0.105</x:v>
      </x:c>
    </x:row>
    <x:row r="246" spans="1:8">
      <x:c r="A246" s="16"/>
      <x:c r="B246" s="16"/>
      <x:c r="C246" s="19"/>
      <x:c r="F246" s="22"/>
      <x:c r="G246" s="22"/>
      <x:c r="H246" s="508"/>
    </x:row>
    <x:row r="247" spans="1:8">
      <x:c r="A247" s="16">
        <x:v>123</x:v>
      </x:c>
      <x:c r="B247" s="16"/>
      <x:c r="C247" s="15" t="s">
        <x:v>380</x:v>
      </x:c>
      <x:c r="D247" s="18" t="s">
        <x:v>381</x:v>
      </x:c>
      <x:c r="F247" s="22" t="str">
        <x:f>"(Line "&amp;A239&amp;" * "&amp;A243&amp;")"</x:f>
        <x:v>(Line 117 * 120)</x:v>
      </x:c>
      <x:c r="G247" s="32"/>
      <x:c r="H247" s="508">
        <x:f>H243*H239</x:f>
        <x:v>2.1835566224012323E-2</x:v>
      </x:c>
    </x:row>
    <x:row r="248" spans="1:8">
      <x:c r="A248" s="16">
        <x:v>124</x:v>
      </x:c>
      <x:c r="B248" s="16"/>
      <x:c r="C248" s="15" t="s">
        <x:v>382</x:v>
      </x:c>
      <x:c r="D248" s="18" t="s">
        <x:v>370</x:v>
      </x:c>
      <x:c r="F248" s="22" t="str">
        <x:f>"(Line "&amp;A240&amp;" * "&amp;A244&amp;")"</x:f>
        <x:v>(Line 118 * 121)</x:v>
      </x:c>
      <x:c r="G248" s="33"/>
      <x:c r="H248" s="508">
        <x:f>H244*H240</x:f>
        <x:v>0</x:v>
      </x:c>
    </x:row>
    <x:row r="249" spans="1:8">
      <x:c r="A249" s="16">
        <x:v>125</x:v>
      </x:c>
      <x:c r="B249" s="53"/>
      <x:c r="C249" s="52" t="s">
        <x:v>383</x:v>
      </x:c>
      <x:c r="D249" s="104" t="s">
        <x:v>354</x:v>
      </x:c>
      <x:c r="E249" s="53"/>
      <x:c r="F249" s="119" t="str">
        <x:f>"(Line "&amp;A241&amp;" * "&amp;A245&amp;")"</x:f>
        <x:v>(Line 119 * 122)</x:v>
      </x:c>
      <x:c r="G249" s="34"/>
      <x:c r="H249" s="510">
        <x:f>H245*H241</x:f>
        <x:v>5.3007318140648185E-2</x:v>
      </x:c>
    </x:row>
    <x:row r="250" spans="1:8" s="36" customFormat="1" ht="15.75">
      <x:c r="A250" s="16">
        <x:v>126</x:v>
      </x:c>
      <x:c r="B250" s="18" t="s">
        <x:v>384</x:v>
      </x:c>
      <x:c r="C250" s="18"/>
      <x:c r="D250" s="18"/>
      <x:c r="E250" s="16"/>
      <x:c r="F250" s="22" t="str">
        <x:f>"(Sum Lines "&amp;A247&amp;" to "&amp;A249&amp;")"</x:f>
        <x:v>(Sum Lines 123 to 125)</x:v>
      </x:c>
      <x:c r="G250" s="32"/>
      <x:c r="H250" s="30">
        <x:f>SUM(H247:H249)</x:f>
        <x:v>7.4842884364660509E-2</x:v>
      </x:c>
    </x:row>
    <x:row r="251" spans="1:8" s="36" customFormat="1" ht="15.75">
      <x:c r="A251" s="16"/>
      <x:c r="B251" s="16"/>
      <x:c r="C251" s="18"/>
      <x:c r="D251" s="18"/>
      <x:c r="E251" s="16"/>
      <x:c r="F251" s="22"/>
      <x:c r="G251" s="32"/>
      <x:c r="H251" s="30"/>
    </x:row>
    <x:row r="252" spans="1:8" ht="15.75" thickBot="1">
      <x:c r="A252" s="16">
        <x:v>127</x:v>
      </x:c>
      <x:c r="B252" s="115" t="s">
        <x:v>385</x:v>
      </x:c>
      <x:c r="C252" s="41"/>
      <x:c r="D252" s="41"/>
      <x:c r="E252" s="107"/>
      <x:c r="F252" s="90" t="str">
        <x:f>"(Line "&amp;A139&amp;" * "&amp;A250&amp;")"</x:f>
        <x:v>(Line 59 * 126)</x:v>
      </x:c>
      <x:c r="G252" s="116"/>
      <x:c r="H252" s="501">
        <x:f>+H139*H250</x:f>
        <x:v>107602271.26982586</x:v>
      </x:c>
    </x:row>
    <x:row r="253" spans="1:8" ht="15.75" thickTop="1">
      <x:c r="A253" s="16"/>
      <x:c r="B253" s="16"/>
      <x:c r="F253" s="22"/>
      <x:c r="G253" s="22"/>
      <x:c r="H253" s="30"/>
    </x:row>
    <x:row r="254" spans="1:8">
      <x:c r="A254" s="94" t="s">
        <x:v>386</x:v>
      </x:c>
      <x:c r="B254" s="95"/>
      <x:c r="C254" s="468"/>
      <x:c r="D254" s="13"/>
      <x:c r="E254" s="350"/>
      <x:c r="F254" s="13"/>
      <x:c r="G254" s="13"/>
      <x:c r="H254" s="45"/>
    </x:row>
    <x:row r="255" spans="1:8">
      <x:c r="B255" s="16"/>
      <x:c r="E255" s="29"/>
      <x:c r="H255" s="91"/>
    </x:row>
    <x:row r="256" spans="1:8">
      <x:c r="A256" s="16" t="s">
        <x:v>83</x:v>
      </x:c>
      <x:c r="B256" s="48" t="s">
        <x:v>84</x:v>
      </x:c>
      <x:c r="E256" s="29"/>
      <x:c r="F256" s="22"/>
      <x:c r="G256" s="47"/>
    </x:row>
    <x:row r="257" spans="1:8">
      <x:c r="A257" s="16">
        <x:v>128</x:v>
      </x:c>
      <x:c r="B257" s="16"/>
      <x:c r="C257" s="18" t="s">
        <x:v>175</x:v>
      </x:c>
      <x:c r="E257" s="105" t="str">
        <x:f>"(Note "&amp;B352&amp;")"</x:f>
        <x:v>(Note I)</x:v>
      </x:c>
      <x:c r="H257" s="469">
        <x:v>0.21</x:v>
      </x:c>
    </x:row>
    <x:row r="258" spans="1:8">
      <x:c r="A258" s="16">
        <x:v>129</x:v>
      </x:c>
      <x:c r="B258" s="16"/>
      <x:c r="C258" s="18" t="s">
        <x:v>176</x:v>
      </x:c>
      <x:c r="D258" s="170"/>
      <x:c r="E258" s="105" t="str">
        <x:f>"(Note "&amp;B$352&amp;")"</x:f>
        <x:v>(Note I)</x:v>
      </x:c>
      <x:c r="H258" s="469">
        <x:f>'5 - Cost Support 1'!F65</x:f>
        <x:v>8.5000000000000006E-2</x:v>
      </x:c>
    </x:row>
    <x:row r="259" spans="1:8">
      <x:c r="A259" s="16">
        <x:v>130</x:v>
      </x:c>
      <x:c r="B259" s="16"/>
      <x:c r="C259" s="18" t="s">
        <x:v>438</x:v>
      </x:c>
      <x:c r="D259" s="18" t="s">
        <x:v>1422</x:v>
      </x:c>
      <x:c r="F259" s="18" t="s">
        <x:v>1491</x:v>
      </x:c>
      <x:c r="H259" s="469">
        <x:v>0</x:v>
      </x:c>
    </x:row>
    <x:row r="260" spans="1:8">
      <x:c r="A260" s="16">
        <x:v>131</x:v>
      </x:c>
      <x:c r="B260" s="16"/>
      <x:c r="C260" s="18" t="s">
        <x:v>177</x:v>
      </x:c>
      <x:c r="D260" s="48" t="s">
        <x:v>1423</x:v>
      </x:c>
      <x:c r="H260" s="50">
        <x:f>IF(H257&gt;0,1-(((1-H258)*(1-H257))/(1-H258*H257*H259)),0)</x:f>
        <x:v>0.2771499999999999</x:v>
      </x:c>
    </x:row>
    <x:row r="261" spans="1:8">
      <x:c r="A261" s="16" t="s">
        <x:v>1087</x:v>
      </x:c>
      <x:c r="B261" s="16"/>
      <x:c r="C261" s="18" t="s">
        <x:v>179</x:v>
      </x:c>
      <x:c r="D261" s="170"/>
      <x:c r="H261" s="339">
        <x:f>+H260/(1-H260)</x:f>
        <x:v>0.38341287957390863</x:v>
      </x:c>
    </x:row>
    <x:row r="262" spans="1:8">
      <x:c r="A262" s="16" t="s">
        <x:v>1088</x:v>
      </x:c>
      <x:c r="B262" s="16"/>
      <x:c r="C262" s="18" t="s">
        <x:v>1089</x:v>
      </x:c>
      <x:c r="D262" s="170" t="s">
        <x:v>1090</x:v>
      </x:c>
      <x:c r="H262" s="171">
        <x:f>1*1/(1-H260)</x:f>
        <x:v>1.3834128795739087</x:v>
      </x:c>
    </x:row>
    <x:row r="263" spans="1:8">
      <x:c r="A263" s="16"/>
      <x:c r="B263" s="16"/>
      <x:c r="E263" s="49"/>
      <x:c r="F263" s="48"/>
      <x:c r="G263" s="47"/>
      <x:c r="H263" s="50"/>
    </x:row>
    <x:row r="264" spans="1:8">
      <x:c r="A264" s="16"/>
      <x:c r="B264" s="48" t="s">
        <x:v>180</x:v>
      </x:c>
      <x:c r="E264" s="105" t="str">
        <x:f>"(Note "&amp;B$369&amp;")"</x:f>
        <x:v>(Note U)</x:v>
      </x:c>
      <x:c r="F264" s="22"/>
      <x:c r="G264" s="47"/>
      <x:c r="H264" s="117"/>
    </x:row>
    <x:row r="265" spans="1:8">
      <x:c r="A265" s="16">
        <x:v>133</x:v>
      </x:c>
      <x:c r="B265" s="16"/>
      <x:c r="C265" s="18" t="s">
        <x:v>1092</x:v>
      </x:c>
      <x:c r="E265" s="29" t="s">
        <x:v>181</x:v>
      </x:c>
      <x:c r="F265" s="15" t="s">
        <x:v>1091</x:v>
      </x:c>
      <x:c r="G265" s="47"/>
      <x:c r="H265" s="497">
        <x:f>-'1B - ADIT EOY'!E323</x:f>
        <x:v>-53105.855233204471</x:v>
      </x:c>
    </x:row>
    <x:row r="266" spans="1:8">
      <x:c r="A266" s="16">
        <x:v>134</x:v>
      </x:c>
      <x:c r="B266" s="16"/>
      <x:c r="C266" s="104" t="s">
        <x:v>1111</x:v>
      </x:c>
      <x:c r="D266" s="104"/>
      <x:c r="E266" s="53"/>
      <x:c r="F266" s="119" t="str">
        <x:f>"(Line "&amp;A262&amp;")"</x:f>
        <x:v>(Line 132b)</x:v>
      </x:c>
      <x:c r="G266" s="178"/>
      <x:c r="H266" s="179">
        <x:f>+H262</x:f>
        <x:v>1.3834128795739087</x:v>
      </x:c>
    </x:row>
    <x:row r="267" spans="1:8">
      <x:c r="A267" s="16">
        <x:v>135</x:v>
      </x:c>
      <x:c r="B267" s="16"/>
      <x:c r="C267" s="28" t="s">
        <x:v>182</x:v>
      </x:c>
      <x:c r="D267" s="25"/>
      <x:c r="E267" s="105"/>
      <x:c r="F267" s="22" t="str">
        <x:f>"(Line "&amp;A265&amp;" * "&amp;A266&amp;")"</x:f>
        <x:v>(Line 133 * 134)</x:v>
      </x:c>
      <x:c r="G267" s="340"/>
      <x:c r="H267" s="497">
        <x:f>+H265*H266</x:f>
        <x:v>-73467.324110402522</x:v>
      </x:c>
    </x:row>
    <x:row r="268" spans="1:8">
      <x:c r="A268" s="16"/>
      <x:c r="B268" s="16"/>
      <x:c r="C268" s="15"/>
      <x:c r="E268" s="105"/>
      <x:c r="G268" s="174"/>
      <x:c r="H268" s="22"/>
    </x:row>
    <x:row r="269" spans="1:8">
      <x:c r="A269" s="16"/>
      <x:c r="B269" s="15" t="s">
        <x:v>946</x:v>
      </x:c>
      <x:c r="C269" s="15"/>
      <x:c r="E269" s="108"/>
      <x:c r="F269" s="22"/>
      <x:c r="G269" s="174"/>
      <x:c r="H269" s="175"/>
    </x:row>
    <x:row r="270" spans="1:8">
      <x:c r="A270" s="16" t="s">
        <x:v>947</x:v>
      </x:c>
      <x:c r="B270" s="15"/>
      <x:c r="C270" s="15" t="s">
        <x:v>1093</x:v>
      </x:c>
      <x:c r="E270" s="105" t="s">
        <x:v>948</x:v>
      </x:c>
      <x:c r="F270" s="22" t="str">
        <x:f>"Attachment 5, Line "&amp;'5 - Cost Support 1'!A253&amp;""</x:f>
        <x:v>Attachment 5, Line 136a</x:v>
      </x:c>
      <x:c r="G270" s="174"/>
      <x:c r="H270" s="497">
        <x:f>+'5 - Cost Support 1'!L253</x:f>
        <x:v>251685.73514999991</x:v>
      </x:c>
    </x:row>
    <x:row r="271" spans="1:8">
      <x:c r="A271" s="16" t="s">
        <x:v>949</x:v>
      </x:c>
      <x:c r="B271" s="15"/>
      <x:c r="C271" s="15" t="s">
        <x:v>1094</x:v>
      </x:c>
      <x:c r="E271" s="105" t="s">
        <x:v>948</x:v>
      </x:c>
      <x:c r="F271" s="22" t="str">
        <x:f>"Attachment 5, Line "&amp;'5 - Cost Support 1'!A255&amp;""</x:f>
        <x:v>Attachment 5, Line 136b</x:v>
      </x:c>
      <x:c r="G271" s="174"/>
      <x:c r="H271" s="497">
        <x:f>+'5 - Cost Support 1'!L255</x:f>
        <x:v>-1127924</x:v>
      </x:c>
    </x:row>
    <x:row r="272" spans="1:8">
      <x:c r="A272" s="16" t="s">
        <x:v>950</x:v>
      </x:c>
      <x:c r="B272" s="15"/>
      <x:c r="C272" s="15" t="s">
        <x:v>1096</x:v>
      </x:c>
      <x:c r="E272" s="105" t="s">
        <x:v>948</x:v>
      </x:c>
      <x:c r="F272" s="22" t="str">
        <x:f>"Attachment 5, Line "&amp;'5 - Cost Support 1'!A256&amp;""</x:f>
        <x:v>Attachment 5, Line 136c</x:v>
      </x:c>
      <x:c r="G272" s="174"/>
      <x:c r="H272" s="497">
        <x:f>+'5 - Cost Support 1'!L256</x:f>
        <x:v>0</x:v>
      </x:c>
    </x:row>
    <x:row r="273" spans="1:8">
      <x:c r="A273" s="16" t="s">
        <x:v>1095</x:v>
      </x:c>
      <x:c r="B273" s="15"/>
      <x:c r="C273" s="52" t="s">
        <x:v>1098</x:v>
      </x:c>
      <x:c r="D273" s="104"/>
      <x:c r="E273" s="99" t="s">
        <x:v>948</x:v>
      </x:c>
      <x:c r="F273" s="119" t="str">
        <x:f>"Attachment 5, Line "&amp;'5 - Cost Support 1'!A257&amp;""</x:f>
        <x:v>Attachment 5, Line 136d</x:v>
      </x:c>
      <x:c r="G273" s="176"/>
      <x:c r="H273" s="498">
        <x:f>+'5 - Cost Support 1'!L257</x:f>
        <x:v>0</x:v>
      </x:c>
    </x:row>
    <x:row r="274" spans="1:8">
      <x:c r="A274" s="16" t="s">
        <x:v>1097</x:v>
      </x:c>
      <x:c r="B274" s="15"/>
      <x:c r="C274" s="15" t="s">
        <x:v>1100</x:v>
      </x:c>
      <x:c r="E274" s="105"/>
      <x:c r="F274" s="22" t="str">
        <x:f>"(Line "&amp;A270&amp;" + "&amp;A271&amp;" + "&amp;A272&amp;" + "&amp;A273&amp;")"</x:f>
        <x:v>(Line 136a + 136b + 136c + 136d)</x:v>
      </x:c>
      <x:c r="G274" s="174"/>
      <x:c r="H274" s="163">
        <x:f>H270+H271+H272+H273</x:f>
        <x:v>-876238.26485000015</x:v>
      </x:c>
    </x:row>
    <x:row r="275" spans="1:8">
      <x:c r="A275" s="16" t="s">
        <x:v>1099</x:v>
      </x:c>
      <x:c r="B275" s="16"/>
      <x:c r="C275" s="104" t="s">
        <x:v>1492</x:v>
      </x:c>
      <x:c r="D275" s="104"/>
      <x:c r="E275" s="351"/>
      <x:c r="F275" s="119" t="str">
        <x:f>"(Line "&amp;A262&amp;")"</x:f>
        <x:v>(Line 132b)</x:v>
      </x:c>
      <x:c r="G275" s="176"/>
      <x:c r="H275" s="177">
        <x:f>+H262</x:f>
        <x:v>1.3834128795739087</x:v>
      </x:c>
    </x:row>
    <x:row r="276" spans="1:8">
      <x:c r="A276" s="16" t="s">
        <x:v>1101</x:v>
      </x:c>
      <x:c r="B276" s="16"/>
      <x:c r="C276" s="15" t="s">
        <x:v>946</x:v>
      </x:c>
      <x:c r="E276" s="108" t="s">
        <x:v>83</x:v>
      </x:c>
      <x:c r="F276" s="22" t="str">
        <x:f>"(Line "&amp;A274&amp;" * "&amp;A275&amp;")"</x:f>
        <x:v>(Line 136e * 136f)</x:v>
      </x:c>
      <x:c r="G276" s="174"/>
      <x:c r="H276" s="493">
        <x:f>H274*H275</x:f>
        <x:v>-1212199.301168984</x:v>
      </x:c>
    </x:row>
    <x:row r="277" spans="1:8">
      <x:c r="A277" s="16"/>
      <x:c r="B277" s="16"/>
      <x:c r="C277" s="15"/>
      <x:c r="E277" s="105"/>
      <x:c r="F277" s="22"/>
      <x:c r="G277" s="174"/>
      <x:c r="H277" s="482"/>
    </x:row>
    <x:row r="278" spans="1:8">
      <x:c r="A278" s="16">
        <x:v>137</x:v>
      </x:c>
      <x:c r="B278" s="18" t="s">
        <x:v>183</x:v>
      </x:c>
      <x:c r="D278" s="18" t="s">
        <x:v>184</x:v>
      </x:c>
      <x:c r="E278" s="29"/>
      <x:c r="F278" s="22" t="str">
        <x:f>"(Line "&amp;A261&amp;" * "&amp;A252&amp;" * (1-("&amp;A247&amp;" / "&amp;A250&amp;")))"</x:f>
        <x:v>(Line 132a * 127 * (1-(123 / 126)))</x:v>
      </x:c>
      <x:c r="H278" s="484">
        <x:f>+H261*(1-H247/H250)*H252</x:f>
        <x:v>29219545.188884858</x:v>
      </x:c>
    </x:row>
    <x:row r="279" spans="1:8">
      <x:c r="A279" s="16"/>
      <x:c r="B279" s="16"/>
      <x:c r="C279" s="15"/>
      <x:c r="F279" s="174"/>
      <x:c r="G279" s="174"/>
      <x:c r="H279" s="496"/>
    </x:row>
    <x:row r="280" spans="1:8" ht="15.75" thickBot="1">
      <x:c r="A280" s="16">
        <x:v>138</x:v>
      </x:c>
      <x:c r="B280" s="115" t="s">
        <x:v>185</x:v>
      </x:c>
      <x:c r="C280" s="115"/>
      <x:c r="D280" s="41"/>
      <x:c r="E280" s="93"/>
      <x:c r="F280" s="90" t="str">
        <x:f>"(Line "&amp;A267&amp;" + "&amp;A276&amp;" +"&amp;A278&amp;")"</x:f>
        <x:v>(Line 135 + 136g +137)</x:v>
      </x:c>
      <x:c r="G280" s="118"/>
      <x:c r="H280" s="511">
        <x:f>+H278+H276+H267</x:f>
        <x:v>27933878.563605469</x:v>
      </x:c>
    </x:row>
    <x:row r="281" spans="1:8" ht="15.75" thickTop="1">
      <x:c r="A281" s="16"/>
      <x:c r="B281" s="16"/>
      <x:c r="C281" s="48"/>
      <x:c r="F281" s="58"/>
      <x:c r="G281" s="59"/>
      <x:c r="H281" s="60"/>
    </x:row>
    <x:row r="282" spans="1:8">
      <x:c r="A282" s="94" t="s">
        <x:v>387</x:v>
      </x:c>
      <x:c r="B282" s="95"/>
      <x:c r="C282" s="468"/>
      <x:c r="D282" s="13"/>
      <x:c r="E282" s="124"/>
      <x:c r="F282" s="13"/>
      <x:c r="G282" s="13"/>
      <x:c r="H282" s="45"/>
    </x:row>
    <x:row r="283" spans="1:8">
      <x:c r="A283" s="16"/>
    </x:row>
    <x:row r="284" spans="1:8">
      <x:c r="A284" s="16"/>
      <x:c r="B284" s="18" t="s">
        <x:v>388</x:v>
      </x:c>
    </x:row>
    <x:row r="285" spans="1:8">
      <x:c r="A285" s="16">
        <x:v>139</x:v>
      </x:c>
      <x:c r="C285" s="18" t="s">
        <x:v>389</x:v>
      </x:c>
      <x:c r="F285" s="22" t="str">
        <x:f>"(Line "&amp;A89&amp;")"</x:f>
        <x:v>(Line 39)</x:v>
      </x:c>
      <x:c r="H285" s="163">
        <x:f>+H89</x:f>
        <x:v>1719252961.9333677</x:v>
      </x:c>
    </x:row>
    <x:row r="286" spans="1:8">
      <x:c r="A286" s="16">
        <x:v>140</x:v>
      </x:c>
      <x:c r="C286" s="18" t="s">
        <x:v>390</x:v>
      </x:c>
      <x:c r="F286" s="119" t="str">
        <x:f>"(Line "&amp;A137&amp;")"</x:f>
        <x:v>(Line 58)</x:v>
      </x:c>
      <x:c r="H286" s="163">
        <x:f>+H137</x:f>
        <x:v>-281544191.30996072</x:v>
      </x:c>
    </x:row>
    <x:row r="287" spans="1:8">
      <x:c r="A287" s="16">
        <x:v>141</x:v>
      </x:c>
      <x:c r="B287" s="16"/>
      <x:c r="C287" s="25" t="s">
        <x:v>305</x:v>
      </x:c>
      <x:c r="D287" s="25"/>
      <x:c r="E287" s="89"/>
      <x:c r="F287" s="22" t="str">
        <x:f>"(Line "&amp;A139&amp;")"</x:f>
        <x:v>(Line 59)</x:v>
      </x:c>
      <x:c r="G287" s="25"/>
      <x:c r="H287" s="494">
        <x:f>+H139</x:f>
        <x:v>1437708770.6234069</x:v>
      </x:c>
    </x:row>
    <x:row r="288" spans="1:8">
      <x:c r="A288" s="16"/>
      <x:c r="B288" s="16"/>
      <x:c r="E288" s="29"/>
      <x:c r="H288" s="163"/>
    </x:row>
    <x:row r="289" spans="1:8">
      <x:c r="A289" s="16">
        <x:v>142</x:v>
      </x:c>
      <x:c r="C289" s="18" t="s">
        <x:v>306</x:v>
      </x:c>
      <x:c r="F289" s="22" t="str">
        <x:f>"(Line "&amp;A179&amp;")"</x:f>
        <x:v>(Line 85)</x:v>
      </x:c>
      <x:c r="H289" s="163">
        <x:f>+H179</x:f>
        <x:v>39705456.085851431</x:v>
      </x:c>
    </x:row>
    <x:row r="290" spans="1:8">
      <x:c r="A290" s="16">
        <x:v>143</x:v>
      </x:c>
      <x:c r="C290" s="15" t="s">
        <x:v>391</x:v>
      </x:c>
      <x:c r="F290" s="22" t="str">
        <x:f>"(Line "&amp;A204&amp;")"</x:f>
        <x:v>(Line 97)</x:v>
      </x:c>
      <x:c r="H290" s="163">
        <x:f>+H204</x:f>
        <x:v>76722140.41018267</x:v>
      </x:c>
    </x:row>
    <x:row r="291" spans="1:8">
      <x:c r="A291" s="16">
        <x:v>144</x:v>
      </x:c>
      <x:c r="B291" s="16"/>
      <x:c r="C291" s="18" t="s">
        <x:v>344</x:v>
      </x:c>
      <x:c r="E291" s="29"/>
      <x:c r="F291" s="22" t="str">
        <x:f>"(Line "&amp;A210&amp;")"</x:f>
        <x:v>(Line 99)</x:v>
      </x:c>
      <x:c r="H291" s="163">
        <x:f>+H210</x:f>
        <x:v>14199403.489112882</x:v>
      </x:c>
    </x:row>
    <x:row r="292" spans="1:8">
      <x:c r="A292" s="16">
        <x:v>145</x:v>
      </x:c>
      <x:c r="B292" s="16"/>
      <x:c r="C292" s="48" t="s">
        <x:v>392</x:v>
      </x:c>
      <x:c r="E292" s="29"/>
      <x:c r="F292" s="22" t="str">
        <x:f>"(Line "&amp;A252&amp;")"</x:f>
        <x:v>(Line 127)</x:v>
      </x:c>
      <x:c r="H292" s="163">
        <x:f>+H252</x:f>
        <x:v>107602271.26982586</x:v>
      </x:c>
    </x:row>
    <x:row r="293" spans="1:8">
      <x:c r="A293" s="16">
        <x:v>146</x:v>
      </x:c>
      <x:c r="B293" s="16"/>
      <x:c r="C293" s="48" t="s">
        <x:v>393</x:v>
      </x:c>
      <x:c r="E293" s="29"/>
      <x:c r="F293" s="22" t="str">
        <x:f>"(Line "&amp;A280&amp;")"</x:f>
        <x:v>(Line 138)</x:v>
      </x:c>
      <x:c r="H293" s="163">
        <x:f>+H280</x:f>
        <x:v>27933878.563605469</x:v>
      </x:c>
    </x:row>
    <x:row r="294" spans="1:8" ht="15.75" thickBot="1">
      <x:c r="A294" s="16"/>
      <x:c r="B294" s="16"/>
      <x:c r="C294" s="48"/>
      <x:c r="E294" s="29"/>
      <x:c r="H294" s="163"/>
    </x:row>
    <x:row r="295" spans="1:8" ht="15.75" thickBot="1">
      <x:c r="A295" s="473">
        <x:v>147</x:v>
      </x:c>
      <x:c r="B295" s="474"/>
      <x:c r="C295" s="120" t="s">
        <x:v>394</x:v>
      </x:c>
      <x:c r="D295" s="120"/>
      <x:c r="E295" s="475"/>
      <x:c r="F295" s="476" t="str">
        <x:f>"(Sum Lines "&amp;A289&amp;" to "&amp;A293&amp;")"</x:f>
        <x:v>(Sum Lines 142 to 146)</x:v>
      </x:c>
      <x:c r="G295" s="120"/>
      <x:c r="H295" s="1435">
        <x:f>SUM(H293,H292,H291,H290,H289)</x:f>
        <x:v>266163149.8185783</x:v>
      </x:c>
    </x:row>
    <x:row r="296" spans="1:8">
      <x:c r="A296" s="16"/>
      <x:c r="B296" s="16"/>
      <x:c r="E296" s="29"/>
      <x:c r="F296" s="22"/>
      <x:c r="H296" s="512"/>
    </x:row>
    <x:row r="297" spans="1:8">
      <x:c r="A297" s="16"/>
      <x:c r="B297" s="15" t="s">
        <x:v>91</x:v>
      </x:c>
      <x:c r="E297" s="29"/>
      <x:c r="F297" s="22"/>
      <x:c r="H297" s="512"/>
    </x:row>
    <x:row r="298" spans="1:8">
      <x:c r="A298" s="16">
        <x:v>148</x:v>
      </x:c>
      <x:c r="B298" s="16"/>
      <x:c r="C298" s="18" t="s">
        <x:v>264</x:v>
      </x:c>
      <x:c r="E298" s="29"/>
      <x:c r="F298" s="22" t="str">
        <x:f>"(Line "&amp;A54&amp;")"</x:f>
        <x:v>(Line 19)</x:v>
      </x:c>
      <x:c r="H298" s="513">
        <x:f>+H54</x:f>
        <x:v>2267367283.2436771</x:v>
      </x:c>
    </x:row>
    <x:row r="299" spans="1:8">
      <x:c r="A299" s="16">
        <x:v>149</x:v>
      </x:c>
      <x:c r="B299" s="16"/>
      <x:c r="C299" s="104" t="s">
        <x:v>395</x:v>
      </x:c>
      <x:c r="D299" s="104"/>
      <x:c r="E299" s="99" t="str">
        <x:f>"(Note "&amp;B$357&amp;")"</x:f>
        <x:v>(Note M)</x:v>
      </x:c>
      <x:c r="F299" s="119" t="s">
        <x:v>288</x:v>
      </x:c>
      <x:c r="G299" s="104"/>
      <x:c r="H299" s="498">
        <x:f>+'5 - Cost Support 1'!G89</x:f>
        <x:v>0</x:v>
      </x:c>
    </x:row>
    <x:row r="300" spans="1:8">
      <x:c r="A300" s="16">
        <x:v>150</x:v>
      </x:c>
      <x:c r="B300" s="16"/>
      <x:c r="C300" s="18" t="s">
        <x:v>396</x:v>
      </x:c>
      <x:c r="E300" s="29"/>
      <x:c r="F300" s="22" t="str">
        <x:f>"(Line "&amp;A298&amp;" - "&amp;A299&amp;")"</x:f>
        <x:v>(Line 148 - 149)</x:v>
      </x:c>
      <x:c r="H300" s="513">
        <x:f>+H298-H299</x:f>
        <x:v>2267367283.2436771</x:v>
      </x:c>
    </x:row>
    <x:row r="301" spans="1:8">
      <x:c r="A301" s="16">
        <x:v>151</x:v>
      </x:c>
      <x:c r="B301" s="16"/>
      <x:c r="C301" s="18" t="s">
        <x:v>397</x:v>
      </x:c>
      <x:c r="E301" s="29"/>
      <x:c r="F301" s="22" t="str">
        <x:f>"(Line "&amp;A300&amp;" / "&amp;A298&amp;")"</x:f>
        <x:v>(Line 150 / 148)</x:v>
      </x:c>
      <x:c r="H301" s="1416">
        <x:f>+H300/H298</x:f>
        <x:v>1</x:v>
      </x:c>
    </x:row>
    <x:row r="302" spans="1:8">
      <x:c r="A302" s="16">
        <x:v>152</x:v>
      </x:c>
      <x:c r="B302" s="16"/>
      <x:c r="C302" s="104" t="s">
        <x:v>394</x:v>
      </x:c>
      <x:c r="D302" s="104"/>
      <x:c r="E302" s="168"/>
      <x:c r="F302" s="119" t="str">
        <x:f>"(Line "&amp;A295&amp;")"</x:f>
        <x:v>(Line 147)</x:v>
      </x:c>
      <x:c r="G302" s="104"/>
      <x:c r="H302" s="498">
        <x:f>+H295</x:f>
        <x:v>266163149.8185783</x:v>
      </x:c>
    </x:row>
    <x:row r="303" spans="1:8">
      <x:c r="A303" s="16">
        <x:v>153</x:v>
      </x:c>
      <x:c r="B303" s="16"/>
      <x:c r="C303" s="18" t="s">
        <x:v>398</x:v>
      </x:c>
      <x:c r="E303" s="29"/>
      <x:c r="F303" s="22" t="str">
        <x:f>"(Line "&amp;A301&amp;" * "&amp;A302&amp;")"</x:f>
        <x:v>(Line 151 * 152)</x:v>
      </x:c>
      <x:c r="H303" s="513">
        <x:f>+H302*H301</x:f>
        <x:v>266163149.8185783</x:v>
      </x:c>
    </x:row>
    <x:row r="304" spans="1:8">
      <x:c r="A304" s="100"/>
      <x:c r="B304" s="16"/>
      <x:c r="E304" s="29"/>
      <x:c r="H304" s="488"/>
    </x:row>
    <x:row r="305" spans="1:8">
      <x:c r="A305" s="100"/>
      <x:c r="B305" s="15" t="s">
        <x:v>399</x:v>
      </x:c>
      <x:c r="E305" s="29"/>
      <x:c r="H305" s="488"/>
    </x:row>
    <x:row r="306" spans="1:8">
      <x:c r="A306" s="16">
        <x:v>154</x:v>
      </x:c>
      <x:c r="C306" s="15" t="s">
        <x:v>400</x:v>
      </x:c>
      <x:c r="E306" s="29"/>
      <x:c r="F306" s="18" t="s">
        <x:v>401</x:v>
      </x:c>
      <x:c r="H306" s="484">
        <x:f>+'3 - Revenue Credits'!G24</x:f>
        <x:v>8518417.3156069368</x:v>
      </x:c>
    </x:row>
    <x:row r="307" spans="1:8">
      <x:c r="A307" s="16">
        <x:v>155</x:v>
      </x:c>
      <x:c r="C307" s="15" t="s">
        <x:v>402</x:v>
      </x:c>
      <x:c r="E307" s="105" t="str">
        <x:f>"(Note "&amp;B$358&amp;")"</x:f>
        <x:v>(Note N)</x:v>
      </x:c>
      <x:c r="F307" s="18" t="s">
        <x:v>312</x:v>
      </x:c>
      <x:c r="H307" s="484">
        <x:f>+'5 - Cost Support 1'!G171</x:f>
        <x:v>0</x:v>
      </x:c>
    </x:row>
    <x:row r="308" spans="1:8" ht="15.75" thickBot="1">
      <x:c r="A308" s="16"/>
      <x:c r="B308" s="16"/>
      <x:c r="H308" s="488"/>
    </x:row>
    <x:row r="309" spans="1:8" s="36" customFormat="1" ht="16.5" thickBot="1">
      <x:c r="A309" s="473">
        <x:v>156</x:v>
      </x:c>
      <x:c r="B309" s="120"/>
      <x:c r="C309" s="477" t="s">
        <x:v>403</x:v>
      </x:c>
      <x:c r="D309" s="120"/>
      <x:c r="E309" s="474"/>
      <x:c r="F309" s="476" t="str">
        <x:f>"(Line "&amp;A303&amp;" - "&amp;A306&amp;" + "&amp;A307&amp;")"</x:f>
        <x:v>(Line 153 - 154 + 155)</x:v>
      </x:c>
      <x:c r="G309" s="120"/>
      <x:c r="H309" s="1435">
        <x:f>+H303-H306+H307</x:f>
        <x:v>257644732.50297135</x:v>
      </x:c>
    </x:row>
    <x:row r="310" spans="1:8">
      <x:c r="A310" s="100"/>
      <x:c r="B310" s="16"/>
      <x:c r="H310" s="488"/>
    </x:row>
    <x:row r="311" spans="1:8">
      <x:c r="A311" s="16"/>
      <x:c r="B311" s="18" t="s">
        <x:v>404</x:v>
      </x:c>
      <x:c r="H311" s="488"/>
    </x:row>
    <x:row r="312" spans="1:8">
      <x:c r="A312" s="16">
        <x:v>157</x:v>
      </x:c>
      <x:c r="B312" s="16"/>
      <x:c r="C312" s="18" t="s">
        <x:v>403</x:v>
      </x:c>
      <x:c r="F312" s="18" t="str">
        <x:f>"(Line "&amp;A309&amp;")"</x:f>
        <x:v>(Line 156)</x:v>
      </x:c>
      <x:c r="H312" s="1417">
        <x:f>+H309</x:f>
        <x:v>257644732.50297135</x:v>
      </x:c>
    </x:row>
    <x:row r="313" spans="1:8">
      <x:c r="A313" s="16">
        <x:v>158</x:v>
      </x:c>
      <x:c r="B313" s="16"/>
      <x:c r="C313" s="18" t="s">
        <x:v>405</x:v>
      </x:c>
      <x:c r="F313" s="18" t="str">
        <x:f>"(Line "&amp;A54&amp;" - "&amp;A74&amp;")"</x:f>
        <x:v>(Line 19 - 30)</x:v>
      </x:c>
      <x:c r="H313" s="1417">
        <x:f>+H54-H74</x:f>
        <x:v>1667427766.1939282</x:v>
      </x:c>
    </x:row>
    <x:row r="314" spans="1:8">
      <x:c r="A314" s="16">
        <x:v>159</x:v>
      </x:c>
      <x:c r="B314" s="16"/>
      <x:c r="C314" s="18" t="s">
        <x:v>406</x:v>
      </x:c>
      <x:c r="F314" s="18" t="str">
        <x:f>"(Line "&amp;A312&amp;" / "&amp;A313&amp;")"</x:f>
        <x:v>(Line 157 / 158)</x:v>
      </x:c>
      <x:c r="H314" s="1421">
        <x:f>+H312/H313</x:f>
        <x:v>0.15451627814203395</x:v>
      </x:c>
    </x:row>
    <x:row r="315" spans="1:8">
      <x:c r="A315" s="16">
        <x:v>160</x:v>
      </x:c>
      <x:c r="B315" s="16"/>
      <x:c r="C315" s="18" t="s">
        <x:v>407</x:v>
      </x:c>
      <x:c r="F315" s="18" t="str">
        <x:f>"(Line "&amp;A312&amp;" - "&amp;A185&amp;") / "&amp;A313</x:f>
        <x:v>(Line 157 - 86) / 158</x:v>
      </x:c>
      <x:c r="H315" s="1421">
        <x:f>(H312-H185)/H313</x:f>
        <x:v>0.11132681012379328</x:v>
      </x:c>
    </x:row>
    <x:row r="316" spans="1:8">
      <x:c r="A316" s="16">
        <x:v>161</x:v>
      </x:c>
      <x:c r="B316" s="16"/>
      <x:c r="C316" s="18" t="s">
        <x:v>408</x:v>
      </x:c>
      <x:c r="F316" s="18" t="str">
        <x:f>"(Line "&amp;A312&amp;" - "&amp;A185&amp;" - "&amp;A252&amp;" - "&amp;A280&amp;") / "&amp;A313</x:f>
        <x:v>(Line 157 - 86 - 127 - 138) / 158</x:v>
      </x:c>
      <x:c r="H316" s="1421">
        <x:f>(H312-H185-H252-H280)/H313</x:f>
        <x:v>3.0042239612648292E-2</x:v>
      </x:c>
    </x:row>
    <x:row r="317" spans="1:8">
      <x:c r="A317" s="16"/>
      <x:c r="B317" s="16"/>
      <x:c r="H317" s="1417"/>
    </x:row>
    <x:row r="318" spans="1:8">
      <x:c r="A318" s="16"/>
      <x:c r="B318" s="16"/>
      <x:c r="H318" s="1417"/>
    </x:row>
    <x:row r="319" spans="1:8">
      <x:c r="A319" s="16"/>
      <x:c r="B319" s="18" t="s">
        <x:v>409</x:v>
      </x:c>
      <x:c r="H319" s="1417"/>
    </x:row>
    <x:row r="320" spans="1:8">
      <x:c r="A320" s="16">
        <x:v>162</x:v>
      </x:c>
      <x:c r="B320" s="16"/>
      <x:c r="C320" s="18" t="s">
        <x:v>410</x:v>
      </x:c>
      <x:c r="F320" s="18" t="str">
        <x:f>"(Line "&amp;A309&amp;" - "&amp;A292&amp;" - "&amp;A293&amp;")"</x:f>
        <x:v>(Line 156 - 145 - 146)</x:v>
      </x:c>
      <x:c r="H320" s="1417">
        <x:f>+H309-H292-H293</x:f>
        <x:v>122108582.66954</x:v>
      </x:c>
    </x:row>
    <x:row r="321" spans="1:8">
      <x:c r="A321" s="16">
        <x:v>163</x:v>
      </x:c>
      <x:c r="B321" s="16"/>
      <x:c r="C321" s="18" t="s">
        <x:v>411</x:v>
      </x:c>
      <x:c r="F321" s="18" t="s">
        <x:v>412</x:v>
      </x:c>
      <x:c r="H321" s="1418">
        <x:f>+'4 - 100 Basis Pt ROE'!I6</x:f>
        <x:v>145576971.87028086</x:v>
      </x:c>
    </x:row>
    <x:row r="322" spans="1:8">
      <x:c r="A322" s="16">
        <x:v>164</x:v>
      </x:c>
      <x:c r="B322" s="16"/>
      <x:c r="C322" s="18" t="s">
        <x:v>413</x:v>
      </x:c>
      <x:c r="F322" s="18" t="str">
        <x:f>"(Line "&amp;A320&amp;" + "&amp;A321&amp;")"</x:f>
        <x:v>(Line 162 + 163)</x:v>
      </x:c>
      <x:c r="H322" s="1417">
        <x:f>+H321+H320</x:f>
        <x:v>267685554.53982085</x:v>
      </x:c>
    </x:row>
    <x:row r="323" spans="1:8">
      <x:c r="A323" s="16">
        <x:v>165</x:v>
      </x:c>
      <x:c r="B323" s="16"/>
      <x:c r="C323" s="18" t="s">
        <x:v>405</x:v>
      </x:c>
      <x:c r="F323" s="18" t="str">
        <x:f>"(Line "&amp;A54&amp;" - "&amp;A74&amp;")"</x:f>
        <x:v>(Line 19 - 30)</x:v>
      </x:c>
      <x:c r="H323" s="1417">
        <x:f>+H313</x:f>
        <x:v>1667427766.1939282</x:v>
      </x:c>
    </x:row>
    <x:row r="324" spans="1:8">
      <x:c r="A324" s="16">
        <x:v>166</x:v>
      </x:c>
      <x:c r="B324" s="16"/>
      <x:c r="C324" s="18" t="s">
        <x:v>414</x:v>
      </x:c>
      <x:c r="F324" s="18" t="str">
        <x:f>"(Line "&amp;A322&amp;" / "&amp;A323&amp;")"</x:f>
        <x:v>(Line 164 / 165)</x:v>
      </x:c>
      <x:c r="H324" s="117">
        <x:f>+H322/H323</x:f>
        <x:v>0.16053802147654053</x:v>
      </x:c>
    </x:row>
    <x:row r="325" spans="1:8">
      <x:c r="A325" s="16">
        <x:v>167</x:v>
      </x:c>
      <x:c r="B325" s="16"/>
      <x:c r="C325" s="18" t="s">
        <x:v>415</x:v>
      </x:c>
      <x:c r="F325" s="18" t="str">
        <x:f>"(Line "&amp;A322&amp;" - "&amp;A185&amp;") / "&amp;A323</x:f>
        <x:v>(Line 164 - 86) / 165</x:v>
      </x:c>
      <x:c r="H325" s="117">
        <x:f>(H322-H185)/H323</x:f>
        <x:v>0.11734855345829986</x:v>
      </x:c>
    </x:row>
    <x:row r="326" spans="1:8">
      <x:c r="A326" s="16"/>
      <x:c r="B326" s="16"/>
      <x:c r="E326" s="121"/>
      <x:c r="H326" s="488"/>
    </x:row>
    <x:row r="327" spans="1:8">
      <x:c r="A327" s="16">
        <x:v>168</x:v>
      </x:c>
      <x:c r="B327" s="16"/>
      <x:c r="C327" s="18" t="s">
        <x:v>403</x:v>
      </x:c>
      <x:c r="F327" s="18" t="str">
        <x:f>"(Line "&amp;A309&amp;")"</x:f>
        <x:v>(Line 156)</x:v>
      </x:c>
      <x:c r="H327" s="488">
        <x:f>+H309</x:f>
        <x:v>257644732.50297135</x:v>
      </x:c>
    </x:row>
    <x:row r="328" spans="1:8">
      <x:c r="A328" s="16">
        <x:v>169</x:v>
      </x:c>
      <x:c r="B328" s="16"/>
      <x:c r="C328" s="18" t="s">
        <x:v>416</x:v>
      </x:c>
      <x:c r="E328" s="29"/>
      <x:c r="F328" s="15" t="s">
        <x:v>724</x:v>
      </x:c>
      <x:c r="H328" s="484">
        <x:f>IF('1A - ADIT Summary'!D187="true-up adjustment",0,IFERROR('6A - Project True-up'!K40,0))</x:f>
        <x:v>11890562.853398491</x:v>
      </x:c>
    </x:row>
    <x:row r="329" spans="1:8">
      <x:c r="A329" s="16">
        <x:v>170</x:v>
      </x:c>
      <x:c r="B329" s="16"/>
      <x:c r="C329" s="18" t="s">
        <x:v>417</x:v>
      </x:c>
      <x:c r="E329" s="29"/>
      <x:c r="F329" s="15" t="s">
        <x:v>832</x:v>
      </x:c>
      <x:c r="H329" s="484">
        <x:f>'6 - Project Rev Req'!N70</x:f>
        <x:v>369263.12786186906</x:v>
      </x:c>
    </x:row>
    <x:row r="330" spans="1:8">
      <x:c r="A330" s="16">
        <x:v>171</x:v>
      </x:c>
      <x:c r="B330" s="16"/>
      <x:c r="C330" s="18" t="s">
        <x:v>418</x:v>
      </x:c>
      <x:c r="D330" s="71"/>
      <x:c r="E330" s="105"/>
      <x:c r="F330" s="18" t="s">
        <x:v>419</x:v>
      </x:c>
      <x:c r="H330" s="482">
        <x:f>+'5 - Cost Support 1'!G180</x:f>
        <x:v>0</x:v>
      </x:c>
    </x:row>
    <x:row r="331" spans="1:8">
      <x:c r="A331" s="16" t="s">
        <x:v>138</x:v>
      </x:c>
      <x:c r="B331" s="16"/>
      <x:c r="C331" s="18" t="s">
        <x:v>136</x:v>
      </x:c>
      <x:c r="D331" s="71"/>
      <x:c r="E331" s="105"/>
      <x:c r="F331" s="18" t="s">
        <x:v>419</x:v>
      </x:c>
      <x:c r="H331" s="482">
        <x:v>0</x:v>
      </x:c>
    </x:row>
    <x:row r="332" spans="1:8">
      <x:c r="A332" s="16">
        <x:v>172</x:v>
      </x:c>
      <x:c r="B332" s="16"/>
      <x:c r="C332" s="18" t="s">
        <x:v>420</x:v>
      </x:c>
      <x:c r="D332" s="71"/>
      <x:c r="F332" s="18" t="str">
        <x:f>"(Line "&amp;A327&amp;" + "&amp;A328&amp;" + "&amp;170&amp;" + "&amp;A330&amp;" + "&amp;A331&amp;")"</x:f>
        <x:v>(Line 168 + 169 + 170 + 171 + 171a)</x:v>
      </x:c>
      <x:c r="H332" s="488">
        <x:f>SUM(H327:H331)</x:f>
        <x:v>269904558.48423171</x:v>
      </x:c>
    </x:row>
    <x:row r="333" spans="1:8">
      <x:c r="A333" s="16"/>
      <x:c r="B333" s="16"/>
      <x:c r="H333" s="488"/>
    </x:row>
    <x:row r="334" spans="1:8">
      <x:c r="A334" s="16"/>
      <x:c r="B334" s="15" t="s">
        <x:v>124</x:v>
      </x:c>
      <x:c r="H334" s="488"/>
    </x:row>
    <x:row r="335" spans="1:8">
      <x:c r="A335" s="16">
        <x:v>173</x:v>
      </x:c>
      <x:c r="B335" s="16"/>
      <x:c r="C335" s="18" t="s">
        <x:v>421</x:v>
      </x:c>
      <x:c r="E335" s="105" t="str">
        <x:f>"(Note "&amp;B$356&amp;")"</x:f>
        <x:v>(Note L)</x:v>
      </x:c>
      <x:c r="F335" s="18" t="s">
        <x:v>312</x:v>
      </x:c>
      <x:c r="H335" s="1046">
        <x:f>+'5 - Cost Support 1'!G186</x:f>
        <x:v>4188.5</x:v>
      </x:c>
    </x:row>
    <x:row r="336" spans="1:8">
      <x:c r="A336" s="16">
        <x:v>174</x:v>
      </x:c>
      <x:c r="B336" s="16"/>
      <x:c r="C336" s="18" t="s">
        <x:v>422</x:v>
      </x:c>
      <x:c r="D336" s="109"/>
      <x:c r="E336" s="108"/>
      <x:c r="F336" s="22" t="str">
        <x:f>"(Line "&amp;A332&amp;" / "&amp;A335&amp;")"</x:f>
        <x:v>(Line 172 / 173)</x:v>
      </x:c>
      <x:c r="G336" s="335"/>
      <x:c r="H336" s="496">
        <x:f>+H332/H335</x:f>
        <x:v>64439.431415597879</x:v>
      </x:c>
    </x:row>
    <x:row r="337" spans="1:8" ht="15.75" thickBot="1">
      <x:c r="A337" s="16"/>
      <x:c r="B337" s="16"/>
      <x:c r="E337" s="108"/>
      <x:c r="F337" s="335"/>
      <x:c r="G337" s="335"/>
      <x:c r="H337" s="496"/>
    </x:row>
    <x:row r="338" spans="1:8" ht="15.75" thickBot="1">
      <x:c r="A338" s="473">
        <x:v>175</x:v>
      </x:c>
      <x:c r="B338" s="474"/>
      <x:c r="C338" s="477" t="s">
        <x:v>423</x:v>
      </x:c>
      <x:c r="D338" s="474"/>
      <x:c r="E338" s="1305" t="str">
        <x:f>"(Note "&amp;B$387&amp;")"</x:f>
        <x:v>(Note ZZ)</x:v>
      </x:c>
      <x:c r="F338" s="477" t="s">
        <x:v>778</x:v>
      </x:c>
      <x:c r="G338" s="474"/>
      <x:c r="H338" s="1436">
        <x:f>+H336</x:f>
        <x:v>64439.431415597879</x:v>
      </x:c>
    </x:row>
    <x:row r="339" spans="1:8" ht="15.75">
      <x:c r="A339" s="122"/>
      <x:c r="B339" s="16"/>
      <x:c r="E339" s="470"/>
      <x:c r="F339" s="335"/>
      <x:c r="G339" s="335"/>
      <x:c r="H339" s="336"/>
    </x:row>
    <x:row r="340" spans="1:8" ht="15.75">
      <x:c r="A340" s="39"/>
      <x:c r="B340" s="24" t="s">
        <x:v>244</x:v>
      </x:c>
      <x:c r="E340" s="470"/>
      <x:c r="F340" s="335"/>
      <x:c r="G340" s="335"/>
      <x:c r="H340" s="336"/>
    </x:row>
    <x:row r="341" spans="1:8" ht="15.75">
      <x:c r="A341" s="39"/>
      <x:c r="B341" s="16" t="s">
        <x:v>9</x:v>
      </x:c>
      <x:c r="C341" s="426" t="s">
        <x:v>2126</x:v>
      </x:c>
      <x:c r="D341" s="426"/>
      <x:c r="E341" s="1182"/>
      <x:c r="F341" s="1183"/>
      <x:c r="G341" s="335"/>
      <x:c r="H341" s="336"/>
    </x:row>
    <x:row r="342" spans="1:8" ht="15.75">
      <x:c r="A342" s="39"/>
      <x:c r="B342" s="16" t="s">
        <x:v>10</x:v>
      </x:c>
      <x:c r="C342" s="1184" t="s">
        <x:v>424</x:v>
      </x:c>
      <x:c r="D342" s="426"/>
      <x:c r="E342" s="1182"/>
      <x:c r="F342" s="1183"/>
      <x:c r="G342" s="335"/>
      <x:c r="H342" s="336"/>
    </x:row>
    <x:row r="343" spans="1:8" ht="15.75">
      <x:c r="A343" s="39"/>
      <x:c r="B343" s="16"/>
      <x:c r="C343" s="1184" t="s">
        <x:v>425</x:v>
      </x:c>
      <x:c r="D343" s="426"/>
      <x:c r="E343" s="1182"/>
      <x:c r="F343" s="1183"/>
      <x:c r="G343" s="335"/>
      <x:c r="H343" s="123"/>
    </x:row>
    <x:row r="344" spans="1:8" ht="15.75">
      <x:c r="A344" s="39"/>
      <x:c r="B344" s="16"/>
      <x:c r="C344" s="1184" t="s">
        <x:v>829</x:v>
      </x:c>
      <x:c r="D344" s="426"/>
      <x:c r="E344" s="1182"/>
      <x:c r="F344" s="1183"/>
      <x:c r="G344" s="335"/>
      <x:c r="H344" s="336"/>
    </x:row>
    <x:row r="345" spans="1:8" ht="15.75">
      <x:c r="A345" s="39"/>
      <x:c r="B345" s="16"/>
      <x:c r="C345" s="1184" t="s">
        <x:v>2131</x:v>
      </x:c>
      <x:c r="D345" s="426"/>
      <x:c r="E345" s="1182"/>
      <x:c r="F345" s="1183"/>
      <x:c r="G345" s="335"/>
      <x:c r="H345" s="336"/>
    </x:row>
    <x:row r="346" spans="1:8" ht="15.75">
      <x:c r="A346" s="39"/>
      <x:c r="B346" s="16"/>
      <x:c r="C346" s="1184" t="s">
        <x:v>426</x:v>
      </x:c>
      <x:c r="D346" s="426"/>
      <x:c r="E346" s="1182"/>
      <x:c r="F346" s="1183"/>
      <x:c r="G346" s="335"/>
      <x:c r="H346" s="336"/>
    </x:row>
    <x:row r="347" spans="1:8" ht="15.75">
      <x:c r="A347" s="39"/>
      <x:c r="B347" s="16" t="s">
        <x:v>11</x:v>
      </x:c>
      <x:c r="C347" s="1184" t="s">
        <x:v>2127</x:v>
      </x:c>
      <x:c r="D347" s="426"/>
      <x:c r="E347" s="1182"/>
      <x:c r="F347" s="1183"/>
      <x:c r="G347" s="335"/>
      <x:c r="H347" s="336"/>
    </x:row>
    <x:row r="348" spans="1:8" ht="15.75">
      <x:c r="A348" s="39"/>
      <x:c r="B348" s="16" t="s">
        <x:v>14</x:v>
      </x:c>
      <x:c r="C348" s="426" t="s">
        <x:v>2128</x:v>
      </x:c>
      <x:c r="D348" s="426"/>
      <x:c r="E348" s="1182"/>
      <x:c r="F348" s="1183"/>
      <x:c r="G348" s="335"/>
      <x:c r="H348" s="336"/>
    </x:row>
    <x:row r="349" spans="1:8" ht="15.75">
      <x:c r="A349" s="39"/>
      <x:c r="B349" s="16" t="s">
        <x:v>133</x:v>
      </x:c>
      <x:c r="C349" s="426" t="s">
        <x:v>2129</x:v>
      </x:c>
      <x:c r="D349" s="426"/>
      <x:c r="E349" s="1182"/>
      <x:c r="F349" s="1183"/>
      <x:c r="G349" s="335"/>
      <x:c r="H349" s="336"/>
    </x:row>
    <x:row r="350" spans="1:8" ht="15.75">
      <x:c r="A350" s="39"/>
      <x:c r="B350" s="16" t="s">
        <x:v>134</x:v>
      </x:c>
      <x:c r="C350" s="426" t="s">
        <x:v>2130</x:v>
      </x:c>
      <x:c r="D350" s="426"/>
      <x:c r="E350" s="1182"/>
      <x:c r="F350" s="1183"/>
      <x:c r="G350" s="335"/>
      <x:c r="H350" s="336"/>
    </x:row>
    <x:row r="351" spans="1:8" ht="15.75">
      <x:c r="A351" s="39"/>
      <x:c r="B351" s="16" t="s">
        <x:v>135</x:v>
      </x:c>
      <x:c r="C351" s="426" t="s">
        <x:v>427</x:v>
      </x:c>
      <x:c r="D351" s="426"/>
      <x:c r="E351" s="1182"/>
      <x:c r="F351" s="1183"/>
      <x:c r="G351" s="335"/>
      <x:c r="H351" s="336"/>
    </x:row>
    <x:row r="352" spans="1:8" ht="15.75" customHeight="1">
      <x:c r="A352" s="39"/>
      <x:c r="B352" s="16" t="s">
        <x:v>428</x:v>
      </x:c>
      <x:c r="C352" s="1587" t="s">
        <x:v>1917</x:v>
      </x:c>
      <x:c r="D352" s="1587"/>
      <x:c r="E352" s="1587"/>
      <x:c r="F352" s="1587"/>
      <x:c r="G352" s="335"/>
      <x:c r="H352" s="336"/>
    </x:row>
    <x:row r="353" spans="1:8" ht="15.75">
      <x:c r="A353" s="39"/>
      <x:c r="B353" s="16"/>
      <x:c r="C353" s="1587"/>
      <x:c r="D353" s="1587"/>
      <x:c r="E353" s="1587"/>
      <x:c r="F353" s="1587"/>
      <x:c r="G353" s="335"/>
      <x:c r="H353" s="336"/>
    </x:row>
    <x:row r="354" spans="1:8" ht="31.5" customHeight="1">
      <x:c r="A354" s="39"/>
      <x:c r="B354" s="349" t="s">
        <x:v>429</x:v>
      </x:c>
      <x:c r="C354" s="1589" t="s">
        <x:v>17</x:v>
      </x:c>
      <x:c r="D354" s="1590"/>
      <x:c r="E354" s="1590"/>
      <x:c r="F354" s="1590"/>
      <x:c r="G354" s="335"/>
      <x:c r="H354" s="336"/>
    </x:row>
    <x:row r="355" spans="1:8" ht="15.75">
      <x:c r="A355" s="39"/>
      <x:c r="B355" s="16" t="s">
        <x:v>430</x:v>
      </x:c>
      <x:c r="C355" s="426" t="s">
        <x:v>2132</x:v>
      </x:c>
      <x:c r="D355" s="426"/>
      <x:c r="E355" s="1182"/>
      <x:c r="F355" s="1183"/>
      <x:c r="G355" s="335"/>
      <x:c r="H355" s="336"/>
    </x:row>
    <x:row r="356" spans="1:8" ht="15.75">
      <x:c r="A356" s="16"/>
      <x:c r="B356" s="16" t="s">
        <x:v>431</x:v>
      </x:c>
      <x:c r="C356" s="426" t="s">
        <x:v>432</x:v>
      </x:c>
      <x:c r="D356" s="426"/>
      <x:c r="E356" s="1182"/>
      <x:c r="F356" s="1183"/>
      <x:c r="G356" s="335"/>
      <x:c r="H356" s="336"/>
    </x:row>
    <x:row r="357" spans="1:8" ht="15.75">
      <x:c r="A357" s="16"/>
      <x:c r="B357" s="16" t="s">
        <x:v>433</x:v>
      </x:c>
      <x:c r="C357" s="426" t="s">
        <x:v>434</x:v>
      </x:c>
      <x:c r="D357" s="426"/>
      <x:c r="E357" s="1182"/>
      <x:c r="F357" s="1183"/>
      <x:c r="G357" s="335"/>
      <x:c r="H357" s="336"/>
    </x:row>
    <x:row r="358" spans="1:8" ht="15.75">
      <x:c r="A358" s="16"/>
      <x:c r="B358" s="16" t="s">
        <x:v>435</x:v>
      </x:c>
      <x:c r="C358" s="1185" t="s">
        <x:v>2133</x:v>
      </x:c>
      <x:c r="D358" s="426"/>
      <x:c r="E358" s="1182"/>
      <x:c r="F358" s="1183"/>
      <x:c r="G358" s="335"/>
      <x:c r="H358" s="336"/>
    </x:row>
    <x:row r="359" spans="1:8" ht="15.75">
      <x:c r="A359" s="16"/>
      <x:c r="B359" s="16"/>
      <x:c r="C359" s="1185" t="s">
        <x:v>436</x:v>
      </x:c>
      <x:c r="D359" s="426"/>
      <x:c r="E359" s="1182"/>
      <x:c r="F359" s="1183"/>
      <x:c r="G359" s="335"/>
      <x:c r="H359" s="336"/>
    </x:row>
    <x:row r="360" spans="1:8" ht="15.75">
      <x:c r="A360" s="16"/>
      <x:c r="B360" s="16"/>
      <x:c r="C360" s="1185"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426"/>
      <x:c r="E360" s="1182"/>
      <x:c r="F360" s="1183"/>
      <x:c r="G360" s="335"/>
      <x:c r="H360" s="336"/>
    </x:row>
    <x:row r="361" spans="1:8" ht="15.75">
      <x:c r="A361" s="16"/>
      <x:c r="B361" s="16" t="s">
        <x:v>437</x:v>
      </x:c>
      <x:c r="C361" s="1185"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426"/>
      <x:c r="E361" s="1182"/>
      <x:c r="F361" s="1183"/>
      <x:c r="G361" s="335"/>
      <x:c r="H361" s="336"/>
    </x:row>
    <x:row r="362" spans="1:8" ht="15.75">
      <x:c r="A362" s="471"/>
      <x:c r="B362" s="16"/>
      <x:c r="C362" s="1185" t="str">
        <x:f>"  If they are booked to Acct 565, they are included in on line "&amp;A149&amp;"."</x:f>
        <x:v xml:space="preserve">  If they are booked to Acct 565, they are included in on line 64.</x:v>
      </x:c>
      <x:c r="D362" s="426"/>
      <x:c r="E362" s="1182"/>
      <x:c r="F362" s="1183"/>
      <x:c r="G362" s="39"/>
      <x:c r="H362" s="39"/>
    </x:row>
    <x:row r="363" spans="1:8" ht="15.75">
      <x:c r="A363" s="16"/>
      <x:c r="B363" s="16" t="s">
        <x:v>438</x:v>
      </x:c>
      <x:c r="C363" s="1185" t="s">
        <x:v>439</x:v>
      </x:c>
      <x:c r="D363" s="349"/>
      <x:c r="E363" s="349"/>
      <x:c r="F363" s="349"/>
      <x:c r="G363" s="335"/>
      <x:c r="H363" s="336"/>
    </x:row>
    <x:row r="364" spans="1:8" ht="15.75">
      <x:c r="A364" s="16"/>
      <x:c r="B364" s="16" t="s">
        <x:v>440</x:v>
      </x:c>
      <x:c r="C364" s="1186" t="s">
        <x:v>1490</x:v>
      </x:c>
      <x:c r="D364" s="426"/>
      <x:c r="E364" s="1182"/>
      <x:c r="F364" s="1183"/>
      <x:c r="G364" s="335"/>
      <x:c r="H364" s="336"/>
    </x:row>
    <x:row r="365" spans="1:8" ht="15.75">
      <x:c r="A365" s="16"/>
      <x:c r="B365" s="16" t="s">
        <x:v>441</x:v>
      </x:c>
      <x:c r="C365" s="426" t="s">
        <x:v>442</x:v>
      </x:c>
      <x:c r="D365" s="426"/>
      <x:c r="E365" s="1182"/>
      <x:c r="F365" s="1183"/>
      <x:c r="G365" s="335"/>
      <x:c r="H365" s="336"/>
    </x:row>
    <x:row r="366" spans="1:8" ht="15.75">
      <x:c r="A366" s="16"/>
      <x:c r="B366" s="24"/>
      <x:c r="C366" s="426" t="s">
        <x:v>443</x:v>
      </x:c>
      <x:c r="D366" s="426"/>
      <x:c r="E366" s="1182"/>
      <x:c r="F366" s="1183"/>
      <x:c r="G366" s="335"/>
      <x:c r="H366" s="336"/>
    </x:row>
    <x:row r="367" spans="1:8" ht="15.75">
      <x:c r="A367" s="16"/>
      <x:c r="B367" s="16" t="s">
        <x:v>444</x:v>
      </x:c>
      <x:c r="C367" s="426" t="s">
        <x:v>445</x:v>
      </x:c>
      <x:c r="D367" s="426"/>
      <x:c r="E367" s="1182"/>
      <x:c r="F367" s="1183"/>
      <x:c r="G367" s="335"/>
      <x:c r="H367" s="336"/>
    </x:row>
    <x:row r="368" spans="1:8" ht="15.75">
      <x:c r="A368" s="16"/>
      <x:c r="B368" s="349" t="s">
        <x:v>177</x:v>
      </x:c>
      <x:c r="C368" s="426" t="s">
        <x:v>1102</x:v>
      </x:c>
      <x:c r="D368" s="426"/>
      <x:c r="E368" s="1182"/>
      <x:c r="F368" s="1183"/>
      <x:c r="G368" s="335"/>
      <x:c r="H368" s="336"/>
    </x:row>
    <x:row r="369" spans="1:8" ht="15.75" customHeight="1">
      <x:c r="A369" s="16"/>
      <x:c r="B369" s="16" t="s">
        <x:v>828</x:v>
      </x:c>
      <x:c r="C369" s="1587" t="s">
        <x:v>1383</x:v>
      </x:c>
      <x:c r="D369" s="1587"/>
      <x:c r="E369" s="1587"/>
      <x:c r="F369" s="1587"/>
      <x:c r="G369" s="335"/>
      <x:c r="H369" s="336"/>
    </x:row>
    <x:row r="370" spans="1:8" ht="15.75" customHeight="1">
      <x:c r="A370" s="16"/>
      <x:c r="B370" s="16"/>
      <x:c r="C370" s="1587"/>
      <x:c r="D370" s="1587"/>
      <x:c r="E370" s="1587"/>
      <x:c r="F370" s="1587"/>
      <x:c r="G370" s="335"/>
      <x:c r="H370" s="336"/>
    </x:row>
    <x:row r="371" spans="1:8" ht="14.25" customHeight="1">
      <x:c r="A371" s="16"/>
      <x:c r="B371" s="349" t="s">
        <x:v>956</x:v>
      </x:c>
      <x:c r="C371" s="1588" t="s">
        <x:v>1103</x:v>
      </x:c>
      <x:c r="D371" s="1588"/>
      <x:c r="E371" s="1588"/>
      <x:c r="F371" s="1588"/>
      <x:c r="G371" s="335"/>
      <x:c r="H371" s="336"/>
    </x:row>
    <x:row r="372" spans="1:8" ht="15.75">
      <x:c r="A372" s="16"/>
      <x:c r="B372" s="349"/>
      <x:c r="C372" s="1588"/>
      <x:c r="D372" s="1588"/>
      <x:c r="E372" s="1588"/>
      <x:c r="F372" s="1588"/>
      <x:c r="G372" s="335"/>
      <x:c r="H372" s="336"/>
    </x:row>
    <x:row r="373" spans="1:8" ht="15.75">
      <x:c r="A373" s="16"/>
      <x:c r="B373" s="349"/>
      <x:c r="C373" s="1588"/>
      <x:c r="D373" s="1588"/>
      <x:c r="E373" s="1588"/>
      <x:c r="F373" s="1588"/>
      <x:c r="G373" s="335"/>
      <x:c r="H373" s="336"/>
    </x:row>
    <x:row r="374" spans="1:8" ht="15.75">
      <x:c r="A374" s="16"/>
      <x:c r="B374" s="349"/>
      <x:c r="C374" s="1588"/>
      <x:c r="D374" s="1588"/>
      <x:c r="E374" s="1588"/>
      <x:c r="F374" s="1588"/>
      <x:c r="G374" s="335"/>
      <x:c r="H374" s="336"/>
    </x:row>
    <x:row r="375" spans="1:8" ht="15.75">
      <x:c r="A375" s="16"/>
      <x:c r="B375" s="349"/>
      <x:c r="C375" s="1588"/>
      <x:c r="D375" s="1588"/>
      <x:c r="E375" s="1588"/>
      <x:c r="F375" s="1588"/>
      <x:c r="G375" s="335"/>
      <x:c r="H375" s="336"/>
    </x:row>
    <x:row r="376" spans="1:8" ht="15.75">
      <x:c r="A376" s="16"/>
      <x:c r="B376" s="349"/>
      <x:c r="C376" s="1588"/>
      <x:c r="D376" s="1588"/>
      <x:c r="E376" s="1588"/>
      <x:c r="F376" s="1588"/>
      <x:c r="G376" s="335"/>
      <x:c r="H376" s="336"/>
    </x:row>
    <x:row r="377" spans="1:8" ht="15.75">
      <x:c r="A377" s="16"/>
      <x:c r="B377" s="349"/>
      <x:c r="C377" s="1588"/>
      <x:c r="D377" s="1588"/>
      <x:c r="E377" s="1588"/>
      <x:c r="F377" s="1588"/>
      <x:c r="G377" s="335"/>
      <x:c r="H377" s="336"/>
    </x:row>
    <x:row r="378" spans="1:8" ht="15.75">
      <x:c r="A378" s="16"/>
      <x:c r="B378" s="349"/>
      <x:c r="C378" s="1588"/>
      <x:c r="D378" s="1588"/>
      <x:c r="E378" s="1588"/>
      <x:c r="F378" s="1588"/>
      <x:c r="G378" s="335"/>
      <x:c r="H378" s="336"/>
    </x:row>
    <x:row r="379" spans="1:8" ht="15.75">
      <x:c r="A379" s="16"/>
      <x:c r="B379" s="349"/>
      <x:c r="C379" s="1588"/>
      <x:c r="D379" s="1588"/>
      <x:c r="E379" s="1588"/>
      <x:c r="F379" s="1588"/>
      <x:c r="G379" s="335"/>
      <x:c r="H379" s="336"/>
    </x:row>
    <x:row r="380" spans="1:8" ht="15.75" customHeight="1">
      <x:c r="A380" s="16"/>
      <x:c r="B380" s="349" t="s">
        <x:v>957</x:v>
      </x:c>
      <x:c r="C380" s="1587" t="s">
        <x:v>1916</x:v>
      </x:c>
      <x:c r="D380" s="1587"/>
      <x:c r="E380" s="1587"/>
      <x:c r="F380" s="1587"/>
      <x:c r="G380" s="335"/>
      <x:c r="H380" s="336"/>
    </x:row>
    <x:row r="381" spans="1:8" ht="15.75">
      <x:c r="A381" s="16"/>
      <x:c r="B381" s="349"/>
      <x:c r="C381" s="1587"/>
      <x:c r="D381" s="1587"/>
      <x:c r="E381" s="1587"/>
      <x:c r="F381" s="1587"/>
      <x:c r="G381" s="335"/>
      <x:c r="H381" s="336"/>
    </x:row>
    <x:row r="382" spans="1:8" ht="15.75">
      <x:c r="A382" s="16"/>
      <x:c r="B382" s="349"/>
      <x:c r="C382" s="1587"/>
      <x:c r="D382" s="1587"/>
      <x:c r="E382" s="1587"/>
      <x:c r="F382" s="1587"/>
      <x:c r="G382" s="335"/>
      <x:c r="H382" s="336"/>
    </x:row>
    <x:row r="383" spans="1:8" ht="34.5" customHeight="1">
      <x:c r="A383" s="16"/>
      <x:c r="B383" s="349" t="s">
        <x:v>958</x:v>
      </x:c>
      <x:c r="C383" s="1588" t="s">
        <x:v>1335</x:v>
      </x:c>
      <x:c r="D383" s="1588"/>
      <x:c r="E383" s="1588"/>
      <x:c r="F383" s="1588"/>
      <x:c r="G383" s="335"/>
      <x:c r="H383" s="336"/>
    </x:row>
    <x:row r="384" spans="1:8" ht="33" customHeight="1">
      <x:c r="A384" s="16"/>
      <x:c r="B384" s="349" t="s">
        <x:v>1062</x:v>
      </x:c>
      <x:c r="C384" s="1588" t="s">
        <x:v>1336</x:v>
      </x:c>
      <x:c r="D384" s="1588"/>
      <x:c r="E384" s="1588"/>
      <x:c r="F384" s="1588"/>
      <x:c r="G384" s="335"/>
      <x:c r="H384" s="336"/>
    </x:row>
    <x:row r="385" spans="1:8" ht="33.75" customHeight="1">
      <x:c r="A385" s="16"/>
      <x:c r="B385" s="349" t="s">
        <x:v>1104</x:v>
      </x:c>
      <x:c r="C385" s="1588" t="s">
        <x:v>1337</x:v>
      </x:c>
      <x:c r="D385" s="1588"/>
      <x:c r="E385" s="1588"/>
      <x:c r="F385" s="1588"/>
      <x:c r="G385" s="335"/>
      <x:c r="H385" s="336"/>
    </x:row>
    <x:row r="386" spans="1:8" ht="35.25" customHeight="1">
      <x:c r="B386" s="349" t="s">
        <x:v>1105</x:v>
      </x:c>
      <x:c r="C386" s="1588" t="s">
        <x:v>1908</x:v>
      </x:c>
      <x:c r="D386" s="1588"/>
      <x:c r="E386" s="1588"/>
      <x:c r="F386" s="1588"/>
      <x:c r="H386" s="46"/>
    </x:row>
    <x:row r="387" spans="1:8" ht="32.1" customHeight="1">
      <x:c r="B387" s="349" t="s">
        <x:v>2113</x:v>
      </x:c>
      <x:c r="C387" s="1587" t="s">
        <x:v>2117</x:v>
      </x:c>
      <x:c r="D387" s="1587"/>
      <x:c r="E387" s="1587"/>
      <x:c r="F387" s="1587"/>
      <x:c r="H387" s="46"/>
    </x:row>
    <x:row r="388" spans="1:8" ht="15.75" customHeight="1">
      <x:c r="B388" s="16"/>
      <x:c r="C388" s="1503"/>
      <x:c r="D388" s="1503"/>
      <x:c r="E388" s="1503"/>
      <x:c r="F388" s="1503"/>
      <x:c r="H388" s="46"/>
    </x:row>
    <x:row r="389" spans="1:8" ht="15.75">
      <x:c r="A389" s="84" t="s">
        <x:v>446</x:v>
      </x:c>
      <x:c r="B389" s="124"/>
      <x:c r="C389" s="13"/>
      <x:c r="D389" s="13"/>
      <x:c r="E389" s="125"/>
      <x:c r="F389" s="13"/>
      <x:c r="G389" s="13"/>
      <x:c r="H389" s="13"/>
    </x:row>
  </x:sheetData>
  <x:mergeCells count="10">
    <x:mergeCell ref="C387:F387"/>
    <x:mergeCell ref="C386:F386"/>
    <x:mergeCell ref="C352:F353"/>
    <x:mergeCell ref="C383:F383"/>
    <x:mergeCell ref="C385:F385"/>
    <x:mergeCell ref="C384:F384"/>
    <x:mergeCell ref="C354:F354"/>
    <x:mergeCell ref="C369:F370"/>
    <x:mergeCell ref="C371:F379"/>
    <x:mergeCell ref="C380:F382"/>
  </x:mergeCells>
  <x:phoneticPr fontId="51" type="noConversion"/>
  <x:printOptions horizontalCentered="1"/>
  <x:pageMargins left="0.25" right="0.25" top="0.5" bottom="0.5" header="0.25" footer="0.25"/>
  <x:pageSetup scale="45" fitToHeight="0" orientation="portrait" r:id="rId2"/>
  <x:rowBreaks count="4" manualBreakCount="4">
    <x:brk id="89" max="7" man="1"/>
    <x:brk id="180" max="7" man="1"/>
    <x:brk id="252" max="7" man="1"/>
    <x:brk id="339"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B9492C9-9AAB-40A9-A39B-5E6282D642B4}" mc:Ignorable="x14ac xr xr2 xr3">
  <x:sheetPr>
    <x:pageSetUpPr fitToPage="1"/>
  </x:sheetPr>
  <x:dimension ref="A1:R282"/>
  <x:sheetViews>
    <x:sheetView zoomScaleNormal="100" zoomScaleSheetLayoutView="80" workbookViewId="0">
      <x:pane ySplit="5" topLeftCell="A6" activePane="bottomLeft" state="frozen"/>
      <x:selection activeCell="J35" sqref="J35:Q35"/>
      <x:selection pane="bottomLeft" activeCell="J35" sqref="J35:Q35"/>
    </x:sheetView>
  </x:sheetViews>
  <x:sheetFormatPr defaultColWidth="9.140625" defaultRowHeight="12.75"/>
  <x:cols>
    <x:col min="1" max="1" width="2.5703125" style="167" customWidth="1"/>
    <x:col min="2" max="2" width="9.42578125" style="183" customWidth="1"/>
    <x:col min="3" max="3" width="2.5703125" style="167" customWidth="1"/>
    <x:col min="4" max="4" width="32.140625" style="167" customWidth="1"/>
    <x:col min="5" max="5" width="15.5703125" style="167" customWidth="1"/>
    <x:col min="6" max="6" width="20.5703125" style="167" customWidth="1"/>
    <x:col min="7" max="7" width="15.5703125" style="167" customWidth="1"/>
    <x:col min="8" max="8" width="20.5703125" style="167" customWidth="1"/>
    <x:col min="9" max="9" width="2.5703125" style="167" customWidth="1"/>
    <x:col min="10" max="12" width="23.5703125" style="167" customWidth="1"/>
    <x:col min="13" max="13" width="2.5703125" style="167" customWidth="1"/>
    <x:col min="14" max="14" width="19.7109375" style="167" customWidth="1"/>
    <x:col min="15" max="18" width="23.5703125" style="167" customWidth="1"/>
    <x:col min="19" max="16384" width="9.140625" style="167"/>
  </x:cols>
  <x:sheetData>
    <x:row r="1" spans="1:18" s="1129" customFormat="1" ht="18">
      <x:c r="A1" s="1597" t="s">
        <x:v>1380</x:v>
      </x:c>
      <x:c r="B1" s="1597"/>
      <x:c r="C1" s="1597"/>
      <x:c r="D1" s="1597"/>
      <x:c r="E1" s="1597"/>
      <x:c r="F1" s="1597"/>
      <x:c r="G1" s="1597"/>
      <x:c r="H1" s="1597"/>
      <x:c r="I1" s="1597"/>
      <x:c r="J1" s="1597"/>
      <x:c r="K1" s="1597"/>
      <x:c r="L1" s="1597"/>
      <x:c r="M1" s="1597"/>
      <x:c r="N1" s="1597"/>
      <x:c r="O1" s="1597"/>
      <x:c r="P1" s="1597"/>
      <x:c r="Q1" s="1597"/>
      <x:c r="R1" s="1597"/>
    </x:row>
    <x:row r="2" spans="1:18" s="156" customFormat="1" ht="15.75">
      <x:c r="A2" s="1598" t="s">
        <x:v>1150</x:v>
      </x:c>
      <x:c r="B2" s="1598"/>
      <x:c r="C2" s="1598"/>
      <x:c r="D2" s="1598"/>
      <x:c r="E2" s="1598"/>
      <x:c r="F2" s="1598"/>
      <x:c r="G2" s="1598"/>
      <x:c r="H2" s="1598"/>
      <x:c r="I2" s="1598"/>
      <x:c r="J2" s="1598"/>
      <x:c r="K2" s="1598"/>
      <x:c r="L2" s="1598"/>
      <x:c r="M2" s="1598"/>
      <x:c r="N2" s="1598"/>
      <x:c r="O2" s="1598"/>
      <x:c r="P2" s="1598"/>
      <x:c r="Q2" s="1598"/>
      <x:c r="R2" s="1598"/>
    </x:row>
    <x:row r="3" spans="1:18" s="156" customFormat="1" ht="15.75">
      <x:c r="A3" s="1598" t="s">
        <x:v>1151</x:v>
      </x:c>
      <x:c r="B3" s="1598"/>
      <x:c r="C3" s="1598"/>
      <x:c r="D3" s="1598"/>
      <x:c r="E3" s="1598"/>
      <x:c r="F3" s="1598"/>
      <x:c r="G3" s="1598"/>
      <x:c r="H3" s="1598"/>
      <x:c r="I3" s="1598"/>
      <x:c r="J3" s="1598"/>
      <x:c r="K3" s="1598"/>
      <x:c r="L3" s="1598"/>
      <x:c r="M3" s="1598"/>
      <x:c r="N3" s="1598"/>
      <x:c r="O3" s="1598"/>
      <x:c r="P3" s="1598"/>
      <x:c r="Q3" s="1598"/>
      <x:c r="R3" s="1598"/>
    </x:row>
    <x:row r="4" spans="1:18">
      <x:c r="A4" s="180"/>
      <x:c r="B4" s="181"/>
      <x:c r="C4" s="180"/>
    </x:row>
    <x:row r="5" spans="1:18" s="156" customFormat="1" ht="15">
      <x:c r="B5" s="182"/>
      <x:c r="D5" s="156" t="s">
        <x:v>833</x:v>
      </x:c>
      <x:c r="E5" s="158" t="s">
        <x:v>2125</x:v>
      </x:c>
      <x:c r="F5" s="159"/>
      <x:c r="G5" s="159"/>
      <x:c r="H5" s="159"/>
    </x:row>
    <x:row r="6" spans="1:18" ht="15.75">
      <x:c r="D6" s="180"/>
      <x:c r="N6" s="1020"/>
    </x:row>
    <x:row r="7" spans="1:18">
      <x:c r="D7" s="180" t="s">
        <x:v>834</x:v>
      </x:c>
      <x:c r="J7" s="1599"/>
      <x:c r="K7" s="1599"/>
      <x:c r="L7" s="1599"/>
      <x:c r="N7" s="1599"/>
      <x:c r="O7" s="1599"/>
      <x:c r="P7" s="1599"/>
      <x:c r="Q7" s="1599"/>
      <x:c r="R7" s="1599"/>
    </x:row>
    <x:row r="8" spans="1:18">
      <x:c r="D8" s="1591" t="s">
        <x:v>835</x:v>
      </x:c>
      <x:c r="E8" s="1592"/>
      <x:c r="F8" s="1592"/>
      <x:c r="G8" s="1592"/>
      <x:c r="H8" s="1593"/>
      <x:c r="I8" s="184"/>
      <x:c r="J8" s="1594" t="s">
        <x:v>1152</x:v>
      </x:c>
      <x:c r="K8" s="1595"/>
      <x:c r="L8" s="1596"/>
      <x:c r="M8" s="184"/>
      <x:c r="N8" s="1594" t="s">
        <x:v>1153</x:v>
      </x:c>
      <x:c r="O8" s="1595"/>
      <x:c r="P8" s="1595"/>
      <x:c r="Q8" s="1595"/>
      <x:c r="R8" s="1596"/>
    </x:row>
    <x:row r="9" spans="1:18">
      <x:c r="D9" s="185" t="s">
        <x:v>163</x:v>
      </x:c>
      <x:c r="E9" s="185" t="s">
        <x:v>164</x:v>
      </x:c>
      <x:c r="F9" s="185" t="s">
        <x:v>1154</x:v>
      </x:c>
      <x:c r="G9" s="185" t="s">
        <x:v>1155</x:v>
      </x:c>
      <x:c r="H9" s="185" t="s">
        <x:v>1156</x:v>
      </x:c>
      <x:c r="I9" s="184"/>
      <x:c r="J9" s="185" t="s">
        <x:v>1157</x:v>
      </x:c>
      <x:c r="K9" s="185" t="s">
        <x:v>1158</x:v>
      </x:c>
      <x:c r="L9" s="185" t="s">
        <x:v>1159</x:v>
      </x:c>
      <x:c r="M9" s="184"/>
      <x:c r="N9" s="185" t="s">
        <x:v>1160</x:v>
      </x:c>
      <x:c r="O9" s="185" t="s">
        <x:v>1161</x:v>
      </x:c>
      <x:c r="P9" s="185" t="s">
        <x:v>1162</x:v>
      </x:c>
      <x:c r="Q9" s="185" t="s">
        <x:v>1163</x:v>
      </x:c>
      <x:c r="R9" s="185" t="s">
        <x:v>1164</x:v>
      </x:c>
    </x:row>
    <x:row r="10" spans="1:18" ht="63" customHeight="1">
      <x:c r="B10" s="186" t="s">
        <x:v>523</x:v>
      </x:c>
      <x:c r="D10" s="187" t="s">
        <x:v>158</x:v>
      </x:c>
      <x:c r="E10" s="187" t="s">
        <x:v>836</x:v>
      </x:c>
      <x:c r="F10" s="187" t="s">
        <x:v>920</x:v>
      </x:c>
      <x:c r="G10" s="187" t="s">
        <x:v>919</x:v>
      </x:c>
      <x:c r="H10" s="187" t="s">
        <x:v>1165</x:v>
      </x:c>
      <x:c r="I10" s="397"/>
      <x:c r="J10" s="187" t="s">
        <x:v>839</x:v>
      </x:c>
      <x:c r="K10" s="187" t="s">
        <x:v>1166</x:v>
      </x:c>
      <x:c r="L10" s="187" t="s">
        <x:v>1167</x:v>
      </x:c>
      <x:c r="M10" s="397"/>
      <x:c r="N10" s="187" t="s">
        <x:v>918</x:v>
      </x:c>
      <x:c r="O10" s="187" t="s">
        <x:v>1168</x:v>
      </x:c>
      <x:c r="P10" s="187" t="s">
        <x:v>1169</x:v>
      </x:c>
      <x:c r="Q10" s="187" t="s">
        <x:v>1170</x:v>
      </x:c>
      <x:c r="R10" s="187" t="s">
        <x:v>1171</x:v>
      </x:c>
    </x:row>
    <x:row r="11" spans="1:18">
      <x:c r="E11" s="397"/>
      <x:c r="F11" s="397"/>
      <x:c r="G11" s="397"/>
      <x:c r="H11" s="397"/>
      <x:c r="I11" s="397"/>
      <x:c r="J11" s="397"/>
      <x:c r="K11" s="397"/>
      <x:c r="L11" s="397"/>
      <x:c r="M11" s="397"/>
      <x:c r="N11" s="397"/>
      <x:c r="O11" s="397"/>
      <x:c r="P11" s="397"/>
      <x:c r="Q11" s="397"/>
      <x:c r="R11" s="397"/>
    </x:row>
    <x:row r="12" spans="1:18">
      <x:c r="B12" s="183">
        <x:v>1</x:v>
      </x:c>
      <x:c r="D12" s="167" t="s">
        <x:v>917</x:v>
      </x:c>
      <x:c r="E12" s="397"/>
      <x:c r="F12" s="397"/>
      <x:c r="G12" s="397"/>
      <x:c r="H12" s="397"/>
      <x:c r="I12" s="397"/>
      <x:c r="J12" s="1333" t="s">
        <x:v>2101</x:v>
      </x:c>
      <x:c r="K12" s="397"/>
      <x:c r="L12" s="402">
        <x:f>'1C - ADIT BOY'!$H107</x:f>
        <x:v>45464330.029449493</x:v>
      </x:c>
      <x:c r="M12" s="397"/>
      <x:c r="N12" s="923"/>
      <x:c r="O12" s="397"/>
      <x:c r="P12" s="397"/>
      <x:c r="Q12" s="397"/>
      <x:c r="R12" s="402"/>
    </x:row>
    <x:row r="13" spans="1:18">
      <x:c r="E13" s="397"/>
      <x:c r="F13" s="397"/>
      <x:c r="G13" s="397"/>
      <x:c r="H13" s="397"/>
      <x:c r="I13" s="397"/>
      <x:c r="J13" s="397"/>
      <x:c r="K13" s="397"/>
      <x:c r="L13" s="397"/>
      <x:c r="M13" s="397"/>
      <x:c r="N13" s="525"/>
      <x:c r="O13" s="397"/>
      <x:c r="P13" s="397"/>
      <x:c r="Q13" s="397"/>
      <x:c r="R13" s="397"/>
    </x:row>
    <x:row r="14" spans="1:18">
      <x:c r="B14" s="183">
        <x:f>B12+1</x:f>
        <x:v>2</x:v>
      </x:c>
      <x:c r="D14" s="167" t="s">
        <x:v>1526</x:v>
      </x:c>
      <x:c r="E14" s="397"/>
      <x:c r="F14" s="397"/>
      <x:c r="G14" s="397"/>
      <x:c r="H14" s="397"/>
      <x:c r="I14" s="397"/>
      <x:c r="J14" s="1333" t="s">
        <x:v>2124</x:v>
      </x:c>
      <x:c r="K14" s="397"/>
      <x:c r="L14" s="397"/>
      <x:c r="M14" s="397"/>
      <x:c r="N14" s="923"/>
      <x:c r="O14" s="397"/>
      <x:c r="P14" s="397"/>
      <x:c r="Q14" s="397"/>
      <x:c r="R14" s="397"/>
    </x:row>
    <x:row r="15" spans="1:18">
      <x:c r="E15" s="397"/>
      <x:c r="F15" s="397"/>
      <x:c r="G15" s="397"/>
      <x:c r="H15" s="397"/>
      <x:c r="I15" s="397"/>
      <x:c r="J15" s="397"/>
      <x:c r="K15" s="397"/>
      <x:c r="L15" s="397"/>
      <x:c r="M15" s="397"/>
      <x:c r="N15" s="397"/>
      <x:c r="O15" s="397"/>
      <x:c r="P15" s="397"/>
      <x:c r="Q15" s="397"/>
      <x:c r="R15" s="397"/>
    </x:row>
    <x:row r="16" spans="1:18">
      <x:c r="B16" s="183">
        <x:f>B14+1</x:f>
        <x:v>3</x:v>
      </x:c>
      <x:c r="D16" s="188" t="s">
        <x:v>473</x:v>
      </x:c>
      <x:c r="E16" s="402">
        <x:v>31</x:v>
      </x:c>
      <x:c r="F16" s="408">
        <x:v>0</x:v>
      </x:c>
      <x:c r="G16" s="408">
        <x:v>214</x:v>
      </x:c>
      <x:c r="H16" s="407">
        <x:f t="shared" ref="H16:H27" si="0">IF(F16=0,0.5,F16/G16)</x:f>
        <x:v>0.5</x:v>
      </x:c>
      <x:c r="I16" s="406"/>
      <x:c r="J16" s="402">
        <x:f>('1B - ADIT EOY'!$E$107-'1C - ADIT BOY'!$E$107)/12</x:f>
        <x:v>-182323.97116335668</x:v>
      </x:c>
      <x:c r="K16" s="400">
        <x:f t="shared" ref="K16:K27" si="1">+J16*H16</x:f>
        <x:v>-91161.985581678338</x:v>
      </x:c>
      <x:c r="L16" s="400">
        <x:f>+K16+L12</x:f>
        <x:v>45373168.043867812</x:v>
      </x:c>
      <x:c r="M16" s="406"/>
      <x:c r="N16" s="402"/>
      <x:c r="O16" s="400">
        <x:f t="shared" ref="O16:O27" si="2">IF($D$187="True-Up Adjustment",N16-J16,0)</x:f>
        <x:v>0</x:v>
      </x:c>
      <x:c r="P16" s="400">
        <x:f t="shared" ref="P16:P27" si="3">IF($D$187="True-Up Adjustment",IF(AND(J16&gt;=0,N16&gt;=0),IF(O16&gt;=0,K16+O16,N16/J16*K16),IF(AND(J16&lt;0,N16&lt;0),IF(O16&lt;0,K16+O16,N16/J16*K16),0)),0)</x:f>
        <x:v>0</x:v>
      </x:c>
      <x:c r="Q16" s="400">
        <x:f t="shared" ref="Q16:Q27" si="4">IF(AND(J16&gt;=0,N16&lt;0),N16,IF(AND(J16&lt;0,N16&gt;=0),N16,0))</x:f>
        <x:v>0</x:v>
      </x:c>
      <x:c r="R16" s="400">
        <x:f>P16+Q16+R12</x:f>
        <x:v>0</x:v>
      </x:c>
    </x:row>
    <x:row r="17" spans="2:18">
      <x:c r="B17" s="183">
        <x:f t="shared" ref="B17:B28" si="5">+B16+1</x:f>
        <x:v>4</x:v>
      </x:c>
      <x:c r="D17" s="188" t="s">
        <x:v>474</x:v>
      </x:c>
      <x:c r="E17" s="402">
        <x:v>28</x:v>
      </x:c>
      <x:c r="F17" s="408">
        <x:v>0</x:v>
      </x:c>
      <x:c r="G17" s="408">
        <x:v>214</x:v>
      </x:c>
      <x:c r="H17" s="407">
        <x:f t="shared" si="0"/>
        <x:v>0.5</x:v>
      </x:c>
      <x:c r="I17" s="406"/>
      <x:c r="J17" s="402">
        <x:f>('1B - ADIT EOY'!$E$107-'1C - ADIT BOY'!$E$107)/12</x:f>
        <x:v>-182323.97116335668</x:v>
      </x:c>
      <x:c r="K17" s="400">
        <x:f t="shared" si="1"/>
        <x:v>-91161.985581678338</x:v>
      </x:c>
      <x:c r="L17" s="400">
        <x:f t="shared" ref="L17:L27" si="6">+K17+L16</x:f>
        <x:v>45282006.05828613</x:v>
      </x:c>
      <x:c r="M17" s="406"/>
      <x:c r="N17" s="402"/>
      <x:c r="O17" s="400">
        <x:f t="shared" si="2"/>
        <x:v>0</x:v>
      </x:c>
      <x:c r="P17" s="400">
        <x:f t="shared" si="3"/>
        <x:v>0</x:v>
      </x:c>
      <x:c r="Q17" s="400">
        <x:f t="shared" si="4"/>
        <x:v>0</x:v>
      </x:c>
      <x:c r="R17" s="400">
        <x:f t="shared" ref="R17:R27" si="7">R16+P17+Q17</x:f>
        <x:v>0</x:v>
      </x:c>
    </x:row>
    <x:row r="18" spans="2:18">
      <x:c r="B18" s="183">
        <x:f t="shared" si="5"/>
        <x:v>5</x:v>
      </x:c>
      <x:c r="D18" s="188" t="s">
        <x:v>495</x:v>
      </x:c>
      <x:c r="E18" s="402">
        <x:v>31</x:v>
      </x:c>
      <x:c r="F18" s="408">
        <x:v>0</x:v>
      </x:c>
      <x:c r="G18" s="408">
        <x:v>214</x:v>
      </x:c>
      <x:c r="H18" s="407">
        <x:f t="shared" si="0"/>
        <x:v>0.5</x:v>
      </x:c>
      <x:c r="I18" s="406"/>
      <x:c r="J18" s="402">
        <x:f>('1B - ADIT EOY'!$E$107-'1C - ADIT BOY'!$E$107)/12</x:f>
        <x:v>-182323.97116335668</x:v>
      </x:c>
      <x:c r="K18" s="400">
        <x:f t="shared" si="1"/>
        <x:v>-91161.985581678338</x:v>
      </x:c>
      <x:c r="L18" s="400">
        <x:f t="shared" si="6"/>
        <x:v>45190844.072704449</x:v>
      </x:c>
      <x:c r="M18" s="406"/>
      <x:c r="N18" s="402"/>
      <x:c r="O18" s="400">
        <x:f t="shared" si="2"/>
        <x:v>0</x:v>
      </x:c>
      <x:c r="P18" s="400">
        <x:f t="shared" si="3"/>
        <x:v>0</x:v>
      </x:c>
      <x:c r="Q18" s="400">
        <x:f t="shared" si="4"/>
        <x:v>0</x:v>
      </x:c>
      <x:c r="R18" s="400">
        <x:f t="shared" si="7"/>
        <x:v>0</x:v>
      </x:c>
    </x:row>
    <x:row r="19" spans="2:18">
      <x:c r="B19" s="183">
        <x:f t="shared" si="5"/>
        <x:v>6</x:v>
      </x:c>
      <x:c r="D19" s="188" t="s">
        <x:v>160</x:v>
      </x:c>
      <x:c r="E19" s="402">
        <x:v>30</x:v>
      </x:c>
      <x:c r="F19" s="408">
        <x:v>0</x:v>
      </x:c>
      <x:c r="G19" s="408">
        <x:v>214</x:v>
      </x:c>
      <x:c r="H19" s="407">
        <x:f t="shared" si="0"/>
        <x:v>0.5</x:v>
      </x:c>
      <x:c r="I19" s="406"/>
      <x:c r="J19" s="402">
        <x:f>('1B - ADIT EOY'!$E$107-'1C - ADIT BOY'!$E$107)/12</x:f>
        <x:v>-182323.97116335668</x:v>
      </x:c>
      <x:c r="K19" s="400">
        <x:f t="shared" si="1"/>
        <x:v>-91161.985581678338</x:v>
      </x:c>
      <x:c r="L19" s="400">
        <x:f t="shared" si="6"/>
        <x:v>45099682.087122768</x:v>
      </x:c>
      <x:c r="M19" s="406"/>
      <x:c r="N19" s="402"/>
      <x:c r="O19" s="400">
        <x:f t="shared" si="2"/>
        <x:v>0</x:v>
      </x:c>
      <x:c r="P19" s="400">
        <x:f t="shared" si="3"/>
        <x:v>0</x:v>
      </x:c>
      <x:c r="Q19" s="400">
        <x:f t="shared" si="4"/>
        <x:v>0</x:v>
      </x:c>
      <x:c r="R19" s="400">
        <x:f t="shared" si="7"/>
        <x:v>0</x:v>
      </x:c>
    </x:row>
    <x:row r="20" spans="2:18">
      <x:c r="B20" s="183">
        <x:f t="shared" si="5"/>
        <x:v>7</x:v>
      </x:c>
      <x:c r="D20" s="188" t="s">
        <x:v>161</x:v>
      </x:c>
      <x:c r="E20" s="402">
        <x:v>31</x:v>
      </x:c>
      <x:c r="F20" s="408">
        <x:v>0</x:v>
      </x:c>
      <x:c r="G20" s="408">
        <x:v>214</x:v>
      </x:c>
      <x:c r="H20" s="407">
        <x:f t="shared" si="0"/>
        <x:v>0.5</x:v>
      </x:c>
      <x:c r="I20" s="406"/>
      <x:c r="J20" s="402">
        <x:f>('1B - ADIT EOY'!$E$107-'1C - ADIT BOY'!$E$107)/12</x:f>
        <x:v>-182323.97116335668</x:v>
      </x:c>
      <x:c r="K20" s="400">
        <x:f t="shared" si="1"/>
        <x:v>-91161.985581678338</x:v>
      </x:c>
      <x:c r="L20" s="400">
        <x:f t="shared" si="6"/>
        <x:v>45008520.101541087</x:v>
      </x:c>
      <x:c r="M20" s="406"/>
      <x:c r="N20" s="402"/>
      <x:c r="O20" s="400">
        <x:f t="shared" si="2"/>
        <x:v>0</x:v>
      </x:c>
      <x:c r="P20" s="400">
        <x:f t="shared" si="3"/>
        <x:v>0</x:v>
      </x:c>
      <x:c r="Q20" s="400">
        <x:f t="shared" si="4"/>
        <x:v>0</x:v>
      </x:c>
      <x:c r="R20" s="400">
        <x:f t="shared" si="7"/>
        <x:v>0</x:v>
      </x:c>
    </x:row>
    <x:row r="21" spans="2:18">
      <x:c r="B21" s="183">
        <x:f t="shared" si="5"/>
        <x:v>8</x:v>
      </x:c>
      <x:c r="D21" s="188" t="s">
        <x:v>162</x:v>
      </x:c>
      <x:c r="E21" s="402">
        <x:v>30</x:v>
      </x:c>
      <x:c r="F21" s="408">
        <x:f t="shared" ref="F21:F26" si="8">F22+E22</x:f>
        <x:v>185</x:v>
      </x:c>
      <x:c r="G21" s="408">
        <x:v>214</x:v>
      </x:c>
      <x:c r="H21" s="407">
        <x:f t="shared" si="0"/>
        <x:v>0.86448598130841126</x:v>
      </x:c>
      <x:c r="I21" s="406"/>
      <x:c r="J21" s="402">
        <x:f>('1B - ADIT EOY'!$E$107-'1C - ADIT BOY'!$E$107)/12</x:f>
        <x:v>-182323.97116335668</x:v>
      </x:c>
      <x:c r="K21" s="400">
        <x:f t="shared" si="1"/>
        <x:v>-157616.51712720087</x:v>
      </x:c>
      <x:c r="L21" s="400">
        <x:f t="shared" si="6"/>
        <x:v>44850903.584413886</x:v>
      </x:c>
      <x:c r="M21" s="406"/>
      <x:c r="N21" s="402"/>
      <x:c r="O21" s="400">
        <x:f t="shared" si="2"/>
        <x:v>0</x:v>
      </x:c>
      <x:c r="P21" s="400">
        <x:f t="shared" si="3"/>
        <x:v>0</x:v>
      </x:c>
      <x:c r="Q21" s="400">
        <x:f t="shared" si="4"/>
        <x:v>0</x:v>
      </x:c>
      <x:c r="R21" s="400">
        <x:f t="shared" si="7"/>
        <x:v>0</x:v>
      </x:c>
    </x:row>
    <x:row r="22" spans="2:18">
      <x:c r="B22" s="183">
        <x:f t="shared" si="5"/>
        <x:v>9</x:v>
      </x:c>
      <x:c r="D22" s="188" t="s">
        <x:v>476</x:v>
      </x:c>
      <x:c r="E22" s="402">
        <x:v>31</x:v>
      </x:c>
      <x:c r="F22" s="408">
        <x:f t="shared" si="8"/>
        <x:v>154</x:v>
      </x:c>
      <x:c r="G22" s="408">
        <x:v>214</x:v>
      </x:c>
      <x:c r="H22" s="407">
        <x:f t="shared" si="0"/>
        <x:v>0.71962616822429903</x:v>
      </x:c>
      <x:c r="I22" s="406"/>
      <x:c r="J22" s="402">
        <x:f>('1B - ADIT EOY'!$E$107-'1C - ADIT BOY'!$E$107)/12</x:f>
        <x:v>-182323.97116335668</x:v>
      </x:c>
      <x:c r="K22" s="400">
        <x:f t="shared" si="1"/>
        <x:v>-131205.10074372395</x:v>
      </x:c>
      <x:c r="L22" s="400">
        <x:f t="shared" si="6"/>
        <x:v>44719698.48367016</x:v>
      </x:c>
      <x:c r="M22" s="406"/>
      <x:c r="N22" s="402"/>
      <x:c r="O22" s="400">
        <x:f t="shared" si="2"/>
        <x:v>0</x:v>
      </x:c>
      <x:c r="P22" s="400">
        <x:f t="shared" si="3"/>
        <x:v>0</x:v>
      </x:c>
      <x:c r="Q22" s="400">
        <x:f t="shared" si="4"/>
        <x:v>0</x:v>
      </x:c>
      <x:c r="R22" s="400">
        <x:f t="shared" si="7"/>
        <x:v>0</x:v>
      </x:c>
    </x:row>
    <x:row r="23" spans="2:18">
      <x:c r="B23" s="183">
        <x:f t="shared" si="5"/>
        <x:v>10</x:v>
      </x:c>
      <x:c r="D23" s="188" t="s">
        <x:v>496</x:v>
      </x:c>
      <x:c r="E23" s="402">
        <x:v>31</x:v>
      </x:c>
      <x:c r="F23" s="408">
        <x:f t="shared" si="8"/>
        <x:v>123</x:v>
      </x:c>
      <x:c r="G23" s="408">
        <x:v>214</x:v>
      </x:c>
      <x:c r="H23" s="407">
        <x:f t="shared" si="0"/>
        <x:v>0.57476635514018692</x:v>
      </x:c>
      <x:c r="I23" s="406"/>
      <x:c r="J23" s="402">
        <x:f>('1B - ADIT EOY'!$E$107-'1C - ADIT BOY'!$E$107)/12</x:f>
        <x:v>-182323.97116335668</x:v>
      </x:c>
      <x:c r="K23" s="400">
        <x:f t="shared" si="1"/>
        <x:v>-104793.68436024706</x:v>
      </x:c>
      <x:c r="L23" s="400">
        <x:f t="shared" si="6"/>
        <x:v>44614904.799309917</x:v>
      </x:c>
      <x:c r="M23" s="406"/>
      <x:c r="N23" s="402"/>
      <x:c r="O23" s="400">
        <x:f t="shared" si="2"/>
        <x:v>0</x:v>
      </x:c>
      <x:c r="P23" s="400">
        <x:f t="shared" si="3"/>
        <x:v>0</x:v>
      </x:c>
      <x:c r="Q23" s="400">
        <x:f t="shared" si="4"/>
        <x:v>0</x:v>
      </x:c>
      <x:c r="R23" s="400">
        <x:f t="shared" si="7"/>
        <x:v>0</x:v>
      </x:c>
    </x:row>
    <x:row r="24" spans="2:18">
      <x:c r="B24" s="183">
        <x:f t="shared" si="5"/>
        <x:v>11</x:v>
      </x:c>
      <x:c r="D24" s="188" t="s">
        <x:v>478</x:v>
      </x:c>
      <x:c r="E24" s="402">
        <x:v>30</x:v>
      </x:c>
      <x:c r="F24" s="408">
        <x:f t="shared" si="8"/>
        <x:v>93</x:v>
      </x:c>
      <x:c r="G24" s="408">
        <x:v>214</x:v>
      </x:c>
      <x:c r="H24" s="407">
        <x:f t="shared" si="0"/>
        <x:v>0.43457943925233644</x:v>
      </x:c>
      <x:c r="I24" s="406"/>
      <x:c r="J24" s="402">
        <x:f>('1B - ADIT EOY'!$E$107-'1C - ADIT BOY'!$E$107)/12</x:f>
        <x:v>-182323.97116335668</x:v>
      </x:c>
      <x:c r="K24" s="400">
        <x:f t="shared" si="1"/>
        <x:v>-79234.249150430711</x:v>
      </x:c>
      <x:c r="L24" s="400">
        <x:f t="shared" si="6"/>
        <x:v>44535670.550159484</x:v>
      </x:c>
      <x:c r="M24" s="406"/>
      <x:c r="N24" s="402"/>
      <x:c r="O24" s="400">
        <x:f t="shared" si="2"/>
        <x:v>0</x:v>
      </x:c>
      <x:c r="P24" s="400">
        <x:f t="shared" si="3"/>
        <x:v>0</x:v>
      </x:c>
      <x:c r="Q24" s="400">
        <x:f t="shared" si="4"/>
        <x:v>0</x:v>
      </x:c>
      <x:c r="R24" s="400">
        <x:f t="shared" si="7"/>
        <x:v>0</x:v>
      </x:c>
    </x:row>
    <x:row r="25" spans="2:18">
      <x:c r="B25" s="183">
        <x:f t="shared" si="5"/>
        <x:v>12</x:v>
      </x:c>
      <x:c r="D25" s="188" t="s">
        <x:v>479</x:v>
      </x:c>
      <x:c r="E25" s="402">
        <x:v>31</x:v>
      </x:c>
      <x:c r="F25" s="408">
        <x:f t="shared" si="8"/>
        <x:v>62</x:v>
      </x:c>
      <x:c r="G25" s="408">
        <x:v>214</x:v>
      </x:c>
      <x:c r="H25" s="407">
        <x:f t="shared" si="0"/>
        <x:v>0.28971962616822428</x:v>
      </x:c>
      <x:c r="I25" s="406"/>
      <x:c r="J25" s="402">
        <x:f>('1B - ADIT EOY'!$E$107-'1C - ADIT BOY'!$E$107)/12</x:f>
        <x:v>-182323.97116335668</x:v>
      </x:c>
      <x:c r="K25" s="400">
        <x:f t="shared" si="1"/>
        <x:v>-52822.832766953798</x:v>
      </x:c>
      <x:c r="L25" s="400">
        <x:f t="shared" si="6"/>
        <x:v>44482847.717392534</x:v>
      </x:c>
      <x:c r="M25" s="406"/>
      <x:c r="N25" s="402"/>
      <x:c r="O25" s="400">
        <x:f t="shared" si="2"/>
        <x:v>0</x:v>
      </x:c>
      <x:c r="P25" s="400">
        <x:f t="shared" si="3"/>
        <x:v>0</x:v>
      </x:c>
      <x:c r="Q25" s="400">
        <x:f t="shared" si="4"/>
        <x:v>0</x:v>
      </x:c>
      <x:c r="R25" s="400">
        <x:f t="shared" si="7"/>
        <x:v>0</x:v>
      </x:c>
    </x:row>
    <x:row r="26" spans="2:18">
      <x:c r="B26" s="183">
        <x:f t="shared" si="5"/>
        <x:v>13</x:v>
      </x:c>
      <x:c r="D26" s="188" t="s">
        <x:v>480</x:v>
      </x:c>
      <x:c r="E26" s="402">
        <x:v>30</x:v>
      </x:c>
      <x:c r="F26" s="408">
        <x:f t="shared" si="8"/>
        <x:v>32</x:v>
      </x:c>
      <x:c r="G26" s="408">
        <x:v>214</x:v>
      </x:c>
      <x:c r="H26" s="407">
        <x:f t="shared" si="0"/>
        <x:v>0.14953271028037382</x:v>
      </x:c>
      <x:c r="I26" s="406"/>
      <x:c r="J26" s="402">
        <x:f>('1B - ADIT EOY'!$E$107-'1C - ADIT BOY'!$E$107)/12</x:f>
        <x:v>-182323.97116335668</x:v>
      </x:c>
      <x:c r="K26" s="400">
        <x:f t="shared" si="1"/>
        <x:v>-27263.397557137447</x:v>
      </x:c>
      <x:c r="L26" s="400">
        <x:f t="shared" si="6"/>
        <x:v>44455584.319835395</x:v>
      </x:c>
      <x:c r="M26" s="406"/>
      <x:c r="N26" s="402"/>
      <x:c r="O26" s="400">
        <x:f t="shared" si="2"/>
        <x:v>0</x:v>
      </x:c>
      <x:c r="P26" s="400">
        <x:f t="shared" si="3"/>
        <x:v>0</x:v>
      </x:c>
      <x:c r="Q26" s="400">
        <x:f t="shared" si="4"/>
        <x:v>0</x:v>
      </x:c>
      <x:c r="R26" s="400">
        <x:f t="shared" si="7"/>
        <x:v>0</x:v>
      </x:c>
    </x:row>
    <x:row r="27" spans="2:18">
      <x:c r="B27" s="183">
        <x:f t="shared" si="5"/>
        <x:v>14</x:v>
      </x:c>
      <x:c r="D27" s="189" t="s">
        <x:v>684</x:v>
      </x:c>
      <x:c r="E27" s="402">
        <x:v>31</x:v>
      </x:c>
      <x:c r="F27" s="408">
        <x:v>1</x:v>
      </x:c>
      <x:c r="G27" s="408">
        <x:v>214</x:v>
      </x:c>
      <x:c r="H27" s="407">
        <x:f t="shared" si="0"/>
        <x:v>4.6728971962616819E-3</x:v>
      </x:c>
      <x:c r="I27" s="406"/>
      <x:c r="J27" s="402">
        <x:f>('1B - ADIT EOY'!$E$107-'1C - ADIT BOY'!$E$107)/12</x:f>
        <x:v>-182323.97116335668</x:v>
      </x:c>
      <x:c r="K27" s="400">
        <x:f t="shared" si="1"/>
        <x:v>-851.98117366054521</x:v>
      </x:c>
      <x:c r="L27" s="400">
        <x:f t="shared" si="6"/>
        <x:v>44454732.338661738</x:v>
      </x:c>
      <x:c r="M27" s="406"/>
      <x:c r="N27" s="402"/>
      <x:c r="O27" s="400">
        <x:f t="shared" si="2"/>
        <x:v>0</x:v>
      </x:c>
      <x:c r="P27" s="400">
        <x:f t="shared" si="3"/>
        <x:v>0</x:v>
      </x:c>
      <x:c r="Q27" s="400">
        <x:f t="shared" si="4"/>
        <x:v>0</x:v>
      </x:c>
      <x:c r="R27" s="400">
        <x:f t="shared" si="7"/>
        <x:v>0</x:v>
      </x:c>
    </x:row>
    <x:row r="28" spans="2:18">
      <x:c r="B28" s="183">
        <x:f t="shared" si="5"/>
        <x:v>15</x:v>
      </x:c>
      <x:c r="D28" s="190" t="str">
        <x:f>"Total (Sum of Lines "&amp;B16&amp;" - "&amp;B27&amp;")"</x:f>
        <x:v>Total (Sum of Lines 3 - 14)</x:v>
      </x:c>
      <x:c r="E28" s="405">
        <x:f>SUM(E16:E27)</x:f>
        <x:v>365</x:v>
      </x:c>
      <x:c r="F28" s="191"/>
      <x:c r="G28" s="191"/>
      <x:c r="H28" s="192"/>
      <x:c r="I28" s="403"/>
      <x:c r="J28" s="405">
        <x:f>SUM(J16:J27)</x:f>
        <x:v>-2187887.6539602801</x:v>
      </x:c>
      <x:c r="K28" s="405">
        <x:f>SUM(K16:K27)</x:f>
        <x:v>-1009597.6907877459</x:v>
      </x:c>
      <x:c r="L28" s="404"/>
      <x:c r="M28" s="403"/>
      <x:c r="N28" s="405">
        <x:f>SUM(N16:N27)</x:f>
        <x:v>0</x:v>
      </x:c>
      <x:c r="O28" s="405">
        <x:f>SUM(O16:O27)</x:f>
        <x:v>0</x:v>
      </x:c>
      <x:c r="P28" s="405">
        <x:f>SUM(P16:P27)</x:f>
        <x:v>0</x:v>
      </x:c>
      <x:c r="Q28" s="405">
        <x:f>SUM(Q16:Q27)</x:f>
        <x:v>0</x:v>
      </x:c>
      <x:c r="R28" s="404"/>
    </x:row>
    <x:row r="29" spans="2:18">
      <x:c r="D29" s="193"/>
      <x:c r="E29" s="193"/>
      <x:c r="F29" s="193"/>
      <x:c r="G29" s="193"/>
      <x:c r="H29" s="194"/>
      <x:c r="I29" s="194"/>
      <x:c r="K29" s="195"/>
      <x:c r="L29" s="194"/>
      <x:c r="M29" s="194"/>
      <x:c r="O29" s="195"/>
      <x:c r="P29" s="195"/>
      <x:c r="Q29" s="195"/>
      <x:c r="R29" s="194"/>
    </x:row>
    <x:row r="30" spans="2:18">
      <x:c r="B30" s="183">
        <x:f>B28+1</x:f>
        <x:v>16</x:v>
      </x:c>
      <x:c r="D30" s="167" t="s">
        <x:v>840</x:v>
      </x:c>
      <x:c r="I30" s="194"/>
      <x:c r="J30" s="402" t="str">
        <x:f>$J$12</x:f>
        <x:v>12/31/2024 (Actuals)</x:v>
      </x:c>
      <x:c r="L30" s="402">
        <x:f>'1C - ADIT BOY'!$E$11</x:f>
        <x:v>2942735.3930626675</x:v>
      </x:c>
      <x:c r="M30" s="196"/>
      <x:c r="N30" s="923">
        <x:f>$N$12</x:f>
        <x:v>0</x:v>
      </x:c>
      <x:c r="R30" s="402">
        <x:f>IF($D$187="projected activity",0,'1C - ADIT BOY'!$E$11)</x:f>
        <x:v>0</x:v>
      </x:c>
    </x:row>
    <x:row r="31" spans="2:18">
      <x:c r="B31" s="183">
        <x:f>B30+1</x:f>
        <x:v>17</x:v>
      </x:c>
      <x:c r="D31" s="167" t="s">
        <x:v>1416</x:v>
      </x:c>
      <x:c r="I31" s="194"/>
      <x:c r="J31" s="197" t="s">
        <x:v>588</x:v>
      </x:c>
      <x:c r="L31" s="198">
        <x:v>0</x:v>
      </x:c>
      <x:c r="M31" s="199"/>
      <x:c r="N31" s="197" t="s">
        <x:v>588</x:v>
      </x:c>
      <x:c r="R31" s="198">
        <x:v>0</x:v>
      </x:c>
    </x:row>
    <x:row r="32" spans="2:18">
      <x:c r="B32" s="183">
        <x:f>B31+1</x:f>
        <x:v>18</x:v>
      </x:c>
      <x:c r="D32" s="167" t="s">
        <x:v>841</x:v>
      </x:c>
      <x:c r="I32" s="194"/>
      <x:c r="J32" s="190" t="str">
        <x:f>"(Col. "&amp;L9&amp;", Line "&amp;B30&amp;" + Line "&amp;B31&amp;")"</x:f>
        <x:v>(Col. (H), Line 16 + Line 17)</x:v>
      </x:c>
      <x:c r="L32" s="401">
        <x:f>L30+L31</x:f>
        <x:v>2942735.3930626675</x:v>
      </x:c>
      <x:c r="M32" s="194"/>
      <x:c r="N32" s="190" t="str">
        <x:f>"(Col. "&amp;R9&amp;", Line "&amp;B30&amp;" + Line "&amp;B31&amp;")"</x:f>
        <x:v>(Col. (M), Line 16 + Line 17)</x:v>
      </x:c>
      <x:c r="R32" s="401">
        <x:f>R30+R31</x:f>
        <x:v>0</x:v>
      </x:c>
    </x:row>
    <x:row r="33" spans="2:18">
      <x:c r="I33" s="194"/>
      <x:c r="L33" s="401"/>
      <x:c r="M33" s="194"/>
      <x:c r="R33" s="401"/>
    </x:row>
    <x:row r="34" spans="2:18">
      <x:c r="B34" s="183">
        <x:f>B32+1</x:f>
        <x:v>19</x:v>
      </x:c>
      <x:c r="D34" s="167" t="s">
        <x:v>842</x:v>
      </x:c>
      <x:c r="I34" s="194"/>
      <x:c r="J34" s="402" t="str">
        <x:f>$J$14</x:f>
        <x:v>12/31/2025 (Projected)</x:v>
      </x:c>
      <x:c r="L34" s="402">
        <x:f>'1B - ADIT EOY'!$E$11</x:f>
        <x:v>2027421.3930900351</x:v>
      </x:c>
      <x:c r="M34" s="196"/>
      <x:c r="N34" s="923">
        <x:f>$N$14</x:f>
        <x:v>0</x:v>
      </x:c>
      <x:c r="R34" s="402">
        <x:f>IF($D$187="projected activity",0,'1B - ADIT EOY'!$E$11)</x:f>
        <x:v>0</x:v>
      </x:c>
    </x:row>
    <x:row r="35" spans="2:18">
      <x:c r="B35" s="183">
        <x:f>B34+1</x:f>
        <x:v>20</x:v>
      </x:c>
      <x:c r="D35" s="167" t="s">
        <x:v>1417</x:v>
      </x:c>
      <x:c r="I35" s="194"/>
      <x:c r="J35" s="197" t="s">
        <x:v>588</x:v>
      </x:c>
      <x:c r="L35" s="198">
        <x:v>0</x:v>
      </x:c>
      <x:c r="M35" s="194"/>
      <x:c r="N35" s="197" t="s">
        <x:v>588</x:v>
      </x:c>
      <x:c r="R35" s="198">
        <x:v>0</x:v>
      </x:c>
    </x:row>
    <x:row r="36" spans="2:18">
      <x:c r="B36" s="183">
        <x:f>B35+1</x:f>
        <x:v>21</x:v>
      </x:c>
      <x:c r="D36" s="167" t="s">
        <x:v>846</x:v>
      </x:c>
      <x:c r="G36" s="190"/>
      <x:c r="I36" s="194"/>
      <x:c r="J36" s="190" t="str">
        <x:f>"(Col. "&amp;L9&amp;", Line "&amp;B34&amp;" + Line "&amp;B35&amp;")"</x:f>
        <x:v>(Col. (H), Line 19 + Line 20)</x:v>
      </x:c>
      <x:c r="L36" s="401">
        <x:f>L34+L35</x:f>
        <x:v>2027421.3930900351</x:v>
      </x:c>
      <x:c r="M36" s="194"/>
      <x:c r="N36" s="190" t="str">
        <x:f>"(Col. "&amp;R9&amp;", Line "&amp;B34&amp;" + Line "&amp;B35&amp;")"</x:f>
        <x:v>(Col. (M), Line 19 + Line 20)</x:v>
      </x:c>
      <x:c r="R36" s="401">
        <x:f>R34+R35</x:f>
        <x:v>0</x:v>
      </x:c>
    </x:row>
    <x:row r="37" spans="2:18">
      <x:c r="I37" s="194"/>
      <x:c r="L37" s="401"/>
      <x:c r="M37" s="194"/>
      <x:c r="R37" s="401"/>
    </x:row>
    <x:row r="38" spans="2:18">
      <x:c r="B38" s="183">
        <x:f>B36+1</x:f>
        <x:v>22</x:v>
      </x:c>
      <x:c r="D38" s="167" t="s">
        <x:v>915</x:v>
      </x:c>
      <x:c r="I38" s="194"/>
      <x:c r="J38" s="190" t="str">
        <x:f>"([Col. "&amp;L9&amp;", Line "&amp;B32&amp;" + Line "&amp;B36&amp;"] / 2)"</x:f>
        <x:v>([Col. (H), Line 18 + Line 21] / 2)</x:v>
      </x:c>
      <x:c r="L38" s="400">
        <x:f>(L32+L36)/2</x:f>
        <x:v>2485078.3930763514</x:v>
      </x:c>
      <x:c r="M38" s="194"/>
      <x:c r="N38" s="190" t="str">
        <x:f>"([Col. "&amp;R9&amp;", Line "&amp;B32&amp;" + Line "&amp;B36&amp;"] / 2)"</x:f>
        <x:v>([Col. (M), Line 18 + Line 21] / 2)</x:v>
      </x:c>
      <x:c r="R38" s="400">
        <x:f>(R32+R36)/2</x:f>
        <x:v>0</x:v>
      </x:c>
    </x:row>
    <x:row r="39" spans="2:18">
      <x:c r="B39" s="183">
        <x:f>B38+1</x:f>
        <x:v>23</x:v>
      </x:c>
      <x:c r="D39" s="193" t="s">
        <x:v>914</x:v>
      </x:c>
      <x:c r="E39" s="193"/>
      <x:c r="F39" s="193"/>
      <x:c r="G39" s="193"/>
      <x:c r="H39" s="194"/>
      <x:c r="I39" s="194"/>
      <x:c r="J39" s="190" t="str">
        <x:f>"(Col. "&amp;L9&amp;", Line "&amp;B27&amp;" )"</x:f>
        <x:v>(Col. (H), Line 14 )</x:v>
      </x:c>
      <x:c r="K39" s="195"/>
      <x:c r="L39" s="400">
        <x:f>L27</x:f>
        <x:v>44454732.338661738</x:v>
      </x:c>
      <x:c r="M39" s="194"/>
      <x:c r="N39" s="190" t="str">
        <x:f>"(Col. "&amp;R9&amp;", Line "&amp;B27&amp;" )"</x:f>
        <x:v>(Col. (M), Line 14 )</x:v>
      </x:c>
      <x:c r="R39" s="400">
        <x:f>R27</x:f>
        <x:v>0</x:v>
      </x:c>
    </x:row>
    <x:row r="40" spans="2:18" ht="13.5" thickBot="1">
      <x:c r="B40" s="183">
        <x:f>B39+1</x:f>
        <x:v>24</x:v>
      </x:c>
      <x:c r="D40" s="200" t="s">
        <x:v>1385</x:v>
      </x:c>
      <x:c r="E40" s="193"/>
      <x:c r="F40" s="193"/>
      <x:c r="G40" s="193"/>
      <x:c r="H40" s="194"/>
      <x:c r="I40" s="194"/>
      <x:c r="J40" s="190" t="str">
        <x:f>"(Col. "&amp;L9&amp;", Line "&amp;B38&amp;" + Line "&amp;B39&amp;")"</x:f>
        <x:v>(Col. (H), Line 22 + Line 23)</x:v>
      </x:c>
      <x:c r="K40" s="195"/>
      <x:c r="L40" s="399">
        <x:f>L38+L39</x:f>
        <x:v>46939810.731738091</x:v>
      </x:c>
      <x:c r="M40" s="194"/>
      <x:c r="N40" s="190" t="str">
        <x:f>"(Col. "&amp;R9&amp;", Line "&amp;B38&amp;" + Line "&amp;B39&amp;")"</x:f>
        <x:v>(Col. (M), Line 22 + Line 23)</x:v>
      </x:c>
      <x:c r="R40" s="399">
        <x:f>R38+R39</x:f>
        <x:v>0</x:v>
      </x:c>
    </x:row>
    <x:row r="41" spans="2:18">
      <x:c r="I41" s="194"/>
      <x:c r="L41" s="400"/>
      <x:c r="M41" s="194"/>
      <x:c r="R41" s="400"/>
    </x:row>
    <x:row r="42" spans="2:18">
      <x:c r="D42" s="180" t="s">
        <x:v>1172</x:v>
      </x:c>
      <x:c r="J42" s="201"/>
      <x:c r="K42" s="202"/>
      <x:c r="L42" s="202"/>
      <x:c r="N42" s="202"/>
      <x:c r="O42" s="202"/>
      <x:c r="P42" s="202"/>
      <x:c r="Q42" s="202"/>
      <x:c r="R42" s="202"/>
    </x:row>
    <x:row r="43" spans="2:18">
      <x:c r="D43" s="1591" t="s">
        <x:v>835</x:v>
      </x:c>
      <x:c r="E43" s="1592"/>
      <x:c r="F43" s="1592"/>
      <x:c r="G43" s="1592"/>
      <x:c r="H43" s="1593"/>
      <x:c r="I43" s="184"/>
      <x:c r="J43" s="1594" t="s">
        <x:v>1152</x:v>
      </x:c>
      <x:c r="K43" s="1595"/>
      <x:c r="L43" s="1596"/>
      <x:c r="M43" s="184"/>
      <x:c r="N43" s="1594" t="s">
        <x:v>1153</x:v>
      </x:c>
      <x:c r="O43" s="1595"/>
      <x:c r="P43" s="1595"/>
      <x:c r="Q43" s="1595"/>
      <x:c r="R43" s="1596"/>
    </x:row>
    <x:row r="44" spans="2:18">
      <x:c r="D44" s="185" t="s">
        <x:v>163</x:v>
      </x:c>
      <x:c r="E44" s="185" t="s">
        <x:v>164</x:v>
      </x:c>
      <x:c r="F44" s="185" t="s">
        <x:v>1154</x:v>
      </x:c>
      <x:c r="G44" s="185" t="s">
        <x:v>1155</x:v>
      </x:c>
      <x:c r="H44" s="185" t="s">
        <x:v>1156</x:v>
      </x:c>
      <x:c r="I44" s="184"/>
      <x:c r="J44" s="185" t="s">
        <x:v>1157</x:v>
      </x:c>
      <x:c r="K44" s="185" t="s">
        <x:v>1158</x:v>
      </x:c>
      <x:c r="L44" s="185" t="s">
        <x:v>1159</x:v>
      </x:c>
      <x:c r="M44" s="184"/>
      <x:c r="N44" s="185" t="s">
        <x:v>1160</x:v>
      </x:c>
      <x:c r="O44" s="185" t="s">
        <x:v>1161</x:v>
      </x:c>
      <x:c r="P44" s="185" t="s">
        <x:v>1162</x:v>
      </x:c>
      <x:c r="Q44" s="185" t="s">
        <x:v>1163</x:v>
      </x:c>
      <x:c r="R44" s="185" t="s">
        <x:v>1164</x:v>
      </x:c>
    </x:row>
    <x:row r="45" spans="2:18" ht="51">
      <x:c r="B45" s="186" t="s">
        <x:v>523</x:v>
      </x:c>
      <x:c r="D45" s="187" t="s">
        <x:v>158</x:v>
      </x:c>
      <x:c r="E45" s="187" t="s">
        <x:v>836</x:v>
      </x:c>
      <x:c r="F45" s="187" t="s">
        <x:v>837</x:v>
      </x:c>
      <x:c r="G45" s="187" t="s">
        <x:v>838</x:v>
      </x:c>
      <x:c r="H45" s="187" t="s">
        <x:v>1165</x:v>
      </x:c>
      <x:c r="I45" s="397"/>
      <x:c r="J45" s="187" t="s">
        <x:v>839</x:v>
      </x:c>
      <x:c r="K45" s="187" t="s">
        <x:v>1166</x:v>
      </x:c>
      <x:c r="L45" s="187" t="s">
        <x:v>1167</x:v>
      </x:c>
      <x:c r="M45" s="397"/>
      <x:c r="N45" s="187" t="s">
        <x:v>918</x:v>
      </x:c>
      <x:c r="O45" s="187" t="s">
        <x:v>1168</x:v>
      </x:c>
      <x:c r="P45" s="187" t="s">
        <x:v>1169</x:v>
      </x:c>
      <x:c r="Q45" s="187" t="s">
        <x:v>1170</x:v>
      </x:c>
      <x:c r="R45" s="187" t="s">
        <x:v>1171</x:v>
      </x:c>
    </x:row>
    <x:row r="46" spans="2:18">
      <x:c r="E46" s="397"/>
      <x:c r="F46" s="397"/>
      <x:c r="G46" s="397"/>
      <x:c r="H46" s="397"/>
      <x:c r="I46" s="397"/>
      <x:c r="J46" s="397"/>
      <x:c r="K46" s="397"/>
      <x:c r="L46" s="397"/>
      <x:c r="M46" s="397"/>
      <x:c r="N46" s="397"/>
      <x:c r="O46" s="397"/>
      <x:c r="P46" s="397"/>
      <x:c r="Q46" s="397"/>
      <x:c r="R46" s="397"/>
    </x:row>
    <x:row r="47" spans="2:18">
      <x:c r="B47" s="183">
        <x:f>B40+1</x:f>
        <x:v>25</x:v>
      </x:c>
      <x:c r="D47" s="167" t="s">
        <x:v>917</x:v>
      </x:c>
      <x:c r="E47" s="397"/>
      <x:c r="F47" s="397"/>
      <x:c r="G47" s="397"/>
      <x:c r="H47" s="397"/>
      <x:c r="I47" s="397"/>
      <x:c r="J47" s="402" t="str">
        <x:f>$J$12</x:f>
        <x:v>12/31/2024 (Actuals)</x:v>
      </x:c>
      <x:c r="K47" s="397"/>
      <x:c r="L47" s="402">
        <x:v>0</x:v>
      </x:c>
      <x:c r="M47" s="397"/>
      <x:c r="N47" s="923">
        <x:f>$N$12</x:f>
        <x:v>0</x:v>
      </x:c>
      <x:c r="O47" s="397"/>
      <x:c r="P47" s="397"/>
      <x:c r="Q47" s="397"/>
      <x:c r="R47" s="402">
        <x:v>0</x:v>
      </x:c>
    </x:row>
    <x:row r="48" spans="2:18">
      <x:c r="E48" s="397"/>
      <x:c r="F48" s="397"/>
      <x:c r="G48" s="397"/>
      <x:c r="H48" s="397"/>
      <x:c r="I48" s="397"/>
      <x:c r="J48" s="397"/>
      <x:c r="K48" s="397"/>
      <x:c r="L48" s="397"/>
      <x:c r="M48" s="397"/>
      <x:c r="N48" s="397"/>
      <x:c r="O48" s="397"/>
      <x:c r="P48" s="397"/>
      <x:c r="Q48" s="397"/>
      <x:c r="R48" s="397"/>
    </x:row>
    <x:row r="49" spans="2:18">
      <x:c r="B49" s="183">
        <x:f>B47+1</x:f>
        <x:v>26</x:v>
      </x:c>
      <x:c r="D49" s="167" t="s">
        <x:v>1526</x:v>
      </x:c>
      <x:c r="E49" s="397"/>
      <x:c r="F49" s="397"/>
      <x:c r="G49" s="397"/>
      <x:c r="H49" s="397"/>
      <x:c r="I49" s="397"/>
      <x:c r="J49" s="402" t="str">
        <x:f>$J$14</x:f>
        <x:v>12/31/2025 (Projected)</x:v>
      </x:c>
      <x:c r="K49" s="397"/>
      <x:c r="L49" s="397"/>
      <x:c r="M49" s="397"/>
      <x:c r="N49" s="923">
        <x:f>$N$14</x:f>
        <x:v>0</x:v>
      </x:c>
      <x:c r="O49" s="397"/>
      <x:c r="P49" s="397"/>
      <x:c r="Q49" s="397"/>
      <x:c r="R49" s="397"/>
    </x:row>
    <x:row r="50" spans="2:18">
      <x:c r="E50" s="397"/>
      <x:c r="F50" s="397"/>
      <x:c r="G50" s="397"/>
      <x:c r="H50" s="397"/>
      <x:c r="I50" s="397"/>
      <x:c r="J50" s="397"/>
      <x:c r="K50" s="397"/>
      <x:c r="L50" s="397"/>
      <x:c r="M50" s="397"/>
      <x:c r="N50" s="397"/>
      <x:c r="O50" s="397"/>
      <x:c r="P50" s="397"/>
      <x:c r="Q50" s="397"/>
      <x:c r="R50" s="397"/>
    </x:row>
    <x:row r="51" spans="2:18">
      <x:c r="B51" s="183">
        <x:f>B49+1</x:f>
        <x:v>27</x:v>
      </x:c>
      <x:c r="D51" s="188" t="s">
        <x:v>473</x:v>
      </x:c>
      <x:c r="E51" s="402">
        <x:v>31</x:v>
      </x:c>
      <x:c r="F51" s="408">
        <x:v>0</x:v>
      </x:c>
      <x:c r="G51" s="408">
        <x:v>214</x:v>
      </x:c>
      <x:c r="H51" s="407">
        <x:f t="shared" ref="H51:H62" si="9">IF(F51=0,0.5,F51/G51)</x:f>
        <x:v>0.5</x:v>
      </x:c>
      <x:c r="I51" s="406"/>
      <x:c r="J51" s="402"/>
      <x:c r="K51" s="400">
        <x:f t="shared" ref="K51:K62" si="10">+J51*H51</x:f>
        <x:v>0</x:v>
      </x:c>
      <x:c r="L51" s="400">
        <x:f>+K51+L47</x:f>
        <x:v>0</x:v>
      </x:c>
      <x:c r="M51" s="406"/>
      <x:c r="N51" s="402">
        <x:v>0</x:v>
      </x:c>
      <x:c r="O51" s="400">
        <x:f t="shared" ref="O51:O62" si="11">IF($D$187="True-Up Adjustment",N51-J51,0)</x:f>
        <x:v>0</x:v>
      </x:c>
      <x:c r="P51" s="400">
        <x:f t="shared" ref="P51:P62" si="12">IF($D$187="True-Up Adjustment",IF(AND(J51&gt;=0,N51&gt;=0),IF(O51&gt;=0,K51+O51,N51/J51*K51),IF(AND(J51&lt;0,N51&lt;0),IF(O51&lt;0,K51+O51,N51/J51*K51),0)),0)</x:f>
        <x:v>0</x:v>
      </x:c>
      <x:c r="Q51" s="400">
        <x:f t="shared" ref="Q51:Q62" si="13">IF(AND(J51&gt;=0,N51&lt;0),N51,IF(AND(J51&lt;0,N51&gt;=0),N51,0))</x:f>
        <x:v>0</x:v>
      </x:c>
      <x:c r="R51" s="400">
        <x:f>R47+P51+Q51</x:f>
        <x:v>0</x:v>
      </x:c>
    </x:row>
    <x:row r="52" spans="2:18">
      <x:c r="B52" s="183">
        <x:f t="shared" ref="B52:B63" si="14">+B51+1</x:f>
        <x:v>28</x:v>
      </x:c>
      <x:c r="D52" s="188" t="s">
        <x:v>474</x:v>
      </x:c>
      <x:c r="E52" s="402">
        <x:v>28</x:v>
      </x:c>
      <x:c r="F52" s="408">
        <x:v>0</x:v>
      </x:c>
      <x:c r="G52" s="408">
        <x:v>214</x:v>
      </x:c>
      <x:c r="H52" s="407">
        <x:f t="shared" si="9"/>
        <x:v>0.5</x:v>
      </x:c>
      <x:c r="I52" s="406"/>
      <x:c r="J52" s="402"/>
      <x:c r="K52" s="400">
        <x:f t="shared" si="10"/>
        <x:v>0</x:v>
      </x:c>
      <x:c r="L52" s="400">
        <x:f t="shared" ref="L52:L62" si="15">+K52+L51</x:f>
        <x:v>0</x:v>
      </x:c>
      <x:c r="M52" s="406"/>
      <x:c r="N52" s="402">
        <x:v>0</x:v>
      </x:c>
      <x:c r="O52" s="400">
        <x:f t="shared" si="11"/>
        <x:v>0</x:v>
      </x:c>
      <x:c r="P52" s="400">
        <x:f t="shared" si="12"/>
        <x:v>0</x:v>
      </x:c>
      <x:c r="Q52" s="400">
        <x:f t="shared" si="13"/>
        <x:v>0</x:v>
      </x:c>
      <x:c r="R52" s="400">
        <x:f t="shared" ref="R52:R62" si="16">R51+P52+Q52</x:f>
        <x:v>0</x:v>
      </x:c>
    </x:row>
    <x:row r="53" spans="2:18">
      <x:c r="B53" s="183">
        <x:f t="shared" si="14"/>
        <x:v>29</x:v>
      </x:c>
      <x:c r="D53" s="188" t="s">
        <x:v>495</x:v>
      </x:c>
      <x:c r="E53" s="402">
        <x:v>31</x:v>
      </x:c>
      <x:c r="F53" s="408">
        <x:v>0</x:v>
      </x:c>
      <x:c r="G53" s="408">
        <x:v>214</x:v>
      </x:c>
      <x:c r="H53" s="407">
        <x:f t="shared" si="9"/>
        <x:v>0.5</x:v>
      </x:c>
      <x:c r="I53" s="406"/>
      <x:c r="J53" s="402"/>
      <x:c r="K53" s="400">
        <x:f t="shared" si="10"/>
        <x:v>0</x:v>
      </x:c>
      <x:c r="L53" s="400">
        <x:f t="shared" si="15"/>
        <x:v>0</x:v>
      </x:c>
      <x:c r="M53" s="406"/>
      <x:c r="N53" s="402">
        <x:v>0</x:v>
      </x:c>
      <x:c r="O53" s="400">
        <x:f t="shared" si="11"/>
        <x:v>0</x:v>
      </x:c>
      <x:c r="P53" s="400">
        <x:f t="shared" si="12"/>
        <x:v>0</x:v>
      </x:c>
      <x:c r="Q53" s="400">
        <x:f t="shared" si="13"/>
        <x:v>0</x:v>
      </x:c>
      <x:c r="R53" s="400">
        <x:f t="shared" si="16"/>
        <x:v>0</x:v>
      </x:c>
    </x:row>
    <x:row r="54" spans="2:18">
      <x:c r="B54" s="183">
        <x:f t="shared" si="14"/>
        <x:v>30</x:v>
      </x:c>
      <x:c r="D54" s="188" t="s">
        <x:v>160</x:v>
      </x:c>
      <x:c r="E54" s="402">
        <x:v>30</x:v>
      </x:c>
      <x:c r="F54" s="408">
        <x:v>0</x:v>
      </x:c>
      <x:c r="G54" s="408">
        <x:v>214</x:v>
      </x:c>
      <x:c r="H54" s="407">
        <x:f t="shared" si="9"/>
        <x:v>0.5</x:v>
      </x:c>
      <x:c r="I54" s="406"/>
      <x:c r="J54" s="402"/>
      <x:c r="K54" s="400">
        <x:f t="shared" si="10"/>
        <x:v>0</x:v>
      </x:c>
      <x:c r="L54" s="400">
        <x:f t="shared" si="15"/>
        <x:v>0</x:v>
      </x:c>
      <x:c r="M54" s="406"/>
      <x:c r="N54" s="402">
        <x:v>0</x:v>
      </x:c>
      <x:c r="O54" s="400">
        <x:f t="shared" si="11"/>
        <x:v>0</x:v>
      </x:c>
      <x:c r="P54" s="400">
        <x:f t="shared" si="12"/>
        <x:v>0</x:v>
      </x:c>
      <x:c r="Q54" s="400">
        <x:f t="shared" si="13"/>
        <x:v>0</x:v>
      </x:c>
      <x:c r="R54" s="400">
        <x:f t="shared" si="16"/>
        <x:v>0</x:v>
      </x:c>
    </x:row>
    <x:row r="55" spans="2:18">
      <x:c r="B55" s="183">
        <x:f t="shared" si="14"/>
        <x:v>31</x:v>
      </x:c>
      <x:c r="D55" s="188" t="s">
        <x:v>161</x:v>
      </x:c>
      <x:c r="E55" s="402">
        <x:v>31</x:v>
      </x:c>
      <x:c r="F55" s="408">
        <x:v>0</x:v>
      </x:c>
      <x:c r="G55" s="408">
        <x:v>214</x:v>
      </x:c>
      <x:c r="H55" s="407">
        <x:f t="shared" si="9"/>
        <x:v>0.5</x:v>
      </x:c>
      <x:c r="I55" s="406"/>
      <x:c r="J55" s="402"/>
      <x:c r="K55" s="400">
        <x:f t="shared" si="10"/>
        <x:v>0</x:v>
      </x:c>
      <x:c r="L55" s="400">
        <x:f t="shared" si="15"/>
        <x:v>0</x:v>
      </x:c>
      <x:c r="M55" s="406"/>
      <x:c r="N55" s="402">
        <x:v>0</x:v>
      </x:c>
      <x:c r="O55" s="400">
        <x:f t="shared" si="11"/>
        <x:v>0</x:v>
      </x:c>
      <x:c r="P55" s="400">
        <x:f t="shared" si="12"/>
        <x:v>0</x:v>
      </x:c>
      <x:c r="Q55" s="400">
        <x:f t="shared" si="13"/>
        <x:v>0</x:v>
      </x:c>
      <x:c r="R55" s="400">
        <x:f t="shared" si="16"/>
        <x:v>0</x:v>
      </x:c>
    </x:row>
    <x:row r="56" spans="2:18">
      <x:c r="B56" s="183">
        <x:f t="shared" si="14"/>
        <x:v>32</x:v>
      </x:c>
      <x:c r="D56" s="188" t="s">
        <x:v>162</x:v>
      </x:c>
      <x:c r="E56" s="402">
        <x:v>30</x:v>
      </x:c>
      <x:c r="F56" s="408">
        <x:f t="shared" ref="F56:F61" si="17">F57+E57</x:f>
        <x:v>185</x:v>
      </x:c>
      <x:c r="G56" s="408">
        <x:v>214</x:v>
      </x:c>
      <x:c r="H56" s="407">
        <x:f t="shared" si="9"/>
        <x:v>0.86448598130841126</x:v>
      </x:c>
      <x:c r="I56" s="406"/>
      <x:c r="J56" s="402"/>
      <x:c r="K56" s="400">
        <x:f t="shared" si="10"/>
        <x:v>0</x:v>
      </x:c>
      <x:c r="L56" s="400">
        <x:f t="shared" si="15"/>
        <x:v>0</x:v>
      </x:c>
      <x:c r="M56" s="406"/>
      <x:c r="N56" s="402">
        <x:v>0</x:v>
      </x:c>
      <x:c r="O56" s="400">
        <x:f t="shared" si="11"/>
        <x:v>0</x:v>
      </x:c>
      <x:c r="P56" s="400">
        <x:f t="shared" si="12"/>
        <x:v>0</x:v>
      </x:c>
      <x:c r="Q56" s="400">
        <x:f t="shared" si="13"/>
        <x:v>0</x:v>
      </x:c>
      <x:c r="R56" s="400">
        <x:f t="shared" si="16"/>
        <x:v>0</x:v>
      </x:c>
    </x:row>
    <x:row r="57" spans="2:18">
      <x:c r="B57" s="183">
        <x:f t="shared" si="14"/>
        <x:v>33</x:v>
      </x:c>
      <x:c r="D57" s="188" t="s">
        <x:v>476</x:v>
      </x:c>
      <x:c r="E57" s="402">
        <x:v>31</x:v>
      </x:c>
      <x:c r="F57" s="408">
        <x:f t="shared" si="17"/>
        <x:v>154</x:v>
      </x:c>
      <x:c r="G57" s="408">
        <x:v>214</x:v>
      </x:c>
      <x:c r="H57" s="407">
        <x:f t="shared" si="9"/>
        <x:v>0.71962616822429903</x:v>
      </x:c>
      <x:c r="I57" s="406"/>
      <x:c r="J57" s="402"/>
      <x:c r="K57" s="400">
        <x:f t="shared" si="10"/>
        <x:v>0</x:v>
      </x:c>
      <x:c r="L57" s="400">
        <x:f t="shared" si="15"/>
        <x:v>0</x:v>
      </x:c>
      <x:c r="M57" s="406"/>
      <x:c r="N57" s="402">
        <x:v>0</x:v>
      </x:c>
      <x:c r="O57" s="400">
        <x:f t="shared" si="11"/>
        <x:v>0</x:v>
      </x:c>
      <x:c r="P57" s="400">
        <x:f t="shared" si="12"/>
        <x:v>0</x:v>
      </x:c>
      <x:c r="Q57" s="400">
        <x:f t="shared" si="13"/>
        <x:v>0</x:v>
      </x:c>
      <x:c r="R57" s="400">
        <x:f t="shared" si="16"/>
        <x:v>0</x:v>
      </x:c>
    </x:row>
    <x:row r="58" spans="2:18">
      <x:c r="B58" s="183">
        <x:f t="shared" si="14"/>
        <x:v>34</x:v>
      </x:c>
      <x:c r="D58" s="188" t="s">
        <x:v>496</x:v>
      </x:c>
      <x:c r="E58" s="402">
        <x:v>31</x:v>
      </x:c>
      <x:c r="F58" s="408">
        <x:f t="shared" si="17"/>
        <x:v>123</x:v>
      </x:c>
      <x:c r="G58" s="408">
        <x:v>214</x:v>
      </x:c>
      <x:c r="H58" s="407">
        <x:f t="shared" si="9"/>
        <x:v>0.57476635514018692</x:v>
      </x:c>
      <x:c r="I58" s="406"/>
      <x:c r="J58" s="402"/>
      <x:c r="K58" s="400">
        <x:f t="shared" si="10"/>
        <x:v>0</x:v>
      </x:c>
      <x:c r="L58" s="400">
        <x:f t="shared" si="15"/>
        <x:v>0</x:v>
      </x:c>
      <x:c r="M58" s="406"/>
      <x:c r="N58" s="402">
        <x:v>0</x:v>
      </x:c>
      <x:c r="O58" s="400">
        <x:f t="shared" si="11"/>
        <x:v>0</x:v>
      </x:c>
      <x:c r="P58" s="400">
        <x:f t="shared" si="12"/>
        <x:v>0</x:v>
      </x:c>
      <x:c r="Q58" s="400">
        <x:f t="shared" si="13"/>
        <x:v>0</x:v>
      </x:c>
      <x:c r="R58" s="400">
        <x:f t="shared" si="16"/>
        <x:v>0</x:v>
      </x:c>
    </x:row>
    <x:row r="59" spans="2:18">
      <x:c r="B59" s="183">
        <x:f t="shared" si="14"/>
        <x:v>35</x:v>
      </x:c>
      <x:c r="D59" s="188" t="s">
        <x:v>478</x:v>
      </x:c>
      <x:c r="E59" s="402">
        <x:v>30</x:v>
      </x:c>
      <x:c r="F59" s="408">
        <x:f t="shared" si="17"/>
        <x:v>93</x:v>
      </x:c>
      <x:c r="G59" s="408">
        <x:v>214</x:v>
      </x:c>
      <x:c r="H59" s="407">
        <x:f t="shared" si="9"/>
        <x:v>0.43457943925233644</x:v>
      </x:c>
      <x:c r="I59" s="406"/>
      <x:c r="J59" s="402"/>
      <x:c r="K59" s="400">
        <x:f t="shared" si="10"/>
        <x:v>0</x:v>
      </x:c>
      <x:c r="L59" s="400">
        <x:f t="shared" si="15"/>
        <x:v>0</x:v>
      </x:c>
      <x:c r="M59" s="406"/>
      <x:c r="N59" s="402">
        <x:v>0</x:v>
      </x:c>
      <x:c r="O59" s="400">
        <x:f t="shared" si="11"/>
        <x:v>0</x:v>
      </x:c>
      <x:c r="P59" s="400">
        <x:f t="shared" si="12"/>
        <x:v>0</x:v>
      </x:c>
      <x:c r="Q59" s="400">
        <x:f t="shared" si="13"/>
        <x:v>0</x:v>
      </x:c>
      <x:c r="R59" s="400">
        <x:f t="shared" si="16"/>
        <x:v>0</x:v>
      </x:c>
    </x:row>
    <x:row r="60" spans="2:18">
      <x:c r="B60" s="183">
        <x:f t="shared" si="14"/>
        <x:v>36</x:v>
      </x:c>
      <x:c r="D60" s="188" t="s">
        <x:v>479</x:v>
      </x:c>
      <x:c r="E60" s="402">
        <x:v>31</x:v>
      </x:c>
      <x:c r="F60" s="408">
        <x:f t="shared" si="17"/>
        <x:v>62</x:v>
      </x:c>
      <x:c r="G60" s="408">
        <x:v>214</x:v>
      </x:c>
      <x:c r="H60" s="407">
        <x:f t="shared" si="9"/>
        <x:v>0.28971962616822428</x:v>
      </x:c>
      <x:c r="I60" s="406"/>
      <x:c r="J60" s="402"/>
      <x:c r="K60" s="400">
        <x:f t="shared" si="10"/>
        <x:v>0</x:v>
      </x:c>
      <x:c r="L60" s="400">
        <x:f t="shared" si="15"/>
        <x:v>0</x:v>
      </x:c>
      <x:c r="M60" s="406"/>
      <x:c r="N60" s="402">
        <x:v>0</x:v>
      </x:c>
      <x:c r="O60" s="400">
        <x:f t="shared" si="11"/>
        <x:v>0</x:v>
      </x:c>
      <x:c r="P60" s="400">
        <x:f t="shared" si="12"/>
        <x:v>0</x:v>
      </x:c>
      <x:c r="Q60" s="400">
        <x:f t="shared" si="13"/>
        <x:v>0</x:v>
      </x:c>
      <x:c r="R60" s="400">
        <x:f t="shared" si="16"/>
        <x:v>0</x:v>
      </x:c>
    </x:row>
    <x:row r="61" spans="2:18">
      <x:c r="B61" s="183">
        <x:f t="shared" si="14"/>
        <x:v>37</x:v>
      </x:c>
      <x:c r="D61" s="188" t="s">
        <x:v>480</x:v>
      </x:c>
      <x:c r="E61" s="402">
        <x:v>30</x:v>
      </x:c>
      <x:c r="F61" s="408">
        <x:f t="shared" si="17"/>
        <x:v>32</x:v>
      </x:c>
      <x:c r="G61" s="408">
        <x:v>214</x:v>
      </x:c>
      <x:c r="H61" s="407">
        <x:f t="shared" si="9"/>
        <x:v>0.14953271028037382</x:v>
      </x:c>
      <x:c r="I61" s="406"/>
      <x:c r="J61" s="402"/>
      <x:c r="K61" s="400">
        <x:f t="shared" si="10"/>
        <x:v>0</x:v>
      </x:c>
      <x:c r="L61" s="400">
        <x:f t="shared" si="15"/>
        <x:v>0</x:v>
      </x:c>
      <x:c r="M61" s="406"/>
      <x:c r="N61" s="402">
        <x:v>0</x:v>
      </x:c>
      <x:c r="O61" s="400">
        <x:f t="shared" si="11"/>
        <x:v>0</x:v>
      </x:c>
      <x:c r="P61" s="400">
        <x:f t="shared" si="12"/>
        <x:v>0</x:v>
      </x:c>
      <x:c r="Q61" s="400">
        <x:f t="shared" si="13"/>
        <x:v>0</x:v>
      </x:c>
      <x:c r="R61" s="400">
        <x:f t="shared" si="16"/>
        <x:v>0</x:v>
      </x:c>
    </x:row>
    <x:row r="62" spans="2:18">
      <x:c r="B62" s="183">
        <x:f t="shared" si="14"/>
        <x:v>38</x:v>
      </x:c>
      <x:c r="D62" s="189" t="s">
        <x:v>684</x:v>
      </x:c>
      <x:c r="E62" s="402">
        <x:v>31</x:v>
      </x:c>
      <x:c r="F62" s="408">
        <x:v>1</x:v>
      </x:c>
      <x:c r="G62" s="408">
        <x:v>214</x:v>
      </x:c>
      <x:c r="H62" s="407">
        <x:f t="shared" si="9"/>
        <x:v>4.6728971962616819E-3</x:v>
      </x:c>
      <x:c r="I62" s="406"/>
      <x:c r="J62" s="402"/>
      <x:c r="K62" s="400">
        <x:f t="shared" si="10"/>
        <x:v>0</x:v>
      </x:c>
      <x:c r="L62" s="400">
        <x:f t="shared" si="15"/>
        <x:v>0</x:v>
      </x:c>
      <x:c r="M62" s="406"/>
      <x:c r="N62" s="402">
        <x:v>0</x:v>
      </x:c>
      <x:c r="O62" s="400">
        <x:f t="shared" si="11"/>
        <x:v>0</x:v>
      </x:c>
      <x:c r="P62" s="400">
        <x:f t="shared" si="12"/>
        <x:v>0</x:v>
      </x:c>
      <x:c r="Q62" s="400">
        <x:f t="shared" si="13"/>
        <x:v>0</x:v>
      </x:c>
      <x:c r="R62" s="400">
        <x:f t="shared" si="16"/>
        <x:v>0</x:v>
      </x:c>
    </x:row>
    <x:row r="63" spans="2:18">
      <x:c r="B63" s="183">
        <x:f t="shared" si="14"/>
        <x:v>39</x:v>
      </x:c>
      <x:c r="D63" s="190" t="str">
        <x:f>"Total (Sum of Lines "&amp;B51&amp;" - "&amp;B62&amp;")"</x:f>
        <x:v>Total (Sum of Lines 27 - 38)</x:v>
      </x:c>
      <x:c r="E63" s="405">
        <x:f>SUM(E51:E62)</x:f>
        <x:v>365</x:v>
      </x:c>
      <x:c r="F63" s="191"/>
      <x:c r="G63" s="191"/>
      <x:c r="H63" s="192"/>
      <x:c r="I63" s="403"/>
      <x:c r="J63" s="405">
        <x:f>SUM(J51:J62)</x:f>
        <x:v>0</x:v>
      </x:c>
      <x:c r="K63" s="405">
        <x:f>SUM(K51:K62)</x:f>
        <x:v>0</x:v>
      </x:c>
      <x:c r="L63" s="405">
        <x:f>SUM(L51:L62)</x:f>
        <x:v>0</x:v>
      </x:c>
      <x:c r="M63" s="403"/>
      <x:c r="N63" s="405">
        <x:f>SUM(N51:N62)</x:f>
        <x:v>0</x:v>
      </x:c>
      <x:c r="O63" s="405">
        <x:f>SUM(O51:O62)</x:f>
        <x:v>0</x:v>
      </x:c>
      <x:c r="P63" s="405">
        <x:f>SUM(P51:P62)</x:f>
        <x:v>0</x:v>
      </x:c>
      <x:c r="Q63" s="405">
        <x:f>SUM(Q51:Q62)</x:f>
        <x:v>0</x:v>
      </x:c>
      <x:c r="R63" s="404"/>
    </x:row>
    <x:row r="64" spans="2:18">
      <x:c r="D64" s="193"/>
      <x:c r="E64" s="193"/>
      <x:c r="F64" s="193"/>
      <x:c r="G64" s="193"/>
      <x:c r="H64" s="194"/>
      <x:c r="I64" s="194"/>
      <x:c r="K64" s="195"/>
      <x:c r="L64" s="194"/>
      <x:c r="M64" s="194"/>
      <x:c r="N64" s="203"/>
      <x:c r="O64" s="195"/>
      <x:c r="P64" s="195"/>
      <x:c r="Q64" s="195"/>
      <x:c r="R64" s="194"/>
    </x:row>
    <x:row r="65" spans="2:18" ht="15" customHeight="1">
      <x:c r="B65" s="183">
        <x:f>B63+1</x:f>
        <x:v>40</x:v>
      </x:c>
      <x:c r="D65" s="167" t="s">
        <x:v>840</x:v>
      </x:c>
      <x:c r="I65" s="194"/>
      <x:c r="J65" s="402" t="str">
        <x:f>$J$12</x:f>
        <x:v>12/31/2024 (Actuals)</x:v>
      </x:c>
      <x:c r="L65" s="402">
        <x:v>0</x:v>
      </x:c>
      <x:c r="M65" s="196"/>
      <x:c r="N65" s="923">
        <x:f>$N$12</x:f>
        <x:v>0</x:v>
      </x:c>
      <x:c r="R65" s="402">
        <x:v>0</x:v>
      </x:c>
    </x:row>
    <x:row r="66" spans="2:18">
      <x:c r="B66" s="183">
        <x:f>B65+1</x:f>
        <x:v>41</x:v>
      </x:c>
      <x:c r="D66" s="167" t="s">
        <x:v>1416</x:v>
      </x:c>
      <x:c r="I66" s="194"/>
      <x:c r="J66" s="197" t="s">
        <x:v>588</x:v>
      </x:c>
      <x:c r="L66" s="198">
        <x:v>0</x:v>
      </x:c>
      <x:c r="M66" s="199"/>
      <x:c r="N66" s="197" t="s">
        <x:v>588</x:v>
      </x:c>
      <x:c r="R66" s="198">
        <x:v>0</x:v>
      </x:c>
    </x:row>
    <x:row r="67" spans="2:18">
      <x:c r="B67" s="183">
        <x:f>B66+1</x:f>
        <x:v>42</x:v>
      </x:c>
      <x:c r="D67" s="167" t="s">
        <x:v>841</x:v>
      </x:c>
      <x:c r="I67" s="194"/>
      <x:c r="J67" s="190" t="str">
        <x:f>"(Col. "&amp;L44&amp;", Line "&amp;B65&amp;" + Line "&amp;B66&amp;")"</x:f>
        <x:v>(Col. (H), Line 40 + Line 41)</x:v>
      </x:c>
      <x:c r="L67" s="401">
        <x:f>L65+L66</x:f>
        <x:v>0</x:v>
      </x:c>
      <x:c r="M67" s="194"/>
      <x:c r="N67" s="190" t="str">
        <x:f>"(Col. "&amp;R44&amp;", Line "&amp;B65&amp;" + Line "&amp;B66&amp;")"</x:f>
        <x:v>(Col. (M), Line 40 + Line 41)</x:v>
      </x:c>
      <x:c r="R67" s="401">
        <x:f>R65+R66</x:f>
        <x:v>0</x:v>
      </x:c>
    </x:row>
    <x:row r="68" spans="2:18">
      <x:c r="I68" s="194"/>
      <x:c r="L68" s="401"/>
      <x:c r="M68" s="194"/>
      <x:c r="R68" s="401"/>
    </x:row>
    <x:row r="69" spans="2:18">
      <x:c r="B69" s="183">
        <x:f>B67+1</x:f>
        <x:v>43</x:v>
      </x:c>
      <x:c r="D69" s="167" t="s">
        <x:v>916</x:v>
      </x:c>
      <x:c r="I69" s="194"/>
      <x:c r="J69" s="402" t="str">
        <x:f>$J$14</x:f>
        <x:v>12/31/2025 (Projected)</x:v>
      </x:c>
      <x:c r="L69" s="402">
        <x:v>0</x:v>
      </x:c>
      <x:c r="M69" s="196"/>
      <x:c r="N69" s="923">
        <x:f>$N$14</x:f>
        <x:v>0</x:v>
      </x:c>
      <x:c r="R69" s="402">
        <x:v>0</x:v>
      </x:c>
    </x:row>
    <x:row r="70" spans="2:18">
      <x:c r="B70" s="183">
        <x:f>B69+1</x:f>
        <x:v>44</x:v>
      </x:c>
      <x:c r="D70" s="167" t="s">
        <x:v>1417</x:v>
      </x:c>
      <x:c r="I70" s="194"/>
      <x:c r="J70" s="197" t="s">
        <x:v>588</x:v>
      </x:c>
      <x:c r="L70" s="198">
        <x:v>0</x:v>
      </x:c>
      <x:c r="M70" s="194"/>
      <x:c r="N70" s="197" t="s">
        <x:v>588</x:v>
      </x:c>
      <x:c r="R70" s="198">
        <x:v>0</x:v>
      </x:c>
    </x:row>
    <x:row r="71" spans="2:18">
      <x:c r="B71" s="183">
        <x:f>B70+1</x:f>
        <x:v>45</x:v>
      </x:c>
      <x:c r="D71" s="167" t="s">
        <x:v>846</x:v>
      </x:c>
      <x:c r="I71" s="194"/>
      <x:c r="J71" s="190" t="str">
        <x:f>"(Col. "&amp;L44&amp;", Line "&amp;B69&amp;" + Line "&amp;B70&amp;")"</x:f>
        <x:v>(Col. (H), Line 43 + Line 44)</x:v>
      </x:c>
      <x:c r="L71" s="401">
        <x:f>L69+L70</x:f>
        <x:v>0</x:v>
      </x:c>
      <x:c r="M71" s="194"/>
      <x:c r="N71" s="190" t="str">
        <x:f>"(Col. "&amp;R44&amp;", Line "&amp;B69&amp;" + Line "&amp;B70&amp;")"</x:f>
        <x:v>(Col. (M), Line 43 + Line 44)</x:v>
      </x:c>
      <x:c r="R71" s="401">
        <x:f>R69+R70</x:f>
        <x:v>0</x:v>
      </x:c>
    </x:row>
    <x:row r="72" spans="2:18">
      <x:c r="I72" s="194"/>
      <x:c r="L72" s="401"/>
      <x:c r="M72" s="194"/>
      <x:c r="R72" s="401"/>
    </x:row>
    <x:row r="73" spans="2:18">
      <x:c r="B73" s="183">
        <x:f>B71+1</x:f>
        <x:v>46</x:v>
      </x:c>
      <x:c r="D73" s="167" t="s">
        <x:v>915</x:v>
      </x:c>
      <x:c r="I73" s="194"/>
      <x:c r="J73" s="190" t="str">
        <x:f>"([Col. "&amp;L44&amp;", Line "&amp;B67&amp;" + Line "&amp;B71&amp;"] / 2)"</x:f>
        <x:v>([Col. (H), Line 42 + Line 45] / 2)</x:v>
      </x:c>
      <x:c r="L73" s="400">
        <x:f>(L67+L71)/2</x:f>
        <x:v>0</x:v>
      </x:c>
      <x:c r="M73" s="194"/>
      <x:c r="N73" s="190" t="str">
        <x:f>"([Col. "&amp;R44&amp;", Line "&amp;B67&amp;" + Line "&amp;B71&amp;"] / 2)"</x:f>
        <x:v>([Col. (M), Line 42 + Line 45] / 2)</x:v>
      </x:c>
      <x:c r="R73" s="400">
        <x:f>(R67+R71)/2</x:f>
        <x:v>0</x:v>
      </x:c>
    </x:row>
    <x:row r="74" spans="2:18">
      <x:c r="B74" s="183">
        <x:f>B73+1</x:f>
        <x:v>47</x:v>
      </x:c>
      <x:c r="D74" s="193" t="s">
        <x:v>914</x:v>
      </x:c>
      <x:c r="E74" s="193"/>
      <x:c r="F74" s="193"/>
      <x:c r="G74" s="193"/>
      <x:c r="H74" s="194"/>
      <x:c r="I74" s="194"/>
      <x:c r="J74" s="190" t="str">
        <x:f>"(Col. "&amp;L44&amp;", Line "&amp;B62&amp;" )"</x:f>
        <x:v>(Col. (H), Line 38 )</x:v>
      </x:c>
      <x:c r="K74" s="195"/>
      <x:c r="L74" s="400">
        <x:f>L62</x:f>
        <x:v>0</x:v>
      </x:c>
      <x:c r="M74" s="194"/>
      <x:c r="N74" s="190" t="str">
        <x:f>"(Col. "&amp;R44&amp;", Line "&amp;B62&amp;" )"</x:f>
        <x:v>(Col. (M), Line 38 )</x:v>
      </x:c>
      <x:c r="R74" s="400">
        <x:f>R62</x:f>
        <x:v>0</x:v>
      </x:c>
    </x:row>
    <x:row r="75" spans="2:18" ht="13.5" thickBot="1">
      <x:c r="B75" s="183">
        <x:f>B74+1</x:f>
        <x:v>48</x:v>
      </x:c>
      <x:c r="D75" s="200" t="s">
        <x:v>1386</x:v>
      </x:c>
      <x:c r="E75" s="193"/>
      <x:c r="F75" s="193"/>
      <x:c r="G75" s="193"/>
      <x:c r="H75" s="194"/>
      <x:c r="I75" s="194"/>
      <x:c r="J75" s="190" t="str">
        <x:f>"(Col. "&amp;L44&amp;", Line "&amp;B73&amp;" + Line "&amp;B74&amp;")"</x:f>
        <x:v>(Col. (H), Line 46 + Line 47)</x:v>
      </x:c>
      <x:c r="K75" s="195"/>
      <x:c r="L75" s="399">
        <x:f>L73+L74</x:f>
        <x:v>0</x:v>
      </x:c>
      <x:c r="M75" s="194"/>
      <x:c r="N75" s="190" t="str">
        <x:f>"(Col. "&amp;R44&amp;", Line "&amp;B73&amp;" + Line "&amp;B74&amp;")"</x:f>
        <x:v>(Col. (M), Line 46 + Line 47)</x:v>
      </x:c>
      <x:c r="R75" s="399">
        <x:f>R73+R74</x:f>
        <x:v>0</x:v>
      </x:c>
    </x:row>
    <x:row r="76" spans="2:18">
      <x:c r="D76" s="180"/>
    </x:row>
    <x:row r="77" spans="2:18">
      <x:c r="D77" s="180" t="s">
        <x:v>843</x:v>
      </x:c>
      <x:c r="J77" s="201"/>
      <x:c r="K77" s="202"/>
      <x:c r="L77" s="202"/>
      <x:c r="N77" s="202"/>
      <x:c r="O77" s="202"/>
      <x:c r="P77" s="202"/>
      <x:c r="Q77" s="202"/>
      <x:c r="R77" s="202"/>
    </x:row>
    <x:row r="78" spans="2:18">
      <x:c r="D78" s="1591" t="s">
        <x:v>835</x:v>
      </x:c>
      <x:c r="E78" s="1592"/>
      <x:c r="F78" s="1592"/>
      <x:c r="G78" s="1592"/>
      <x:c r="H78" s="1593"/>
      <x:c r="I78" s="184"/>
      <x:c r="J78" s="1594" t="s">
        <x:v>1152</x:v>
      </x:c>
      <x:c r="K78" s="1595"/>
      <x:c r="L78" s="1596"/>
      <x:c r="M78" s="184"/>
      <x:c r="N78" s="1594" t="s">
        <x:v>1153</x:v>
      </x:c>
      <x:c r="O78" s="1595"/>
      <x:c r="P78" s="1595"/>
      <x:c r="Q78" s="1595"/>
      <x:c r="R78" s="1596"/>
    </x:row>
    <x:row r="79" spans="2:18">
      <x:c r="D79" s="185" t="s">
        <x:v>163</x:v>
      </x:c>
      <x:c r="E79" s="185" t="s">
        <x:v>164</x:v>
      </x:c>
      <x:c r="F79" s="185" t="s">
        <x:v>1154</x:v>
      </x:c>
      <x:c r="G79" s="185" t="s">
        <x:v>1155</x:v>
      </x:c>
      <x:c r="H79" s="185" t="s">
        <x:v>1156</x:v>
      </x:c>
      <x:c r="I79" s="184"/>
      <x:c r="J79" s="185" t="s">
        <x:v>1157</x:v>
      </x:c>
      <x:c r="K79" s="185" t="s">
        <x:v>1158</x:v>
      </x:c>
      <x:c r="L79" s="185" t="s">
        <x:v>1159</x:v>
      </x:c>
      <x:c r="M79" s="184"/>
      <x:c r="N79" s="185" t="s">
        <x:v>1160</x:v>
      </x:c>
      <x:c r="O79" s="185" t="s">
        <x:v>1161</x:v>
      </x:c>
      <x:c r="P79" s="185" t="s">
        <x:v>1162</x:v>
      </x:c>
      <x:c r="Q79" s="185" t="s">
        <x:v>1163</x:v>
      </x:c>
      <x:c r="R79" s="185" t="s">
        <x:v>1164</x:v>
      </x:c>
    </x:row>
    <x:row r="80" spans="2:18" ht="51">
      <x:c r="B80" s="186" t="s">
        <x:v>523</x:v>
      </x:c>
      <x:c r="D80" s="187" t="s">
        <x:v>158</x:v>
      </x:c>
      <x:c r="E80" s="187" t="s">
        <x:v>836</x:v>
      </x:c>
      <x:c r="F80" s="187" t="s">
        <x:v>837</x:v>
      </x:c>
      <x:c r="G80" s="187" t="s">
        <x:v>838</x:v>
      </x:c>
      <x:c r="H80" s="187" t="s">
        <x:v>1165</x:v>
      </x:c>
      <x:c r="I80" s="397"/>
      <x:c r="J80" s="187" t="s">
        <x:v>839</x:v>
      </x:c>
      <x:c r="K80" s="187" t="s">
        <x:v>1166</x:v>
      </x:c>
      <x:c r="L80" s="187" t="s">
        <x:v>1167</x:v>
      </x:c>
      <x:c r="M80" s="397"/>
      <x:c r="N80" s="187" t="s">
        <x:v>918</x:v>
      </x:c>
      <x:c r="O80" s="187" t="s">
        <x:v>1168</x:v>
      </x:c>
      <x:c r="P80" s="187" t="s">
        <x:v>1169</x:v>
      </x:c>
      <x:c r="Q80" s="187" t="s">
        <x:v>1170</x:v>
      </x:c>
      <x:c r="R80" s="187" t="s">
        <x:v>1171</x:v>
      </x:c>
    </x:row>
    <x:row r="81" spans="2:18">
      <x:c r="E81" s="397"/>
      <x:c r="F81" s="397"/>
      <x:c r="G81" s="397"/>
      <x:c r="H81" s="397"/>
      <x:c r="I81" s="397"/>
      <x:c r="J81" s="397"/>
      <x:c r="K81" s="397"/>
      <x:c r="L81" s="397"/>
      <x:c r="M81" s="397"/>
      <x:c r="N81" s="397"/>
      <x:c r="O81" s="397"/>
      <x:c r="P81" s="397"/>
      <x:c r="Q81" s="397"/>
      <x:c r="R81" s="397"/>
    </x:row>
    <x:row r="82" spans="2:18">
      <x:c r="B82" s="183">
        <x:f>B75+1</x:f>
        <x:v>49</x:v>
      </x:c>
      <x:c r="D82" s="167" t="s">
        <x:v>917</x:v>
      </x:c>
      <x:c r="E82" s="397"/>
      <x:c r="F82" s="397"/>
      <x:c r="G82" s="397"/>
      <x:c r="H82" s="397"/>
      <x:c r="I82" s="397"/>
      <x:c r="J82" s="402" t="str">
        <x:f>$J$12</x:f>
        <x:v>12/31/2024 (Actuals)</x:v>
      </x:c>
      <x:c r="K82" s="397"/>
      <x:c r="L82" s="402">
        <x:f>'1C - ADIT BOY'!$H$176</x:f>
        <x:v>-117040338.35227573</x:v>
      </x:c>
      <x:c r="M82" s="397"/>
      <x:c r="N82" s="923">
        <x:f>$N$12</x:f>
        <x:v>0</x:v>
      </x:c>
      <x:c r="O82" s="397"/>
      <x:c r="P82" s="397"/>
      <x:c r="Q82" s="397"/>
      <x:c r="R82" s="402">
        <x:v>0</x:v>
      </x:c>
    </x:row>
    <x:row r="83" spans="2:18">
      <x:c r="E83" s="397"/>
      <x:c r="F83" s="397"/>
      <x:c r="G83" s="397"/>
      <x:c r="H83" s="397"/>
      <x:c r="I83" s="397"/>
      <x:c r="J83" s="397"/>
      <x:c r="K83" s="397"/>
      <x:c r="L83" s="397"/>
      <x:c r="M83" s="397"/>
      <x:c r="N83" s="397"/>
      <x:c r="O83" s="397"/>
      <x:c r="P83" s="397"/>
      <x:c r="Q83" s="397"/>
      <x:c r="R83" s="397"/>
    </x:row>
    <x:row r="84" spans="2:18">
      <x:c r="B84" s="183">
        <x:f>B82+1</x:f>
        <x:v>50</x:v>
      </x:c>
      <x:c r="D84" s="167" t="s">
        <x:v>1526</x:v>
      </x:c>
      <x:c r="E84" s="397"/>
      <x:c r="F84" s="397"/>
      <x:c r="G84" s="397"/>
      <x:c r="H84" s="397"/>
      <x:c r="I84" s="397"/>
      <x:c r="J84" s="402" t="str">
        <x:f>$J$14</x:f>
        <x:v>12/31/2025 (Projected)</x:v>
      </x:c>
      <x:c r="K84" s="397"/>
      <x:c r="L84" s="397"/>
      <x:c r="M84" s="397"/>
      <x:c r="N84" s="923">
        <x:f>$N$14</x:f>
        <x:v>0</x:v>
      </x:c>
      <x:c r="O84" s="397"/>
      <x:c r="P84" s="397"/>
      <x:c r="Q84" s="397"/>
      <x:c r="R84" s="397"/>
    </x:row>
    <x:row r="85" spans="2:18">
      <x:c r="E85" s="397"/>
      <x:c r="F85" s="397"/>
      <x:c r="G85" s="397"/>
      <x:c r="H85" s="397"/>
      <x:c r="I85" s="397"/>
      <x:c r="J85" s="397"/>
      <x:c r="K85" s="397"/>
      <x:c r="L85" s="397"/>
      <x:c r="M85" s="397"/>
      <x:c r="N85" s="397"/>
      <x:c r="O85" s="397"/>
      <x:c r="P85" s="397"/>
      <x:c r="Q85" s="397"/>
      <x:c r="R85" s="397"/>
    </x:row>
    <x:row r="86" spans="2:18">
      <x:c r="B86" s="183">
        <x:f>B84+1</x:f>
        <x:v>51</x:v>
      </x:c>
      <x:c r="D86" s="188" t="s">
        <x:v>473</x:v>
      </x:c>
      <x:c r="E86" s="402">
        <x:v>31</x:v>
      </x:c>
      <x:c r="F86" s="408">
        <x:v>0</x:v>
      </x:c>
      <x:c r="G86" s="408">
        <x:v>214</x:v>
      </x:c>
      <x:c r="H86" s="407">
        <x:f t="shared" ref="H86:H97" si="18">IF(F86=0,0.5,F86/G86)</x:f>
        <x:v>0.5</x:v>
      </x:c>
      <x:c r="I86" s="406"/>
      <x:c r="J86" s="402">
        <x:v>-104256.6760473328</x:v>
      </x:c>
      <x:c r="K86" s="400">
        <x:f t="shared" ref="K86:K97" si="19">+J86*H86</x:f>
        <x:v>-52128.338023666402</x:v>
      </x:c>
      <x:c r="L86" s="400">
        <x:f>+K86+L82</x:f>
        <x:v>-117092466.69029939</x:v>
      </x:c>
      <x:c r="M86" s="406"/>
      <x:c r="N86" s="402">
        <x:v>0</x:v>
      </x:c>
      <x:c r="O86" s="400">
        <x:f t="shared" ref="O86:O97" si="20">IF($D$187="True-Up Adjustment",N86-J86,0)</x:f>
        <x:v>0</x:v>
      </x:c>
      <x:c r="P86" s="400">
        <x:f t="shared" ref="P86:P97" si="21">IF($D$187="True-Up Adjustment",IF(AND(J86&gt;=0,N86&gt;=0),IF(O86&gt;=0,K86+O86,N86/J86*K86),IF(AND(J86&lt;0,N86&lt;0),IF(O86&lt;0,K86+O86,N86/J86*K86),0)),0)</x:f>
        <x:v>0</x:v>
      </x:c>
      <x:c r="Q86" s="400">
        <x:f t="shared" ref="Q86:Q97" si="22">IF(AND(J86&gt;=0,N86&lt;0),N86,IF(AND(J86&lt;0,N86&gt;=0),N86,0))</x:f>
        <x:v>0</x:v>
      </x:c>
      <x:c r="R86" s="400">
        <x:f>R82+P86+Q86</x:f>
        <x:v>0</x:v>
      </x:c>
    </x:row>
    <x:row r="87" spans="2:18">
      <x:c r="B87" s="183">
        <x:f t="shared" ref="B87:B98" si="23">+B86+1</x:f>
        <x:v>52</x:v>
      </x:c>
      <x:c r="D87" s="188" t="s">
        <x:v>474</x:v>
      </x:c>
      <x:c r="E87" s="402">
        <x:v>28</x:v>
      </x:c>
      <x:c r="F87" s="408">
        <x:v>0</x:v>
      </x:c>
      <x:c r="G87" s="408">
        <x:v>214</x:v>
      </x:c>
      <x:c r="H87" s="407">
        <x:f t="shared" si="18"/>
        <x:v>0.5</x:v>
      </x:c>
      <x:c r="I87" s="406"/>
      <x:c r="J87" s="402">
        <x:v>-99724.897615794122</x:v>
      </x:c>
      <x:c r="K87" s="400">
        <x:f t="shared" si="19"/>
        <x:v>-49862.448807897061</x:v>
      </x:c>
      <x:c r="L87" s="400">
        <x:f t="shared" ref="L87:L97" si="24">+K87+L86</x:f>
        <x:v>-117142329.13910729</x:v>
      </x:c>
      <x:c r="M87" s="406"/>
      <x:c r="N87" s="402">
        <x:v>0</x:v>
      </x:c>
      <x:c r="O87" s="400">
        <x:f t="shared" si="20"/>
        <x:v>0</x:v>
      </x:c>
      <x:c r="P87" s="400">
        <x:f t="shared" si="21"/>
        <x:v>0</x:v>
      </x:c>
      <x:c r="Q87" s="400">
        <x:f t="shared" si="22"/>
        <x:v>0</x:v>
      </x:c>
      <x:c r="R87" s="400">
        <x:f t="shared" ref="R87:R97" si="25">R86+P87+Q87</x:f>
        <x:v>0</x:v>
      </x:c>
    </x:row>
    <x:row r="88" spans="2:18">
      <x:c r="B88" s="183">
        <x:f t="shared" si="23"/>
        <x:v>53</x:v>
      </x:c>
      <x:c r="D88" s="188" t="s">
        <x:v>495</x:v>
      </x:c>
      <x:c r="E88" s="402">
        <x:v>31</x:v>
      </x:c>
      <x:c r="F88" s="408">
        <x:v>0</x:v>
      </x:c>
      <x:c r="G88" s="408">
        <x:v>214</x:v>
      </x:c>
      <x:c r="H88" s="407">
        <x:f t="shared" si="18"/>
        <x:v>0.5</x:v>
      </x:c>
      <x:c r="I88" s="406"/>
      <x:c r="J88" s="402">
        <x:v>-93381.247746492401</x:v>
      </x:c>
      <x:c r="K88" s="400">
        <x:f t="shared" si="19"/>
        <x:v>-46690.623873246201</x:v>
      </x:c>
      <x:c r="L88" s="400">
        <x:f t="shared" si="24"/>
        <x:v>-117189019.76298054</x:v>
      </x:c>
      <x:c r="M88" s="406"/>
      <x:c r="N88" s="402">
        <x:v>0</x:v>
      </x:c>
      <x:c r="O88" s="400">
        <x:f t="shared" si="20"/>
        <x:v>0</x:v>
      </x:c>
      <x:c r="P88" s="400">
        <x:f t="shared" si="21"/>
        <x:v>0</x:v>
      </x:c>
      <x:c r="Q88" s="400">
        <x:f t="shared" si="22"/>
        <x:v>0</x:v>
      </x:c>
      <x:c r="R88" s="400">
        <x:f t="shared" si="25"/>
        <x:v>0</x:v>
      </x:c>
    </x:row>
    <x:row r="89" spans="2:18">
      <x:c r="B89" s="183">
        <x:f t="shared" si="23"/>
        <x:v>54</x:v>
      </x:c>
      <x:c r="D89" s="188" t="s">
        <x:v>160</x:v>
      </x:c>
      <x:c r="E89" s="402">
        <x:v>30</x:v>
      </x:c>
      <x:c r="F89" s="408">
        <x:v>0</x:v>
      </x:c>
      <x:c r="G89" s="408">
        <x:v>214</x:v>
      </x:c>
      <x:c r="H89" s="407">
        <x:f t="shared" si="18"/>
        <x:v>0.5</x:v>
      </x:c>
      <x:c r="I89" s="406"/>
      <x:c r="J89" s="402">
        <x:v>-94743.964615309509</x:v>
      </x:c>
      <x:c r="K89" s="400">
        <x:f t="shared" si="19"/>
        <x:v>-47371.982307654755</x:v>
      </x:c>
      <x:c r="L89" s="400">
        <x:f t="shared" si="24"/>
        <x:v>-117236391.74528819</x:v>
      </x:c>
      <x:c r="M89" s="406"/>
      <x:c r="N89" s="402">
        <x:v>0</x:v>
      </x:c>
      <x:c r="O89" s="400">
        <x:f t="shared" si="20"/>
        <x:v>0</x:v>
      </x:c>
      <x:c r="P89" s="400">
        <x:f t="shared" si="21"/>
        <x:v>0</x:v>
      </x:c>
      <x:c r="Q89" s="400">
        <x:f t="shared" si="22"/>
        <x:v>0</x:v>
      </x:c>
      <x:c r="R89" s="400">
        <x:f t="shared" si="25"/>
        <x:v>0</x:v>
      </x:c>
    </x:row>
    <x:row r="90" spans="2:18">
      <x:c r="B90" s="183">
        <x:f t="shared" si="23"/>
        <x:v>55</x:v>
      </x:c>
      <x:c r="D90" s="188" t="s">
        <x:v>161</x:v>
      </x:c>
      <x:c r="E90" s="402">
        <x:v>31</x:v>
      </x:c>
      <x:c r="F90" s="408">
        <x:v>0</x:v>
      </x:c>
      <x:c r="G90" s="408">
        <x:v>214</x:v>
      </x:c>
      <x:c r="H90" s="407">
        <x:f t="shared" si="18"/>
        <x:v>0.5</x:v>
      </x:c>
      <x:c r="I90" s="406"/>
      <x:c r="J90" s="402">
        <x:v>-92919.760683620669</x:v>
      </x:c>
      <x:c r="K90" s="400">
        <x:f t="shared" si="19"/>
        <x:v>-46459.880341810334</x:v>
      </x:c>
      <x:c r="L90" s="400">
        <x:f t="shared" si="24"/>
        <x:v>-117282851.62563001</x:v>
      </x:c>
      <x:c r="M90" s="406"/>
      <x:c r="N90" s="402">
        <x:v>0</x:v>
      </x:c>
      <x:c r="O90" s="400">
        <x:f t="shared" si="20"/>
        <x:v>0</x:v>
      </x:c>
      <x:c r="P90" s="400">
        <x:f t="shared" si="21"/>
        <x:v>0</x:v>
      </x:c>
      <x:c r="Q90" s="400">
        <x:f t="shared" si="22"/>
        <x:v>0</x:v>
      </x:c>
      <x:c r="R90" s="400">
        <x:f t="shared" si="25"/>
        <x:v>0</x:v>
      </x:c>
    </x:row>
    <x:row r="91" spans="2:18">
      <x:c r="B91" s="183">
        <x:f t="shared" si="23"/>
        <x:v>56</x:v>
      </x:c>
      <x:c r="D91" s="188" t="s">
        <x:v>162</x:v>
      </x:c>
      <x:c r="E91" s="402">
        <x:v>30</x:v>
      </x:c>
      <x:c r="F91" s="408">
        <x:f t="shared" ref="F91:F96" si="26">F92+E92</x:f>
        <x:v>185</x:v>
      </x:c>
      <x:c r="G91" s="408">
        <x:v>214</x:v>
      </x:c>
      <x:c r="H91" s="407">
        <x:f t="shared" si="18"/>
        <x:v>0.86448598130841126</x:v>
      </x:c>
      <x:c r="I91" s="406"/>
      <x:c r="J91" s="402">
        <x:v>-93110.833104658217</x:v>
      </x:c>
      <x:c r="K91" s="400">
        <x:f t="shared" si="19"/>
        <x:v>-80493.009926924162</x:v>
      </x:c>
      <x:c r="L91" s="400">
        <x:f t="shared" si="24"/>
        <x:v>-117363344.63555694</x:v>
      </x:c>
      <x:c r="M91" s="406"/>
      <x:c r="N91" s="402">
        <x:v>0</x:v>
      </x:c>
      <x:c r="O91" s="400">
        <x:f t="shared" si="20"/>
        <x:v>0</x:v>
      </x:c>
      <x:c r="P91" s="400">
        <x:f t="shared" si="21"/>
        <x:v>0</x:v>
      </x:c>
      <x:c r="Q91" s="400">
        <x:f t="shared" si="22"/>
        <x:v>0</x:v>
      </x:c>
      <x:c r="R91" s="400">
        <x:f t="shared" si="25"/>
        <x:v>0</x:v>
      </x:c>
    </x:row>
    <x:row r="92" spans="2:18">
      <x:c r="B92" s="183">
        <x:f t="shared" si="23"/>
        <x:v>57</x:v>
      </x:c>
      <x:c r="D92" s="188" t="s">
        <x:v>476</x:v>
      </x:c>
      <x:c r="E92" s="402">
        <x:v>31</x:v>
      </x:c>
      <x:c r="F92" s="408">
        <x:f t="shared" si="26"/>
        <x:v>154</x:v>
      </x:c>
      <x:c r="G92" s="408">
        <x:v>214</x:v>
      </x:c>
      <x:c r="H92" s="407">
        <x:f t="shared" si="18"/>
        <x:v>0.71962616822429903</x:v>
      </x:c>
      <x:c r="I92" s="406"/>
      <x:c r="J92" s="402">
        <x:v>-86966.642410197775</x:v>
      </x:c>
      <x:c r="K92" s="400">
        <x:f t="shared" si="19"/>
        <x:v>-62583.471640983444</x:v>
      </x:c>
      <x:c r="L92" s="400">
        <x:f t="shared" si="24"/>
        <x:v>-117425928.10719793</x:v>
      </x:c>
      <x:c r="M92" s="406"/>
      <x:c r="N92" s="402">
        <x:v>0</x:v>
      </x:c>
      <x:c r="O92" s="400">
        <x:f t="shared" si="20"/>
        <x:v>0</x:v>
      </x:c>
      <x:c r="P92" s="400">
        <x:f t="shared" si="21"/>
        <x:v>0</x:v>
      </x:c>
      <x:c r="Q92" s="400">
        <x:f t="shared" si="22"/>
        <x:v>0</x:v>
      </x:c>
      <x:c r="R92" s="400">
        <x:f t="shared" si="25"/>
        <x:v>0</x:v>
      </x:c>
    </x:row>
    <x:row r="93" spans="2:18">
      <x:c r="B93" s="183">
        <x:f t="shared" si="23"/>
        <x:v>58</x:v>
      </x:c>
      <x:c r="D93" s="188" t="s">
        <x:v>496</x:v>
      </x:c>
      <x:c r="E93" s="402">
        <x:v>31</x:v>
      </x:c>
      <x:c r="F93" s="408">
        <x:f t="shared" si="26"/>
        <x:v>123</x:v>
      </x:c>
      <x:c r="G93" s="408">
        <x:v>214</x:v>
      </x:c>
      <x:c r="H93" s="407">
        <x:f t="shared" si="18"/>
        <x:v>0.57476635514018692</x:v>
      </x:c>
      <x:c r="I93" s="406"/>
      <x:c r="J93" s="402">
        <x:v>-85621.999368523888</x:v>
      </x:c>
      <x:c r="K93" s="400">
        <x:f t="shared" si="19"/>
        <x:v>-49212.64449686186</x:v>
      </x:c>
      <x:c r="L93" s="400">
        <x:f t="shared" si="24"/>
        <x:v>-117475140.75169478</x:v>
      </x:c>
      <x:c r="M93" s="406"/>
      <x:c r="N93" s="402">
        <x:v>0</x:v>
      </x:c>
      <x:c r="O93" s="400">
        <x:f t="shared" si="20"/>
        <x:v>0</x:v>
      </x:c>
      <x:c r="P93" s="400">
        <x:f t="shared" si="21"/>
        <x:v>0</x:v>
      </x:c>
      <x:c r="Q93" s="400">
        <x:f t="shared" si="22"/>
        <x:v>0</x:v>
      </x:c>
      <x:c r="R93" s="400">
        <x:f t="shared" si="25"/>
        <x:v>0</x:v>
      </x:c>
    </x:row>
    <x:row r="94" spans="2:18">
      <x:c r="B94" s="183">
        <x:f t="shared" si="23"/>
        <x:v>59</x:v>
      </x:c>
      <x:c r="D94" s="188" t="s">
        <x:v>478</x:v>
      </x:c>
      <x:c r="E94" s="402">
        <x:v>30</x:v>
      </x:c>
      <x:c r="F94" s="408">
        <x:f t="shared" si="26"/>
        <x:v>93</x:v>
      </x:c>
      <x:c r="G94" s="408">
        <x:v>214</x:v>
      </x:c>
      <x:c r="H94" s="407">
        <x:f t="shared" si="18"/>
        <x:v>0.43457943925233644</x:v>
      </x:c>
      <x:c r="I94" s="406"/>
      <x:c r="J94" s="402">
        <x:v>-87490.051580605897</x:v>
      </x:c>
      <x:c r="K94" s="400">
        <x:f t="shared" si="19"/>
        <x:v>-38021.377556057705</x:v>
      </x:c>
      <x:c r="L94" s="400">
        <x:f t="shared" si="24"/>
        <x:v>-117513162.12925084</x:v>
      </x:c>
      <x:c r="M94" s="406"/>
      <x:c r="N94" s="402">
        <x:v>0</x:v>
      </x:c>
      <x:c r="O94" s="400">
        <x:f t="shared" si="20"/>
        <x:v>0</x:v>
      </x:c>
      <x:c r="P94" s="400">
        <x:f t="shared" si="21"/>
        <x:v>0</x:v>
      </x:c>
      <x:c r="Q94" s="400">
        <x:f t="shared" si="22"/>
        <x:v>0</x:v>
      </x:c>
      <x:c r="R94" s="400">
        <x:f t="shared" si="25"/>
        <x:v>0</x:v>
      </x:c>
    </x:row>
    <x:row r="95" spans="2:18">
      <x:c r="B95" s="183">
        <x:f t="shared" si="23"/>
        <x:v>60</x:v>
      </x:c>
      <x:c r="D95" s="188" t="s">
        <x:v>479</x:v>
      </x:c>
      <x:c r="E95" s="402">
        <x:v>31</x:v>
      </x:c>
      <x:c r="F95" s="408">
        <x:f t="shared" si="26"/>
        <x:v>62</x:v>
      </x:c>
      <x:c r="G95" s="408">
        <x:v>214</x:v>
      </x:c>
      <x:c r="H95" s="407">
        <x:f t="shared" si="18"/>
        <x:v>0.28971962616822428</x:v>
      </x:c>
      <x:c r="I95" s="406"/>
      <x:c r="J95" s="402">
        <x:v>-84056.551732645967</x:v>
      </x:c>
      <x:c r="K95" s="400">
        <x:f t="shared" si="19"/>
        <x:v>-24352.832744972195</x:v>
      </x:c>
      <x:c r="L95" s="400">
        <x:f t="shared" si="24"/>
        <x:v>-117537514.96199581</x:v>
      </x:c>
      <x:c r="M95" s="406"/>
      <x:c r="N95" s="402">
        <x:v>0</x:v>
      </x:c>
      <x:c r="O95" s="400">
        <x:f t="shared" si="20"/>
        <x:v>0</x:v>
      </x:c>
      <x:c r="P95" s="400">
        <x:f t="shared" si="21"/>
        <x:v>0</x:v>
      </x:c>
      <x:c r="Q95" s="400">
        <x:f t="shared" si="22"/>
        <x:v>0</x:v>
      </x:c>
      <x:c r="R95" s="400">
        <x:f t="shared" si="25"/>
        <x:v>0</x:v>
      </x:c>
    </x:row>
    <x:row r="96" spans="2:18">
      <x:c r="B96" s="183">
        <x:f t="shared" si="23"/>
        <x:v>61</x:v>
      </x:c>
      <x:c r="D96" s="188" t="s">
        <x:v>480</x:v>
      </x:c>
      <x:c r="E96" s="402">
        <x:v>30</x:v>
      </x:c>
      <x:c r="F96" s="408">
        <x:f t="shared" si="26"/>
        <x:v>32</x:v>
      </x:c>
      <x:c r="G96" s="408">
        <x:v>214</x:v>
      </x:c>
      <x:c r="H96" s="407">
        <x:f t="shared" si="18"/>
        <x:v>0.14953271028037382</x:v>
      </x:c>
      <x:c r="I96" s="406"/>
      <x:c r="J96" s="402">
        <x:v>-82105.512248162355</x:v>
      </x:c>
      <x:c r="K96" s="400">
        <x:f t="shared" si="19"/>
        <x:v>-12277.459775426145</x:v>
      </x:c>
      <x:c r="L96" s="400">
        <x:f t="shared" si="24"/>
        <x:v>-117549792.42177124</x:v>
      </x:c>
      <x:c r="M96" s="406"/>
      <x:c r="N96" s="402">
        <x:v>0</x:v>
      </x:c>
      <x:c r="O96" s="400">
        <x:f t="shared" si="20"/>
        <x:v>0</x:v>
      </x:c>
      <x:c r="P96" s="400">
        <x:f t="shared" si="21"/>
        <x:v>0</x:v>
      </x:c>
      <x:c r="Q96" s="400">
        <x:f t="shared" si="22"/>
        <x:v>0</x:v>
      </x:c>
      <x:c r="R96" s="400">
        <x:f t="shared" si="25"/>
        <x:v>0</x:v>
      </x:c>
    </x:row>
    <x:row r="97" spans="2:18">
      <x:c r="B97" s="183">
        <x:f t="shared" si="23"/>
        <x:v>62</x:v>
      </x:c>
      <x:c r="D97" s="189" t="s">
        <x:v>684</x:v>
      </x:c>
      <x:c r="E97" s="402">
        <x:v>31</x:v>
      </x:c>
      <x:c r="F97" s="408">
        <x:v>1</x:v>
      </x:c>
      <x:c r="G97" s="408">
        <x:v>214</x:v>
      </x:c>
      <x:c r="H97" s="407">
        <x:f t="shared" si="18"/>
        <x:v>4.6728971962616819E-3</x:v>
      </x:c>
      <x:c r="I97" s="406"/>
      <x:c r="J97" s="198">
        <x:v>-80685.618928803568</x:v>
      </x:c>
      <x:c r="K97" s="400">
        <x:f t="shared" si="19"/>
        <x:v>-377.03560247104468</x:v>
      </x:c>
      <x:c r="L97" s="400">
        <x:f t="shared" si="24"/>
        <x:v>-117550169.45737371</x:v>
      </x:c>
      <x:c r="M97" s="406"/>
      <x:c r="N97" s="402">
        <x:v>0</x:v>
      </x:c>
      <x:c r="O97" s="400">
        <x:f t="shared" si="20"/>
        <x:v>0</x:v>
      </x:c>
      <x:c r="P97" s="400">
        <x:f t="shared" si="21"/>
        <x:v>0</x:v>
      </x:c>
      <x:c r="Q97" s="400">
        <x:f t="shared" si="22"/>
        <x:v>0</x:v>
      </x:c>
      <x:c r="R97" s="400">
        <x:f t="shared" si="25"/>
        <x:v>0</x:v>
      </x:c>
    </x:row>
    <x:row r="98" spans="2:18">
      <x:c r="B98" s="183">
        <x:f t="shared" si="23"/>
        <x:v>63</x:v>
      </x:c>
      <x:c r="D98" s="190" t="str">
        <x:f>"Total (Sum of Lines "&amp;B86&amp;" - "&amp;B97&amp;")"</x:f>
        <x:v>Total (Sum of Lines 51 - 62)</x:v>
      </x:c>
      <x:c r="E98" s="405">
        <x:f>SUM(E86:E97)</x:f>
        <x:v>365</x:v>
      </x:c>
      <x:c r="F98" s="191"/>
      <x:c r="G98" s="191"/>
      <x:c r="H98" s="192"/>
      <x:c r="I98" s="403"/>
      <x:c r="J98" s="405">
        <x:f>SUM(J86:J97)</x:f>
        <x:v>-1085063.7560821471</x:v>
      </x:c>
      <x:c r="K98" s="405">
        <x:f>SUM(K86:K97)</x:f>
        <x:v>-509831.10509797127</x:v>
      </x:c>
      <x:c r="L98" s="405"/>
      <x:c r="M98" s="403"/>
      <x:c r="N98" s="405">
        <x:f>SUM(N86:N97)</x:f>
        <x:v>0</x:v>
      </x:c>
      <x:c r="O98" s="405">
        <x:f>SUM(O86:O97)</x:f>
        <x:v>0</x:v>
      </x:c>
      <x:c r="P98" s="405">
        <x:f>SUM(P86:P97)</x:f>
        <x:v>0</x:v>
      </x:c>
      <x:c r="Q98" s="405">
        <x:f>SUM(Q86:Q97)</x:f>
        <x:v>0</x:v>
      </x:c>
      <x:c r="R98" s="404"/>
    </x:row>
    <x:row r="99" spans="2:18">
      <x:c r="D99" s="193"/>
      <x:c r="E99" s="193"/>
      <x:c r="F99" s="193"/>
      <x:c r="G99" s="193"/>
      <x:c r="H99" s="194"/>
      <x:c r="I99" s="194"/>
      <x:c r="J99" s="1300"/>
      <x:c r="K99" s="195"/>
      <x:c r="L99" s="194"/>
      <x:c r="M99" s="194"/>
      <x:c r="N99" s="203"/>
      <x:c r="O99" s="195"/>
      <x:c r="P99" s="195"/>
      <x:c r="Q99" s="195"/>
      <x:c r="R99" s="194"/>
    </x:row>
    <x:row r="100" spans="2:18" ht="15" customHeight="1">
      <x:c r="B100" s="183">
        <x:f>B98+1</x:f>
        <x:v>64</x:v>
      </x:c>
      <x:c r="D100" s="167" t="s">
        <x:v>840</x:v>
      </x:c>
      <x:c r="I100" s="194"/>
      <x:c r="J100" s="402" t="str">
        <x:f>$J$12</x:f>
        <x:v>12/31/2024 (Actuals)</x:v>
      </x:c>
      <x:c r="L100" s="402">
        <x:f>'1C - ADIT BOY'!$E$13</x:f>
        <x:v>-209927200.02276409</x:v>
      </x:c>
      <x:c r="M100" s="196"/>
      <x:c r="N100" s="923">
        <x:f>$N$12</x:f>
        <x:v>0</x:v>
      </x:c>
      <x:c r="R100" s="402">
        <x:v>0</x:v>
      </x:c>
    </x:row>
    <x:row r="101" spans="2:18">
      <x:c r="B101" s="183">
        <x:f>B100+1</x:f>
        <x:v>65</x:v>
      </x:c>
      <x:c r="D101" s="167" t="s">
        <x:v>844</x:v>
      </x:c>
      <x:c r="I101" s="194"/>
      <x:c r="J101" s="197" t="s">
        <x:v>588</x:v>
      </x:c>
      <x:c r="L101" s="198">
        <x:v>0</x:v>
      </x:c>
      <x:c r="M101" s="199"/>
      <x:c r="N101" s="197" t="s">
        <x:v>588</x:v>
      </x:c>
      <x:c r="R101" s="198">
        <x:v>0</x:v>
      </x:c>
    </x:row>
    <x:row r="102" spans="2:18">
      <x:c r="B102" s="183">
        <x:f>B101+1</x:f>
        <x:v>66</x:v>
      </x:c>
      <x:c r="D102" s="167" t="s">
        <x:v>841</x:v>
      </x:c>
      <x:c r="I102" s="194"/>
      <x:c r="J102" s="190" t="str">
        <x:f>"(Col. "&amp;L79&amp;", Line "&amp;B100&amp;" + Line "&amp;B101&amp;")"</x:f>
        <x:v>(Col. (H), Line 64 + Line 65)</x:v>
      </x:c>
      <x:c r="L102" s="401">
        <x:f>L100+L101</x:f>
        <x:v>-209927200.02276409</x:v>
      </x:c>
      <x:c r="M102" s="194"/>
      <x:c r="N102" s="190" t="str">
        <x:f>"(Col. "&amp;R79&amp;", Line "&amp;B100&amp;" + Line "&amp;B101&amp;")"</x:f>
        <x:v>(Col. (M), Line 64 + Line 65)</x:v>
      </x:c>
      <x:c r="R102" s="401">
        <x:f>R100+R101</x:f>
        <x:v>0</x:v>
      </x:c>
    </x:row>
    <x:row r="103" spans="2:18">
      <x:c r="I103" s="194"/>
      <x:c r="L103" s="401"/>
      <x:c r="M103" s="194"/>
      <x:c r="R103" s="401"/>
    </x:row>
    <x:row r="104" spans="2:18">
      <x:c r="B104" s="183">
        <x:f>B102+1</x:f>
        <x:v>67</x:v>
      </x:c>
      <x:c r="D104" s="167" t="s">
        <x:v>916</x:v>
      </x:c>
      <x:c r="I104" s="194"/>
      <x:c r="J104" s="402" t="str">
        <x:f>$J$14</x:f>
        <x:v>12/31/2025 (Projected)</x:v>
      </x:c>
      <x:c r="L104" s="402">
        <x:f>'1B - ADIT EOY'!$E$13</x:f>
        <x:v>-218867264.15537345</x:v>
      </x:c>
      <x:c r="M104" s="196"/>
      <x:c r="N104" s="923">
        <x:f>$N$14</x:f>
        <x:v>0</x:v>
      </x:c>
      <x:c r="R104" s="402">
        <x:v>0</x:v>
      </x:c>
    </x:row>
    <x:row r="105" spans="2:18">
      <x:c r="B105" s="183">
        <x:f>B104+1</x:f>
        <x:v>68</x:v>
      </x:c>
      <x:c r="D105" s="167" t="s">
        <x:v>845</x:v>
      </x:c>
      <x:c r="I105" s="194"/>
      <x:c r="J105" s="197" t="s">
        <x:v>588</x:v>
      </x:c>
      <x:c r="L105" s="198">
        <x:v>0</x:v>
      </x:c>
      <x:c r="M105" s="194"/>
      <x:c r="N105" s="197" t="s">
        <x:v>588</x:v>
      </x:c>
      <x:c r="R105" s="198">
        <x:v>0</x:v>
      </x:c>
    </x:row>
    <x:row r="106" spans="2:18">
      <x:c r="B106" s="183">
        <x:f>B105+1</x:f>
        <x:v>69</x:v>
      </x:c>
      <x:c r="D106" s="167" t="s">
        <x:v>846</x:v>
      </x:c>
      <x:c r="I106" s="194"/>
      <x:c r="J106" s="190" t="str">
        <x:f>"(Col. "&amp;L79&amp;", Line "&amp;B104&amp;" + Line "&amp;B105&amp;")"</x:f>
        <x:v>(Col. (H), Line 67 + Line 68)</x:v>
      </x:c>
      <x:c r="L106" s="401">
        <x:f>L104+L105</x:f>
        <x:v>-218867264.15537345</x:v>
      </x:c>
      <x:c r="M106" s="194"/>
      <x:c r="N106" s="190" t="str">
        <x:f>"(Col. "&amp;R79&amp;", Line "&amp;B104&amp;" + Line "&amp;B105&amp;")"</x:f>
        <x:v>(Col. (M), Line 67 + Line 68)</x:v>
      </x:c>
      <x:c r="R106" s="401">
        <x:f>R104+R105</x:f>
        <x:v>0</x:v>
      </x:c>
    </x:row>
    <x:row r="107" spans="2:18">
      <x:c r="I107" s="194"/>
      <x:c r="L107" s="401"/>
      <x:c r="M107" s="194"/>
      <x:c r="R107" s="401"/>
    </x:row>
    <x:row r="108" spans="2:18">
      <x:c r="B108" s="183">
        <x:f>B106+1</x:f>
        <x:v>70</x:v>
      </x:c>
      <x:c r="D108" s="167" t="s">
        <x:v>915</x:v>
      </x:c>
      <x:c r="I108" s="194"/>
      <x:c r="J108" s="190" t="str">
        <x:f>"([Col. "&amp;L79&amp;", Line "&amp;B102&amp;" + Line "&amp;B106&amp;"] / 2)"</x:f>
        <x:v>([Col. (H), Line 66 + Line 69] / 2)</x:v>
      </x:c>
      <x:c r="L108" s="400">
        <x:f>(L102+L106)/2</x:f>
        <x:v>-214397232.08906877</x:v>
      </x:c>
      <x:c r="M108" s="194"/>
      <x:c r="N108" s="190" t="str">
        <x:f>"([Col. "&amp;R79&amp;", Line "&amp;B102&amp;" + Line "&amp;B106&amp;"] / 2)"</x:f>
        <x:v>([Col. (M), Line 66 + Line 69] / 2)</x:v>
      </x:c>
      <x:c r="R108" s="400">
        <x:f>(R102+R106)/2</x:f>
        <x:v>0</x:v>
      </x:c>
    </x:row>
    <x:row r="109" spans="2:18">
      <x:c r="B109" s="183">
        <x:f>B108+1</x:f>
        <x:v>71</x:v>
      </x:c>
      <x:c r="D109" s="193" t="s">
        <x:v>914</x:v>
      </x:c>
      <x:c r="E109" s="193"/>
      <x:c r="F109" s="193"/>
      <x:c r="G109" s="193"/>
      <x:c r="H109" s="194"/>
      <x:c r="I109" s="194"/>
      <x:c r="J109" s="190" t="str">
        <x:f>"(Col. "&amp;L79&amp;", Line "&amp;B97&amp;" )"</x:f>
        <x:v>(Col. (H), Line 62 )</x:v>
      </x:c>
      <x:c r="K109" s="195"/>
      <x:c r="L109" s="400">
        <x:f>L97</x:f>
        <x:v>-117550169.45737371</x:v>
      </x:c>
      <x:c r="M109" s="194"/>
      <x:c r="N109" s="190" t="str">
        <x:f>"(Col. "&amp;R79&amp;", Line "&amp;B97&amp;" )"</x:f>
        <x:v>(Col. (M), Line 62 )</x:v>
      </x:c>
      <x:c r="R109" s="400">
        <x:f>R97</x:f>
        <x:v>0</x:v>
      </x:c>
    </x:row>
    <x:row r="110" spans="2:18" ht="13.5" thickBot="1">
      <x:c r="B110" s="183">
        <x:f>B109+1</x:f>
        <x:v>72</x:v>
      </x:c>
      <x:c r="D110" s="200" t="s">
        <x:v>1389</x:v>
      </x:c>
      <x:c r="E110" s="193"/>
      <x:c r="F110" s="193"/>
      <x:c r="G110" s="193"/>
      <x:c r="H110" s="194"/>
      <x:c r="I110" s="194"/>
      <x:c r="J110" s="190" t="str">
        <x:f>"(Col. "&amp;L79&amp;", Line "&amp;B108&amp;" + Line "&amp;B109&amp;")"</x:f>
        <x:v>(Col. (H), Line 70 + Line 71)</x:v>
      </x:c>
      <x:c r="K110" s="195"/>
      <x:c r="L110" s="399">
        <x:f>L108+L109</x:f>
        <x:v>-331947401.54644251</x:v>
      </x:c>
      <x:c r="M110" s="194"/>
      <x:c r="N110" s="190" t="str">
        <x:f>"(Col. "&amp;R79&amp;", Line "&amp;B108&amp;" + Line "&amp;B109&amp;")"</x:f>
        <x:v>(Col. (M), Line 70 + Line 71)</x:v>
      </x:c>
      <x:c r="R110" s="399">
        <x:f>R108+R109</x:f>
        <x:v>0</x:v>
      </x:c>
    </x:row>
    <x:row r="111" spans="2:18">
      <x:c r="D111" s="180"/>
    </x:row>
    <x:row r="112" spans="2:18">
      <x:c r="D112" s="180" t="s">
        <x:v>847</x:v>
      </x:c>
      <x:c r="J112" s="1599"/>
      <x:c r="K112" s="1599"/>
      <x:c r="L112" s="1599"/>
      <x:c r="N112" s="1599"/>
      <x:c r="O112" s="1599"/>
      <x:c r="P112" s="1599"/>
      <x:c r="Q112" s="1599"/>
      <x:c r="R112" s="1599"/>
    </x:row>
    <x:row r="113" spans="2:18">
      <x:c r="D113" s="1591" t="s">
        <x:v>835</x:v>
      </x:c>
      <x:c r="E113" s="1592"/>
      <x:c r="F113" s="1592"/>
      <x:c r="G113" s="1592"/>
      <x:c r="H113" s="1593"/>
      <x:c r="I113" s="184"/>
      <x:c r="J113" s="1594" t="s">
        <x:v>1152</x:v>
      </x:c>
      <x:c r="K113" s="1595"/>
      <x:c r="L113" s="1596"/>
      <x:c r="M113" s="184"/>
      <x:c r="N113" s="1594" t="s">
        <x:v>1153</x:v>
      </x:c>
      <x:c r="O113" s="1595"/>
      <x:c r="P113" s="1595"/>
      <x:c r="Q113" s="1595"/>
      <x:c r="R113" s="1596"/>
    </x:row>
    <x:row r="114" spans="2:18">
      <x:c r="D114" s="185" t="s">
        <x:v>163</x:v>
      </x:c>
      <x:c r="E114" s="185" t="s">
        <x:v>164</x:v>
      </x:c>
      <x:c r="F114" s="185" t="s">
        <x:v>1154</x:v>
      </x:c>
      <x:c r="G114" s="185" t="s">
        <x:v>1155</x:v>
      </x:c>
      <x:c r="H114" s="185" t="s">
        <x:v>1156</x:v>
      </x:c>
      <x:c r="I114" s="184"/>
      <x:c r="J114" s="185" t="s">
        <x:v>1157</x:v>
      </x:c>
      <x:c r="K114" s="185" t="s">
        <x:v>1158</x:v>
      </x:c>
      <x:c r="L114" s="185" t="s">
        <x:v>1159</x:v>
      </x:c>
      <x:c r="M114" s="184"/>
      <x:c r="N114" s="185" t="s">
        <x:v>1160</x:v>
      </x:c>
      <x:c r="O114" s="185" t="s">
        <x:v>1161</x:v>
      </x:c>
      <x:c r="P114" s="185" t="s">
        <x:v>1162</x:v>
      </x:c>
      <x:c r="Q114" s="185" t="s">
        <x:v>1163</x:v>
      </x:c>
      <x:c r="R114" s="185" t="s">
        <x:v>1164</x:v>
      </x:c>
    </x:row>
    <x:row r="115" spans="2:18" ht="51">
      <x:c r="B115" s="186" t="s">
        <x:v>523</x:v>
      </x:c>
      <x:c r="D115" s="187" t="s">
        <x:v>158</x:v>
      </x:c>
      <x:c r="E115" s="187" t="s">
        <x:v>836</x:v>
      </x:c>
      <x:c r="F115" s="187" t="s">
        <x:v>837</x:v>
      </x:c>
      <x:c r="G115" s="187" t="s">
        <x:v>838</x:v>
      </x:c>
      <x:c r="H115" s="187" t="s">
        <x:v>1165</x:v>
      </x:c>
      <x:c r="I115" s="397"/>
      <x:c r="J115" s="187" t="s">
        <x:v>839</x:v>
      </x:c>
      <x:c r="K115" s="187" t="s">
        <x:v>1166</x:v>
      </x:c>
      <x:c r="L115" s="187" t="s">
        <x:v>1167</x:v>
      </x:c>
      <x:c r="M115" s="397"/>
      <x:c r="N115" s="187" t="s">
        <x:v>918</x:v>
      </x:c>
      <x:c r="O115" s="187" t="s">
        <x:v>1168</x:v>
      </x:c>
      <x:c r="P115" s="187" t="s">
        <x:v>1169</x:v>
      </x:c>
      <x:c r="Q115" s="187" t="s">
        <x:v>1170</x:v>
      </x:c>
      <x:c r="R115" s="187" t="s">
        <x:v>1171</x:v>
      </x:c>
    </x:row>
    <x:row r="116" spans="2:18">
      <x:c r="E116" s="397"/>
      <x:c r="F116" s="397"/>
      <x:c r="G116" s="397"/>
      <x:c r="H116" s="397"/>
      <x:c r="I116" s="397"/>
      <x:c r="J116" s="397"/>
      <x:c r="K116" s="397"/>
      <x:c r="L116" s="397"/>
      <x:c r="M116" s="397"/>
      <x:c r="N116" s="397"/>
      <x:c r="O116" s="397"/>
      <x:c r="P116" s="397"/>
      <x:c r="Q116" s="397"/>
      <x:c r="R116" s="397"/>
    </x:row>
    <x:row r="117" spans="2:18">
      <x:c r="B117" s="183">
        <x:f>B110+1</x:f>
        <x:v>73</x:v>
      </x:c>
      <x:c r="D117" s="167" t="s">
        <x:v>917</x:v>
      </x:c>
      <x:c r="E117" s="397"/>
      <x:c r="F117" s="397"/>
      <x:c r="G117" s="397"/>
      <x:c r="H117" s="397"/>
      <x:c r="I117" s="397"/>
      <x:c r="J117" s="402" t="str">
        <x:f>$J$12</x:f>
        <x:v>12/31/2024 (Actuals)</x:v>
      </x:c>
      <x:c r="K117" s="397"/>
      <x:c r="L117" s="402">
        <x:v>0</x:v>
      </x:c>
      <x:c r="M117" s="397"/>
      <x:c r="N117" s="923">
        <x:f>$N$12</x:f>
        <x:v>0</x:v>
      </x:c>
      <x:c r="O117" s="397"/>
      <x:c r="P117" s="397"/>
      <x:c r="Q117" s="397"/>
      <x:c r="R117" s="402">
        <x:v>0</x:v>
      </x:c>
    </x:row>
    <x:row r="118" spans="2:18">
      <x:c r="E118" s="397"/>
      <x:c r="F118" s="397"/>
      <x:c r="G118" s="397"/>
      <x:c r="H118" s="397"/>
      <x:c r="I118" s="397"/>
      <x:c r="J118" s="397"/>
      <x:c r="K118" s="397"/>
      <x:c r="L118" s="397"/>
      <x:c r="M118" s="397"/>
      <x:c r="N118" s="397"/>
      <x:c r="O118" s="397"/>
      <x:c r="P118" s="397"/>
      <x:c r="Q118" s="397"/>
      <x:c r="R118" s="397"/>
    </x:row>
    <x:row r="119" spans="2:18">
      <x:c r="B119" s="183">
        <x:f>B117+1</x:f>
        <x:v>74</x:v>
      </x:c>
      <x:c r="D119" s="167" t="s">
        <x:v>1526</x:v>
      </x:c>
      <x:c r="E119" s="397"/>
      <x:c r="F119" s="397"/>
      <x:c r="G119" s="397"/>
      <x:c r="H119" s="397"/>
      <x:c r="I119" s="397"/>
      <x:c r="J119" s="402" t="str">
        <x:f>$J$14</x:f>
        <x:v>12/31/2025 (Projected)</x:v>
      </x:c>
      <x:c r="K119" s="397"/>
      <x:c r="L119" s="397"/>
      <x:c r="M119" s="397"/>
      <x:c r="N119" s="923">
        <x:f>$N$14</x:f>
        <x:v>0</x:v>
      </x:c>
      <x:c r="O119" s="397"/>
      <x:c r="P119" s="397"/>
      <x:c r="Q119" s="397"/>
      <x:c r="R119" s="397"/>
    </x:row>
    <x:row r="120" spans="2:18">
      <x:c r="E120" s="397"/>
      <x:c r="F120" s="397"/>
      <x:c r="G120" s="397"/>
      <x:c r="H120" s="397"/>
      <x:c r="I120" s="397"/>
      <x:c r="J120" s="397"/>
      <x:c r="K120" s="397"/>
      <x:c r="L120" s="397"/>
      <x:c r="M120" s="397"/>
      <x:c r="N120" s="397"/>
      <x:c r="O120" s="397"/>
      <x:c r="P120" s="397"/>
      <x:c r="Q120" s="397"/>
      <x:c r="R120" s="397"/>
    </x:row>
    <x:row r="121" spans="2:18">
      <x:c r="B121" s="183">
        <x:f>B119+1</x:f>
        <x:v>75</x:v>
      </x:c>
      <x:c r="D121" s="188" t="s">
        <x:v>473</x:v>
      </x:c>
      <x:c r="E121" s="402">
        <x:v>31</x:v>
      </x:c>
      <x:c r="F121" s="408">
        <x:v>0</x:v>
      </x:c>
      <x:c r="G121" s="408">
        <x:v>214</x:v>
      </x:c>
      <x:c r="H121" s="407">
        <x:f t="shared" ref="H121:H132" si="27">IF(F121=0,0.5,F121/G121)</x:f>
        <x:v>0.5</x:v>
      </x:c>
      <x:c r="I121" s="406"/>
      <x:c r="J121" s="402">
        <x:v>0</x:v>
      </x:c>
      <x:c r="K121" s="400">
        <x:f t="shared" ref="K121:K132" si="28">+J121*H121</x:f>
        <x:v>0</x:v>
      </x:c>
      <x:c r="L121" s="400">
        <x:f>+K121</x:f>
        <x:v>0</x:v>
      </x:c>
      <x:c r="M121" s="406"/>
      <x:c r="N121" s="402">
        <x:v>0</x:v>
      </x:c>
      <x:c r="O121" s="400">
        <x:f t="shared" ref="O121:O132" si="29">IF($D$187="True-Up Adjustment",N121-J121,0)</x:f>
        <x:v>0</x:v>
      </x:c>
      <x:c r="P121" s="400">
        <x:f t="shared" ref="P121:P132" si="30">IF($D$187="True-Up Adjustment",IF(AND(J121&gt;=0,N121&gt;=0),IF(O121&gt;=0,K121+O121,N121/J121*K121),IF(AND(J121&lt;0,N121&lt;0),IF(O121&lt;0,K121+O121,N121/J121*K121),0)),0)</x:f>
        <x:v>0</x:v>
      </x:c>
      <x:c r="Q121" s="400">
        <x:f t="shared" ref="Q121:Q132" si="31">IF(AND(J121&gt;=0,N121&lt;0),N121,IF(AND(J121&lt;0,N121&gt;=0),N121,0))</x:f>
        <x:v>0</x:v>
      </x:c>
      <x:c r="R121" s="400">
        <x:f>P121+Q121+R117</x:f>
        <x:v>0</x:v>
      </x:c>
    </x:row>
    <x:row r="122" spans="2:18">
      <x:c r="B122" s="183">
        <x:f t="shared" ref="B122:B133" si="32">+B121+1</x:f>
        <x:v>76</x:v>
      </x:c>
      <x:c r="D122" s="188" t="s">
        <x:v>474</x:v>
      </x:c>
      <x:c r="E122" s="402">
        <x:v>28</x:v>
      </x:c>
      <x:c r="F122" s="408">
        <x:v>0</x:v>
      </x:c>
      <x:c r="G122" s="408">
        <x:v>214</x:v>
      </x:c>
      <x:c r="H122" s="407">
        <x:f t="shared" si="27"/>
        <x:v>0.5</x:v>
      </x:c>
      <x:c r="I122" s="406"/>
      <x:c r="J122" s="402">
        <x:v>0</x:v>
      </x:c>
      <x:c r="K122" s="400">
        <x:f t="shared" si="28"/>
        <x:v>0</x:v>
      </x:c>
      <x:c r="L122" s="400">
        <x:f t="shared" ref="L122:L132" si="33">+K122+L121</x:f>
        <x:v>0</x:v>
      </x:c>
      <x:c r="M122" s="406"/>
      <x:c r="N122" s="402">
        <x:v>0</x:v>
      </x:c>
      <x:c r="O122" s="400">
        <x:f t="shared" si="29"/>
        <x:v>0</x:v>
      </x:c>
      <x:c r="P122" s="400">
        <x:f t="shared" si="30"/>
        <x:v>0</x:v>
      </x:c>
      <x:c r="Q122" s="400">
        <x:f t="shared" si="31"/>
        <x:v>0</x:v>
      </x:c>
      <x:c r="R122" s="400">
        <x:f t="shared" ref="R122:R132" si="34">R121+P122+Q122</x:f>
        <x:v>0</x:v>
      </x:c>
    </x:row>
    <x:row r="123" spans="2:18">
      <x:c r="B123" s="183">
        <x:f t="shared" si="32"/>
        <x:v>77</x:v>
      </x:c>
      <x:c r="D123" s="188" t="s">
        <x:v>495</x:v>
      </x:c>
      <x:c r="E123" s="402">
        <x:v>31</x:v>
      </x:c>
      <x:c r="F123" s="408">
        <x:v>0</x:v>
      </x:c>
      <x:c r="G123" s="408">
        <x:v>214</x:v>
      </x:c>
      <x:c r="H123" s="407">
        <x:f t="shared" si="27"/>
        <x:v>0.5</x:v>
      </x:c>
      <x:c r="I123" s="406"/>
      <x:c r="J123" s="402">
        <x:v>0</x:v>
      </x:c>
      <x:c r="K123" s="400">
        <x:f t="shared" si="28"/>
        <x:v>0</x:v>
      </x:c>
      <x:c r="L123" s="400">
        <x:f t="shared" si="33"/>
        <x:v>0</x:v>
      </x:c>
      <x:c r="M123" s="406"/>
      <x:c r="N123" s="402">
        <x:v>0</x:v>
      </x:c>
      <x:c r="O123" s="400">
        <x:f t="shared" si="29"/>
        <x:v>0</x:v>
      </x:c>
      <x:c r="P123" s="400">
        <x:f t="shared" si="30"/>
        <x:v>0</x:v>
      </x:c>
      <x:c r="Q123" s="400">
        <x:f t="shared" si="31"/>
        <x:v>0</x:v>
      </x:c>
      <x:c r="R123" s="400">
        <x:f t="shared" si="34"/>
        <x:v>0</x:v>
      </x:c>
    </x:row>
    <x:row r="124" spans="2:18">
      <x:c r="B124" s="183">
        <x:f t="shared" si="32"/>
        <x:v>78</x:v>
      </x:c>
      <x:c r="D124" s="188" t="s">
        <x:v>160</x:v>
      </x:c>
      <x:c r="E124" s="402">
        <x:v>30</x:v>
      </x:c>
      <x:c r="F124" s="408">
        <x:v>0</x:v>
      </x:c>
      <x:c r="G124" s="408">
        <x:v>214</x:v>
      </x:c>
      <x:c r="H124" s="407">
        <x:f t="shared" si="27"/>
        <x:v>0.5</x:v>
      </x:c>
      <x:c r="I124" s="406"/>
      <x:c r="J124" s="402">
        <x:v>0</x:v>
      </x:c>
      <x:c r="K124" s="400">
        <x:f t="shared" si="28"/>
        <x:v>0</x:v>
      </x:c>
      <x:c r="L124" s="400">
        <x:f t="shared" si="33"/>
        <x:v>0</x:v>
      </x:c>
      <x:c r="M124" s="406"/>
      <x:c r="N124" s="402">
        <x:v>0</x:v>
      </x:c>
      <x:c r="O124" s="400">
        <x:f t="shared" si="29"/>
        <x:v>0</x:v>
      </x:c>
      <x:c r="P124" s="400">
        <x:f t="shared" si="30"/>
        <x:v>0</x:v>
      </x:c>
      <x:c r="Q124" s="400">
        <x:f t="shared" si="31"/>
        <x:v>0</x:v>
      </x:c>
      <x:c r="R124" s="400">
        <x:f t="shared" si="34"/>
        <x:v>0</x:v>
      </x:c>
    </x:row>
    <x:row r="125" spans="2:18">
      <x:c r="B125" s="183">
        <x:f t="shared" si="32"/>
        <x:v>79</x:v>
      </x:c>
      <x:c r="D125" s="188" t="s">
        <x:v>161</x:v>
      </x:c>
      <x:c r="E125" s="402">
        <x:v>31</x:v>
      </x:c>
      <x:c r="F125" s="408">
        <x:v>0</x:v>
      </x:c>
      <x:c r="G125" s="408">
        <x:v>214</x:v>
      </x:c>
      <x:c r="H125" s="407">
        <x:f t="shared" si="27"/>
        <x:v>0.5</x:v>
      </x:c>
      <x:c r="I125" s="406"/>
      <x:c r="J125" s="402">
        <x:v>0</x:v>
      </x:c>
      <x:c r="K125" s="400">
        <x:f t="shared" si="28"/>
        <x:v>0</x:v>
      </x:c>
      <x:c r="L125" s="400">
        <x:f t="shared" si="33"/>
        <x:v>0</x:v>
      </x:c>
      <x:c r="M125" s="406"/>
      <x:c r="N125" s="402">
        <x:v>0</x:v>
      </x:c>
      <x:c r="O125" s="400">
        <x:f t="shared" si="29"/>
        <x:v>0</x:v>
      </x:c>
      <x:c r="P125" s="400">
        <x:f t="shared" si="30"/>
        <x:v>0</x:v>
      </x:c>
      <x:c r="Q125" s="400">
        <x:f t="shared" si="31"/>
        <x:v>0</x:v>
      </x:c>
      <x:c r="R125" s="400">
        <x:f t="shared" si="34"/>
        <x:v>0</x:v>
      </x:c>
    </x:row>
    <x:row r="126" spans="2:18">
      <x:c r="B126" s="183">
        <x:f t="shared" si="32"/>
        <x:v>80</x:v>
      </x:c>
      <x:c r="D126" s="188" t="s">
        <x:v>162</x:v>
      </x:c>
      <x:c r="E126" s="402">
        <x:v>30</x:v>
      </x:c>
      <x:c r="F126" s="408">
        <x:f>F127+E127</x:f>
        <x:v>185</x:v>
      </x:c>
      <x:c r="G126" s="408">
        <x:v>214</x:v>
      </x:c>
      <x:c r="H126" s="407">
        <x:f t="shared" si="27"/>
        <x:v>0.86448598130841126</x:v>
      </x:c>
      <x:c r="I126" s="406"/>
      <x:c r="J126" s="402">
        <x:v>0</x:v>
      </x:c>
      <x:c r="K126" s="400">
        <x:f t="shared" si="28"/>
        <x:v>0</x:v>
      </x:c>
      <x:c r="L126" s="400">
        <x:f t="shared" si="33"/>
        <x:v>0</x:v>
      </x:c>
      <x:c r="M126" s="406"/>
      <x:c r="N126" s="402">
        <x:v>0</x:v>
      </x:c>
      <x:c r="O126" s="400">
        <x:f t="shared" si="29"/>
        <x:v>0</x:v>
      </x:c>
      <x:c r="P126" s="400">
        <x:f t="shared" si="30"/>
        <x:v>0</x:v>
      </x:c>
      <x:c r="Q126" s="400">
        <x:f t="shared" si="31"/>
        <x:v>0</x:v>
      </x:c>
      <x:c r="R126" s="400">
        <x:f t="shared" si="34"/>
        <x:v>0</x:v>
      </x:c>
    </x:row>
    <x:row r="127" spans="2:18">
      <x:c r="B127" s="183">
        <x:f t="shared" si="32"/>
        <x:v>81</x:v>
      </x:c>
      <x:c r="D127" s="188" t="s">
        <x:v>476</x:v>
      </x:c>
      <x:c r="E127" s="402">
        <x:v>31</x:v>
      </x:c>
      <x:c r="F127" s="408">
        <x:f t="shared" ref="F127:F131" si="35">F128+E128</x:f>
        <x:v>154</x:v>
      </x:c>
      <x:c r="G127" s="408">
        <x:v>214</x:v>
      </x:c>
      <x:c r="H127" s="407">
        <x:f t="shared" si="27"/>
        <x:v>0.71962616822429903</x:v>
      </x:c>
      <x:c r="I127" s="406"/>
      <x:c r="J127" s="402">
        <x:v>0</x:v>
      </x:c>
      <x:c r="K127" s="400">
        <x:f t="shared" si="28"/>
        <x:v>0</x:v>
      </x:c>
      <x:c r="L127" s="400">
        <x:f t="shared" si="33"/>
        <x:v>0</x:v>
      </x:c>
      <x:c r="M127" s="406"/>
      <x:c r="N127" s="402">
        <x:v>0</x:v>
      </x:c>
      <x:c r="O127" s="400">
        <x:f t="shared" si="29"/>
        <x:v>0</x:v>
      </x:c>
      <x:c r="P127" s="400">
        <x:f t="shared" si="30"/>
        <x:v>0</x:v>
      </x:c>
      <x:c r="Q127" s="400">
        <x:f t="shared" si="31"/>
        <x:v>0</x:v>
      </x:c>
      <x:c r="R127" s="400">
        <x:f t="shared" si="34"/>
        <x:v>0</x:v>
      </x:c>
    </x:row>
    <x:row r="128" spans="2:18">
      <x:c r="B128" s="183">
        <x:f t="shared" si="32"/>
        <x:v>82</x:v>
      </x:c>
      <x:c r="D128" s="188" t="s">
        <x:v>496</x:v>
      </x:c>
      <x:c r="E128" s="402">
        <x:v>31</x:v>
      </x:c>
      <x:c r="F128" s="408">
        <x:f t="shared" si="35"/>
        <x:v>123</x:v>
      </x:c>
      <x:c r="G128" s="408">
        <x:v>214</x:v>
      </x:c>
      <x:c r="H128" s="407">
        <x:f t="shared" si="27"/>
        <x:v>0.57476635514018692</x:v>
      </x:c>
      <x:c r="I128" s="406"/>
      <x:c r="J128" s="402">
        <x:v>0</x:v>
      </x:c>
      <x:c r="K128" s="400">
        <x:f t="shared" si="28"/>
        <x:v>0</x:v>
      </x:c>
      <x:c r="L128" s="400">
        <x:f t="shared" si="33"/>
        <x:v>0</x:v>
      </x:c>
      <x:c r="M128" s="406"/>
      <x:c r="N128" s="402">
        <x:v>0</x:v>
      </x:c>
      <x:c r="O128" s="400">
        <x:f t="shared" si="29"/>
        <x:v>0</x:v>
      </x:c>
      <x:c r="P128" s="400">
        <x:f t="shared" si="30"/>
        <x:v>0</x:v>
      </x:c>
      <x:c r="Q128" s="400">
        <x:f t="shared" si="31"/>
        <x:v>0</x:v>
      </x:c>
      <x:c r="R128" s="400">
        <x:f t="shared" si="34"/>
        <x:v>0</x:v>
      </x:c>
    </x:row>
    <x:row r="129" spans="2:18">
      <x:c r="B129" s="183">
        <x:f t="shared" si="32"/>
        <x:v>83</x:v>
      </x:c>
      <x:c r="D129" s="188" t="s">
        <x:v>478</x:v>
      </x:c>
      <x:c r="E129" s="402">
        <x:v>30</x:v>
      </x:c>
      <x:c r="F129" s="408">
        <x:f t="shared" si="35"/>
        <x:v>93</x:v>
      </x:c>
      <x:c r="G129" s="408">
        <x:v>214</x:v>
      </x:c>
      <x:c r="H129" s="407">
        <x:f t="shared" si="27"/>
        <x:v>0.43457943925233644</x:v>
      </x:c>
      <x:c r="I129" s="406"/>
      <x:c r="J129" s="402">
        <x:v>0</x:v>
      </x:c>
      <x:c r="K129" s="400">
        <x:f t="shared" si="28"/>
        <x:v>0</x:v>
      </x:c>
      <x:c r="L129" s="400">
        <x:f t="shared" si="33"/>
        <x:v>0</x:v>
      </x:c>
      <x:c r="M129" s="406"/>
      <x:c r="N129" s="402">
        <x:v>0</x:v>
      </x:c>
      <x:c r="O129" s="400">
        <x:f t="shared" si="29"/>
        <x:v>0</x:v>
      </x:c>
      <x:c r="P129" s="400">
        <x:f t="shared" si="30"/>
        <x:v>0</x:v>
      </x:c>
      <x:c r="Q129" s="400">
        <x:f t="shared" si="31"/>
        <x:v>0</x:v>
      </x:c>
      <x:c r="R129" s="400">
        <x:f t="shared" si="34"/>
        <x:v>0</x:v>
      </x:c>
    </x:row>
    <x:row r="130" spans="2:18">
      <x:c r="B130" s="183">
        <x:f t="shared" si="32"/>
        <x:v>84</x:v>
      </x:c>
      <x:c r="D130" s="188" t="s">
        <x:v>479</x:v>
      </x:c>
      <x:c r="E130" s="402">
        <x:v>31</x:v>
      </x:c>
      <x:c r="F130" s="408">
        <x:f t="shared" si="35"/>
        <x:v>62</x:v>
      </x:c>
      <x:c r="G130" s="408">
        <x:v>214</x:v>
      </x:c>
      <x:c r="H130" s="407">
        <x:f t="shared" si="27"/>
        <x:v>0.28971962616822428</x:v>
      </x:c>
      <x:c r="I130" s="406"/>
      <x:c r="J130" s="402">
        <x:v>0</x:v>
      </x:c>
      <x:c r="K130" s="400">
        <x:f t="shared" si="28"/>
        <x:v>0</x:v>
      </x:c>
      <x:c r="L130" s="400">
        <x:f t="shared" si="33"/>
        <x:v>0</x:v>
      </x:c>
      <x:c r="M130" s="406"/>
      <x:c r="N130" s="402">
        <x:v>0</x:v>
      </x:c>
      <x:c r="O130" s="400">
        <x:f t="shared" si="29"/>
        <x:v>0</x:v>
      </x:c>
      <x:c r="P130" s="400">
        <x:f t="shared" si="30"/>
        <x:v>0</x:v>
      </x:c>
      <x:c r="Q130" s="400">
        <x:f t="shared" si="31"/>
        <x:v>0</x:v>
      </x:c>
      <x:c r="R130" s="400">
        <x:f t="shared" si="34"/>
        <x:v>0</x:v>
      </x:c>
    </x:row>
    <x:row r="131" spans="2:18">
      <x:c r="B131" s="183">
        <x:f t="shared" si="32"/>
        <x:v>85</x:v>
      </x:c>
      <x:c r="D131" s="188" t="s">
        <x:v>480</x:v>
      </x:c>
      <x:c r="E131" s="402">
        <x:v>30</x:v>
      </x:c>
      <x:c r="F131" s="408">
        <x:f t="shared" si="35"/>
        <x:v>32</x:v>
      </x:c>
      <x:c r="G131" s="408">
        <x:v>214</x:v>
      </x:c>
      <x:c r="H131" s="407">
        <x:f t="shared" si="27"/>
        <x:v>0.14953271028037382</x:v>
      </x:c>
      <x:c r="I131" s="406"/>
      <x:c r="J131" s="402">
        <x:v>0</x:v>
      </x:c>
      <x:c r="K131" s="400">
        <x:f t="shared" si="28"/>
        <x:v>0</x:v>
      </x:c>
      <x:c r="L131" s="400">
        <x:f t="shared" si="33"/>
        <x:v>0</x:v>
      </x:c>
      <x:c r="M131" s="406"/>
      <x:c r="N131" s="402">
        <x:v>0</x:v>
      </x:c>
      <x:c r="O131" s="400">
        <x:f t="shared" si="29"/>
        <x:v>0</x:v>
      </x:c>
      <x:c r="P131" s="400">
        <x:f t="shared" si="30"/>
        <x:v>0</x:v>
      </x:c>
      <x:c r="Q131" s="400">
        <x:f t="shared" si="31"/>
        <x:v>0</x:v>
      </x:c>
      <x:c r="R131" s="400">
        <x:f t="shared" si="34"/>
        <x:v>0</x:v>
      </x:c>
    </x:row>
    <x:row r="132" spans="2:18">
      <x:c r="B132" s="183">
        <x:f t="shared" si="32"/>
        <x:v>86</x:v>
      </x:c>
      <x:c r="D132" s="189" t="s">
        <x:v>684</x:v>
      </x:c>
      <x:c r="E132" s="402">
        <x:v>31</x:v>
      </x:c>
      <x:c r="F132" s="408">
        <x:v>1</x:v>
      </x:c>
      <x:c r="G132" s="408">
        <x:v>214</x:v>
      </x:c>
      <x:c r="H132" s="407">
        <x:f t="shared" si="27"/>
        <x:v>4.6728971962616819E-3</x:v>
      </x:c>
      <x:c r="I132" s="406"/>
      <x:c r="J132" s="402">
        <x:v>0</x:v>
      </x:c>
      <x:c r="K132" s="400">
        <x:f t="shared" si="28"/>
        <x:v>0</x:v>
      </x:c>
      <x:c r="L132" s="400">
        <x:f t="shared" si="33"/>
        <x:v>0</x:v>
      </x:c>
      <x:c r="M132" s="406"/>
      <x:c r="N132" s="402">
        <x:v>0</x:v>
      </x:c>
      <x:c r="O132" s="400">
        <x:f t="shared" si="29"/>
        <x:v>0</x:v>
      </x:c>
      <x:c r="P132" s="400">
        <x:f t="shared" si="30"/>
        <x:v>0</x:v>
      </x:c>
      <x:c r="Q132" s="400">
        <x:f t="shared" si="31"/>
        <x:v>0</x:v>
      </x:c>
      <x:c r="R132" s="400">
        <x:f t="shared" si="34"/>
        <x:v>0</x:v>
      </x:c>
    </x:row>
    <x:row r="133" spans="2:18">
      <x:c r="B133" s="183">
        <x:f t="shared" si="32"/>
        <x:v>87</x:v>
      </x:c>
      <x:c r="D133" s="190" t="str">
        <x:f>"Total (Sum of Lines "&amp;B121&amp;" - "&amp;B132&amp;")"</x:f>
        <x:v>Total (Sum of Lines 75 - 86)</x:v>
      </x:c>
      <x:c r="E133" s="405">
        <x:f>SUM(E121:E132)</x:f>
        <x:v>365</x:v>
      </x:c>
      <x:c r="F133" s="191"/>
      <x:c r="G133" s="191"/>
      <x:c r="H133" s="192"/>
      <x:c r="I133" s="403"/>
      <x:c r="J133" s="405">
        <x:f>SUM(J121:J132)</x:f>
        <x:v>0</x:v>
      </x:c>
      <x:c r="K133" s="405">
        <x:f>SUM(K121:K132)</x:f>
        <x:v>0</x:v>
      </x:c>
      <x:c r="L133" s="404"/>
      <x:c r="M133" s="403"/>
      <x:c r="N133" s="405">
        <x:f>SUM(N121:N132)</x:f>
        <x:v>0</x:v>
      </x:c>
      <x:c r="O133" s="405">
        <x:f>SUM(O121:O132)</x:f>
        <x:v>0</x:v>
      </x:c>
      <x:c r="P133" s="405">
        <x:f>SUM(P121:P132)</x:f>
        <x:v>0</x:v>
      </x:c>
      <x:c r="Q133" s="405">
        <x:f>SUM(Q121:Q132)</x:f>
        <x:v>0</x:v>
      </x:c>
      <x:c r="R133" s="404"/>
    </x:row>
    <x:row r="134" spans="2:18">
      <x:c r="D134" s="193"/>
      <x:c r="E134" s="193"/>
      <x:c r="F134" s="193"/>
      <x:c r="G134" s="193"/>
      <x:c r="H134" s="194"/>
      <x:c r="I134" s="194"/>
      <x:c r="K134" s="195"/>
      <x:c r="L134" s="194"/>
      <x:c r="M134" s="194"/>
      <x:c r="N134" s="203"/>
      <x:c r="O134" s="195"/>
      <x:c r="P134" s="195"/>
      <x:c r="Q134" s="195"/>
      <x:c r="R134" s="194"/>
    </x:row>
    <x:row r="135" spans="2:18">
      <x:c r="B135" s="183">
        <x:f>B133+1</x:f>
        <x:v>88</x:v>
      </x:c>
      <x:c r="D135" s="167" t="s">
        <x:v>840</x:v>
      </x:c>
      <x:c r="I135" s="194"/>
      <x:c r="J135" s="402" t="str">
        <x:f>$J$12</x:f>
        <x:v>12/31/2024 (Actuals)</x:v>
      </x:c>
      <x:c r="L135" s="402">
        <x:f>'1C - ADIT BOY'!$E$14</x:f>
        <x:v>-7157934.6215463597</x:v>
      </x:c>
      <x:c r="M135" s="196"/>
      <x:c r="N135" s="923">
        <x:f>$N$12</x:f>
        <x:v>0</x:v>
      </x:c>
      <x:c r="R135" s="402">
        <x:v>0</x:v>
      </x:c>
    </x:row>
    <x:row r="136" spans="2:18">
      <x:c r="B136" s="183">
        <x:f>B135+1</x:f>
        <x:v>89</x:v>
      </x:c>
      <x:c r="D136" s="167" t="s">
        <x:v>1416</x:v>
      </x:c>
      <x:c r="I136" s="194"/>
      <x:c r="J136" s="197" t="s">
        <x:v>588</x:v>
      </x:c>
      <x:c r="L136" s="198">
        <x:v>0</x:v>
      </x:c>
      <x:c r="M136" s="199"/>
      <x:c r="N136" s="197" t="s">
        <x:v>588</x:v>
      </x:c>
      <x:c r="R136" s="198">
        <x:v>0</x:v>
      </x:c>
    </x:row>
    <x:row r="137" spans="2:18">
      <x:c r="B137" s="183">
        <x:f>B136+1</x:f>
        <x:v>90</x:v>
      </x:c>
      <x:c r="D137" s="167" t="s">
        <x:v>841</x:v>
      </x:c>
      <x:c r="I137" s="194"/>
      <x:c r="J137" s="190" t="str">
        <x:f>"(Col. "&amp;L114&amp;", Line "&amp;B135&amp;" + Line "&amp;B136&amp;")"</x:f>
        <x:v>(Col. (H), Line 88 + Line 89)</x:v>
      </x:c>
      <x:c r="L137" s="401">
        <x:f>L135+L136</x:f>
        <x:v>-7157934.6215463597</x:v>
      </x:c>
      <x:c r="M137" s="194"/>
      <x:c r="N137" s="190" t="str">
        <x:f>"(Col. "&amp;R114&amp;", Line "&amp;B135&amp;" + Line "&amp;B136&amp;")"</x:f>
        <x:v>(Col. (M), Line 88 + Line 89)</x:v>
      </x:c>
      <x:c r="R137" s="401">
        <x:f>R135+R136</x:f>
        <x:v>0</x:v>
      </x:c>
    </x:row>
    <x:row r="138" spans="2:18">
      <x:c r="I138" s="194"/>
      <x:c r="L138" s="401"/>
      <x:c r="M138" s="194"/>
      <x:c r="R138" s="401"/>
    </x:row>
    <x:row r="139" spans="2:18">
      <x:c r="B139" s="183">
        <x:f>B137+1</x:f>
        <x:v>91</x:v>
      </x:c>
      <x:c r="D139" s="167" t="s">
        <x:v>916</x:v>
      </x:c>
      <x:c r="I139" s="194"/>
      <x:c r="J139" s="402" t="str">
        <x:f>$J$14</x:f>
        <x:v>12/31/2025 (Projected)</x:v>
      </x:c>
      <x:c r="L139" s="402">
        <x:f>'1B - ADIT EOY'!$E$14</x:f>
        <x:v>-6533624.7537219916</x:v>
      </x:c>
      <x:c r="M139" s="196"/>
      <x:c r="N139" s="923">
        <x:f>$N$14</x:f>
        <x:v>0</x:v>
      </x:c>
      <x:c r="R139" s="402">
        <x:v>0</x:v>
      </x:c>
    </x:row>
    <x:row r="140" spans="2:18">
      <x:c r="B140" s="183">
        <x:f>B139+1</x:f>
        <x:v>92</x:v>
      </x:c>
      <x:c r="D140" s="167" t="s">
        <x:v>1417</x:v>
      </x:c>
      <x:c r="I140" s="194"/>
      <x:c r="J140" s="197" t="s">
        <x:v>588</x:v>
      </x:c>
      <x:c r="L140" s="198">
        <x:v>0</x:v>
      </x:c>
      <x:c r="M140" s="194"/>
      <x:c r="N140" s="197" t="s">
        <x:v>588</x:v>
      </x:c>
      <x:c r="R140" s="198">
        <x:v>0</x:v>
      </x:c>
    </x:row>
    <x:row r="141" spans="2:18">
      <x:c r="B141" s="183">
        <x:f>B140+1</x:f>
        <x:v>93</x:v>
      </x:c>
      <x:c r="D141" s="167" t="s">
        <x:v>846</x:v>
      </x:c>
      <x:c r="I141" s="194"/>
      <x:c r="J141" s="190" t="str">
        <x:f>"(Col. "&amp;L114&amp;", Line "&amp;B139&amp;" + Line "&amp;B140&amp;")"</x:f>
        <x:v>(Col. (H), Line 91 + Line 92)</x:v>
      </x:c>
      <x:c r="L141" s="401">
        <x:f>L139+L140</x:f>
        <x:v>-6533624.7537219916</x:v>
      </x:c>
      <x:c r="M141" s="194"/>
      <x:c r="N141" s="190" t="str">
        <x:f>"(Col. "&amp;R114&amp;", Line "&amp;B139&amp;" + Line "&amp;B140&amp;")"</x:f>
        <x:v>(Col. (M), Line 91 + Line 92)</x:v>
      </x:c>
      <x:c r="R141" s="401">
        <x:f>R139+R140</x:f>
        <x:v>0</x:v>
      </x:c>
    </x:row>
    <x:row r="142" spans="2:18">
      <x:c r="I142" s="194"/>
      <x:c r="L142" s="401"/>
      <x:c r="M142" s="194"/>
      <x:c r="R142" s="401"/>
    </x:row>
    <x:row r="143" spans="2:18">
      <x:c r="B143" s="183">
        <x:f>B141+1</x:f>
        <x:v>94</x:v>
      </x:c>
      <x:c r="D143" s="167" t="s">
        <x:v>915</x:v>
      </x:c>
      <x:c r="I143" s="194"/>
      <x:c r="J143" s="190" t="str">
        <x:f>"([Col. "&amp;L114&amp;", Line "&amp;B137&amp;" + Line "&amp;B141&amp;"] / 2)"</x:f>
        <x:v>([Col. (H), Line 90 + Line 93] / 2)</x:v>
      </x:c>
      <x:c r="L143" s="400">
        <x:f>(L137+L141)/2</x:f>
        <x:v>-6845779.6876341756</x:v>
      </x:c>
      <x:c r="M143" s="194"/>
      <x:c r="N143" s="190" t="str">
        <x:f>"([Col. "&amp;R114&amp;", Line "&amp;B137&amp;" + Line "&amp;B141&amp;"] / 2)"</x:f>
        <x:v>([Col. (M), Line 90 + Line 93] / 2)</x:v>
      </x:c>
      <x:c r="R143" s="400">
        <x:f>(R137+R141)/2</x:f>
        <x:v>0</x:v>
      </x:c>
    </x:row>
    <x:row r="144" spans="2:18">
      <x:c r="B144" s="183">
        <x:f>B143+1</x:f>
        <x:v>95</x:v>
      </x:c>
      <x:c r="D144" s="193" t="s">
        <x:v>914</x:v>
      </x:c>
      <x:c r="E144" s="193"/>
      <x:c r="F144" s="193"/>
      <x:c r="G144" s="193"/>
      <x:c r="H144" s="194"/>
      <x:c r="I144" s="194"/>
      <x:c r="J144" s="190" t="str">
        <x:f>"(Col. "&amp;L114&amp;", Line "&amp;B132&amp;" )"</x:f>
        <x:v>(Col. (H), Line 86 )</x:v>
      </x:c>
      <x:c r="K144" s="195"/>
      <x:c r="L144" s="400">
        <x:f>L132</x:f>
        <x:v>0</x:v>
      </x:c>
      <x:c r="M144" s="194"/>
      <x:c r="N144" s="190" t="str">
        <x:f>"(Col. "&amp;R114&amp;", Line "&amp;B132&amp;" )"</x:f>
        <x:v>(Col. (M), Line 86 )</x:v>
      </x:c>
      <x:c r="R144" s="400">
        <x:f>R132</x:f>
        <x:v>0</x:v>
      </x:c>
    </x:row>
    <x:row r="145" spans="2:18" ht="13.5" thickBot="1">
      <x:c r="B145" s="183">
        <x:f>B144+1</x:f>
        <x:v>96</x:v>
      </x:c>
      <x:c r="D145" s="200" t="s">
        <x:v>1388</x:v>
      </x:c>
      <x:c r="E145" s="193"/>
      <x:c r="F145" s="193"/>
      <x:c r="G145" s="193"/>
      <x:c r="H145" s="194"/>
      <x:c r="I145" s="194"/>
      <x:c r="J145" s="190" t="str">
        <x:f>"(Col. "&amp;L114&amp;", Line "&amp;B143&amp;" + Line "&amp;B144&amp;")"</x:f>
        <x:v>(Col. (H), Line 94 + Line 95)</x:v>
      </x:c>
      <x:c r="K145" s="195"/>
      <x:c r="L145" s="399">
        <x:f>L143+L144</x:f>
        <x:v>-6845779.6876341756</x:v>
      </x:c>
      <x:c r="M145" s="194"/>
      <x:c r="N145" s="190" t="str">
        <x:f>"(Col. "&amp;R114&amp;", Line "&amp;B143&amp;" + Line "&amp;B144&amp;")"</x:f>
        <x:v>(Col. (M), Line 94 + Line 95)</x:v>
      </x:c>
      <x:c r="R145" s="399">
        <x:f>R143+R144</x:f>
        <x:v>0</x:v>
      </x:c>
    </x:row>
    <x:row r="146" spans="2:18">
      <x:c r="D146" s="193"/>
      <x:c r="E146" s="193"/>
      <x:c r="F146" s="193"/>
      <x:c r="G146" s="193"/>
      <x:c r="H146" s="194"/>
      <x:c r="I146" s="194"/>
      <x:c r="K146" s="195"/>
      <x:c r="L146" s="194"/>
      <x:c r="M146" s="194"/>
      <x:c r="O146" s="195"/>
      <x:c r="P146" s="195"/>
      <x:c r="Q146" s="195"/>
      <x:c r="R146" s="194"/>
    </x:row>
    <x:row r="147" spans="2:18">
      <x:c r="D147" s="180" t="s">
        <x:v>1173</x:v>
      </x:c>
      <x:c r="J147" s="1599"/>
      <x:c r="K147" s="1599"/>
      <x:c r="L147" s="1599"/>
      <x:c r="N147" s="1599"/>
      <x:c r="O147" s="1599"/>
      <x:c r="P147" s="1599"/>
      <x:c r="Q147" s="1599"/>
      <x:c r="R147" s="1599"/>
    </x:row>
    <x:row r="148" spans="2:18">
      <x:c r="D148" s="1591" t="s">
        <x:v>835</x:v>
      </x:c>
      <x:c r="E148" s="1592"/>
      <x:c r="F148" s="1592"/>
      <x:c r="G148" s="1592"/>
      <x:c r="H148" s="1593"/>
      <x:c r="I148" s="184"/>
      <x:c r="J148" s="1594" t="s">
        <x:v>1174</x:v>
      </x:c>
      <x:c r="K148" s="1595"/>
      <x:c r="L148" s="1596"/>
      <x:c r="M148" s="184"/>
      <x:c r="N148" s="1594" t="s">
        <x:v>1175</x:v>
      </x:c>
      <x:c r="O148" s="1595"/>
      <x:c r="P148" s="1595"/>
      <x:c r="Q148" s="1595"/>
      <x:c r="R148" s="1596"/>
    </x:row>
    <x:row r="149" spans="2:18">
      <x:c r="D149" s="185" t="s">
        <x:v>163</x:v>
      </x:c>
      <x:c r="E149" s="185" t="s">
        <x:v>164</x:v>
      </x:c>
      <x:c r="F149" s="185" t="s">
        <x:v>1154</x:v>
      </x:c>
      <x:c r="G149" s="185" t="s">
        <x:v>1155</x:v>
      </x:c>
      <x:c r="H149" s="185" t="s">
        <x:v>1156</x:v>
      </x:c>
      <x:c r="I149" s="184"/>
      <x:c r="J149" s="185" t="s">
        <x:v>1157</x:v>
      </x:c>
      <x:c r="K149" s="185" t="s">
        <x:v>1158</x:v>
      </x:c>
      <x:c r="L149" s="185" t="s">
        <x:v>1159</x:v>
      </x:c>
      <x:c r="M149" s="184"/>
      <x:c r="N149" s="185" t="s">
        <x:v>1160</x:v>
      </x:c>
      <x:c r="O149" s="185" t="s">
        <x:v>1161</x:v>
      </x:c>
      <x:c r="P149" s="185" t="s">
        <x:v>1162</x:v>
      </x:c>
      <x:c r="Q149" s="185" t="s">
        <x:v>1163</x:v>
      </x:c>
      <x:c r="R149" s="185" t="s">
        <x:v>1164</x:v>
      </x:c>
    </x:row>
    <x:row r="150" spans="2:18" ht="51">
      <x:c r="B150" s="186" t="s">
        <x:v>523</x:v>
      </x:c>
      <x:c r="D150" s="187" t="s">
        <x:v>158</x:v>
      </x:c>
      <x:c r="E150" s="187" t="s">
        <x:v>836</x:v>
      </x:c>
      <x:c r="F150" s="187" t="s">
        <x:v>837</x:v>
      </x:c>
      <x:c r="G150" s="187" t="s">
        <x:v>838</x:v>
      </x:c>
      <x:c r="H150" s="187" t="s">
        <x:v>1165</x:v>
      </x:c>
      <x:c r="I150" s="397"/>
      <x:c r="J150" s="187" t="s">
        <x:v>839</x:v>
      </x:c>
      <x:c r="K150" s="187" t="s">
        <x:v>1166</x:v>
      </x:c>
      <x:c r="L150" s="187" t="s">
        <x:v>1167</x:v>
      </x:c>
      <x:c r="M150" s="397"/>
      <x:c r="N150" s="187" t="s">
        <x:v>918</x:v>
      </x:c>
      <x:c r="O150" s="187" t="s">
        <x:v>1168</x:v>
      </x:c>
      <x:c r="P150" s="187" t="s">
        <x:v>1169</x:v>
      </x:c>
      <x:c r="Q150" s="187" t="s">
        <x:v>1170</x:v>
      </x:c>
      <x:c r="R150" s="187" t="s">
        <x:v>1171</x:v>
      </x:c>
    </x:row>
    <x:row r="151" spans="2:18">
      <x:c r="E151" s="397"/>
      <x:c r="F151" s="397"/>
      <x:c r="G151" s="397"/>
      <x:c r="H151" s="397"/>
      <x:c r="I151" s="397"/>
      <x:c r="J151" s="397"/>
      <x:c r="K151" s="397"/>
      <x:c r="L151" s="397"/>
      <x:c r="M151" s="397"/>
      <x:c r="N151" s="397"/>
      <x:c r="O151" s="397"/>
      <x:c r="P151" s="397"/>
      <x:c r="Q151" s="397"/>
      <x:c r="R151" s="397"/>
    </x:row>
    <x:row r="152" spans="2:18">
      <x:c r="B152" s="183">
        <x:f>B145+1</x:f>
        <x:v>97</x:v>
      </x:c>
      <x:c r="D152" s="167" t="s">
        <x:v>1176</x:v>
      </x:c>
      <x:c r="E152" s="397"/>
      <x:c r="F152" s="397"/>
      <x:c r="G152" s="397"/>
      <x:c r="H152" s="397"/>
      <x:c r="I152" s="397"/>
      <x:c r="J152" s="402" t="str">
        <x:f>$J$12</x:f>
        <x:v>12/31/2024 (Actuals)</x:v>
      </x:c>
      <x:c r="K152" s="397"/>
      <x:c r="L152" s="402">
        <x:v>0</x:v>
      </x:c>
      <x:c r="M152" s="397"/>
      <x:c r="N152" s="923">
        <x:f>$N$12</x:f>
        <x:v>0</x:v>
      </x:c>
      <x:c r="O152" s="397"/>
      <x:c r="P152" s="397"/>
      <x:c r="Q152" s="397"/>
      <x:c r="R152" s="402">
        <x:v>0</x:v>
      </x:c>
    </x:row>
    <x:row r="153" spans="2:18">
      <x:c r="E153" s="397"/>
      <x:c r="F153" s="397"/>
      <x:c r="G153" s="397"/>
      <x:c r="H153" s="397"/>
      <x:c r="I153" s="397"/>
      <x:c r="J153" s="397"/>
      <x:c r="K153" s="397"/>
      <x:c r="L153" s="397"/>
      <x:c r="M153" s="397"/>
      <x:c r="N153" s="397"/>
      <x:c r="O153" s="397"/>
      <x:c r="P153" s="397"/>
      <x:c r="Q153" s="397"/>
      <x:c r="R153" s="397"/>
    </x:row>
    <x:row r="154" spans="2:18">
      <x:c r="B154" s="183">
        <x:f>B152+1</x:f>
        <x:v>98</x:v>
      </x:c>
      <x:c r="D154" s="167" t="s">
        <x:v>1526</x:v>
      </x:c>
      <x:c r="E154" s="397"/>
      <x:c r="F154" s="397"/>
      <x:c r="G154" s="397"/>
      <x:c r="H154" s="397"/>
      <x:c r="I154" s="397"/>
      <x:c r="J154" s="402" t="str">
        <x:f>$J$14</x:f>
        <x:v>12/31/2025 (Projected)</x:v>
      </x:c>
      <x:c r="K154" s="397"/>
      <x:c r="L154" s="397"/>
      <x:c r="M154" s="397"/>
      <x:c r="N154" s="923">
        <x:f>$N$14</x:f>
        <x:v>0</x:v>
      </x:c>
      <x:c r="O154" s="397"/>
      <x:c r="P154" s="397"/>
      <x:c r="Q154" s="397"/>
      <x:c r="R154" s="397"/>
    </x:row>
    <x:row r="155" spans="2:18">
      <x:c r="E155" s="397"/>
      <x:c r="F155" s="397"/>
      <x:c r="G155" s="397"/>
      <x:c r="H155" s="397"/>
      <x:c r="I155" s="397"/>
      <x:c r="J155" s="397"/>
      <x:c r="K155" s="397"/>
      <x:c r="L155" s="397"/>
      <x:c r="M155" s="397"/>
      <x:c r="N155" s="397"/>
      <x:c r="O155" s="397"/>
      <x:c r="P155" s="397"/>
      <x:c r="Q155" s="397"/>
      <x:c r="R155" s="397"/>
    </x:row>
    <x:row r="156" spans="2:18">
      <x:c r="B156" s="183">
        <x:f>B154+1</x:f>
        <x:v>99</x:v>
      </x:c>
      <x:c r="D156" s="188" t="s">
        <x:v>473</x:v>
      </x:c>
      <x:c r="E156" s="402">
        <x:v>31</x:v>
      </x:c>
      <x:c r="F156" s="408">
        <x:v>0</x:v>
      </x:c>
      <x:c r="G156" s="408">
        <x:v>214</x:v>
      </x:c>
      <x:c r="H156" s="407">
        <x:f t="shared" ref="H156:H167" si="36">IF(F156=0,0.5,F156/G156)</x:f>
        <x:v>0.5</x:v>
      </x:c>
      <x:c r="I156" s="406"/>
      <x:c r="J156" s="402">
        <x:v>0</x:v>
      </x:c>
      <x:c r="K156" s="400">
        <x:f t="shared" ref="K156:K167" si="37">+J156*H156</x:f>
        <x:v>0</x:v>
      </x:c>
      <x:c r="L156" s="400">
        <x:f>+K156</x:f>
        <x:v>0</x:v>
      </x:c>
      <x:c r="M156" s="406"/>
      <x:c r="N156" s="402">
        <x:v>0</x:v>
      </x:c>
      <x:c r="O156" s="400">
        <x:f t="shared" ref="O156:O167" si="38">IF($D$187="True-Up Adjustment",N156-J156,0)</x:f>
        <x:v>0</x:v>
      </x:c>
      <x:c r="P156" s="400">
        <x:f t="shared" ref="P156:P167" si="39">IF($D$187="True-Up Adjustment",IF(AND(J156&gt;=0,N156&gt;=0),IF(O156&gt;=0,K156+O156,N156/J156*K156),IF(AND(J156&lt;0,N156&lt;0),IF(O156&lt;0,K156+O156,N156/J156*K156),0)),0)</x:f>
        <x:v>0</x:v>
      </x:c>
      <x:c r="Q156" s="400">
        <x:f t="shared" ref="Q156:Q167" si="40">IF(AND(J156&gt;=0,N156&lt;0),N156,IF(AND(J156&lt;0,N156&gt;=0),N156,0))</x:f>
        <x:v>0</x:v>
      </x:c>
      <x:c r="R156" s="400">
        <x:f>P156+Q156+R152</x:f>
        <x:v>0</x:v>
      </x:c>
    </x:row>
    <x:row r="157" spans="2:18">
      <x:c r="B157" s="183">
        <x:f t="shared" ref="B157:B168" si="41">+B156+1</x:f>
        <x:v>100</x:v>
      </x:c>
      <x:c r="D157" s="188" t="s">
        <x:v>474</x:v>
      </x:c>
      <x:c r="E157" s="402">
        <x:v>28</x:v>
      </x:c>
      <x:c r="F157" s="408">
        <x:v>0</x:v>
      </x:c>
      <x:c r="G157" s="408">
        <x:v>214</x:v>
      </x:c>
      <x:c r="H157" s="407">
        <x:f t="shared" si="36"/>
        <x:v>0.5</x:v>
      </x:c>
      <x:c r="I157" s="406"/>
      <x:c r="J157" s="402">
        <x:v>0</x:v>
      </x:c>
      <x:c r="K157" s="400">
        <x:f t="shared" si="37"/>
        <x:v>0</x:v>
      </x:c>
      <x:c r="L157" s="400">
        <x:f t="shared" ref="L157:L167" si="42">+K157+L156</x:f>
        <x:v>0</x:v>
      </x:c>
      <x:c r="M157" s="406"/>
      <x:c r="N157" s="402">
        <x:v>0</x:v>
      </x:c>
      <x:c r="O157" s="400">
        <x:f t="shared" si="38"/>
        <x:v>0</x:v>
      </x:c>
      <x:c r="P157" s="400">
        <x:f t="shared" si="39"/>
        <x:v>0</x:v>
      </x:c>
      <x:c r="Q157" s="400">
        <x:f t="shared" si="40"/>
        <x:v>0</x:v>
      </x:c>
      <x:c r="R157" s="400">
        <x:f t="shared" ref="R157:R167" si="43">R156+P157+Q157</x:f>
        <x:v>0</x:v>
      </x:c>
    </x:row>
    <x:row r="158" spans="2:18">
      <x:c r="B158" s="183">
        <x:f t="shared" si="41"/>
        <x:v>101</x:v>
      </x:c>
      <x:c r="D158" s="188" t="s">
        <x:v>495</x:v>
      </x:c>
      <x:c r="E158" s="402">
        <x:v>31</x:v>
      </x:c>
      <x:c r="F158" s="408">
        <x:v>0</x:v>
      </x:c>
      <x:c r="G158" s="408">
        <x:v>214</x:v>
      </x:c>
      <x:c r="H158" s="407">
        <x:f t="shared" si="36"/>
        <x:v>0.5</x:v>
      </x:c>
      <x:c r="I158" s="406"/>
      <x:c r="J158" s="402">
        <x:v>0</x:v>
      </x:c>
      <x:c r="K158" s="400">
        <x:f t="shared" si="37"/>
        <x:v>0</x:v>
      </x:c>
      <x:c r="L158" s="400">
        <x:f t="shared" si="42"/>
        <x:v>0</x:v>
      </x:c>
      <x:c r="M158" s="406"/>
      <x:c r="N158" s="402">
        <x:v>0</x:v>
      </x:c>
      <x:c r="O158" s="400">
        <x:f t="shared" si="38"/>
        <x:v>0</x:v>
      </x:c>
      <x:c r="P158" s="400">
        <x:f t="shared" si="39"/>
        <x:v>0</x:v>
      </x:c>
      <x:c r="Q158" s="400">
        <x:f t="shared" si="40"/>
        <x:v>0</x:v>
      </x:c>
      <x:c r="R158" s="400">
        <x:f t="shared" si="43"/>
        <x:v>0</x:v>
      </x:c>
    </x:row>
    <x:row r="159" spans="2:18">
      <x:c r="B159" s="183">
        <x:f t="shared" si="41"/>
        <x:v>102</x:v>
      </x:c>
      <x:c r="D159" s="188" t="s">
        <x:v>160</x:v>
      </x:c>
      <x:c r="E159" s="402">
        <x:v>30</x:v>
      </x:c>
      <x:c r="F159" s="408">
        <x:v>0</x:v>
      </x:c>
      <x:c r="G159" s="408">
        <x:v>214</x:v>
      </x:c>
      <x:c r="H159" s="407">
        <x:f t="shared" si="36"/>
        <x:v>0.5</x:v>
      </x:c>
      <x:c r="I159" s="406"/>
      <x:c r="J159" s="402">
        <x:v>0</x:v>
      </x:c>
      <x:c r="K159" s="400">
        <x:f t="shared" si="37"/>
        <x:v>0</x:v>
      </x:c>
      <x:c r="L159" s="400">
        <x:f t="shared" si="42"/>
        <x:v>0</x:v>
      </x:c>
      <x:c r="M159" s="406"/>
      <x:c r="N159" s="402">
        <x:v>0</x:v>
      </x:c>
      <x:c r="O159" s="400">
        <x:f t="shared" si="38"/>
        <x:v>0</x:v>
      </x:c>
      <x:c r="P159" s="400">
        <x:f t="shared" si="39"/>
        <x:v>0</x:v>
      </x:c>
      <x:c r="Q159" s="400">
        <x:f t="shared" si="40"/>
        <x:v>0</x:v>
      </x:c>
      <x:c r="R159" s="400">
        <x:f t="shared" si="43"/>
        <x:v>0</x:v>
      </x:c>
    </x:row>
    <x:row r="160" spans="2:18">
      <x:c r="B160" s="183">
        <x:f t="shared" si="41"/>
        <x:v>103</x:v>
      </x:c>
      <x:c r="D160" s="188" t="s">
        <x:v>161</x:v>
      </x:c>
      <x:c r="E160" s="402">
        <x:v>31</x:v>
      </x:c>
      <x:c r="F160" s="408">
        <x:v>0</x:v>
      </x:c>
      <x:c r="G160" s="408">
        <x:v>214</x:v>
      </x:c>
      <x:c r="H160" s="407">
        <x:f t="shared" si="36"/>
        <x:v>0.5</x:v>
      </x:c>
      <x:c r="I160" s="406"/>
      <x:c r="J160" s="402">
        <x:v>0</x:v>
      </x:c>
      <x:c r="K160" s="400">
        <x:f t="shared" si="37"/>
        <x:v>0</x:v>
      </x:c>
      <x:c r="L160" s="400">
        <x:f t="shared" si="42"/>
        <x:v>0</x:v>
      </x:c>
      <x:c r="M160" s="406"/>
      <x:c r="N160" s="402">
        <x:v>0</x:v>
      </x:c>
      <x:c r="O160" s="400">
        <x:f t="shared" si="38"/>
        <x:v>0</x:v>
      </x:c>
      <x:c r="P160" s="400">
        <x:f t="shared" si="39"/>
        <x:v>0</x:v>
      </x:c>
      <x:c r="Q160" s="400">
        <x:f t="shared" si="40"/>
        <x:v>0</x:v>
      </x:c>
      <x:c r="R160" s="400">
        <x:f t="shared" si="43"/>
        <x:v>0</x:v>
      </x:c>
    </x:row>
    <x:row r="161" spans="2:18">
      <x:c r="B161" s="183">
        <x:f t="shared" si="41"/>
        <x:v>104</x:v>
      </x:c>
      <x:c r="D161" s="188" t="s">
        <x:v>162</x:v>
      </x:c>
      <x:c r="E161" s="402">
        <x:v>30</x:v>
      </x:c>
      <x:c r="F161" s="408">
        <x:f t="shared" ref="F161:F166" si="44">F162+E162</x:f>
        <x:v>185</x:v>
      </x:c>
      <x:c r="G161" s="408">
        <x:v>214</x:v>
      </x:c>
      <x:c r="H161" s="407">
        <x:f t="shared" si="36"/>
        <x:v>0.86448598130841126</x:v>
      </x:c>
      <x:c r="I161" s="406"/>
      <x:c r="J161" s="402">
        <x:v>0</x:v>
      </x:c>
      <x:c r="K161" s="400">
        <x:f t="shared" si="37"/>
        <x:v>0</x:v>
      </x:c>
      <x:c r="L161" s="400">
        <x:f t="shared" si="42"/>
        <x:v>0</x:v>
      </x:c>
      <x:c r="M161" s="406"/>
      <x:c r="N161" s="402">
        <x:v>0</x:v>
      </x:c>
      <x:c r="O161" s="400">
        <x:f t="shared" si="38"/>
        <x:v>0</x:v>
      </x:c>
      <x:c r="P161" s="400">
        <x:f t="shared" si="39"/>
        <x:v>0</x:v>
      </x:c>
      <x:c r="Q161" s="400">
        <x:f t="shared" si="40"/>
        <x:v>0</x:v>
      </x:c>
      <x:c r="R161" s="400">
        <x:f t="shared" si="43"/>
        <x:v>0</x:v>
      </x:c>
    </x:row>
    <x:row r="162" spans="2:18">
      <x:c r="B162" s="183">
        <x:f t="shared" si="41"/>
        <x:v>105</x:v>
      </x:c>
      <x:c r="D162" s="188" t="s">
        <x:v>476</x:v>
      </x:c>
      <x:c r="E162" s="402">
        <x:v>31</x:v>
      </x:c>
      <x:c r="F162" s="408">
        <x:f t="shared" si="44"/>
        <x:v>154</x:v>
      </x:c>
      <x:c r="G162" s="408">
        <x:v>214</x:v>
      </x:c>
      <x:c r="H162" s="407">
        <x:f t="shared" si="36"/>
        <x:v>0.71962616822429903</x:v>
      </x:c>
      <x:c r="I162" s="406"/>
      <x:c r="J162" s="402">
        <x:v>0</x:v>
      </x:c>
      <x:c r="K162" s="400">
        <x:f t="shared" si="37"/>
        <x:v>0</x:v>
      </x:c>
      <x:c r="L162" s="400">
        <x:f t="shared" si="42"/>
        <x:v>0</x:v>
      </x:c>
      <x:c r="M162" s="406"/>
      <x:c r="N162" s="402">
        <x:v>0</x:v>
      </x:c>
      <x:c r="O162" s="400">
        <x:f t="shared" si="38"/>
        <x:v>0</x:v>
      </x:c>
      <x:c r="P162" s="400">
        <x:f t="shared" si="39"/>
        <x:v>0</x:v>
      </x:c>
      <x:c r="Q162" s="400">
        <x:f t="shared" si="40"/>
        <x:v>0</x:v>
      </x:c>
      <x:c r="R162" s="400">
        <x:f t="shared" si="43"/>
        <x:v>0</x:v>
      </x:c>
    </x:row>
    <x:row r="163" spans="2:18">
      <x:c r="B163" s="183">
        <x:f t="shared" si="41"/>
        <x:v>106</x:v>
      </x:c>
      <x:c r="D163" s="188" t="s">
        <x:v>496</x:v>
      </x:c>
      <x:c r="E163" s="402">
        <x:v>31</x:v>
      </x:c>
      <x:c r="F163" s="408">
        <x:f t="shared" si="44"/>
        <x:v>123</x:v>
      </x:c>
      <x:c r="G163" s="408">
        <x:v>214</x:v>
      </x:c>
      <x:c r="H163" s="407">
        <x:f t="shared" si="36"/>
        <x:v>0.57476635514018692</x:v>
      </x:c>
      <x:c r="I163" s="406"/>
      <x:c r="J163" s="402">
        <x:v>0</x:v>
      </x:c>
      <x:c r="K163" s="400">
        <x:f t="shared" si="37"/>
        <x:v>0</x:v>
      </x:c>
      <x:c r="L163" s="400">
        <x:f t="shared" si="42"/>
        <x:v>0</x:v>
      </x:c>
      <x:c r="M163" s="406"/>
      <x:c r="N163" s="402">
        <x:v>0</x:v>
      </x:c>
      <x:c r="O163" s="400">
        <x:f t="shared" si="38"/>
        <x:v>0</x:v>
      </x:c>
      <x:c r="P163" s="400">
        <x:f t="shared" si="39"/>
        <x:v>0</x:v>
      </x:c>
      <x:c r="Q163" s="400">
        <x:f t="shared" si="40"/>
        <x:v>0</x:v>
      </x:c>
      <x:c r="R163" s="400">
        <x:f t="shared" si="43"/>
        <x:v>0</x:v>
      </x:c>
    </x:row>
    <x:row r="164" spans="2:18">
      <x:c r="B164" s="183">
        <x:f t="shared" si="41"/>
        <x:v>107</x:v>
      </x:c>
      <x:c r="D164" s="188" t="s">
        <x:v>478</x:v>
      </x:c>
      <x:c r="E164" s="402">
        <x:v>30</x:v>
      </x:c>
      <x:c r="F164" s="408">
        <x:f t="shared" si="44"/>
        <x:v>93</x:v>
      </x:c>
      <x:c r="G164" s="408">
        <x:v>214</x:v>
      </x:c>
      <x:c r="H164" s="407">
        <x:f t="shared" si="36"/>
        <x:v>0.43457943925233644</x:v>
      </x:c>
      <x:c r="I164" s="406"/>
      <x:c r="J164" s="402">
        <x:v>0</x:v>
      </x:c>
      <x:c r="K164" s="400">
        <x:f t="shared" si="37"/>
        <x:v>0</x:v>
      </x:c>
      <x:c r="L164" s="400">
        <x:f t="shared" si="42"/>
        <x:v>0</x:v>
      </x:c>
      <x:c r="M164" s="406"/>
      <x:c r="N164" s="402">
        <x:v>0</x:v>
      </x:c>
      <x:c r="O164" s="400">
        <x:f t="shared" si="38"/>
        <x:v>0</x:v>
      </x:c>
      <x:c r="P164" s="400">
        <x:f t="shared" si="39"/>
        <x:v>0</x:v>
      </x:c>
      <x:c r="Q164" s="400">
        <x:f t="shared" si="40"/>
        <x:v>0</x:v>
      </x:c>
      <x:c r="R164" s="400">
        <x:f t="shared" si="43"/>
        <x:v>0</x:v>
      </x:c>
    </x:row>
    <x:row r="165" spans="2:18">
      <x:c r="B165" s="183">
        <x:f t="shared" si="41"/>
        <x:v>108</x:v>
      </x:c>
      <x:c r="D165" s="188" t="s">
        <x:v>479</x:v>
      </x:c>
      <x:c r="E165" s="402">
        <x:v>31</x:v>
      </x:c>
      <x:c r="F165" s="408">
        <x:f t="shared" si="44"/>
        <x:v>62</x:v>
      </x:c>
      <x:c r="G165" s="408">
        <x:v>214</x:v>
      </x:c>
      <x:c r="H165" s="407">
        <x:f t="shared" si="36"/>
        <x:v>0.28971962616822428</x:v>
      </x:c>
      <x:c r="I165" s="406"/>
      <x:c r="J165" s="402">
        <x:v>0</x:v>
      </x:c>
      <x:c r="K165" s="400">
        <x:f t="shared" si="37"/>
        <x:v>0</x:v>
      </x:c>
      <x:c r="L165" s="400">
        <x:f t="shared" si="42"/>
        <x:v>0</x:v>
      </x:c>
      <x:c r="M165" s="406"/>
      <x:c r="N165" s="402">
        <x:v>0</x:v>
      </x:c>
      <x:c r="O165" s="400">
        <x:f t="shared" si="38"/>
        <x:v>0</x:v>
      </x:c>
      <x:c r="P165" s="400">
        <x:f t="shared" si="39"/>
        <x:v>0</x:v>
      </x:c>
      <x:c r="Q165" s="400">
        <x:f t="shared" si="40"/>
        <x:v>0</x:v>
      </x:c>
      <x:c r="R165" s="400">
        <x:f t="shared" si="43"/>
        <x:v>0</x:v>
      </x:c>
    </x:row>
    <x:row r="166" spans="2:18">
      <x:c r="B166" s="183">
        <x:f t="shared" si="41"/>
        <x:v>109</x:v>
      </x:c>
      <x:c r="D166" s="188" t="s">
        <x:v>480</x:v>
      </x:c>
      <x:c r="E166" s="402">
        <x:v>30</x:v>
      </x:c>
      <x:c r="F166" s="408">
        <x:f t="shared" si="44"/>
        <x:v>32</x:v>
      </x:c>
      <x:c r="G166" s="408">
        <x:v>214</x:v>
      </x:c>
      <x:c r="H166" s="407">
        <x:f t="shared" si="36"/>
        <x:v>0.14953271028037382</x:v>
      </x:c>
      <x:c r="I166" s="406"/>
      <x:c r="J166" s="402">
        <x:v>0</x:v>
      </x:c>
      <x:c r="K166" s="400">
        <x:f t="shared" si="37"/>
        <x:v>0</x:v>
      </x:c>
      <x:c r="L166" s="400">
        <x:f t="shared" si="42"/>
        <x:v>0</x:v>
      </x:c>
      <x:c r="M166" s="406"/>
      <x:c r="N166" s="402">
        <x:v>0</x:v>
      </x:c>
      <x:c r="O166" s="400">
        <x:f t="shared" si="38"/>
        <x:v>0</x:v>
      </x:c>
      <x:c r="P166" s="400">
        <x:f t="shared" si="39"/>
        <x:v>0</x:v>
      </x:c>
      <x:c r="Q166" s="400">
        <x:f t="shared" si="40"/>
        <x:v>0</x:v>
      </x:c>
      <x:c r="R166" s="400">
        <x:f t="shared" si="43"/>
        <x:v>0</x:v>
      </x:c>
    </x:row>
    <x:row r="167" spans="2:18">
      <x:c r="B167" s="183">
        <x:f t="shared" si="41"/>
        <x:v>110</x:v>
      </x:c>
      <x:c r="D167" s="189" t="s">
        <x:v>684</x:v>
      </x:c>
      <x:c r="E167" s="402">
        <x:v>31</x:v>
      </x:c>
      <x:c r="F167" s="408">
        <x:v>1</x:v>
      </x:c>
      <x:c r="G167" s="408">
        <x:v>214</x:v>
      </x:c>
      <x:c r="H167" s="407">
        <x:f t="shared" si="36"/>
        <x:v>4.6728971962616819E-3</x:v>
      </x:c>
      <x:c r="I167" s="406"/>
      <x:c r="J167" s="402">
        <x:v>0</x:v>
      </x:c>
      <x:c r="K167" s="400">
        <x:f t="shared" si="37"/>
        <x:v>0</x:v>
      </x:c>
      <x:c r="L167" s="400">
        <x:f t="shared" si="42"/>
        <x:v>0</x:v>
      </x:c>
      <x:c r="M167" s="406"/>
      <x:c r="N167" s="402">
        <x:v>0</x:v>
      </x:c>
      <x:c r="O167" s="400">
        <x:f t="shared" si="38"/>
        <x:v>0</x:v>
      </x:c>
      <x:c r="P167" s="400">
        <x:f t="shared" si="39"/>
        <x:v>0</x:v>
      </x:c>
      <x:c r="Q167" s="400">
        <x:f t="shared" si="40"/>
        <x:v>0</x:v>
      </x:c>
      <x:c r="R167" s="400">
        <x:f t="shared" si="43"/>
        <x:v>0</x:v>
      </x:c>
    </x:row>
    <x:row r="168" spans="2:18">
      <x:c r="B168" s="183">
        <x:f t="shared" si="41"/>
        <x:v>111</x:v>
      </x:c>
      <x:c r="D168" s="190" t="str">
        <x:f>"Total (Sum of Lines "&amp;B156&amp;" - "&amp;B167&amp;")"</x:f>
        <x:v>Total (Sum of Lines 99 - 110)</x:v>
      </x:c>
      <x:c r="E168" s="405">
        <x:f>SUM(E156:E167)</x:f>
        <x:v>365</x:v>
      </x:c>
      <x:c r="F168" s="191"/>
      <x:c r="G168" s="191"/>
      <x:c r="H168" s="192"/>
      <x:c r="I168" s="403"/>
      <x:c r="J168" s="405">
        <x:f>SUM(J156:J167)</x:f>
        <x:v>0</x:v>
      </x:c>
      <x:c r="K168" s="405">
        <x:f>SUM(K156:K167)</x:f>
        <x:v>0</x:v>
      </x:c>
      <x:c r="L168" s="404"/>
      <x:c r="M168" s="403"/>
      <x:c r="N168" s="405">
        <x:f>SUM(N156:N167)</x:f>
        <x:v>0</x:v>
      </x:c>
      <x:c r="O168" s="405">
        <x:f>SUM(O156:O167)</x:f>
        <x:v>0</x:v>
      </x:c>
      <x:c r="P168" s="405">
        <x:f>SUM(P156:P167)</x:f>
        <x:v>0</x:v>
      </x:c>
      <x:c r="Q168" s="405">
        <x:f>SUM(Q156:Q167)</x:f>
        <x:v>0</x:v>
      </x:c>
      <x:c r="R168" s="404"/>
    </x:row>
    <x:row r="169" spans="2:18">
      <x:c r="D169" s="193"/>
      <x:c r="E169" s="193"/>
      <x:c r="F169" s="193"/>
      <x:c r="G169" s="193"/>
      <x:c r="H169" s="194"/>
      <x:c r="I169" s="194"/>
      <x:c r="K169" s="195"/>
      <x:c r="L169" s="194"/>
      <x:c r="M169" s="194"/>
      <x:c r="N169" s="203"/>
      <x:c r="O169" s="195"/>
      <x:c r="P169" s="195"/>
      <x:c r="Q169" s="195"/>
      <x:c r="R169" s="194"/>
    </x:row>
    <x:row r="170" spans="2:18">
      <x:c r="B170" s="183">
        <x:f>B168+1</x:f>
        <x:v>112</x:v>
      </x:c>
      <x:c r="D170" s="167" t="s">
        <x:v>1177</x:v>
      </x:c>
      <x:c r="I170" s="194"/>
      <x:c r="J170" s="402" t="str">
        <x:f>$J$12</x:f>
        <x:v>12/31/2024 (Actuals)</x:v>
      </x:c>
      <x:c r="L170" s="402">
        <x:f>'1C - ADIT BOY'!$E$15</x:f>
        <x:v>-236689.47912831369</x:v>
      </x:c>
      <x:c r="M170" s="196"/>
      <x:c r="N170" s="923">
        <x:f>$N$12</x:f>
        <x:v>0</x:v>
      </x:c>
      <x:c r="R170" s="402">
        <x:v>0</x:v>
      </x:c>
    </x:row>
    <x:row r="171" spans="2:18">
      <x:c r="B171" s="183">
        <x:f>B170+1</x:f>
        <x:v>113</x:v>
      </x:c>
      <x:c r="D171" s="167" t="s">
        <x:v>1178</x:v>
      </x:c>
      <x:c r="I171" s="194"/>
      <x:c r="J171" s="197" t="s">
        <x:v>588</x:v>
      </x:c>
      <x:c r="L171" s="198">
        <x:v>0</x:v>
      </x:c>
      <x:c r="M171" s="199"/>
      <x:c r="N171" s="197" t="s">
        <x:v>588</x:v>
      </x:c>
      <x:c r="R171" s="198">
        <x:v>0</x:v>
      </x:c>
    </x:row>
    <x:row r="172" spans="2:18">
      <x:c r="B172" s="183">
        <x:f>B171+1</x:f>
        <x:v>114</x:v>
      </x:c>
      <x:c r="D172" s="167" t="s">
        <x:v>1179</x:v>
      </x:c>
      <x:c r="I172" s="194"/>
      <x:c r="J172" s="190" t="str">
        <x:f>"(Col. "&amp;L149&amp;", Line "&amp;B170&amp;" + Line "&amp;B171&amp;")"</x:f>
        <x:v>(Col. (H), Line 112 + Line 113)</x:v>
      </x:c>
      <x:c r="L172" s="401">
        <x:f>L170+L171</x:f>
        <x:v>-236689.47912831369</x:v>
      </x:c>
      <x:c r="M172" s="194"/>
      <x:c r="N172" s="190" t="str">
        <x:f>"(Col. "&amp;R149&amp;", Line "&amp;B170&amp;" + Line "&amp;B171&amp;")"</x:f>
        <x:v>(Col. (M), Line 112 + Line 113)</x:v>
      </x:c>
      <x:c r="R172" s="401">
        <x:f>R170+R171</x:f>
        <x:v>0</x:v>
      </x:c>
    </x:row>
    <x:row r="173" spans="2:18">
      <x:c r="I173" s="194"/>
      <x:c r="L173" s="401"/>
      <x:c r="M173" s="194"/>
      <x:c r="R173" s="401"/>
    </x:row>
    <x:row r="174" spans="2:18">
      <x:c r="B174" s="183">
        <x:f>B172+1</x:f>
        <x:v>115</x:v>
      </x:c>
      <x:c r="D174" s="167" t="s">
        <x:v>1180</x:v>
      </x:c>
      <x:c r="I174" s="194"/>
      <x:c r="J174" s="402" t="str">
        <x:f>$J$14</x:f>
        <x:v>12/31/2025 (Projected)</x:v>
      </x:c>
      <x:c r="L174" s="402">
        <x:f>'1B - ADIT EOY'!E15</x:f>
        <x:v>-182487.21393481354</x:v>
      </x:c>
      <x:c r="M174" s="196"/>
      <x:c r="N174" s="923">
        <x:f>$N$14</x:f>
        <x:v>0</x:v>
      </x:c>
      <x:c r="R174" s="402">
        <x:v>0</x:v>
      </x:c>
    </x:row>
    <x:row r="175" spans="2:18">
      <x:c r="B175" s="183">
        <x:f>B174+1</x:f>
        <x:v>116</x:v>
      </x:c>
      <x:c r="D175" s="167" t="s">
        <x:v>1181</x:v>
      </x:c>
      <x:c r="I175" s="194"/>
      <x:c r="J175" s="197" t="s">
        <x:v>588</x:v>
      </x:c>
      <x:c r="L175" s="198">
        <x:v>0</x:v>
      </x:c>
      <x:c r="M175" s="194"/>
      <x:c r="N175" s="197" t="s">
        <x:v>588</x:v>
      </x:c>
      <x:c r="R175" s="198">
        <x:v>0</x:v>
      </x:c>
    </x:row>
    <x:row r="176" spans="2:18">
      <x:c r="B176" s="183">
        <x:f>B175+1</x:f>
        <x:v>117</x:v>
      </x:c>
      <x:c r="D176" s="167" t="s">
        <x:v>1182</x:v>
      </x:c>
      <x:c r="I176" s="194"/>
      <x:c r="J176" s="190" t="str">
        <x:f>"(Col. "&amp;L149&amp;", Line "&amp;B174&amp;" + Line "&amp;B175&amp;")"</x:f>
        <x:v>(Col. (H), Line 115 + Line 116)</x:v>
      </x:c>
      <x:c r="L176" s="401">
        <x:f>L174+L175</x:f>
        <x:v>-182487.21393481354</x:v>
      </x:c>
      <x:c r="M176" s="194"/>
      <x:c r="N176" s="190" t="str">
        <x:f>"(Col. "&amp;R149&amp;", Line "&amp;B174&amp;" + Line "&amp;B175&amp;")"</x:f>
        <x:v>(Col. (M), Line 115 + Line 116)</x:v>
      </x:c>
      <x:c r="R176" s="401">
        <x:f>R174+R175</x:f>
        <x:v>0</x:v>
      </x:c>
    </x:row>
    <x:row r="177" spans="1:18">
      <x:c r="I177" s="194"/>
      <x:c r="L177" s="401"/>
      <x:c r="M177" s="194"/>
      <x:c r="R177" s="401"/>
    </x:row>
    <x:row r="178" spans="1:18">
      <x:c r="B178" s="183">
        <x:f>B176+1</x:f>
        <x:v>118</x:v>
      </x:c>
      <x:c r="D178" s="167" t="s">
        <x:v>915</x:v>
      </x:c>
      <x:c r="I178" s="194"/>
      <x:c r="J178" s="190" t="str">
        <x:f>"([Col. "&amp;L149&amp;", Line "&amp;B172&amp;" + Line "&amp;B176&amp;"] / 2)"</x:f>
        <x:v>([Col. (H), Line 114 + Line 117] / 2)</x:v>
      </x:c>
      <x:c r="L178" s="400">
        <x:f>(L172+L176)/2</x:f>
        <x:v>-209588.34653156361</x:v>
      </x:c>
      <x:c r="M178" s="194"/>
      <x:c r="N178" s="190" t="str">
        <x:f>"([Col. "&amp;R149&amp;", Line "&amp;B172&amp;" + Line "&amp;B176&amp;"] / 2)"</x:f>
        <x:v>([Col. (M), Line 114 + Line 117] / 2)</x:v>
      </x:c>
      <x:c r="R178" s="400">
        <x:f>(R172+R176)/2</x:f>
        <x:v>0</x:v>
      </x:c>
    </x:row>
    <x:row r="179" spans="1:18">
      <x:c r="B179" s="183">
        <x:f>B178+1</x:f>
        <x:v>119</x:v>
      </x:c>
      <x:c r="D179" s="193" t="s">
        <x:v>1183</x:v>
      </x:c>
      <x:c r="E179" s="193"/>
      <x:c r="F179" s="193"/>
      <x:c r="G179" s="193"/>
      <x:c r="H179" s="194"/>
      <x:c r="I179" s="194"/>
      <x:c r="J179" s="190" t="str">
        <x:f>"(Col. "&amp;L149&amp;", Line "&amp;B167&amp;" )"</x:f>
        <x:v>(Col. (H), Line 110 )</x:v>
      </x:c>
      <x:c r="K179" s="195"/>
      <x:c r="L179" s="400">
        <x:f>L167</x:f>
        <x:v>0</x:v>
      </x:c>
      <x:c r="M179" s="194"/>
      <x:c r="N179" s="190" t="str">
        <x:f>"(Col. "&amp;R149&amp;", Line "&amp;B167&amp;" )"</x:f>
        <x:v>(Col. (M), Line 110 )</x:v>
      </x:c>
      <x:c r="R179" s="400">
        <x:f>R167</x:f>
        <x:v>0</x:v>
      </x:c>
    </x:row>
    <x:row r="180" spans="1:18" ht="13.5" thickBot="1">
      <x:c r="B180" s="183">
        <x:f>B179+1</x:f>
        <x:v>120</x:v>
      </x:c>
      <x:c r="D180" s="200" t="s">
        <x:v>1387</x:v>
      </x:c>
      <x:c r="E180" s="193"/>
      <x:c r="F180" s="193"/>
      <x:c r="G180" s="193"/>
      <x:c r="H180" s="194"/>
      <x:c r="I180" s="194"/>
      <x:c r="J180" s="190" t="str">
        <x:f>"(Col. "&amp;L149&amp;", Line "&amp;B178&amp;" + Line "&amp;B179&amp;")"</x:f>
        <x:v>(Col. (H), Line 118 + Line 119)</x:v>
      </x:c>
      <x:c r="K180" s="195"/>
      <x:c r="L180" s="399">
        <x:f>L178+L179</x:f>
        <x:v>-209588.34653156361</x:v>
      </x:c>
      <x:c r="M180" s="194"/>
      <x:c r="N180" s="190" t="str">
        <x:f>"(Col. "&amp;R149&amp;", Line "&amp;B178&amp;" + Line "&amp;B179&amp;")"</x:f>
        <x:v>(Col. (M), Line 118 + Line 119)</x:v>
      </x:c>
      <x:c r="R180" s="399">
        <x:f>R178+R179</x:f>
        <x:v>0</x:v>
      </x:c>
    </x:row>
    <x:row r="181" spans="1:18">
      <x:c r="D181" s="193"/>
      <x:c r="E181" s="193"/>
      <x:c r="F181" s="193"/>
      <x:c r="G181" s="193"/>
      <x:c r="H181" s="194"/>
      <x:c r="I181" s="194"/>
      <x:c r="K181" s="195"/>
      <x:c r="L181" s="194"/>
      <x:c r="M181" s="194"/>
      <x:c r="O181" s="195"/>
      <x:c r="P181" s="195"/>
      <x:c r="Q181" s="195"/>
      <x:c r="R181" s="194"/>
    </x:row>
    <x:row r="182" spans="1:18">
      <x:c r="A182" s="204"/>
      <x:c r="B182" s="205" t="s">
        <x:v>1135</x:v>
      </x:c>
      <x:c r="C182" s="204"/>
      <x:c r="D182" s="204"/>
      <x:c r="E182" s="204"/>
      <x:c r="F182" s="204"/>
      <x:c r="G182" s="204"/>
      <x:c r="H182" s="204"/>
      <x:c r="I182" s="204"/>
      <x:c r="J182" s="204"/>
      <x:c r="K182" s="204"/>
      <x:c r="L182" s="204"/>
      <x:c r="M182" s="204"/>
      <x:c r="N182" s="204"/>
      <x:c r="O182" s="204"/>
      <x:c r="P182" s="204"/>
      <x:c r="Q182" s="204"/>
      <x:c r="R182" s="204"/>
    </x:row>
    <x:row r="184" spans="1:18" ht="12.75" customHeight="1">
      <x:c r="B184" s="1600" t="s">
        <x:v>1184</x:v>
      </x:c>
      <x:c r="C184" s="1600"/>
      <x:c r="D184" s="1600"/>
      <x:c r="E184" s="1600"/>
      <x:c r="F184" s="1600"/>
      <x:c r="G184" s="1600"/>
      <x:c r="H184" s="1600"/>
      <x:c r="I184" s="1600"/>
      <x:c r="J184" s="1600"/>
      <x:c r="K184" s="1600"/>
      <x:c r="L184" s="1600"/>
      <x:c r="M184" s="194"/>
      <x:c r="O184" s="195"/>
      <x:c r="P184" s="195"/>
      <x:c r="Q184" s="195"/>
      <x:c r="R184" s="194"/>
    </x:row>
    <x:row r="185" spans="1:18">
      <x:c r="B185" s="1600"/>
      <x:c r="C185" s="1600"/>
      <x:c r="D185" s="1600"/>
      <x:c r="E185" s="1600"/>
      <x:c r="F185" s="1600"/>
      <x:c r="G185" s="1600"/>
      <x:c r="H185" s="1600"/>
      <x:c r="I185" s="1600"/>
      <x:c r="J185" s="1600"/>
      <x:c r="K185" s="1600"/>
      <x:c r="L185" s="1600"/>
      <x:c r="M185" s="194"/>
      <x:c r="O185" s="195"/>
      <x:c r="P185" s="195"/>
      <x:c r="Q185" s="195"/>
      <x:c r="R185" s="194"/>
    </x:row>
    <x:row r="186" spans="1:18">
      <x:c r="D186" s="193"/>
      <x:c r="E186" s="193"/>
      <x:c r="F186" s="193"/>
      <x:c r="G186" s="193"/>
      <x:c r="H186" s="194"/>
      <x:c r="I186" s="194"/>
      <x:c r="K186" s="195"/>
      <x:c r="L186" s="194"/>
      <x:c r="M186" s="194"/>
      <x:c r="O186" s="195"/>
      <x:c r="P186" s="195"/>
      <x:c r="Q186" s="195"/>
      <x:c r="R186" s="194"/>
    </x:row>
    <x:row r="187" spans="1:18">
      <x:c r="B187" s="181" t="s">
        <x:v>1185</x:v>
      </x:c>
      <x:c r="D187" s="206" t="s">
        <x:v>2123</x:v>
      </x:c>
      <x:c r="E187" s="207" t="str">
        <x:f>IF(D187="Projected Activity","Check",IF(D187="True-Up Adjustment","Check","Error"))</x:f>
        <x:v>Check</x:v>
      </x:c>
      <x:c r="F187" s="194"/>
      <x:c r="G187" s="194"/>
      <x:c r="H187" s="194"/>
      <x:c r="I187" s="194"/>
      <x:c r="K187" s="195"/>
      <x:c r="L187" s="194"/>
      <x:c r="M187" s="194"/>
      <x:c r="O187" s="195"/>
      <x:c r="P187" s="195"/>
      <x:c r="Q187" s="195"/>
      <x:c r="R187" s="194"/>
    </x:row>
    <x:row r="188" spans="1:18">
      <x:c r="D188" s="193"/>
      <x:c r="E188" s="193"/>
      <x:c r="F188" s="193"/>
      <x:c r="G188" s="193"/>
      <x:c r="H188" s="194"/>
      <x:c r="I188" s="194"/>
      <x:c r="K188" s="195"/>
      <x:c r="L188" s="194"/>
      <x:c r="M188" s="194"/>
      <x:c r="O188" s="195"/>
      <x:c r="P188" s="195"/>
      <x:c r="Q188" s="195"/>
      <x:c r="R188" s="194"/>
    </x:row>
    <x:row r="189" spans="1:18">
      <x:c r="B189" s="1602" t="s">
        <x:v>1186</x:v>
      </x:c>
      <x:c r="C189" s="1602"/>
      <x:c r="D189" s="1602"/>
      <x:c r="E189" s="1602"/>
      <x:c r="F189" s="1602"/>
      <x:c r="G189" s="1602"/>
      <x:c r="H189" s="1602"/>
      <x:c r="I189" s="1602"/>
      <x:c r="J189" s="1602"/>
      <x:c r="K189" s="1602"/>
      <x:c r="L189" s="1602"/>
      <x:c r="M189" s="194"/>
      <x:c r="O189" s="195"/>
      <x:c r="P189" s="195"/>
      <x:c r="Q189" s="195"/>
      <x:c r="R189" s="194"/>
    </x:row>
    <x:row r="190" spans="1:18">
      <x:c r="D190" s="193"/>
      <x:c r="E190" s="193"/>
      <x:c r="F190" s="193"/>
      <x:c r="G190" s="193"/>
      <x:c r="H190" s="194"/>
      <x:c r="I190" s="194"/>
      <x:c r="K190" s="195"/>
      <x:c r="L190" s="194"/>
      <x:c r="M190" s="194"/>
      <x:c r="O190" s="195"/>
      <x:c r="P190" s="195"/>
      <x:c r="Q190" s="195"/>
      <x:c r="R190" s="194"/>
    </x:row>
    <x:row r="191" spans="1:18">
      <x:c r="A191" s="204"/>
      <x:c r="B191" s="205" t="s">
        <x:v>848</x:v>
      </x:c>
      <x:c r="C191" s="204"/>
      <x:c r="D191" s="204"/>
      <x:c r="E191" s="204"/>
      <x:c r="F191" s="204"/>
      <x:c r="G191" s="204"/>
      <x:c r="H191" s="204"/>
      <x:c r="I191" s="204"/>
      <x:c r="J191" s="204"/>
      <x:c r="K191" s="204"/>
      <x:c r="L191" s="204"/>
      <x:c r="M191" s="204"/>
      <x:c r="N191" s="204"/>
      <x:c r="O191" s="204"/>
      <x:c r="P191" s="204"/>
      <x:c r="Q191" s="204"/>
      <x:c r="R191" s="204"/>
    </x:row>
    <x:row r="193" spans="1:12" ht="15.75" customHeight="1">
      <x:c r="A193" s="180"/>
      <x:c r="B193" s="1437" t="s">
        <x:v>9</x:v>
      </x:c>
      <x:c r="C193" s="1600" t="s">
        <x:v>913</x:v>
      </x:c>
      <x:c r="D193" s="1600"/>
      <x:c r="E193" s="1600"/>
      <x:c r="F193" s="1600"/>
      <x:c r="G193" s="1600"/>
      <x:c r="H193" s="1600"/>
      <x:c r="I193" s="1600"/>
      <x:c r="J193" s="1600"/>
      <x:c r="K193" s="1600"/>
      <x:c r="L193" s="1600"/>
    </x:row>
    <x:row r="194" spans="1:12">
      <x:c r="A194" s="180"/>
      <x:c r="B194" s="1437"/>
      <x:c r="C194" s="1600"/>
      <x:c r="D194" s="1600"/>
      <x:c r="E194" s="1600"/>
      <x:c r="F194" s="1600"/>
      <x:c r="G194" s="1600"/>
      <x:c r="H194" s="1600"/>
      <x:c r="I194" s="1600"/>
      <x:c r="J194" s="1600"/>
      <x:c r="K194" s="1600"/>
      <x:c r="L194" s="1600"/>
    </x:row>
    <x:row r="195" spans="1:12">
      <x:c r="B195" s="1404"/>
      <x:c r="C195" s="1600"/>
      <x:c r="D195" s="1600"/>
      <x:c r="E195" s="1600"/>
      <x:c r="F195" s="1600"/>
      <x:c r="G195" s="1600"/>
      <x:c r="H195" s="1600"/>
      <x:c r="I195" s="1600"/>
      <x:c r="J195" s="1600"/>
      <x:c r="K195" s="1600"/>
      <x:c r="L195" s="1600"/>
    </x:row>
    <x:row r="196" spans="1:12">
      <x:c r="B196" s="1404"/>
      <x:c r="C196" s="1422"/>
      <x:c r="D196" s="1422"/>
      <x:c r="E196" s="1422"/>
      <x:c r="F196" s="1422"/>
      <x:c r="G196" s="1422"/>
      <x:c r="H196" s="1422"/>
      <x:c r="I196" s="1422"/>
      <x:c r="J196" s="1422"/>
      <x:c r="K196" s="1422"/>
      <x:c r="L196" s="1422"/>
    </x:row>
    <x:row r="197" spans="1:12" ht="15.75" customHeight="1">
      <x:c r="A197" s="180"/>
      <x:c r="B197" s="1437" t="s">
        <x:v>10</x:v>
      </x:c>
      <x:c r="C197" s="1600" t="s">
        <x:v>912</x:v>
      </x:c>
      <x:c r="D197" s="1600"/>
      <x:c r="E197" s="1600"/>
      <x:c r="F197" s="1600"/>
      <x:c r="G197" s="1600"/>
      <x:c r="H197" s="1600"/>
      <x:c r="I197" s="1600"/>
      <x:c r="J197" s="1600"/>
      <x:c r="K197" s="1600"/>
      <x:c r="L197" s="1600"/>
    </x:row>
    <x:row r="198" spans="1:12">
      <x:c r="A198" s="180"/>
      <x:c r="B198" s="1437"/>
      <x:c r="C198" s="1600"/>
      <x:c r="D198" s="1600"/>
      <x:c r="E198" s="1600"/>
      <x:c r="F198" s="1600"/>
      <x:c r="G198" s="1600"/>
      <x:c r="H198" s="1600"/>
      <x:c r="I198" s="1600"/>
      <x:c r="J198" s="1600"/>
      <x:c r="K198" s="1600"/>
      <x:c r="L198" s="1600"/>
    </x:row>
    <x:row r="199" spans="1:12">
      <x:c r="A199" s="180"/>
      <x:c r="B199" s="1437"/>
      <x:c r="C199" s="1600"/>
      <x:c r="D199" s="1600"/>
      <x:c r="E199" s="1600"/>
      <x:c r="F199" s="1600"/>
      <x:c r="G199" s="1600"/>
      <x:c r="H199" s="1600"/>
      <x:c r="I199" s="1600"/>
      <x:c r="J199" s="1600"/>
      <x:c r="K199" s="1600"/>
      <x:c r="L199" s="1600"/>
    </x:row>
    <x:row r="200" spans="1:12">
      <x:c r="A200" s="180"/>
      <x:c r="B200" s="1437"/>
      <x:c r="C200" s="1600"/>
      <x:c r="D200" s="1600"/>
      <x:c r="E200" s="1600"/>
      <x:c r="F200" s="1600"/>
      <x:c r="G200" s="1600"/>
      <x:c r="H200" s="1600"/>
      <x:c r="I200" s="1600"/>
      <x:c r="J200" s="1600"/>
      <x:c r="K200" s="1600"/>
      <x:c r="L200" s="1600"/>
    </x:row>
    <x:row r="201" spans="1:12">
      <x:c r="A201" s="180"/>
      <x:c r="B201" s="1437"/>
      <x:c r="C201" s="1600"/>
      <x:c r="D201" s="1600"/>
      <x:c r="E201" s="1600"/>
      <x:c r="F201" s="1600"/>
      <x:c r="G201" s="1600"/>
      <x:c r="H201" s="1600"/>
      <x:c r="I201" s="1600"/>
      <x:c r="J201" s="1600"/>
      <x:c r="K201" s="1600"/>
      <x:c r="L201" s="1600"/>
    </x:row>
    <x:row r="202" spans="1:12">
      <x:c r="B202" s="1404"/>
      <x:c r="C202" s="1600"/>
      <x:c r="D202" s="1600"/>
      <x:c r="E202" s="1600"/>
      <x:c r="F202" s="1600"/>
      <x:c r="G202" s="1600"/>
      <x:c r="H202" s="1600"/>
      <x:c r="I202" s="1600"/>
      <x:c r="J202" s="1600"/>
      <x:c r="K202" s="1600"/>
      <x:c r="L202" s="1600"/>
    </x:row>
    <x:row r="203" spans="1:12">
      <x:c r="B203" s="1404"/>
      <x:c r="C203" s="1422"/>
      <x:c r="D203" s="1422"/>
      <x:c r="E203" s="1422"/>
      <x:c r="F203" s="1422"/>
      <x:c r="G203" s="1422"/>
      <x:c r="H203" s="1422"/>
      <x:c r="I203" s="1422"/>
      <x:c r="J203" s="1422"/>
      <x:c r="K203" s="1422"/>
      <x:c r="L203" s="1422"/>
    </x:row>
    <x:row r="204" spans="1:12" ht="15.75" customHeight="1">
      <x:c r="A204" s="180"/>
      <x:c r="B204" s="1437" t="s">
        <x:v>11</x:v>
      </x:c>
      <x:c r="C204" s="1600" t="s">
        <x:v>911</x:v>
      </x:c>
      <x:c r="D204" s="1600"/>
      <x:c r="E204" s="1600"/>
      <x:c r="F204" s="1600"/>
      <x:c r="G204" s="1600"/>
      <x:c r="H204" s="1600"/>
      <x:c r="I204" s="1600"/>
      <x:c r="J204" s="1600"/>
      <x:c r="K204" s="1600"/>
      <x:c r="L204" s="1600"/>
    </x:row>
    <x:row r="205" spans="1:12">
      <x:c r="A205" s="180"/>
      <x:c r="B205" s="1437"/>
      <x:c r="C205" s="1600"/>
      <x:c r="D205" s="1600"/>
      <x:c r="E205" s="1600"/>
      <x:c r="F205" s="1600"/>
      <x:c r="G205" s="1600"/>
      <x:c r="H205" s="1600"/>
      <x:c r="I205" s="1600"/>
      <x:c r="J205" s="1600"/>
      <x:c r="K205" s="1600"/>
      <x:c r="L205" s="1600"/>
    </x:row>
    <x:row r="206" spans="1:12">
      <x:c r="A206" s="180"/>
      <x:c r="B206" s="1437"/>
      <x:c r="C206" s="1600"/>
      <x:c r="D206" s="1600"/>
      <x:c r="E206" s="1600"/>
      <x:c r="F206" s="1600"/>
      <x:c r="G206" s="1600"/>
      <x:c r="H206" s="1600"/>
      <x:c r="I206" s="1600"/>
      <x:c r="J206" s="1600"/>
      <x:c r="K206" s="1600"/>
      <x:c r="L206" s="1600"/>
    </x:row>
    <x:row r="207" spans="1:12">
      <x:c r="A207" s="180"/>
      <x:c r="B207" s="1437"/>
      <x:c r="C207" s="1422"/>
      <x:c r="D207" s="1422"/>
      <x:c r="E207" s="1422"/>
      <x:c r="F207" s="1422"/>
      <x:c r="G207" s="1422"/>
      <x:c r="H207" s="1422"/>
      <x:c r="I207" s="1422"/>
      <x:c r="J207" s="1422"/>
      <x:c r="K207" s="1422"/>
      <x:c r="L207" s="1422"/>
    </x:row>
    <x:row r="208" spans="1:12" ht="15.75" customHeight="1">
      <x:c r="A208" s="180"/>
      <x:c r="B208" s="1437" t="s">
        <x:v>14</x:v>
      </x:c>
      <x:c r="C208" s="1600" t="s">
        <x:v>910</x:v>
      </x:c>
      <x:c r="D208" s="1600"/>
      <x:c r="E208" s="1600"/>
      <x:c r="F208" s="1600"/>
      <x:c r="G208" s="1600"/>
      <x:c r="H208" s="1600"/>
      <x:c r="I208" s="1600"/>
      <x:c r="J208" s="1600"/>
      <x:c r="K208" s="1600"/>
      <x:c r="L208" s="1600"/>
    </x:row>
    <x:row r="209" spans="1:12" ht="15.75" customHeight="1">
      <x:c r="B209" s="1404"/>
      <x:c r="C209" s="1600"/>
      <x:c r="D209" s="1600"/>
      <x:c r="E209" s="1600"/>
      <x:c r="F209" s="1600"/>
      <x:c r="G209" s="1600"/>
      <x:c r="H209" s="1600"/>
      <x:c r="I209" s="1600"/>
      <x:c r="J209" s="1600"/>
      <x:c r="K209" s="1600"/>
      <x:c r="L209" s="1600"/>
    </x:row>
    <x:row r="210" spans="1:12" ht="15.75" customHeight="1">
      <x:c r="B210" s="1404"/>
      <x:c r="C210" s="1422"/>
      <x:c r="D210" s="1422"/>
      <x:c r="E210" s="1422"/>
      <x:c r="F210" s="1422"/>
      <x:c r="G210" s="1422"/>
      <x:c r="H210" s="1422"/>
      <x:c r="I210" s="1422"/>
      <x:c r="J210" s="1422"/>
      <x:c r="K210" s="1422"/>
      <x:c r="L210" s="1422"/>
    </x:row>
    <x:row r="211" spans="1:12" ht="15.75" customHeight="1">
      <x:c r="A211" s="180"/>
      <x:c r="B211" s="1437" t="s">
        <x:v>133</x:v>
      </x:c>
      <x:c r="C211" s="1601" t="s">
        <x:v>2170</x:v>
      </x:c>
      <x:c r="D211" s="1600"/>
      <x:c r="E211" s="1600"/>
      <x:c r="F211" s="1600"/>
      <x:c r="G211" s="1600"/>
      <x:c r="H211" s="1600"/>
      <x:c r="I211" s="1600"/>
      <x:c r="J211" s="1600"/>
      <x:c r="K211" s="1600"/>
      <x:c r="L211" s="1600"/>
    </x:row>
    <x:row r="212" spans="1:12" ht="15.75" customHeight="1">
      <x:c r="A212" s="180"/>
      <x:c r="B212" s="1437"/>
      <x:c r="C212" s="1438"/>
      <x:c r="D212" s="1422"/>
      <x:c r="E212" s="1422"/>
      <x:c r="F212" s="1422"/>
      <x:c r="G212" s="1422"/>
      <x:c r="H212" s="1422"/>
      <x:c r="I212" s="1422"/>
      <x:c r="J212" s="1422"/>
      <x:c r="K212" s="1422"/>
      <x:c r="L212" s="1422"/>
    </x:row>
    <x:row r="213" spans="1:12">
      <x:c r="A213" s="180"/>
      <x:c r="B213" s="1437" t="s">
        <x:v>134</x:v>
      </x:c>
      <x:c r="C213" s="1600" t="s">
        <x:v>1504</x:v>
      </x:c>
      <x:c r="D213" s="1600"/>
      <x:c r="E213" s="1600"/>
      <x:c r="F213" s="1600"/>
      <x:c r="G213" s="1600"/>
      <x:c r="H213" s="1600"/>
      <x:c r="I213" s="1600"/>
      <x:c r="J213" s="1600"/>
      <x:c r="K213" s="1600"/>
      <x:c r="L213" s="1600"/>
    </x:row>
    <x:row r="271" spans="14:17">
      <x:c r="N271" s="1016"/>
      <x:c r="O271" s="1016"/>
      <x:c r="P271" s="1016"/>
      <x:c r="Q271" s="1016"/>
    </x:row>
    <x:row r="272" spans="14:17">
      <x:c r="N272" s="1016"/>
      <x:c r="O272" s="1016"/>
      <x:c r="P272" s="1016"/>
      <x:c r="Q272" s="1016"/>
    </x:row>
    <x:row r="273" spans="14:17">
      <x:c r="N273" s="1016"/>
      <x:c r="O273" s="1016"/>
      <x:c r="P273" s="1016"/>
      <x:c r="Q273" s="1016"/>
    </x:row>
    <x:row r="274" spans="14:17">
      <x:c r="N274" s="1016"/>
      <x:c r="O274" s="1016"/>
      <x:c r="P274" s="1016"/>
      <x:c r="Q274" s="1016"/>
    </x:row>
    <x:row r="275" spans="14:17">
      <x:c r="N275" s="1016"/>
      <x:c r="O275" s="1016"/>
      <x:c r="P275" s="1016"/>
      <x:c r="Q275" s="1016"/>
    </x:row>
    <x:row r="276" spans="14:17">
      <x:c r="N276" s="1016"/>
      <x:c r="O276" s="1016"/>
      <x:c r="P276" s="1016"/>
      <x:c r="Q276" s="1016"/>
    </x:row>
    <x:row r="277" spans="14:17">
      <x:c r="N277" s="1016"/>
      <x:c r="O277" s="1016"/>
      <x:c r="P277" s="1016"/>
      <x:c r="Q277" s="1016"/>
    </x:row>
    <x:row r="278" spans="14:17">
      <x:c r="N278" s="1016"/>
      <x:c r="O278" s="1016"/>
      <x:c r="P278" s="1016"/>
      <x:c r="Q278" s="1016"/>
    </x:row>
    <x:row r="279" spans="14:17">
      <x:c r="N279" s="1016"/>
      <x:c r="O279" s="1016"/>
      <x:c r="P279" s="1016"/>
      <x:c r="Q279" s="1016"/>
    </x:row>
    <x:row r="280" spans="14:17">
      <x:c r="N280" s="1016"/>
      <x:c r="O280" s="1016"/>
      <x:c r="P280" s="1016"/>
      <x:c r="Q280" s="1016"/>
    </x:row>
    <x:row r="281" spans="14:17">
      <x:c r="N281" s="1016"/>
      <x:c r="O281" s="1016"/>
      <x:c r="P281" s="1016"/>
      <x:c r="Q281" s="1016"/>
    </x:row>
    <x:row r="282" spans="14:17">
      <x:c r="N282" s="1016"/>
      <x:c r="O282" s="1016"/>
      <x:c r="P282" s="1016"/>
      <x:c r="Q282" s="1016"/>
    </x:row>
  </x:sheetData>
  <x:mergeCells count="32">
    <x:mergeCell ref="C204:L206"/>
    <x:mergeCell ref="C208:L209"/>
    <x:mergeCell ref="C211:L211"/>
    <x:mergeCell ref="C213:L213"/>
    <x:mergeCell ref="J147:L147"/>
    <x:mergeCell ref="B184:L185"/>
    <x:mergeCell ref="B189:L189"/>
    <x:mergeCell ref="C193:L195"/>
    <x:mergeCell ref="C197:L202"/>
    <x:mergeCell ref="N147:R147"/>
    <x:mergeCell ref="D148:H148"/>
    <x:mergeCell ref="J148:L148"/>
    <x:mergeCell ref="D43:H43"/>
    <x:mergeCell ref="J43:L43"/>
    <x:mergeCell ref="N43:R43"/>
    <x:mergeCell ref="D78:H78"/>
    <x:mergeCell ref="J78:L78"/>
    <x:mergeCell ref="N78:R78"/>
    <x:mergeCell ref="J112:L112"/>
    <x:mergeCell ref="N112:R112"/>
    <x:mergeCell ref="D113:H113"/>
    <x:mergeCell ref="J113:L113"/>
    <x:mergeCell ref="N113:R113"/>
    <x:mergeCell ref="N148:R148"/>
    <x:mergeCell ref="D8:H8"/>
    <x:mergeCell ref="J8:L8"/>
    <x:mergeCell ref="N8:R8"/>
    <x:mergeCell ref="A1:R1"/>
    <x:mergeCell ref="A2:R2"/>
    <x:mergeCell ref="A3:R3"/>
    <x:mergeCell ref="J7:L7"/>
    <x:mergeCell ref="N7:R7"/>
  </x:mergeCells>
  <x:printOptions horizontalCentered="1"/>
  <x:pageMargins left="0.25" right="0.25" top="0.5" bottom="0.5" header="0.3" footer="0.3"/>
  <x:pageSetup scale="43" fitToHeight="0" orientation="landscape" r:id="rId1"/>
  <x:rowBreaks count="2" manualBreakCount="2">
    <x:brk id="75" max="17" man="1"/>
    <x:brk id="145" max="17"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2A5930F-5A5E-4F59-89D8-4823C0CBBC75}" mc:Ignorable="x14ac xr xr2 xr3">
  <x:sheetPr>
    <x:pageSetUpPr fitToPage="1"/>
  </x:sheetPr>
  <x:dimension ref="A1:Q325"/>
  <x:sheetViews>
    <x:sheetView zoomScaleNormal="100" zoomScaleSheetLayoutView="100" workbookViewId="0">
      <x:pane xSplit="1" ySplit="6" topLeftCell="B7" activePane="bottomRight" state="frozen"/>
      <x:selection activeCell="J35" sqref="J35:Q35"/>
      <x:selection pane="topRight" activeCell="J35" sqref="J35:Q35"/>
      <x:selection pane="bottomLeft" activeCell="J35" sqref="J35:Q35"/>
      <x:selection pane="bottomRight" activeCell="J35" sqref="J35:Q35"/>
    </x:sheetView>
  </x:sheetViews>
  <x:sheetFormatPr defaultColWidth="9.140625" defaultRowHeight="12.75"/>
  <x:cols>
    <x:col min="1" max="1" width="5.7109375" style="208" customWidth="1"/>
    <x:col min="2" max="2" width="11.42578125" style="210" customWidth="1"/>
    <x:col min="3" max="3" width="75.140625" style="208" customWidth="1"/>
    <x:col min="4" max="4" width="0.5703125" style="208" customWidth="1"/>
    <x:col min="5" max="5" width="29.140625" style="208" customWidth="1"/>
    <x:col min="6" max="6" width="26.42578125" style="208" customWidth="1"/>
    <x:col min="7" max="7" width="18.85546875" style="208" customWidth="1"/>
    <x:col min="8" max="8" width="27.85546875" style="208" customWidth="1"/>
    <x:col min="9" max="9" width="28.85546875" style="208" customWidth="1"/>
    <x:col min="10" max="10" width="85.7109375" style="208" customWidth="1"/>
    <x:col min="11" max="11" width="5.7109375" style="208" customWidth="1"/>
    <x:col min="12" max="16384" width="9.140625" style="208"/>
  </x:cols>
  <x:sheetData>
    <x:row r="1" spans="1:17" s="1147" customFormat="1" ht="18">
      <x:c r="A1" s="1605" t="s">
        <x:v>1380</x:v>
      </x:c>
      <x:c r="B1" s="1605"/>
      <x:c r="C1" s="1605"/>
      <x:c r="D1" s="1605">
        <x:v/>
      </x:c>
      <x:c r="E1" s="1605"/>
      <x:c r="F1" s="1605"/>
      <x:c r="G1" s="1605"/>
      <x:c r="H1" s="1605"/>
      <x:c r="I1" s="1605"/>
      <x:c r="J1" s="1605"/>
    </x:row>
    <x:row r="2" spans="1:17" s="1148" customFormat="1" ht="15.75">
      <x:c r="A2" s="1606" t="s">
        <x:v>819</x:v>
      </x:c>
      <x:c r="B2" s="1606"/>
      <x:c r="C2" s="1606"/>
      <x:c r="D2" s="1606">
        <x:v/>
      </x:c>
      <x:c r="E2" s="1606"/>
      <x:c r="F2" s="1606"/>
      <x:c r="G2" s="1606"/>
      <x:c r="H2" s="1606"/>
      <x:c r="I2" s="1606"/>
      <x:c r="J2" s="1606"/>
    </x:row>
    <x:row r="3" spans="1:17" s="1148" customFormat="1" ht="15.75">
      <x:c r="A3" s="1607" t="s">
        <x:v>1187</x:v>
      </x:c>
      <x:c r="B3" s="1607"/>
      <x:c r="C3" s="1607"/>
      <x:c r="D3" s="1607">
        <x:v/>
      </x:c>
      <x:c r="E3" s="1607"/>
      <x:c r="F3" s="1607"/>
      <x:c r="G3" s="1607"/>
      <x:c r="H3" s="1607"/>
      <x:c r="I3" s="1607"/>
      <x:c r="J3" s="1607"/>
    </x:row>
    <x:row r="4" spans="1:17">
      <x:c r="B4" s="209"/>
    </x:row>
    <x:row r="5" spans="1:17">
      <x:c r="I5" s="211"/>
    </x:row>
    <x:row r="6" spans="1:17">
      <x:c r="B6" s="1608" t="s">
        <x:v>2121</x:v>
      </x:c>
      <x:c r="C6" s="1608"/>
      <x:c r="D6" s="1608">
        <x:v/>
      </x:c>
      <x:c r="E6" s="1608"/>
      <x:c r="F6" s="1608"/>
      <x:c r="G6" s="1608"/>
      <x:c r="H6" s="1608"/>
      <x:c r="I6" s="1608"/>
      <x:c r="J6" s="1608"/>
    </x:row>
    <x:row r="7" spans="1:17">
      <x:c r="F7" s="212" t="s">
        <x:v>1188</x:v>
      </x:c>
      <x:c r="G7" s="213" t="s">
        <x:v>231</x:v>
      </x:c>
      <x:c r="H7" s="213"/>
    </x:row>
    <x:row r="8" spans="1:17">
      <x:c r="F8" s="212" t="s">
        <x:v>1189</x:v>
      </x:c>
      <x:c r="G8" s="213" t="s">
        <x:v>206</x:v>
      </x:c>
      <x:c r="H8" s="213" t="s">
        <x:v>232</x:v>
      </x:c>
      <x:c r="I8" s="213" t="s">
        <x:v>233</x:v>
      </x:c>
    </x:row>
    <x:row r="9" spans="1:17">
      <x:c r="B9" s="214" t="s">
        <x:v>523</x:v>
      </x:c>
      <x:c r="C9" s="214" t="s">
        <x:v>849</x:v>
      </x:c>
      <x:c r="E9" s="215" t="s">
        <x:v>42</x:v>
      </x:c>
      <x:c r="F9" s="215" t="s">
        <x:v>1190</x:v>
      </x:c>
      <x:c r="G9" s="216" t="s">
        <x:v>234</x:v>
      </x:c>
      <x:c r="H9" s="216" t="s">
        <x:v>234</x:v>
      </x:c>
      <x:c r="I9" s="216" t="s">
        <x:v>234</x:v>
      </x:c>
    </x:row>
    <x:row r="10" spans="1:17" ht="5.0999999999999996" customHeight="1"/>
    <x:row r="11" spans="1:17">
      <x:c r="B11" s="210">
        <x:v>1</x:v>
      </x:c>
      <x:c r="C11" s="217" t="s">
        <x:v>236</x:v>
      </x:c>
      <x:c r="E11" s="218">
        <x:f>F11+G11+H11+I11</x:f>
        <x:v>2027421.3930900351</x:v>
      </x:c>
      <x:c r="F11" s="218">
        <x:f>F81</x:f>
        <x:v>0</x:v>
      </x:c>
      <x:c r="G11" s="218">
        <x:f>G81</x:f>
        <x:v>0</x:v>
      </x:c>
      <x:c r="H11" s="218">
        <x:f>H81</x:f>
        <x:v>1249083.1919758443</x:v>
      </x:c>
      <x:c r="I11" s="218">
        <x:f>I81</x:f>
        <x:v>778338.20111419074</x:v>
      </x:c>
    </x:row>
    <x:row r="12" spans="1:17">
      <x:c r="B12" s="210">
        <x:f>B11+1</x:f>
        <x:v>2</x:v>
      </x:c>
      <x:c r="C12" s="217" t="s">
        <x:v>850</x:v>
      </x:c>
      <x:c r="E12" s="218">
        <x:f>F12+G12+H12+I12</x:f>
        <x:v>0</x:v>
      </x:c>
      <x:c r="F12" s="218">
        <x:v>0</x:v>
      </x:c>
      <x:c r="G12" s="218">
        <x:v>0</x:v>
      </x:c>
      <x:c r="H12" s="218">
        <x:v>0</x:v>
      </x:c>
      <x:c r="I12" s="218">
        <x:v>0</x:v>
      </x:c>
      <x:c r="N12" s="219"/>
      <x:c r="O12" s="219"/>
      <x:c r="P12" s="219"/>
      <x:c r="Q12" s="219"/>
    </x:row>
    <x:row r="13" spans="1:17">
      <x:c r="B13" s="210">
        <x:f>B12+1</x:f>
        <x:v>3</x:v>
      </x:c>
      <x:c r="C13" s="217" t="s">
        <x:v>851</x:v>
      </x:c>
      <x:c r="E13" s="218">
        <x:f>F13+G13+H13+I13</x:f>
        <x:v>-218867264.15537345</x:v>
      </x:c>
      <x:c r="F13" s="218">
        <x:f>F152</x:f>
        <x:v>0</x:v>
      </x:c>
      <x:c r="G13" s="218">
        <x:f>G152</x:f>
        <x:v>0</x:v>
      </x:c>
      <x:c r="H13" s="218">
        <x:f>H152</x:f>
        <x:v>-218867264.15537345</x:v>
      </x:c>
      <x:c r="I13" s="218">
        <x:f>I152</x:f>
        <x:v>0</x:v>
      </x:c>
      <x:c r="N13" s="219"/>
      <x:c r="O13" s="219"/>
      <x:c r="P13" s="219"/>
      <x:c r="Q13" s="219"/>
    </x:row>
    <x:row r="14" spans="1:17">
      <x:c r="B14" s="210">
        <x:f>B13+1</x:f>
        <x:v>4</x:v>
      </x:c>
      <x:c r="C14" s="217" t="s">
        <x:v>235</x:v>
      </x:c>
      <x:c r="E14" s="218">
        <x:f>F14+G14+H14+I14</x:f>
        <x:v>-6533624.7537219916</x:v>
      </x:c>
      <x:c r="F14" s="218">
        <x:f>F225</x:f>
        <x:v>0</x:v>
      </x:c>
      <x:c r="G14" s="218">
        <x:f>G225</x:f>
        <x:v>0</x:v>
      </x:c>
      <x:c r="H14" s="218">
        <x:f>H225</x:f>
        <x:v>-2953564.7412984231</x:v>
      </x:c>
      <x:c r="I14" s="218">
        <x:f>I225</x:f>
        <x:v>-3580060.0124235689</x:v>
      </x:c>
      <x:c r="N14" s="219"/>
      <x:c r="O14" s="219"/>
      <x:c r="P14" s="219"/>
      <x:c r="Q14" s="219"/>
    </x:row>
    <x:row r="15" spans="1:17">
      <x:c r="B15" s="210">
        <x:f>B14+1</x:f>
        <x:v>5</x:v>
      </x:c>
      <x:c r="C15" s="217" t="s">
        <x:v>242</x:v>
      </x:c>
      <x:c r="E15" s="218">
        <x:f>F15+G15+H15+I15</x:f>
        <x:v>-182487.21393481354</x:v>
      </x:c>
      <x:c r="F15" s="218">
        <x:f>F298</x:f>
        <x:v>0</x:v>
      </x:c>
      <x:c r="G15" s="218">
        <x:f>G298</x:f>
        <x:v>0</x:v>
      </x:c>
      <x:c r="H15" s="218">
        <x:f>H298</x:f>
        <x:v>-182487.21393481354</x:v>
      </x:c>
      <x:c r="I15" s="218">
        <x:f>I298</x:f>
        <x:v>0</x:v>
      </x:c>
      <x:c r="N15" s="219"/>
      <x:c r="O15" s="219"/>
      <x:c r="P15" s="219"/>
      <x:c r="Q15" s="219"/>
    </x:row>
    <x:row r="16" spans="1:17" ht="5.0999999999999996" customHeight="1">
      <x:c r="E16" s="413"/>
      <x:c r="F16" s="413"/>
      <x:c r="G16" s="413"/>
      <x:c r="H16" s="413"/>
      <x:c r="I16" s="413"/>
    </x:row>
    <x:row r="17" spans="2:10">
      <x:c r="B17" s="210">
        <x:f>B16+6</x:f>
        <x:v>6</x:v>
      </x:c>
      <x:c r="C17" s="220" t="s">
        <x:v>852</x:v>
      </x:c>
      <x:c r="E17" s="218">
        <x:f>E11+E12+E13+E14+E15</x:f>
        <x:v>-223555954.72994021</x:v>
      </x:c>
      <x:c r="F17" s="218">
        <x:f>F11+F12+F13+F14+F15</x:f>
        <x:v>0</x:v>
      </x:c>
      <x:c r="G17" s="218">
        <x:f>G11+G12+G13+G14+G15</x:f>
        <x:v>0</x:v>
      </x:c>
      <x:c r="H17" s="218">
        <x:f>H11+H12+H13+H14+H15</x:f>
        <x:v>-220754232.91863087</x:v>
      </x:c>
      <x:c r="I17" s="218">
        <x:f>I11+I12+I13+I14+I15</x:f>
        <x:v>-2801721.8113093781</x:v>
      </x:c>
      <x:c r="J17" s="221"/>
    </x:row>
    <x:row r="18" spans="2:10">
      <x:c r="C18" s="210"/>
      <x:c r="F18" s="219"/>
      <x:c r="G18" s="219"/>
      <x:c r="H18" s="219"/>
      <x:c r="I18" s="222"/>
    </x:row>
    <x:row r="19" spans="2:10">
      <x:c r="C19" s="210"/>
      <x:c r="F19" s="219"/>
      <x:c r="G19" s="219"/>
      <x:c r="H19" s="219"/>
      <x:c r="I19" s="222"/>
    </x:row>
    <x:row r="20" spans="2:10">
      <x:c r="B20" s="223" t="s">
        <x:v>523</x:v>
      </x:c>
      <x:c r="C20" s="223" t="s">
        <x:v>1191</x:v>
      </x:c>
      <x:c r="D20" s="62">
        <x:v/>
      </x:c>
      <x:c r="E20" s="215" t="s">
        <x:v>42</x:v>
      </x:c>
      <x:c r="F20" s="62"/>
      <x:c r="G20" s="62"/>
      <x:c r="H20" s="62"/>
      <x:c r="I20" s="412"/>
    </x:row>
    <x:row r="21" spans="2:10">
      <x:c r="B21" s="62"/>
      <x:c r="C21" s="62"/>
      <x:c r="D21" s="62">
        <x:v/>
      </x:c>
      <x:c r="E21" s="62"/>
      <x:c r="F21" s="62"/>
      <x:c r="G21" s="62"/>
      <x:c r="H21" s="62"/>
      <x:c r="I21" s="412"/>
    </x:row>
    <x:row r="22" spans="2:10">
      <x:c r="B22" s="210">
        <x:f>B17+1</x:f>
        <x:v>7</x:v>
      </x:c>
      <x:c r="C22" s="208" t="s">
        <x:v>1192</x:v>
      </x:c>
      <x:c r="E22" s="225">
        <x:f>'1C - ADIT BOY'!E22</x:f>
        <x:v>-794496</x:v>
      </x:c>
      <x:c r="I22" s="226"/>
    </x:row>
    <x:row r="23" spans="2:10">
      <x:c r="B23" s="208"/>
    </x:row>
    <x:row r="24" spans="2:10">
      <x:c r="B24" s="208"/>
    </x:row>
    <x:row r="25" spans="2:10" ht="12.75" customHeight="1">
      <x:c r="B25" s="1609" t="s">
        <x:v>1398</x:v>
      </x:c>
      <x:c r="C25" s="1609"/>
      <x:c r="D25" s="1609">
        <x:v/>
      </x:c>
      <x:c r="E25" s="1609"/>
      <x:c r="F25" s="1609"/>
      <x:c r="G25" s="1609"/>
      <x:c r="H25" s="1609"/>
      <x:c r="I25" s="1609"/>
    </x:row>
    <x:row r="26" spans="2:10">
      <x:c r="B26" s="1609"/>
      <x:c r="C26" s="1609"/>
      <x:c r="D26" s="1609">
        <x:v/>
      </x:c>
      <x:c r="E26" s="1609"/>
      <x:c r="F26" s="1609"/>
      <x:c r="G26" s="1609"/>
      <x:c r="H26" s="1609"/>
      <x:c r="I26" s="1609"/>
    </x:row>
    <x:row r="27" spans="2:10">
      <x:c r="B27" s="62"/>
      <x:c r="C27" s="62"/>
      <x:c r="D27" s="62">
        <x:v/>
      </x:c>
      <x:c r="E27" s="62"/>
      <x:c r="F27" s="62"/>
      <x:c r="G27" s="62"/>
      <x:c r="H27" s="62"/>
      <x:c r="I27" s="412"/>
    </x:row>
    <x:row r="29" spans="2:10" ht="15" customHeight="1">
      <x:c r="B29" s="1609" t="s">
        <x:v>1193</x:v>
      </x:c>
      <x:c r="C29" s="1609"/>
      <x:c r="D29" s="1609">
        <x:v/>
      </x:c>
      <x:c r="E29" s="1609"/>
      <x:c r="F29" s="1609"/>
      <x:c r="G29" s="1609"/>
      <x:c r="H29" s="1609"/>
      <x:c r="I29" s="1609"/>
      <x:c r="J29" s="227"/>
    </x:row>
    <x:row r="30" spans="2:10">
      <x:c r="B30" s="1609"/>
      <x:c r="C30" s="1609"/>
      <x:c r="D30" s="1609">
        <x:v/>
      </x:c>
      <x:c r="E30" s="1609"/>
      <x:c r="F30" s="1609"/>
      <x:c r="G30" s="1609"/>
      <x:c r="H30" s="1609"/>
      <x:c r="I30" s="1609"/>
      <x:c r="J30" s="227"/>
    </x:row>
    <x:row r="31" spans="2:10">
      <x:c r="I31" s="211"/>
    </x:row>
    <x:row r="32" spans="2:10">
      <x:c r="B32" s="212" t="s">
        <x:v>163</x:v>
      </x:c>
      <x:c r="C32" s="212"/>
      <x:c r="D32" s="212">
        <x:v/>
      </x:c>
      <x:c r="E32" s="212" t="s">
        <x:v>164</x:v>
      </x:c>
      <x:c r="F32" s="212" t="s">
        <x:v>1023</x:v>
      </x:c>
      <x:c r="G32" s="212" t="s">
        <x:v>1155</x:v>
      </x:c>
      <x:c r="H32" s="212" t="s">
        <x:v>1156</x:v>
      </x:c>
      <x:c r="I32" s="212" t="s">
        <x:v>1157</x:v>
      </x:c>
      <x:c r="J32" s="212" t="s">
        <x:v>1158</x:v>
      </x:c>
    </x:row>
    <x:row r="33" spans="2:10">
      <x:c r="B33" s="220"/>
      <x:c r="C33" s="62"/>
      <x:c r="D33" s="62">
        <x:v/>
      </x:c>
      <x:c r="E33" s="212"/>
      <x:c r="F33" s="212" t="s">
        <x:v>1188</x:v>
      </x:c>
      <x:c r="G33" s="212" t="s">
        <x:v>231</x:v>
      </x:c>
      <x:c r="H33" s="212"/>
      <x:c r="I33" s="212"/>
      <x:c r="J33" s="62"/>
    </x:row>
    <x:row r="34" spans="2:10">
      <x:c r="B34" s="228"/>
      <x:c r="C34" s="62"/>
      <x:c r="D34" s="62">
        <x:v/>
      </x:c>
      <x:c r="E34" s="212"/>
      <x:c r="F34" s="212" t="s">
        <x:v>1189</x:v>
      </x:c>
      <x:c r="G34" s="212" t="s">
        <x:v>206</x:v>
      </x:c>
      <x:c r="H34" s="212" t="s">
        <x:v>232</x:v>
      </x:c>
      <x:c r="I34" s="212" t="s">
        <x:v>233</x:v>
      </x:c>
      <x:c r="J34" s="62"/>
    </x:row>
    <x:row r="35" spans="2:10">
      <x:c r="B35" s="220" t="s">
        <x:v>853</x:v>
      </x:c>
      <x:c r="C35" s="62"/>
      <x:c r="D35" s="62">
        <x:v/>
      </x:c>
      <x:c r="E35" s="212" t="s">
        <x:v>42</x:v>
      </x:c>
      <x:c r="F35" s="215" t="s">
        <x:v>1190</x:v>
      </x:c>
      <x:c r="G35" s="212" t="s">
        <x:v>234</x:v>
      </x:c>
      <x:c r="H35" s="212" t="s">
        <x:v>234</x:v>
      </x:c>
      <x:c r="I35" s="212" t="s">
        <x:v>234</x:v>
      </x:c>
      <x:c r="J35" s="212" t="s">
        <x:v>238</x:v>
      </x:c>
    </x:row>
    <x:row r="36" spans="2:10" ht="25.5">
      <x:c r="B36" s="1101" t="s">
        <x:v>1754</x:v>
      </x:c>
      <x:c r="C36" s="1102"/>
      <x:c r="D36" s="1103">
        <x:v/>
      </x:c>
      <x:c r="E36" s="1075">
        <x:f t="shared" ref="E36:E67" si="0">SUM(F36:I36)</x:f>
        <x:v>1726728</x:v>
      </x:c>
      <x:c r="F36" s="1082">
        <x:v>241742</x:v>
      </x:c>
      <x:c r="G36" s="1082">
        <x:v>0</x:v>
      </x:c>
      <x:c r="H36" s="1082">
        <x:v>0</x:v>
      </x:c>
      <x:c r="I36" s="1082">
        <x:v>1484986</x:v>
      </x:c>
      <x:c r="J36" s="231" t="s">
        <x:v>1883</x:v>
      </x:c>
    </x:row>
    <x:row r="37" spans="2:10" ht="25.5">
      <x:c r="B37" s="1101" t="s">
        <x:v>1870</x:v>
      </x:c>
      <x:c r="C37" s="1102"/>
      <x:c r="D37" s="1103">
        <x:v/>
      </x:c>
      <x:c r="E37" s="1075">
        <x:f t="shared" si="0"/>
        <x:v>519091</x:v>
      </x:c>
      <x:c r="F37" s="1082">
        <x:v>72673</x:v>
      </x:c>
      <x:c r="G37" s="1082">
        <x:v>0</x:v>
      </x:c>
      <x:c r="H37" s="1082">
        <x:v>359929</x:v>
      </x:c>
      <x:c r="I37" s="1082">
        <x:v>86489</x:v>
      </x:c>
      <x:c r="J37" s="231" t="s">
        <x:v>1883</x:v>
      </x:c>
    </x:row>
    <x:row r="38" spans="2:10" ht="25.5">
      <x:c r="B38" s="1101" t="s">
        <x:v>1550</x:v>
      </x:c>
      <x:c r="C38" s="1102"/>
      <x:c r="D38" s="1103">
        <x:v/>
      </x:c>
      <x:c r="E38" s="1075">
        <x:f t="shared" si="0"/>
        <x:v>3373194</x:v>
      </x:c>
      <x:c r="F38" s="1082">
        <x:v>472247</x:v>
      </x:c>
      <x:c r="G38" s="1082">
        <x:v>0</x:v>
      </x:c>
      <x:c r="H38" s="1082">
        <x:v>0</x:v>
      </x:c>
      <x:c r="I38" s="1082">
        <x:v>2900947</x:v>
      </x:c>
      <x:c r="J38" s="231" t="s">
        <x:v>1883</x:v>
      </x:c>
    </x:row>
    <x:row r="39" spans="2:10">
      <x:c r="B39" s="1101" t="s">
        <x:v>1755</x:v>
      </x:c>
      <x:c r="C39" s="1102"/>
      <x:c r="D39" s="1103">
        <x:v/>
      </x:c>
      <x:c r="E39" s="1075">
        <x:f t="shared" si="0"/>
        <x:v>217662</x:v>
      </x:c>
      <x:c r="F39" s="1082">
        <x:v>217662</x:v>
      </x:c>
      <x:c r="G39" s="1082">
        <x:v>0</x:v>
      </x:c>
      <x:c r="H39" s="1082">
        <x:v>0</x:v>
      </x:c>
      <x:c r="I39" s="1082">
        <x:v>0</x:v>
      </x:c>
      <x:c r="J39" s="231" t="s">
        <x:v>1884</x:v>
      </x:c>
    </x:row>
    <x:row r="40" spans="2:10">
      <x:c r="B40" s="1101" t="s">
        <x:v>1756</x:v>
      </x:c>
      <x:c r="C40" s="1102"/>
      <x:c r="D40" s="1103">
        <x:v/>
      </x:c>
      <x:c r="E40" s="1075">
        <x:f t="shared" si="0"/>
        <x:v>0</x:v>
      </x:c>
      <x:c r="F40" s="1082">
        <x:v>0</x:v>
      </x:c>
      <x:c r="G40" s="1082">
        <x:v>0</x:v>
      </x:c>
      <x:c r="H40" s="1082">
        <x:v>0</x:v>
      </x:c>
      <x:c r="I40" s="1082">
        <x:v>0</x:v>
      </x:c>
      <x:c r="J40" s="231" t="s">
        <x:v>1884</x:v>
      </x:c>
    </x:row>
    <x:row r="41" spans="2:10" ht="25.5" customHeight="1">
      <x:c r="B41" s="1101" t="s">
        <x:v>1757</x:v>
      </x:c>
      <x:c r="C41" s="1102"/>
      <x:c r="D41" s="1103">
        <x:v/>
      </x:c>
      <x:c r="E41" s="1075">
        <x:f t="shared" si="0"/>
        <x:v>695274</x:v>
      </x:c>
      <x:c r="F41" s="1082">
        <x:v>97338</x:v>
      </x:c>
      <x:c r="G41" s="1082">
        <x:v>0</x:v>
      </x:c>
      <x:c r="H41" s="1082">
        <x:v>0</x:v>
      </x:c>
      <x:c r="I41" s="1082">
        <x:v>597936</x:v>
      </x:c>
      <x:c r="J41" s="231" t="s">
        <x:v>2107</x:v>
      </x:c>
    </x:row>
    <x:row r="42" spans="2:10">
      <x:c r="B42" s="1101" t="s">
        <x:v>1758</x:v>
      </x:c>
      <x:c r="C42" s="1102"/>
      <x:c r="D42" s="1103">
        <x:v/>
      </x:c>
      <x:c r="E42" s="1075">
        <x:f t="shared" si="0"/>
        <x:v>469836</x:v>
      </x:c>
      <x:c r="F42" s="1082">
        <x:v>469836</x:v>
      </x:c>
      <x:c r="G42" s="1082">
        <x:v>0</x:v>
      </x:c>
      <x:c r="H42" s="1082">
        <x:v>0</x:v>
      </x:c>
      <x:c r="I42" s="1082">
        <x:v>0</x:v>
      </x:c>
      <x:c r="J42" s="231" t="s">
        <x:v>1884</x:v>
      </x:c>
    </x:row>
    <x:row r="43" spans="2:10" ht="25.5">
      <x:c r="B43" s="1101" t="s">
        <x:v>1759</x:v>
      </x:c>
      <x:c r="C43" s="1102"/>
      <x:c r="D43" s="1103">
        <x:v/>
      </x:c>
      <x:c r="E43" s="1075">
        <x:f t="shared" si="0"/>
        <x:v>247642</x:v>
      </x:c>
      <x:c r="F43" s="1082">
        <x:v>34670</x:v>
      </x:c>
      <x:c r="G43" s="1082">
        <x:v>0</x:v>
      </x:c>
      <x:c r="H43" s="1082">
        <x:v>0</x:v>
      </x:c>
      <x:c r="I43" s="1082">
        <x:v>212972</x:v>
      </x:c>
      <x:c r="J43" s="231" t="s">
        <x:v>1883</x:v>
      </x:c>
    </x:row>
    <x:row r="44" spans="2:10">
      <x:c r="B44" s="1101" t="s">
        <x:v>1558</x:v>
      </x:c>
      <x:c r="C44" s="1102"/>
      <x:c r="D44" s="1103">
        <x:v/>
      </x:c>
      <x:c r="E44" s="1075">
        <x:f t="shared" si="0"/>
        <x:v>0</x:v>
      </x:c>
      <x:c r="F44" s="1082">
        <x:v>0</x:v>
      </x:c>
      <x:c r="G44" s="1082">
        <x:v>0</x:v>
      </x:c>
      <x:c r="H44" s="1082">
        <x:v>0</x:v>
      </x:c>
      <x:c r="I44" s="1082">
        <x:v>0</x:v>
      </x:c>
      <x:c r="J44" s="231" t="s">
        <x:v>1884</x:v>
      </x:c>
    </x:row>
    <x:row r="45" spans="2:10" ht="25.5">
      <x:c r="B45" s="1101" t="s">
        <x:v>1760</x:v>
      </x:c>
      <x:c r="C45" s="1102"/>
      <x:c r="D45" s="1103">
        <x:v/>
      </x:c>
      <x:c r="E45" s="1075">
        <x:f t="shared" si="0"/>
        <x:v>27715</x:v>
      </x:c>
      <x:c r="F45" s="1082">
        <x:v>3880</x:v>
      </x:c>
      <x:c r="G45" s="1082">
        <x:v>0</x:v>
      </x:c>
      <x:c r="H45" s="1082">
        <x:v>0</x:v>
      </x:c>
      <x:c r="I45" s="1082">
        <x:v>23835</x:v>
      </x:c>
      <x:c r="J45" s="231" t="s">
        <x:v>1883</x:v>
      </x:c>
    </x:row>
    <x:row r="46" spans="2:10">
      <x:c r="B46" s="1101" t="s">
        <x:v>1761</x:v>
      </x:c>
      <x:c r="C46" s="1102"/>
      <x:c r="D46" s="1103">
        <x:v/>
      </x:c>
      <x:c r="E46" s="1075">
        <x:f t="shared" si="0"/>
        <x:v>450143</x:v>
      </x:c>
      <x:c r="F46" s="1082">
        <x:v>450143</x:v>
      </x:c>
      <x:c r="G46" s="1082">
        <x:v>0</x:v>
      </x:c>
      <x:c r="H46" s="1082">
        <x:v>0</x:v>
      </x:c>
      <x:c r="I46" s="1082">
        <x:v>0</x:v>
      </x:c>
      <x:c r="J46" s="231" t="s">
        <x:v>1884</x:v>
      </x:c>
    </x:row>
    <x:row r="47" spans="2:10" ht="25.5">
      <x:c r="B47" s="1101" t="s">
        <x:v>1762</x:v>
      </x:c>
      <x:c r="C47" s="1102"/>
      <x:c r="D47" s="1103">
        <x:v/>
      </x:c>
      <x:c r="E47" s="1075">
        <x:f t="shared" si="0"/>
        <x:v>705431</x:v>
      </x:c>
      <x:c r="F47" s="1082">
        <x:v>98760</x:v>
      </x:c>
      <x:c r="G47" s="1082">
        <x:v>0</x:v>
      </x:c>
      <x:c r="H47" s="1082">
        <x:v>0</x:v>
      </x:c>
      <x:c r="I47" s="1082">
        <x:v>606671</x:v>
      </x:c>
      <x:c r="J47" s="231" t="s">
        <x:v>1883</x:v>
      </x:c>
    </x:row>
    <x:row r="48" spans="2:10">
      <x:c r="B48" s="1101" t="s">
        <x:v>1560</x:v>
      </x:c>
      <x:c r="C48" s="1102"/>
      <x:c r="D48" s="1103">
        <x:v/>
      </x:c>
      <x:c r="E48" s="1075">
        <x:f t="shared" si="0"/>
        <x:v>6990513</x:v>
      </x:c>
      <x:c r="F48" s="1082">
        <x:v>6990513</x:v>
      </x:c>
      <x:c r="G48" s="1082">
        <x:v>0</x:v>
      </x:c>
      <x:c r="H48" s="1082">
        <x:v>0</x:v>
      </x:c>
      <x:c r="I48" s="1082">
        <x:v>0</x:v>
      </x:c>
      <x:c r="J48" s="231" t="s">
        <x:v>1884</x:v>
      </x:c>
    </x:row>
    <x:row r="49" spans="2:10">
      <x:c r="B49" s="1101" t="s">
        <x:v>1763</x:v>
      </x:c>
      <x:c r="C49" s="1102"/>
      <x:c r="D49" s="1103">
        <x:v/>
      </x:c>
      <x:c r="E49" s="1075">
        <x:f t="shared" si="0"/>
        <x:v>3545215</x:v>
      </x:c>
      <x:c r="F49" s="1082">
        <x:v>3545215</x:v>
      </x:c>
      <x:c r="G49" s="1082">
        <x:v>0</x:v>
      </x:c>
      <x:c r="H49" s="1082">
        <x:v>0</x:v>
      </x:c>
      <x:c r="I49" s="1082">
        <x:v>0</x:v>
      </x:c>
      <x:c r="J49" s="231" t="s">
        <x:v>1884</x:v>
      </x:c>
    </x:row>
    <x:row r="50" spans="2:10" ht="25.5">
      <x:c r="B50" s="1101" t="s">
        <x:v>1764</x:v>
      </x:c>
      <x:c r="C50" s="1102"/>
      <x:c r="D50" s="1103">
        <x:v/>
      </x:c>
      <x:c r="E50" s="1075">
        <x:f t="shared" si="0"/>
        <x:v>24910</x:v>
      </x:c>
      <x:c r="F50" s="1082">
        <x:v>3487</x:v>
      </x:c>
      <x:c r="G50" s="1082">
        <x:v>0</x:v>
      </x:c>
      <x:c r="H50" s="1082">
        <x:v>0</x:v>
      </x:c>
      <x:c r="I50" s="1082">
        <x:v>21423</x:v>
      </x:c>
      <x:c r="J50" s="231" t="s">
        <x:v>1883</x:v>
      </x:c>
    </x:row>
    <x:row r="51" spans="2:10">
      <x:c r="B51" s="1101" t="s">
        <x:v>1765</x:v>
      </x:c>
      <x:c r="C51" s="1102"/>
      <x:c r="D51" s="1103">
        <x:v/>
      </x:c>
      <x:c r="E51" s="1075">
        <x:f t="shared" si="0"/>
        <x:v>3517333</x:v>
      </x:c>
      <x:c r="F51" s="1082">
        <x:v>3517333</x:v>
      </x:c>
      <x:c r="G51" s="1082">
        <x:v>0</x:v>
      </x:c>
      <x:c r="H51" s="1082">
        <x:v>0</x:v>
      </x:c>
      <x:c r="I51" s="1082">
        <x:v>0</x:v>
      </x:c>
      <x:c r="J51" s="231" t="s">
        <x:v>1884</x:v>
      </x:c>
    </x:row>
    <x:row r="52" spans="2:10">
      <x:c r="B52" s="1101" t="s">
        <x:v>1766</x:v>
      </x:c>
      <x:c r="C52" s="1102"/>
      <x:c r="D52" s="1103">
        <x:v/>
      </x:c>
      <x:c r="E52" s="1075">
        <x:f t="shared" si="0"/>
        <x:v>0</x:v>
      </x:c>
      <x:c r="F52" s="1082">
        <x:v>0</x:v>
      </x:c>
      <x:c r="G52" s="1082">
        <x:v>0</x:v>
      </x:c>
      <x:c r="H52" s="1082">
        <x:v>0</x:v>
      </x:c>
      <x:c r="I52" s="1082">
        <x:v>0</x:v>
      </x:c>
      <x:c r="J52" s="231" t="s">
        <x:v>1884</x:v>
      </x:c>
    </x:row>
    <x:row r="53" spans="2:10">
      <x:c r="B53" s="1101" t="s">
        <x:v>1767</x:v>
      </x:c>
      <x:c r="C53" s="1102"/>
      <x:c r="D53" s="1103">
        <x:v/>
      </x:c>
      <x:c r="E53" s="1075">
        <x:f t="shared" si="0"/>
        <x:v>-73846</x:v>
      </x:c>
      <x:c r="F53" s="1082">
        <x:v>-73846</x:v>
      </x:c>
      <x:c r="G53" s="1082">
        <x:v>0</x:v>
      </x:c>
      <x:c r="H53" s="1082">
        <x:v>0</x:v>
      </x:c>
      <x:c r="I53" s="1082">
        <x:v>0</x:v>
      </x:c>
      <x:c r="J53" s="231" t="s">
        <x:v>1884</x:v>
      </x:c>
    </x:row>
    <x:row r="54" spans="2:10">
      <x:c r="B54" s="1101" t="s">
        <x:v>1768</x:v>
      </x:c>
      <x:c r="C54" s="1102"/>
      <x:c r="D54" s="1103">
        <x:v/>
      </x:c>
      <x:c r="E54" s="1075">
        <x:f t="shared" si="0"/>
        <x:v>0</x:v>
      </x:c>
      <x:c r="F54" s="1082">
        <x:v>0</x:v>
      </x:c>
      <x:c r="G54" s="1082">
        <x:v>0</x:v>
      </x:c>
      <x:c r="H54" s="1082">
        <x:v>0</x:v>
      </x:c>
      <x:c r="I54" s="1082">
        <x:v>0</x:v>
      </x:c>
      <x:c r="J54" s="231" t="s">
        <x:v>1884</x:v>
      </x:c>
    </x:row>
    <x:row r="55" spans="2:10">
      <x:c r="B55" s="1101" t="s">
        <x:v>1769</x:v>
      </x:c>
      <x:c r="C55" s="1102"/>
      <x:c r="D55" s="1103">
        <x:v/>
      </x:c>
      <x:c r="E55" s="1075">
        <x:f t="shared" si="0"/>
        <x:v>3682590</x:v>
      </x:c>
      <x:c r="F55" s="1082">
        <x:v>3682590</x:v>
      </x:c>
      <x:c r="G55" s="1082">
        <x:v>0</x:v>
      </x:c>
      <x:c r="H55" s="1082">
        <x:v>0</x:v>
      </x:c>
      <x:c r="I55" s="1082">
        <x:v>0</x:v>
      </x:c>
      <x:c r="J55" s="231" t="s">
        <x:v>1884</x:v>
      </x:c>
    </x:row>
    <x:row r="56" spans="2:10">
      <x:c r="B56" s="1101" t="s">
        <x:v>1770</x:v>
      </x:c>
      <x:c r="C56" s="1102"/>
      <x:c r="D56" s="1103">
        <x:v/>
      </x:c>
      <x:c r="E56" s="1075">
        <x:f t="shared" si="0"/>
        <x:v>218715</x:v>
      </x:c>
      <x:c r="F56" s="1082">
        <x:v>218715</x:v>
      </x:c>
      <x:c r="G56" s="1082">
        <x:v>0</x:v>
      </x:c>
      <x:c r="H56" s="1082">
        <x:v>0</x:v>
      </x:c>
      <x:c r="I56" s="1082">
        <x:v>0</x:v>
      </x:c>
      <x:c r="J56" s="231" t="s">
        <x:v>1884</x:v>
      </x:c>
    </x:row>
    <x:row r="57" spans="2:10" ht="12.75" customHeight="1">
      <x:c r="B57" s="1101" t="s">
        <x:v>1771</x:v>
      </x:c>
      <x:c r="C57" s="1102"/>
      <x:c r="D57" s="1103">
        <x:v/>
      </x:c>
      <x:c r="E57" s="1075">
        <x:f t="shared" si="0"/>
        <x:v>-136954</x:v>
      </x:c>
      <x:c r="F57" s="1082">
        <x:v>-136954</x:v>
      </x:c>
      <x:c r="G57" s="1082">
        <x:v>0</x:v>
      </x:c>
      <x:c r="H57" s="1082">
        <x:v>0</x:v>
      </x:c>
      <x:c r="I57" s="1082">
        <x:v>0</x:v>
      </x:c>
      <x:c r="J57" s="231" t="s">
        <x:v>2106</x:v>
      </x:c>
    </x:row>
    <x:row r="58" spans="2:10" ht="25.5">
      <x:c r="B58" s="1101" t="s">
        <x:v>1784</x:v>
      </x:c>
      <x:c r="C58" s="1102"/>
      <x:c r="D58" s="1103">
        <x:v/>
      </x:c>
      <x:c r="E58" s="1075">
        <x:f t="shared" si="0"/>
        <x:v>2366699</x:v>
      </x:c>
      <x:c r="F58" s="1082">
        <x:v>1826766</x:v>
      </x:c>
      <x:c r="G58" s="1082">
        <x:v>0</x:v>
      </x:c>
      <x:c r="H58" s="1082">
        <x:v>539933</x:v>
      </x:c>
      <x:c r="I58" s="1082">
        <x:v>0</x:v>
      </x:c>
      <x:c r="J58" s="231" t="s">
        <x:v>1885</x:v>
      </x:c>
    </x:row>
    <x:row r="59" spans="2:10">
      <x:c r="B59" s="1101" t="s">
        <x:v>1785</x:v>
      </x:c>
      <x:c r="C59" s="1102"/>
      <x:c r="D59" s="1103">
        <x:v/>
      </x:c>
      <x:c r="E59" s="1075">
        <x:f t="shared" si="0"/>
        <x:v>8304755</x:v>
      </x:c>
      <x:c r="F59" s="1082">
        <x:v>8304755</x:v>
      </x:c>
      <x:c r="G59" s="1082">
        <x:v>0</x:v>
      </x:c>
      <x:c r="H59" s="1082">
        <x:v>0</x:v>
      </x:c>
      <x:c r="I59" s="1082">
        <x:v>0</x:v>
      </x:c>
      <x:c r="J59" s="231" t="s">
        <x:v>1886</x:v>
      </x:c>
    </x:row>
    <x:row r="60" spans="2:10" ht="12" customHeight="1">
      <x:c r="B60" s="1101" t="s">
        <x:v>1786</x:v>
      </x:c>
      <x:c r="C60" s="1102"/>
      <x:c r="D60" s="1103">
        <x:v/>
      </x:c>
      <x:c r="E60" s="1075">
        <x:f t="shared" si="0"/>
        <x:v>2782741</x:v>
      </x:c>
      <x:c r="F60" s="1082">
        <x:v>278274</x:v>
      </x:c>
      <x:c r="G60" s="1082">
        <x:v>0</x:v>
      </x:c>
      <x:c r="H60" s="1082">
        <x:v>2504467</x:v>
      </x:c>
      <x:c r="I60" s="1082">
        <x:v>0</x:v>
      </x:c>
      <x:c r="J60" s="231" t="s">
        <x:v>1887</x:v>
      </x:c>
    </x:row>
    <x:row r="61" spans="2:10" ht="25.5">
      <x:c r="B61" s="1101" t="s">
        <x:v>1787</x:v>
      </x:c>
      <x:c r="C61" s="1102"/>
      <x:c r="D61" s="1103">
        <x:v/>
      </x:c>
      <x:c r="E61" s="1075">
        <x:f t="shared" si="0"/>
        <x:v>32624853</x:v>
      </x:c>
      <x:c r="F61" s="1082">
        <x:v>6579938</x:v>
      </x:c>
      <x:c r="G61" s="1082">
        <x:v>0</x:v>
      </x:c>
      <x:c r="H61" s="1082">
        <x:v>26044915</x:v>
      </x:c>
      <x:c r="I61" s="1082">
        <x:v>0</x:v>
      </x:c>
      <x:c r="J61" s="231" t="s">
        <x:v>1885</x:v>
      </x:c>
    </x:row>
    <x:row r="62" spans="2:10" ht="25.5">
      <x:c r="B62" s="1101" t="s">
        <x:v>1788</x:v>
      </x:c>
      <x:c r="C62" s="1102"/>
      <x:c r="D62" s="1103">
        <x:v/>
      </x:c>
      <x:c r="E62" s="1075">
        <x:f t="shared" si="0"/>
        <x:v>-32350496</x:v>
      </x:c>
      <x:c r="F62" s="1082">
        <x:v>-6305581</x:v>
      </x:c>
      <x:c r="G62" s="1082">
        <x:v>0</x:v>
      </x:c>
      <x:c r="H62" s="1082">
        <x:v>-26044915</x:v>
      </x:c>
      <x:c r="I62" s="1082">
        <x:v>0</x:v>
      </x:c>
      <x:c r="J62" s="231" t="s">
        <x:v>1885</x:v>
      </x:c>
    </x:row>
    <x:row r="63" spans="2:10" ht="51">
      <x:c r="B63" s="1101" t="s">
        <x:v>1772</x:v>
      </x:c>
      <x:c r="C63" s="1102"/>
      <x:c r="D63" s="1103">
        <x:v/>
      </x:c>
      <x:c r="E63" s="1075">
        <x:f t="shared" si="0"/>
        <x:v>137919</x:v>
      </x:c>
      <x:c r="F63" s="1082">
        <x:v>19309</x:v>
      </x:c>
      <x:c r="G63" s="1082">
        <x:v>0</x:v>
      </x:c>
      <x:c r="H63" s="1082">
        <x:v>118610</x:v>
      </x:c>
      <x:c r="I63" s="1082">
        <x:v>0</x:v>
      </x:c>
      <x:c r="J63" s="231" t="s">
        <x:v>1888</x:v>
      </x:c>
    </x:row>
    <x:row r="64" spans="2:10">
      <x:c r="B64" s="1101" t="s">
        <x:v>1881</x:v>
      </x:c>
      <x:c r="C64" s="1102"/>
      <x:c r="D64" s="1103">
        <x:v/>
      </x:c>
      <x:c r="E64" s="1075">
        <x:f t="shared" si="0"/>
        <x:v>45532</x:v>
      </x:c>
      <x:c r="F64" s="1082">
        <x:v>45532</x:v>
      </x:c>
      <x:c r="G64" s="1082">
        <x:v>0</x:v>
      </x:c>
      <x:c r="H64" s="1082">
        <x:v>0</x:v>
      </x:c>
      <x:c r="I64" s="1082">
        <x:v>0</x:v>
      </x:c>
      <x:c r="J64" s="231" t="s">
        <x:v>1884</x:v>
      </x:c>
    </x:row>
    <x:row r="65" spans="2:10" ht="27" customHeight="1">
      <x:c r="B65" s="1101" t="s">
        <x:v>1882</x:v>
      </x:c>
      <x:c r="C65" s="1102"/>
      <x:c r="D65" s="1103">
        <x:v/>
      </x:c>
      <x:c r="E65" s="1075">
        <x:f t="shared" si="0"/>
        <x:v>64112199</x:v>
      </x:c>
      <x:c r="F65" s="1082">
        <x:v>6411220</x:v>
      </x:c>
      <x:c r="G65" s="1082">
        <x:v>0</x:v>
      </x:c>
      <x:c r="H65" s="1082">
        <x:v>57700979</x:v>
      </x:c>
      <x:c r="I65" s="1082">
        <x:v>0</x:v>
      </x:c>
      <x:c r="J65" s="231" t="s">
        <x:v>2108</x:v>
      </x:c>
    </x:row>
    <x:row r="66" spans="2:10">
      <x:c r="B66" s="1101" t="s">
        <x:v>1773</x:v>
      </x:c>
      <x:c r="C66" s="1102"/>
      <x:c r="D66" s="1103">
        <x:v/>
      </x:c>
      <x:c r="E66" s="1075">
        <x:f t="shared" si="0"/>
        <x:v>0</x:v>
      </x:c>
      <x:c r="F66" s="1082">
        <x:v>0</x:v>
      </x:c>
      <x:c r="G66" s="1082">
        <x:v>0</x:v>
      </x:c>
      <x:c r="H66" s="1082">
        <x:v>0</x:v>
      </x:c>
      <x:c r="I66" s="1082">
        <x:v>0</x:v>
      </x:c>
      <x:c r="J66" s="231" t="s">
        <x:v>1884</x:v>
      </x:c>
    </x:row>
    <x:row r="67" spans="2:10">
      <x:c r="B67" s="1101" t="s">
        <x:v>1774</x:v>
      </x:c>
      <x:c r="C67" s="1102"/>
      <x:c r="D67" s="1103">
        <x:v/>
      </x:c>
      <x:c r="E67" s="1075">
        <x:f t="shared" si="0"/>
        <x:v>0</x:v>
      </x:c>
      <x:c r="F67" s="1082">
        <x:v>0</x:v>
      </x:c>
      <x:c r="G67" s="1082">
        <x:v>0</x:v>
      </x:c>
      <x:c r="H67" s="1082">
        <x:v>0</x:v>
      </x:c>
      <x:c r="I67" s="1082">
        <x:v>0</x:v>
      </x:c>
      <x:c r="J67" s="231" t="s">
        <x:v>1884</x:v>
      </x:c>
    </x:row>
    <x:row r="68" spans="2:10">
      <x:c r="B68" s="1076" t="s">
        <x:v>854</x:v>
      </x:c>
      <x:c r="C68" s="1077"/>
      <x:c r="D68" s="1078">
        <x:v/>
      </x:c>
      <x:c r="E68" s="1085">
        <x:f>SUM(E36:E67)</x:f>
        <x:v>104225394</x:v>
      </x:c>
      <x:c r="F68" s="1085">
        <x:f t="shared" ref="F68:I68" si="1">SUM(F36:F67)</x:f>
        <x:v>37066217</x:v>
      </x:c>
      <x:c r="G68" s="1085">
        <x:f t="shared" si="1"/>
        <x:v>0</x:v>
      </x:c>
      <x:c r="H68" s="1085">
        <x:f t="shared" si="1"/>
        <x:v>61223918</x:v>
      </x:c>
      <x:c r="I68" s="1085">
        <x:f t="shared" si="1"/>
        <x:v>5935259</x:v>
      </x:c>
      <x:c r="J68" s="236"/>
    </x:row>
    <x:row r="69" spans="2:10">
      <x:c r="B69" s="1079"/>
      <x:c r="C69" s="1078"/>
      <x:c r="D69" s="1078">
        <x:v/>
      </x:c>
      <x:c r="E69" s="1085"/>
      <x:c r="F69" s="1085"/>
      <x:c r="G69" s="1085"/>
      <x:c r="H69" s="1085"/>
      <x:c r="I69" s="1085"/>
      <x:c r="J69" s="236"/>
    </x:row>
    <x:row r="70" spans="2:10">
      <x:c r="B70" s="1080" t="s">
        <x:v>1529</x:v>
      </x:c>
      <x:c r="C70" s="1081"/>
      <x:c r="D70" s="1081">
        <x:v/>
      </x:c>
      <x:c r="E70" s="1084">
        <x:f>SUM(F70:I70)</x:f>
        <x:v>-137919</x:v>
      </x:c>
      <x:c r="F70" s="230">
        <x:f>-F63</x:f>
        <x:v>-19309</x:v>
      </x:c>
      <x:c r="G70" s="230">
        <x:f>-G63</x:f>
        <x:v>0</x:v>
      </x:c>
      <x:c r="H70" s="230">
        <x:f>-H63</x:f>
        <x:v>-118610</x:v>
      </x:c>
      <x:c r="I70" s="230">
        <x:f>-I63</x:f>
        <x:v>0</x:v>
      </x:c>
      <x:c r="J70" s="241"/>
    </x:row>
    <x:row r="71" spans="2:10">
      <x:c r="B71" s="1083" t="s">
        <x:v>1530</x:v>
      </x:c>
      <x:c r="C71" s="1081"/>
      <x:c r="D71" s="1081">
        <x:v/>
      </x:c>
      <x:c r="E71" s="1084">
        <x:f>SUM(F71:I71)</x:f>
        <x:v>0</x:v>
      </x:c>
      <x:c r="F71" s="230">
        <x:v>0</x:v>
      </x:c>
      <x:c r="G71" s="230">
        <x:v>0</x:v>
      </x:c>
      <x:c r="H71" s="230">
        <x:v>0</x:v>
      </x:c>
      <x:c r="I71" s="230">
        <x:v>0</x:v>
      </x:c>
      <x:c r="J71" s="241"/>
    </x:row>
    <x:row r="72" spans="2:10">
      <x:c r="B72" s="1083" t="s">
        <x:v>1531</x:v>
      </x:c>
      <x:c r="C72" s="1081"/>
      <x:c r="D72" s="1081">
        <x:v/>
      </x:c>
      <x:c r="E72" s="1075">
        <x:f>SUM(F72:I72)</x:f>
        <x:v>-64112199</x:v>
      </x:c>
      <x:c r="F72" s="230">
        <x:f>-F65</x:f>
        <x:v>-6411220</x:v>
      </x:c>
      <x:c r="G72" s="230">
        <x:f t="shared" ref="G72:I72" si="2">-G65</x:f>
        <x:v>0</x:v>
      </x:c>
      <x:c r="H72" s="230">
        <x:f t="shared" si="2"/>
        <x:v>-57700979</x:v>
      </x:c>
      <x:c r="I72" s="230">
        <x:f t="shared" si="2"/>
        <x:v>0</x:v>
      </x:c>
      <x:c r="J72" s="241"/>
    </x:row>
    <x:row r="73" spans="2:10">
      <x:c r="B73" s="1083" t="s">
        <x:v>1532</x:v>
      </x:c>
      <x:c r="C73" s="1081"/>
      <x:c r="D73" s="1081">
        <x:v/>
      </x:c>
      <x:c r="E73" s="1075">
        <x:f>SUM(F73:I73)</x:f>
        <x:v>-695274</x:v>
      </x:c>
      <x:c r="F73" s="230">
        <x:f>-F41</x:f>
        <x:v>-97338</x:v>
      </x:c>
      <x:c r="G73" s="230">
        <x:f>-G41</x:f>
        <x:v>0</x:v>
      </x:c>
      <x:c r="H73" s="230">
        <x:f>-H41</x:f>
        <x:v>0</x:v>
      </x:c>
      <x:c r="I73" s="230">
        <x:f>-I41</x:f>
        <x:v>-597936</x:v>
      </x:c>
      <x:c r="J73" s="241"/>
    </x:row>
    <x:row r="74" spans="2:10" ht="5.0999999999999996" customHeight="1">
      <x:c r="B74" s="232"/>
      <x:c r="C74" s="233"/>
      <x:c r="D74" s="234">
        <x:v/>
      </x:c>
      <x:c r="E74" s="235"/>
      <x:c r="F74" s="235"/>
      <x:c r="G74" s="235"/>
      <x:c r="H74" s="235"/>
      <x:c r="I74" s="235"/>
      <x:c r="J74" s="236"/>
    </x:row>
    <x:row r="75" spans="2:10">
      <x:c r="B75" s="237" t="s">
        <x:v>855</x:v>
      </x:c>
      <x:c r="C75" s="234"/>
      <x:c r="D75" s="234">
        <x:v/>
      </x:c>
      <x:c r="E75" s="235">
        <x:f>SUM(E70:E74)+E68</x:f>
        <x:v>39280002</x:v>
      </x:c>
      <x:c r="F75" s="235">
        <x:f>SUM(F70:F74)+F68</x:f>
        <x:v>30538350</x:v>
      </x:c>
      <x:c r="G75" s="235">
        <x:f>SUM(G70:G74)+G68</x:f>
        <x:v>0</x:v>
      </x:c>
      <x:c r="H75" s="235">
        <x:f>SUM(H70:H74)+H68</x:f>
        <x:v>3404329</x:v>
      </x:c>
      <x:c r="I75" s="235">
        <x:f>SUM(I70:I74)+I68</x:f>
        <x:v>5337323</x:v>
      </x:c>
      <x:c r="J75" s="236"/>
    </x:row>
    <x:row r="76" spans="2:10">
      <x:c r="B76" s="237"/>
      <x:c r="C76" s="234"/>
      <x:c r="D76" s="234">
        <x:v/>
      </x:c>
      <x:c r="E76" s="235"/>
      <x:c r="F76" s="235"/>
      <x:c r="G76" s="235"/>
      <x:c r="H76" s="235"/>
      <x:c r="I76" s="235"/>
      <x:c r="J76" s="236"/>
    </x:row>
    <x:row r="77" spans="2:10">
      <x:c r="B77" s="242" t="s">
        <x:v>237</x:v>
      </x:c>
      <x:c r="C77" s="243"/>
      <x:c r="D77" s="244">
        <x:v/>
      </x:c>
      <x:c r="E77" s="245"/>
      <x:c r="F77" s="245"/>
      <x:c r="G77" s="245"/>
      <x:c r="H77" s="245"/>
      <x:c r="I77" s="246">
        <x:f>+'ATT H-3D'!$H$24</x:f>
        <x:v>0.14582932326077899</x:v>
      </x:c>
      <x:c r="J77" s="247"/>
    </x:row>
    <x:row r="78" spans="2:10">
      <x:c r="B78" s="242" t="s">
        <x:v>215</x:v>
      </x:c>
      <x:c r="C78" s="243"/>
      <x:c r="D78" s="244">
        <x:v/>
      </x:c>
      <x:c r="E78" s="245"/>
      <x:c r="F78" s="245"/>
      <x:c r="G78" s="245"/>
      <x:c r="H78" s="246">
        <x:f>'ATT H-3D'!$H$45</x:f>
        <x:v>0.36691024632926028</x:v>
      </x:c>
      <x:c r="I78" s="245"/>
      <x:c r="J78" s="247"/>
    </x:row>
    <x:row r="79" spans="2:10">
      <x:c r="B79" s="242" t="s">
        <x:v>856</x:v>
      </x:c>
      <x:c r="C79" s="243"/>
      <x:c r="D79" s="244">
        <x:v/>
      </x:c>
      <x:c r="E79" s="245"/>
      <x:c r="F79" s="245"/>
      <x:c r="G79" s="246">
        <x:v>1</x:v>
      </x:c>
      <x:c r="H79" s="245"/>
      <x:c r="I79" s="245"/>
      <x:c r="J79" s="247"/>
    </x:row>
    <x:row r="80" spans="2:10">
      <x:c r="B80" s="242" t="s">
        <x:v>857</x:v>
      </x:c>
      <x:c r="C80" s="243"/>
      <x:c r="D80" s="244">
        <x:v/>
      </x:c>
      <x:c r="E80" s="245"/>
      <x:c r="F80" s="246">
        <x:v>0</x:v>
      </x:c>
      <x:c r="G80" s="245"/>
      <x:c r="H80" s="245"/>
      <x:c r="I80" s="245"/>
      <x:c r="J80" s="247"/>
    </x:row>
    <x:row r="81" spans="2:10">
      <x:c r="B81" s="248" t="s">
        <x:v>858</x:v>
      </x:c>
      <x:c r="C81" s="243"/>
      <x:c r="D81" s="244">
        <x:v/>
      </x:c>
      <x:c r="E81" s="245">
        <x:f>F81+G81+H81+I81</x:f>
        <x:v>2027421.3930900351</x:v>
      </x:c>
      <x:c r="F81" s="245">
        <x:f>F80*F75</x:f>
        <x:v>0</x:v>
      </x:c>
      <x:c r="G81" s="245">
        <x:f>G75*G79</x:f>
        <x:v>0</x:v>
      </x:c>
      <x:c r="H81" s="245">
        <x:f>H75*H78</x:f>
        <x:v>1249083.1919758443</x:v>
      </x:c>
      <x:c r="I81" s="245">
        <x:f>I77*I75</x:f>
        <x:v>778338.20111419074</x:v>
      </x:c>
      <x:c r="J81" s="247"/>
    </x:row>
    <x:row r="82" spans="2:10">
      <x:c r="B82" s="249"/>
      <x:c r="E82" s="219"/>
      <x:c r="F82" s="219"/>
      <x:c r="G82" s="219"/>
      <x:c r="H82" s="219"/>
      <x:c r="I82" s="219"/>
      <x:c r="J82" s="250"/>
    </x:row>
    <x:row r="83" spans="2:10">
      <x:c r="B83" s="220"/>
      <x:c r="E83" s="219"/>
      <x:c r="F83" s="219"/>
      <x:c r="G83" s="219"/>
      <x:c r="H83" s="219"/>
      <x:c r="I83" s="219"/>
      <x:c r="J83" s="250"/>
    </x:row>
    <x:row r="84" spans="2:10">
      <x:c r="B84" s="212" t="s">
        <x:v>163</x:v>
      </x:c>
      <x:c r="C84" s="212"/>
      <x:c r="D84" s="212">
        <x:v/>
      </x:c>
      <x:c r="E84" s="212" t="s">
        <x:v>164</x:v>
      </x:c>
      <x:c r="F84" s="212" t="s">
        <x:v>1023</x:v>
      </x:c>
      <x:c r="G84" s="212" t="s">
        <x:v>1155</x:v>
      </x:c>
      <x:c r="H84" s="212" t="s">
        <x:v>1156</x:v>
      </x:c>
      <x:c r="I84" s="212" t="s">
        <x:v>1157</x:v>
      </x:c>
      <x:c r="J84" s="212" t="s">
        <x:v>1158</x:v>
      </x:c>
    </x:row>
    <x:row r="85" spans="2:10">
      <x:c r="B85" s="220"/>
      <x:c r="C85" s="62"/>
      <x:c r="D85" s="62">
        <x:v/>
      </x:c>
      <x:c r="E85" s="212"/>
      <x:c r="F85" s="212" t="s">
        <x:v>1188</x:v>
      </x:c>
      <x:c r="G85" s="212" t="s">
        <x:v>231</x:v>
      </x:c>
      <x:c r="H85" s="212"/>
      <x:c r="I85" s="212"/>
      <x:c r="J85" s="62"/>
    </x:row>
    <x:row r="86" spans="2:10">
      <x:c r="B86" s="228"/>
      <x:c r="C86" s="62"/>
      <x:c r="D86" s="62">
        <x:v/>
      </x:c>
      <x:c r="E86" s="212"/>
      <x:c r="F86" s="212" t="s">
        <x:v>1189</x:v>
      </x:c>
      <x:c r="G86" s="212" t="s">
        <x:v>206</x:v>
      </x:c>
      <x:c r="H86" s="212" t="s">
        <x:v>232</x:v>
      </x:c>
      <x:c r="I86" s="212" t="s">
        <x:v>233</x:v>
      </x:c>
      <x:c r="J86" s="62"/>
    </x:row>
    <x:row r="87" spans="2:10">
      <x:c r="B87" s="220" t="s">
        <x:v>859</x:v>
      </x:c>
      <x:c r="C87" s="62"/>
      <x:c r="D87" s="62">
        <x:v/>
      </x:c>
      <x:c r="E87" s="212" t="s">
        <x:v>42</x:v>
      </x:c>
      <x:c r="F87" s="215" t="s">
        <x:v>1190</x:v>
      </x:c>
      <x:c r="G87" s="212" t="s">
        <x:v>234</x:v>
      </x:c>
      <x:c r="H87" s="212" t="s">
        <x:v>234</x:v>
      </x:c>
      <x:c r="I87" s="212" t="s">
        <x:v>234</x:v>
      </x:c>
      <x:c r="J87" s="212" t="s">
        <x:v>238</x:v>
      </x:c>
    </x:row>
    <x:row r="88" spans="2:10">
      <x:c r="B88" s="342" t="s">
        <x:v>1904</x:v>
      </x:c>
      <x:c r="C88" s="345"/>
      <x:c r="D88" s="1086">
        <x:v/>
      </x:c>
      <x:c r="E88" s="1008">
        <x:f t="shared" ref="E88:E89" si="3">SUM(F88:I88)</x:f>
        <x:v>0</x:v>
      </x:c>
      <x:c r="F88" s="343">
        <x:v>-71302776</x:v>
      </x:c>
      <x:c r="G88" s="343"/>
      <x:c r="H88" s="343">
        <x:v>71302776</x:v>
      </x:c>
      <x:c r="I88" s="343"/>
      <x:c r="J88" s="231" t="s">
        <x:v>1903</x:v>
      </x:c>
    </x:row>
    <x:row r="89" spans="2:10">
      <x:c r="B89" s="229" t="s">
        <x:v>2103</x:v>
      </x:c>
      <x:c r="C89" s="345"/>
      <x:c r="D89" s="348">
        <x:v/>
      </x:c>
      <x:c r="E89" s="1008">
        <x:f t="shared" si="3"/>
        <x:v>0</x:v>
      </x:c>
      <x:c r="F89" s="343">
        <x:v>-46645531</x:v>
      </x:c>
      <x:c r="G89" s="343"/>
      <x:c r="H89" s="343">
        <x:v>46645531</x:v>
      </x:c>
      <x:c r="I89" s="343"/>
      <x:c r="J89" s="231" t="s">
        <x:v>1903</x:v>
      </x:c>
    </x:row>
    <x:row r="90" spans="2:10">
      <x:c r="B90" s="229"/>
      <x:c r="C90" s="345"/>
      <x:c r="D90" s="348">
        <x:v/>
      </x:c>
      <x:c r="E90" s="1008"/>
      <x:c r="F90" s="343"/>
      <x:c r="G90" s="343"/>
      <x:c r="H90" s="343"/>
      <x:c r="I90" s="343"/>
      <x:c r="J90" s="231"/>
    </x:row>
    <x:row r="91" spans="2:10">
      <x:c r="B91" s="342"/>
      <x:c r="C91" s="345"/>
      <x:c r="D91" s="348">
        <x:v/>
      </x:c>
      <x:c r="E91" s="343"/>
      <x:c r="F91" s="343"/>
      <x:c r="G91" s="343"/>
      <x:c r="H91" s="343"/>
      <x:c r="I91" s="343"/>
      <x:c r="J91" s="231"/>
    </x:row>
    <x:row r="92" spans="2:10">
      <x:c r="B92" s="342"/>
      <x:c r="C92" s="345"/>
      <x:c r="D92" s="348">
        <x:v/>
      </x:c>
      <x:c r="E92" s="343"/>
      <x:c r="F92" s="343"/>
      <x:c r="G92" s="343"/>
      <x:c r="H92" s="343"/>
      <x:c r="I92" s="343"/>
      <x:c r="J92" s="231"/>
    </x:row>
    <x:row r="93" spans="2:10">
      <x:c r="B93" s="342"/>
      <x:c r="C93" s="345"/>
      <x:c r="D93" s="1086">
        <x:v/>
      </x:c>
      <x:c r="E93" s="1087"/>
      <x:c r="F93" s="1087"/>
      <x:c r="G93" s="1087"/>
      <x:c r="H93" s="1087"/>
      <x:c r="I93" s="1087"/>
      <x:c r="J93" s="255"/>
    </x:row>
    <x:row r="94" spans="2:10">
      <x:c r="B94" s="1088" t="s">
        <x:v>860</x:v>
      </x:c>
      <x:c r="C94" s="1089"/>
      <x:c r="D94" s="1089">
        <x:v/>
      </x:c>
      <x:c r="E94" s="1090">
        <x:f>SUM(E88:E93)</x:f>
        <x:v>0</x:v>
      </x:c>
      <x:c r="F94" s="1090">
        <x:f>SUM(F88:F93)</x:f>
        <x:v>-117948307</x:v>
      </x:c>
      <x:c r="G94" s="1090">
        <x:f>SUM(G88:G93)</x:f>
        <x:v>0</x:v>
      </x:c>
      <x:c r="H94" s="1090">
        <x:f>SUM(H88:H93)</x:f>
        <x:v>117948307</x:v>
      </x:c>
      <x:c r="I94" s="1090">
        <x:f>SUM(I88:I93)</x:f>
        <x:v>0</x:v>
      </x:c>
      <x:c r="J94" s="236"/>
    </x:row>
    <x:row r="95" spans="2:10">
      <x:c r="B95" s="1088"/>
      <x:c r="C95" s="1089"/>
      <x:c r="D95" s="1089">
        <x:v/>
      </x:c>
      <x:c r="E95" s="1090"/>
      <x:c r="F95" s="1090"/>
      <x:c r="G95" s="1090"/>
      <x:c r="H95" s="1090"/>
      <x:c r="I95" s="1090"/>
      <x:c r="J95" s="236"/>
    </x:row>
    <x:row r="96" spans="2:10">
      <x:c r="B96" s="1091" t="s">
        <x:v>1529</x:v>
      </x:c>
      <x:c r="C96" s="1092"/>
      <x:c r="D96" s="346">
        <x:v/>
      </x:c>
      <x:c r="E96" s="1008"/>
      <x:c r="F96" s="343"/>
      <x:c r="G96" s="343"/>
      <x:c r="H96" s="343"/>
      <x:c r="I96" s="343"/>
      <x:c r="J96" s="241"/>
    </x:row>
    <x:row r="97" spans="2:10">
      <x:c r="B97" s="1042" t="s">
        <x:v>1530</x:v>
      </x:c>
      <x:c r="C97" s="347"/>
      <x:c r="D97" s="346">
        <x:v/>
      </x:c>
      <x:c r="E97" s="1008"/>
      <x:c r="F97" s="343"/>
      <x:c r="G97" s="343"/>
      <x:c r="H97" s="343"/>
      <x:c r="I97" s="343"/>
      <x:c r="J97" s="241"/>
    </x:row>
    <x:row r="98" spans="2:10">
      <x:c r="B98" s="1042" t="s">
        <x:v>1531</x:v>
      </x:c>
      <x:c r="C98" s="347"/>
      <x:c r="D98" s="346">
        <x:v/>
      </x:c>
      <x:c r="E98" s="1008"/>
      <x:c r="F98" s="343"/>
      <x:c r="G98" s="343"/>
      <x:c r="H98" s="343"/>
      <x:c r="I98" s="343"/>
      <x:c r="J98" s="241"/>
    </x:row>
    <x:row r="99" spans="2:10">
      <x:c r="B99" s="1042" t="s">
        <x:v>1532</x:v>
      </x:c>
      <x:c r="C99" s="347"/>
      <x:c r="D99" s="346">
        <x:v/>
      </x:c>
      <x:c r="E99" s="1008"/>
      <x:c r="F99" s="343"/>
      <x:c r="G99" s="343"/>
      <x:c r="H99" s="343"/>
      <x:c r="I99" s="343"/>
      <x:c r="J99" s="241"/>
    </x:row>
    <x:row r="100" spans="2:10" ht="5.0999999999999996" customHeight="1">
      <x:c r="B100" s="232"/>
      <x:c r="C100" s="233"/>
      <x:c r="D100" s="234">
        <x:v/>
      </x:c>
      <x:c r="E100" s="235"/>
      <x:c r="F100" s="235"/>
      <x:c r="G100" s="235"/>
      <x:c r="H100" s="235"/>
      <x:c r="I100" s="235"/>
      <x:c r="J100" s="236"/>
    </x:row>
    <x:row r="101" spans="2:10">
      <x:c r="B101" s="259" t="s">
        <x:v>861</x:v>
      </x:c>
      <x:c r="C101" s="260"/>
      <x:c r="D101" s="234">
        <x:v/>
      </x:c>
      <x:c r="E101" s="235">
        <x:f>SUM(E96:E100)+E94</x:f>
        <x:v>0</x:v>
      </x:c>
      <x:c r="F101" s="235">
        <x:f>SUM(F96:F100)+F94</x:f>
        <x:v>-117948307</x:v>
      </x:c>
      <x:c r="G101" s="235">
        <x:f>SUM(G96:G100)+G94</x:f>
        <x:v>0</x:v>
      </x:c>
      <x:c r="H101" s="235">
        <x:f>SUM(H96:H100)+H94</x:f>
        <x:v>117948307</x:v>
      </x:c>
      <x:c r="I101" s="235">
        <x:f>SUM(I96:I100)+I94</x:f>
        <x:v>0</x:v>
      </x:c>
      <x:c r="J101" s="236"/>
    </x:row>
    <x:row r="102" spans="2:10">
      <x:c r="B102" s="261"/>
      <x:c r="C102" s="262"/>
      <x:c r="D102" s="262">
        <x:v/>
      </x:c>
      <x:c r="E102" s="245"/>
      <x:c r="F102" s="235"/>
      <x:c r="G102" s="235"/>
      <x:c r="H102" s="235"/>
      <x:c r="I102" s="235"/>
      <x:c r="J102" s="247"/>
    </x:row>
    <x:row r="103" spans="2:10">
      <x:c r="B103" s="263" t="s">
        <x:v>237</x:v>
      </x:c>
      <x:c r="C103" s="264"/>
      <x:c r="D103" s="244">
        <x:v/>
      </x:c>
      <x:c r="E103" s="245"/>
      <x:c r="F103" s="245"/>
      <x:c r="G103" s="245"/>
      <x:c r="H103" s="245"/>
      <x:c r="I103" s="246">
        <x:f>+'ATT H-3D'!$H$24</x:f>
        <x:v>0.14582932326077899</x:v>
      </x:c>
      <x:c r="J103" s="247"/>
    </x:row>
    <x:row r="104" spans="2:10">
      <x:c r="B104" s="242" t="s">
        <x:v>215</x:v>
      </x:c>
      <x:c r="C104" s="243"/>
      <x:c r="D104" s="244">
        <x:v/>
      </x:c>
      <x:c r="E104" s="245"/>
      <x:c r="F104" s="245"/>
      <x:c r="G104" s="245"/>
      <x:c r="H104" s="246">
        <x:f>+'ATT H-3D'!$H$45</x:f>
        <x:v>0.36691024632926028</x:v>
      </x:c>
      <x:c r="I104" s="245"/>
      <x:c r="J104" s="247"/>
    </x:row>
    <x:row r="105" spans="2:10">
      <x:c r="B105" s="242" t="s">
        <x:v>856</x:v>
      </x:c>
      <x:c r="C105" s="243"/>
      <x:c r="D105" s="244">
        <x:v/>
      </x:c>
      <x:c r="E105" s="245"/>
      <x:c r="F105" s="245"/>
      <x:c r="G105" s="246">
        <x:v>1</x:v>
      </x:c>
      <x:c r="H105" s="245"/>
      <x:c r="I105" s="245"/>
      <x:c r="J105" s="247"/>
    </x:row>
    <x:row r="106" spans="2:10">
      <x:c r="B106" s="242" t="s">
        <x:v>857</x:v>
      </x:c>
      <x:c r="C106" s="243"/>
      <x:c r="D106" s="244">
        <x:v/>
      </x:c>
      <x:c r="E106" s="245"/>
      <x:c r="F106" s="246">
        <x:v>0</x:v>
      </x:c>
      <x:c r="G106" s="245"/>
      <x:c r="H106" s="245"/>
      <x:c r="I106" s="245"/>
      <x:c r="J106" s="247"/>
    </x:row>
    <x:row r="107" spans="2:10">
      <x:c r="B107" s="248" t="s">
        <x:v>858</x:v>
      </x:c>
      <x:c r="C107" s="243"/>
      <x:c r="D107" s="244">
        <x:v/>
      </x:c>
      <x:c r="E107" s="245">
        <x:f>F107+G107+H107+I107</x:f>
        <x:v>43276442.375489213</x:v>
      </x:c>
      <x:c r="F107" s="245">
        <x:f>F106*F101</x:f>
        <x:v>0</x:v>
      </x:c>
      <x:c r="G107" s="245">
        <x:f>G101*G105</x:f>
        <x:v>0</x:v>
      </x:c>
      <x:c r="H107" s="245">
        <x:f>H101*H104</x:f>
        <x:v>43276442.375489213</x:v>
      </x:c>
      <x:c r="I107" s="245">
        <x:f>I103*I101</x:f>
        <x:v>0</x:v>
      </x:c>
      <x:c r="J107" s="247"/>
    </x:row>
    <x:row r="108" spans="2:10">
      <x:c r="B108" s="249"/>
      <x:c r="E108" s="219"/>
      <x:c r="F108" s="219"/>
      <x:c r="G108" s="219"/>
      <x:c r="H108" s="219"/>
      <x:c r="I108" s="219"/>
      <x:c r="J108" s="250"/>
    </x:row>
    <x:row r="109" spans="2:10">
      <x:c r="B109" s="249"/>
      <x:c r="E109" s="219"/>
      <x:c r="F109" s="219"/>
      <x:c r="G109" s="219"/>
      <x:c r="H109" s="219"/>
      <x:c r="I109" s="219"/>
      <x:c r="J109" s="250"/>
    </x:row>
    <x:row r="110" spans="2:10">
      <x:c r="B110" s="212" t="s">
        <x:v>163</x:v>
      </x:c>
      <x:c r="C110" s="212"/>
      <x:c r="D110" s="212">
        <x:v/>
      </x:c>
      <x:c r="E110" s="212" t="s">
        <x:v>164</x:v>
      </x:c>
      <x:c r="F110" s="212" t="s">
        <x:v>1023</x:v>
      </x:c>
      <x:c r="G110" s="212" t="s">
        <x:v>1155</x:v>
      </x:c>
      <x:c r="H110" s="212" t="s">
        <x:v>1156</x:v>
      </x:c>
      <x:c r="I110" s="212" t="s">
        <x:v>1157</x:v>
      </x:c>
      <x:c r="J110" s="212" t="s">
        <x:v>1158</x:v>
      </x:c>
    </x:row>
    <x:row r="111" spans="2:10">
      <x:c r="B111" s="220"/>
      <x:c r="C111" s="62"/>
      <x:c r="D111" s="62">
        <x:v/>
      </x:c>
      <x:c r="E111" s="212"/>
      <x:c r="F111" s="212" t="s">
        <x:v>1188</x:v>
      </x:c>
      <x:c r="G111" s="212" t="s">
        <x:v>231</x:v>
      </x:c>
      <x:c r="H111" s="212"/>
      <x:c r="I111" s="212"/>
      <x:c r="J111" s="62"/>
    </x:row>
    <x:row r="112" spans="2:10">
      <x:c r="B112" s="265"/>
      <x:c r="C112" s="62"/>
      <x:c r="D112" s="62">
        <x:v/>
      </x:c>
      <x:c r="E112" s="212"/>
      <x:c r="F112" s="212" t="s">
        <x:v>1189</x:v>
      </x:c>
      <x:c r="G112" s="212" t="s">
        <x:v>206</x:v>
      </x:c>
      <x:c r="H112" s="212" t="s">
        <x:v>232</x:v>
      </x:c>
      <x:c r="I112" s="212" t="s">
        <x:v>233</x:v>
      </x:c>
      <x:c r="J112" s="62"/>
    </x:row>
    <x:row r="113" spans="2:10">
      <x:c r="B113" s="220" t="s">
        <x:v>1194</x:v>
      </x:c>
      <x:c r="E113" s="212" t="s">
        <x:v>42</x:v>
      </x:c>
      <x:c r="F113" s="215" t="s">
        <x:v>1190</x:v>
      </x:c>
      <x:c r="G113" s="212" t="s">
        <x:v>234</x:v>
      </x:c>
      <x:c r="H113" s="212" t="s">
        <x:v>234</x:v>
      </x:c>
      <x:c r="I113" s="212" t="s">
        <x:v>234</x:v>
      </x:c>
      <x:c r="J113" s="212" t="s">
        <x:v>238</x:v>
      </x:c>
    </x:row>
    <x:row r="114" spans="2:10">
      <x:c r="B114" s="244" t="s">
        <x:v>853</x:v>
      </x:c>
      <x:c r="C114" s="244"/>
      <x:c r="D114" s="244">
        <x:v/>
      </x:c>
      <x:c r="E114" s="235">
        <x:f>SUM(F114:I114)</x:f>
        <x:v>104225394</x:v>
      </x:c>
      <x:c r="F114" s="245">
        <x:f>F68</x:f>
        <x:v>37066217</x:v>
      </x:c>
      <x:c r="G114" s="245">
        <x:f>G68</x:f>
        <x:v>0</x:v>
      </x:c>
      <x:c r="H114" s="245">
        <x:f>H68</x:f>
        <x:v>61223918</x:v>
      </x:c>
      <x:c r="I114" s="245">
        <x:f>I68</x:f>
        <x:v>5935259</x:v>
      </x:c>
      <x:c r="J114" s="247"/>
    </x:row>
    <x:row r="115" spans="2:10">
      <x:c r="B115" s="244" t="s">
        <x:v>859</x:v>
      </x:c>
      <x:c r="C115" s="244"/>
      <x:c r="D115" s="244">
        <x:v/>
      </x:c>
      <x:c r="E115" s="235">
        <x:f>SUM(F115:I115)</x:f>
        <x:v>0</x:v>
      </x:c>
      <x:c r="F115" s="245">
        <x:f>F94</x:f>
        <x:v>-117948307</x:v>
      </x:c>
      <x:c r="G115" s="245">
        <x:f>G94</x:f>
        <x:v>0</x:v>
      </x:c>
      <x:c r="H115" s="245">
        <x:f>H94</x:f>
        <x:v>117948307</x:v>
      </x:c>
      <x:c r="I115" s="245">
        <x:f>I94</x:f>
        <x:v>0</x:v>
      </x:c>
      <x:c r="J115" s="247"/>
    </x:row>
    <x:row r="116" spans="2:10">
      <x:c r="B116" s="266" t="s">
        <x:v>862</x:v>
      </x:c>
      <x:c r="C116" s="244"/>
      <x:c r="D116" s="244">
        <x:v/>
      </x:c>
      <x:c r="E116" s="245">
        <x:f>E114+E115</x:f>
        <x:v>104225394</x:v>
      </x:c>
      <x:c r="F116" s="245">
        <x:f>F114+F115</x:f>
        <x:v>-80882090</x:v>
      </x:c>
      <x:c r="G116" s="245">
        <x:f>G114+G115</x:f>
        <x:v>0</x:v>
      </x:c>
      <x:c r="H116" s="245">
        <x:f>H114+H115</x:f>
        <x:v>179172225</x:v>
      </x:c>
      <x:c r="I116" s="245">
        <x:f>I114+I115</x:f>
        <x:v>5935259</x:v>
      </x:c>
      <x:c r="J116" s="247"/>
    </x:row>
    <x:row r="117" spans="2:10">
      <x:c r="B117" s="249"/>
      <x:c r="E117" s="219"/>
      <x:c r="F117" s="219"/>
      <x:c r="G117" s="219"/>
      <x:c r="H117" s="219"/>
      <x:c r="I117" s="219"/>
      <x:c r="J117" s="250"/>
    </x:row>
    <x:row r="118" spans="2:10">
      <x:c r="B118" s="249"/>
      <x:c r="E118" s="219"/>
      <x:c r="F118" s="219"/>
      <x:c r="G118" s="219"/>
      <x:c r="H118" s="219"/>
      <x:c r="I118" s="219"/>
      <x:c r="J118" s="250"/>
    </x:row>
    <x:row r="119" spans="2:10" s="62" customFormat="1" ht="12.75" customHeight="1">
      <x:c r="B119" s="267" t="s">
        <x:v>239</x:v>
      </x:c>
      <x:c r="C119" s="267"/>
      <x:c r="E119" s="268"/>
      <x:c r="G119" s="268"/>
      <x:c r="H119" s="269"/>
      <x:c r="I119" s="270"/>
      <x:c r="J119" s="271"/>
    </x:row>
    <x:row r="120" spans="2:10" s="62" customFormat="1" ht="15.75" customHeight="1">
      <x:c r="B120" s="1603" t="s">
        <x:v>2162</x:v>
      </x:c>
      <x:c r="C120" s="1603"/>
      <x:c r="D120" s="1603">
        <x:v/>
      </x:c>
      <x:c r="E120" s="1603"/>
      <x:c r="F120" s="1603"/>
      <x:c r="G120" s="1603"/>
      <x:c r="H120" s="1603"/>
      <x:c r="I120" s="1603"/>
      <x:c r="J120" s="272"/>
    </x:row>
    <x:row r="121" spans="2:10" s="62" customFormat="1">
      <x:c r="B121" s="273" t="s">
        <x:v>2163</x:v>
      </x:c>
      <x:c r="C121" s="273"/>
      <x:c r="H121" s="270"/>
      <x:c r="I121" s="270"/>
      <x:c r="J121" s="271"/>
    </x:row>
    <x:row r="122" spans="2:10" s="62" customFormat="1">
      <x:c r="B122" s="273" t="s">
        <x:v>2164</x:v>
      </x:c>
      <x:c r="C122" s="273"/>
      <x:c r="H122" s="270"/>
      <x:c r="I122" s="270"/>
      <x:c r="J122" s="272"/>
    </x:row>
    <x:row r="123" spans="2:10" s="62" customFormat="1">
      <x:c r="B123" s="273" t="s">
        <x:v>2165</x:v>
      </x:c>
      <x:c r="C123" s="273"/>
      <x:c r="H123" s="270"/>
      <x:c r="I123" s="270"/>
      <x:c r="J123" s="271"/>
    </x:row>
    <x:row r="124" spans="2:10" s="62" customFormat="1" ht="15.75" customHeight="1">
      <x:c r="B124" s="1603" t="s">
        <x:v>863</x:v>
      </x:c>
      <x:c r="C124" s="1603"/>
      <x:c r="D124" s="1603">
        <x:v/>
      </x:c>
      <x:c r="E124" s="1603"/>
      <x:c r="F124" s="1603"/>
      <x:c r="G124" s="1603"/>
      <x:c r="H124" s="1603"/>
      <x:c r="I124" s="1603"/>
    </x:row>
    <x:row r="125" spans="2:10" s="62" customFormat="1">
      <x:c r="B125" s="273" t="s">
        <x:v>2166</x:v>
      </x:c>
      <x:c r="C125" s="273"/>
      <x:c r="H125" s="270"/>
      <x:c r="I125" s="270"/>
      <x:c r="J125" s="271"/>
    </x:row>
    <x:row r="126" spans="2:10">
      <x:c r="C126" s="249"/>
      <x:c r="E126" s="221"/>
      <x:c r="F126" s="221"/>
      <x:c r="H126" s="274"/>
      <x:c r="I126" s="275"/>
      <x:c r="J126" s="250"/>
    </x:row>
    <x:row r="127" spans="2:10">
      <x:c r="B127" s="249"/>
      <x:c r="C127" s="276"/>
      <x:c r="E127" s="226"/>
    </x:row>
    <x:row r="128" spans="2:10">
      <x:c r="B128" s="212" t="s">
        <x:v>163</x:v>
      </x:c>
      <x:c r="C128" s="212"/>
      <x:c r="D128" s="212">
        <x:v/>
      </x:c>
      <x:c r="E128" s="212" t="s">
        <x:v>164</x:v>
      </x:c>
      <x:c r="F128" s="212" t="s">
        <x:v>1023</x:v>
      </x:c>
      <x:c r="G128" s="212" t="s">
        <x:v>1155</x:v>
      </x:c>
      <x:c r="H128" s="212" t="s">
        <x:v>1156</x:v>
      </x:c>
      <x:c r="I128" s="212" t="s">
        <x:v>1157</x:v>
      </x:c>
      <x:c r="J128" s="212" t="s">
        <x:v>1158</x:v>
      </x:c>
    </x:row>
    <x:row r="129" spans="2:10">
      <x:c r="B129" s="220"/>
      <x:c r="C129" s="62"/>
      <x:c r="D129" s="62">
        <x:v/>
      </x:c>
      <x:c r="E129" s="212"/>
      <x:c r="F129" s="212" t="s">
        <x:v>1188</x:v>
      </x:c>
      <x:c r="G129" s="212" t="s">
        <x:v>231</x:v>
      </x:c>
      <x:c r="H129" s="212"/>
      <x:c r="I129" s="212"/>
      <x:c r="J129" s="62"/>
    </x:row>
    <x:row r="130" spans="2:10">
      <x:c r="B130" s="220"/>
      <x:c r="C130" s="228"/>
      <x:c r="D130" s="62">
        <x:v/>
      </x:c>
      <x:c r="E130" s="212"/>
      <x:c r="F130" s="212" t="s">
        <x:v>1189</x:v>
      </x:c>
      <x:c r="G130" s="212" t="s">
        <x:v>206</x:v>
      </x:c>
      <x:c r="H130" s="212" t="s">
        <x:v>232</x:v>
      </x:c>
      <x:c r="I130" s="212" t="s">
        <x:v>233</x:v>
      </x:c>
      <x:c r="J130" s="62"/>
    </x:row>
    <x:row r="131" spans="2:10">
      <x:c r="B131" s="220" t="s">
        <x:v>864</x:v>
      </x:c>
      <x:c r="C131" s="62"/>
      <x:c r="D131" s="62">
        <x:v/>
      </x:c>
      <x:c r="E131" s="212" t="s">
        <x:v>42</x:v>
      </x:c>
      <x:c r="F131" s="215" t="s">
        <x:v>1190</x:v>
      </x:c>
      <x:c r="G131" s="212" t="s">
        <x:v>234</x:v>
      </x:c>
      <x:c r="H131" s="212" t="s">
        <x:v>234</x:v>
      </x:c>
      <x:c r="I131" s="212" t="s">
        <x:v>234</x:v>
      </x:c>
      <x:c r="J131" s="212" t="s">
        <x:v>238</x:v>
      </x:c>
    </x:row>
    <x:row r="132" spans="2:10">
      <x:c r="B132" s="1098" t="s">
        <x:v>1889</x:v>
      </x:c>
      <x:c r="C132" s="1099"/>
      <x:c r="D132" s="1100">
        <x:v/>
      </x:c>
      <x:c r="E132" s="240">
        <x:f t="shared" ref="E132:E138" si="4">SUM(F132:I132)</x:f>
        <x:v>-662152050</x:v>
      </x:c>
      <x:c r="F132" s="230">
        <x:v>-65637599</x:v>
      </x:c>
      <x:c r="G132" s="230">
        <x:v>0</x:v>
      </x:c>
      <x:c r="H132" s="230">
        <x:v>-596514451</x:v>
      </x:c>
      <x:c r="I132" s="230">
        <x:v>0</x:v>
      </x:c>
      <x:c r="J132" s="355" t="s">
        <x:v>1891</x:v>
      </x:c>
    </x:row>
    <x:row r="133" spans="2:10">
      <x:c r="B133" s="1098" t="s">
        <x:v>1890</x:v>
      </x:c>
      <x:c r="C133" s="1099"/>
      <x:c r="D133" s="1100">
        <x:v/>
      </x:c>
      <x:c r="E133" s="240">
        <x:f t="shared" si="4"/>
        <x:v>31791801</x:v>
      </x:c>
      <x:c r="F133" s="230">
        <x:v>31791801</x:v>
      </x:c>
      <x:c r="G133" s="230">
        <x:v>0</x:v>
      </x:c>
      <x:c r="H133" s="230">
        <x:v>0</x:v>
      </x:c>
      <x:c r="I133" s="230">
        <x:v>0</x:v>
      </x:c>
      <x:c r="J133" s="355" t="s">
        <x:v>1892</x:v>
      </x:c>
    </x:row>
    <x:row r="134" spans="2:10" ht="38.25">
      <x:c r="B134" s="1098" t="s">
        <x:v>1775</x:v>
      </x:c>
      <x:c r="C134" s="1099"/>
      <x:c r="D134" s="1100">
        <x:v/>
      </x:c>
      <x:c r="E134" s="240">
        <x:f t="shared" si="4"/>
        <x:v>-20490979</x:v>
      </x:c>
      <x:c r="F134" s="230">
        <x:v>-11604863</x:v>
      </x:c>
      <x:c r="G134" s="230">
        <x:v>-8886116</x:v>
      </x:c>
      <x:c r="H134" s="230">
        <x:v>0</x:v>
      </x:c>
      <x:c r="I134" s="230">
        <x:v>0</x:v>
      </x:c>
      <x:c r="J134" s="411" t="s">
        <x:v>1893</x:v>
      </x:c>
    </x:row>
    <x:row r="135" spans="2:10" ht="25.5">
      <x:c r="B135" s="1098" t="s">
        <x:v>2109</x:v>
      </x:c>
      <x:c r="C135" s="1099"/>
      <x:c r="D135" s="1100">
        <x:v/>
      </x:c>
      <x:c r="E135" s="240">
        <x:f t="shared" si="4"/>
        <x:v>-7828946</x:v>
      </x:c>
      <x:c r="F135" s="230">
        <x:v>-782895</x:v>
      </x:c>
      <x:c r="G135" s="230">
        <x:v>0</x:v>
      </x:c>
      <x:c r="H135" s="230">
        <x:v>-7046051</x:v>
      </x:c>
      <x:c r="I135" s="230">
        <x:v>0</x:v>
      </x:c>
      <x:c r="J135" s="411" t="s">
        <x:v>2120</x:v>
      </x:c>
    </x:row>
    <x:row r="136" spans="2:10" ht="25.5">
      <x:c r="B136" s="1098" t="s">
        <x:v>2110</x:v>
      </x:c>
      <x:c r="C136" s="1099"/>
      <x:c r="D136" s="1100">
        <x:v/>
      </x:c>
      <x:c r="E136" s="240">
        <x:f t="shared" si="4"/>
        <x:v>7828946</x:v>
      </x:c>
      <x:c r="F136" s="230">
        <x:v>782895</x:v>
      </x:c>
      <x:c r="G136" s="230">
        <x:v>0</x:v>
      </x:c>
      <x:c r="H136" s="230">
        <x:v>7046051</x:v>
      </x:c>
      <x:c r="I136" s="230">
        <x:v>0</x:v>
      </x:c>
      <x:c r="J136" s="411" t="s">
        <x:v>1894</x:v>
      </x:c>
    </x:row>
    <x:row r="137" spans="2:10">
      <x:c r="B137" s="1098" t="s">
        <x:v>1776</x:v>
      </x:c>
      <x:c r="C137" s="1099"/>
      <x:c r="D137" s="1100">
        <x:v/>
      </x:c>
      <x:c r="E137" s="240">
        <x:f t="shared" si="4"/>
        <x:v>0</x:v>
      </x:c>
      <x:c r="F137" s="230">
        <x:v>0</x:v>
      </x:c>
      <x:c r="G137" s="230">
        <x:v>0</x:v>
      </x:c>
      <x:c r="H137" s="230">
        <x:v>0</x:v>
      </x:c>
      <x:c r="I137" s="230">
        <x:v>0</x:v>
      </x:c>
      <x:c r="J137" s="411" t="s">
        <x:v>2111</x:v>
      </x:c>
    </x:row>
    <x:row r="138" spans="2:10" ht="25.5">
      <x:c r="B138" s="1098" t="s">
        <x:v>1777</x:v>
      </x:c>
      <x:c r="C138" s="1099"/>
      <x:c r="D138" s="1100">
        <x:v/>
      </x:c>
      <x:c r="E138" s="240">
        <x:f t="shared" si="4"/>
        <x:v>-8201409</x:v>
      </x:c>
      <x:c r="F138" s="230">
        <x:v>-820141</x:v>
      </x:c>
      <x:c r="G138" s="230">
        <x:v>0</x:v>
      </x:c>
      <x:c r="H138" s="230">
        <x:v>-7381268</x:v>
      </x:c>
      <x:c r="I138" s="230">
        <x:v>0</x:v>
      </x:c>
      <x:c r="J138" s="355" t="s">
        <x:v>1895</x:v>
      </x:c>
    </x:row>
    <x:row r="139" spans="2:10">
      <x:c r="B139" s="237" t="s">
        <x:v>865</x:v>
      </x:c>
      <x:c r="C139" s="234"/>
      <x:c r="D139" s="234">
        <x:v/>
      </x:c>
      <x:c r="E139" s="235">
        <x:f>SUM(E132:E138)</x:f>
        <x:v>-659052637</x:v>
      </x:c>
      <x:c r="F139" s="235">
        <x:f>SUM(F132:F138)</x:f>
        <x:v>-46270802</x:v>
      </x:c>
      <x:c r="G139" s="235">
        <x:f>SUM(G132:G138)</x:f>
        <x:v>-8886116</x:v>
      </x:c>
      <x:c r="H139" s="235">
        <x:f>SUM(H132:H138)</x:f>
        <x:v>-603895719</x:v>
      </x:c>
      <x:c r="I139" s="235">
        <x:f>SUM(I132:I138)</x:f>
        <x:v>0</x:v>
      </x:c>
      <x:c r="J139" s="236"/>
    </x:row>
    <x:row r="140" spans="2:10">
      <x:c r="B140" s="237"/>
      <x:c r="C140" s="234"/>
      <x:c r="D140" s="234">
        <x:v/>
      </x:c>
      <x:c r="E140" s="235"/>
      <x:c r="F140" s="235"/>
      <x:c r="G140" s="235"/>
      <x:c r="H140" s="235"/>
      <x:c r="I140" s="235"/>
      <x:c r="J140" s="236"/>
    </x:row>
    <x:row r="141" spans="2:10">
      <x:c r="B141" s="256" t="s">
        <x:v>1529</x:v>
      </x:c>
      <x:c r="C141" s="257"/>
      <x:c r="D141" s="258">
        <x:v/>
      </x:c>
      <x:c r="E141" s="240">
        <x:f>SUM(F141:I141)</x:f>
        <x:v>8201409</x:v>
      </x:c>
      <x:c r="F141" s="230">
        <x:f>-F137-F138</x:f>
        <x:v>820141</x:v>
      </x:c>
      <x:c r="G141" s="230">
        <x:f t="shared" ref="G141:I141" si="5">-G137-G138</x:f>
        <x:v>0</x:v>
      </x:c>
      <x:c r="H141" s="230">
        <x:f>-H138</x:f>
        <x:v>7381268</x:v>
      </x:c>
      <x:c r="I141" s="230">
        <x:f t="shared" si="5"/>
        <x:v>0</x:v>
      </x:c>
      <x:c r="J141" s="241"/>
    </x:row>
    <x:row r="142" spans="2:10">
      <x:c r="B142" s="238" t="s">
        <x:v>1530</x:v>
      </x:c>
      <x:c r="C142" s="257"/>
      <x:c r="D142" s="258">
        <x:v/>
      </x:c>
      <x:c r="E142" s="240">
        <x:f>SUM(F142:I142)</x:f>
        <x:v>20490979</x:v>
      </x:c>
      <x:c r="F142" s="230">
        <x:f>-F134</x:f>
        <x:v>11604863</x:v>
      </x:c>
      <x:c r="G142" s="230">
        <x:f t="shared" ref="G142:I142" si="6">-G134</x:f>
        <x:v>8886116</x:v>
      </x:c>
      <x:c r="H142" s="230">
        <x:f t="shared" si="6"/>
        <x:v>0</x:v>
      </x:c>
      <x:c r="I142" s="230">
        <x:f t="shared" si="6"/>
        <x:v>0</x:v>
      </x:c>
      <x:c r="J142" s="241"/>
    </x:row>
    <x:row r="143" spans="2:10">
      <x:c r="B143" s="238" t="s">
        <x:v>1531</x:v>
      </x:c>
      <x:c r="C143" s="257"/>
      <x:c r="D143" s="258">
        <x:v/>
      </x:c>
      <x:c r="E143" s="240">
        <x:f>SUM(F143:I143)</x:f>
        <x:v>0</x:v>
      </x:c>
      <x:c r="F143" s="230">
        <x:v>0</x:v>
      </x:c>
      <x:c r="G143" s="230">
        <x:v>0</x:v>
      </x:c>
      <x:c r="H143" s="230">
        <x:v>0</x:v>
      </x:c>
      <x:c r="I143" s="230">
        <x:v>0</x:v>
      </x:c>
      <x:c r="J143" s="241"/>
    </x:row>
    <x:row r="144" spans="2:10">
      <x:c r="B144" s="238" t="s">
        <x:v>1532</x:v>
      </x:c>
      <x:c r="C144" s="239"/>
      <x:c r="D144" s="258">
        <x:v/>
      </x:c>
      <x:c r="E144" s="240">
        <x:f>SUM(F144:I144)</x:f>
        <x:v>0</x:v>
      </x:c>
      <x:c r="F144" s="230">
        <x:v>0</x:v>
      </x:c>
      <x:c r="G144" s="230">
        <x:v>0</x:v>
      </x:c>
      <x:c r="H144" s="230">
        <x:v>0</x:v>
      </x:c>
      <x:c r="I144" s="230">
        <x:v>0</x:v>
      </x:c>
      <x:c r="J144" s="241"/>
    </x:row>
    <x:row r="145" spans="2:10" ht="5.0999999999999996" customHeight="1">
      <x:c r="B145" s="232"/>
      <x:c r="C145" s="233"/>
      <x:c r="D145" s="234">
        <x:v/>
      </x:c>
      <x:c r="E145" s="235"/>
      <x:c r="F145" s="235"/>
      <x:c r="G145" s="235"/>
      <x:c r="H145" s="235"/>
      <x:c r="I145" s="235"/>
      <x:c r="J145" s="236"/>
    </x:row>
    <x:row r="146" spans="2:10">
      <x:c r="B146" s="259" t="s">
        <x:v>866</x:v>
      </x:c>
      <x:c r="C146" s="260"/>
      <x:c r="D146" s="234">
        <x:v/>
      </x:c>
      <x:c r="E146" s="235">
        <x:f>SUM(E141:E144)+E139</x:f>
        <x:v>-630360249</x:v>
      </x:c>
      <x:c r="F146" s="235">
        <x:f>SUM(F141:F144)+F139</x:f>
        <x:v>-33845798</x:v>
      </x:c>
      <x:c r="G146" s="235">
        <x:f>SUM(G141:G144)+G139</x:f>
        <x:v>0</x:v>
      </x:c>
      <x:c r="H146" s="235">
        <x:f>SUM(H141:H144)+H139</x:f>
        <x:v>-596514451</x:v>
      </x:c>
      <x:c r="I146" s="235">
        <x:f>SUM(I141:I144)+I139</x:f>
        <x:v>0</x:v>
      </x:c>
      <x:c r="J146" s="236"/>
    </x:row>
    <x:row r="147" spans="2:10">
      <x:c r="B147" s="261"/>
      <x:c r="C147" s="262"/>
      <x:c r="D147" s="262">
        <x:v/>
      </x:c>
      <x:c r="E147" s="245"/>
      <x:c r="F147" s="235"/>
      <x:c r="G147" s="235"/>
      <x:c r="H147" s="235"/>
      <x:c r="I147" s="235"/>
      <x:c r="J147" s="247"/>
    </x:row>
    <x:row r="148" spans="2:10">
      <x:c r="B148" s="263" t="s">
        <x:v>237</x:v>
      </x:c>
      <x:c r="C148" s="264"/>
      <x:c r="D148" s="244">
        <x:v/>
      </x:c>
      <x:c r="E148" s="245"/>
      <x:c r="F148" s="245"/>
      <x:c r="G148" s="245"/>
      <x:c r="H148" s="245"/>
      <x:c r="I148" s="246">
        <x:f>+'ATT H-3D'!$H$24</x:f>
        <x:v>0.14582932326077899</x:v>
      </x:c>
      <x:c r="J148" s="247"/>
    </x:row>
    <x:row r="149" spans="2:10">
      <x:c r="B149" s="242" t="s">
        <x:v>215</x:v>
      </x:c>
      <x:c r="C149" s="243"/>
      <x:c r="D149" s="244">
        <x:v/>
      </x:c>
      <x:c r="E149" s="245"/>
      <x:c r="F149" s="245"/>
      <x:c r="G149" s="245"/>
      <x:c r="H149" s="246">
        <x:f>+'ATT H-3D'!$H$45</x:f>
        <x:v>0.36691024632926028</x:v>
      </x:c>
      <x:c r="I149" s="245"/>
      <x:c r="J149" s="247"/>
    </x:row>
    <x:row r="150" spans="2:10">
      <x:c r="B150" s="242" t="s">
        <x:v>856</x:v>
      </x:c>
      <x:c r="C150" s="243"/>
      <x:c r="D150" s="244">
        <x:v/>
      </x:c>
      <x:c r="E150" s="245"/>
      <x:c r="F150" s="245"/>
      <x:c r="G150" s="246">
        <x:v>1</x:v>
      </x:c>
      <x:c r="H150" s="245"/>
      <x:c r="I150" s="245"/>
      <x:c r="J150" s="247"/>
    </x:row>
    <x:row r="151" spans="2:10">
      <x:c r="B151" s="242" t="s">
        <x:v>857</x:v>
      </x:c>
      <x:c r="C151" s="243"/>
      <x:c r="D151" s="244">
        <x:v/>
      </x:c>
      <x:c r="E151" s="245"/>
      <x:c r="F151" s="246">
        <x:v>0</x:v>
      </x:c>
      <x:c r="G151" s="245"/>
      <x:c r="H151" s="245"/>
      <x:c r="I151" s="245"/>
      <x:c r="J151" s="247"/>
    </x:row>
    <x:row r="152" spans="2:10">
      <x:c r="B152" s="248" t="s">
        <x:v>858</x:v>
      </x:c>
      <x:c r="C152" s="243"/>
      <x:c r="D152" s="244">
        <x:v/>
      </x:c>
      <x:c r="E152" s="245">
        <x:f>F152+G152+H152+I152</x:f>
        <x:v>-218867264.15537345</x:v>
      </x:c>
      <x:c r="F152" s="245">
        <x:f>F151*F146</x:f>
        <x:v>0</x:v>
      </x:c>
      <x:c r="G152" s="245">
        <x:f>G146*G150</x:f>
        <x:v>0</x:v>
      </x:c>
      <x:c r="H152" s="245">
        <x:f>H146*H149</x:f>
        <x:v>-218867264.15537345</x:v>
      </x:c>
      <x:c r="I152" s="245">
        <x:f>I148*I146</x:f>
        <x:v>0</x:v>
      </x:c>
      <x:c r="J152" s="247"/>
    </x:row>
    <x:row r="153" spans="2:10" ht="17.25" customHeight="1">
      <x:c r="B153" s="228"/>
      <x:c r="C153" s="228"/>
      <x:c r="E153" s="219"/>
      <x:c r="F153" s="219"/>
      <x:c r="G153" s="219"/>
      <x:c r="H153" s="219"/>
      <x:c r="I153" s="219"/>
      <x:c r="J153" s="250"/>
    </x:row>
    <x:row r="154" spans="2:10">
      <x:c r="B154" s="249"/>
      <x:c r="E154" s="219"/>
      <x:c r="F154" s="219"/>
      <x:c r="G154" s="219"/>
      <x:c r="H154" s="219"/>
      <x:c r="I154" s="219"/>
      <x:c r="J154" s="250"/>
    </x:row>
    <x:row r="155" spans="2:10">
      <x:c r="B155" s="212" t="s">
        <x:v>163</x:v>
      </x:c>
      <x:c r="C155" s="212"/>
      <x:c r="D155" s="212">
        <x:v/>
      </x:c>
      <x:c r="E155" s="212" t="s">
        <x:v>164</x:v>
      </x:c>
      <x:c r="F155" s="212" t="s">
        <x:v>1023</x:v>
      </x:c>
      <x:c r="G155" s="212" t="s">
        <x:v>1155</x:v>
      </x:c>
      <x:c r="H155" s="212" t="s">
        <x:v>1156</x:v>
      </x:c>
      <x:c r="I155" s="212" t="s">
        <x:v>1157</x:v>
      </x:c>
      <x:c r="J155" s="212" t="s">
        <x:v>1158</x:v>
      </x:c>
    </x:row>
    <x:row r="156" spans="2:10">
      <x:c r="B156" s="220"/>
      <x:c r="C156" s="62"/>
      <x:c r="D156" s="62">
        <x:v/>
      </x:c>
      <x:c r="E156" s="212"/>
      <x:c r="F156" s="212" t="s">
        <x:v>1188</x:v>
      </x:c>
      <x:c r="G156" s="212" t="s">
        <x:v>231</x:v>
      </x:c>
      <x:c r="H156" s="212"/>
      <x:c r="I156" s="212"/>
      <x:c r="J156" s="62"/>
    </x:row>
    <x:row r="157" spans="2:10">
      <x:c r="B157" s="220"/>
      <x:c r="C157" s="62"/>
      <x:c r="D157" s="62">
        <x:v/>
      </x:c>
      <x:c r="E157" s="212"/>
      <x:c r="F157" s="212" t="s">
        <x:v>1189</x:v>
      </x:c>
      <x:c r="G157" s="212" t="s">
        <x:v>206</x:v>
      </x:c>
      <x:c r="H157" s="212" t="s">
        <x:v>232</x:v>
      </x:c>
      <x:c r="I157" s="212" t="s">
        <x:v>233</x:v>
      </x:c>
      <x:c r="J157" s="62"/>
    </x:row>
    <x:row r="158" spans="2:10">
      <x:c r="B158" s="220" t="s">
        <x:v>867</x:v>
      </x:c>
      <x:c r="C158" s="62"/>
      <x:c r="D158" s="62">
        <x:v/>
      </x:c>
      <x:c r="E158" s="212" t="s">
        <x:v>42</x:v>
      </x:c>
      <x:c r="F158" s="215" t="s">
        <x:v>1190</x:v>
      </x:c>
      <x:c r="G158" s="212" t="s">
        <x:v>234</x:v>
      </x:c>
      <x:c r="H158" s="212" t="s">
        <x:v>234</x:v>
      </x:c>
      <x:c r="I158" s="212" t="s">
        <x:v>234</x:v>
      </x:c>
      <x:c r="J158" s="212" t="s">
        <x:v>238</x:v>
      </x:c>
    </x:row>
    <x:row r="159" spans="2:10">
      <x:c r="B159" s="409" t="s">
        <x:v>1889</x:v>
      </x:c>
      <x:c r="C159" s="251"/>
      <x:c r="D159" s="253">
        <x:v/>
      </x:c>
      <x:c r="E159" s="240">
        <x:f>SUM(F159:I159)</x:f>
        <x:v>-357718129</x:v>
      </x:c>
      <x:c r="F159" s="343">
        <x:v>-35771813</x:v>
      </x:c>
      <x:c r="G159" s="343">
        <x:v>0</x:v>
      </x:c>
      <x:c r="H159" s="343">
        <x:v>-321946316</x:v>
      </x:c>
      <x:c r="I159" s="343">
        <x:v>0</x:v>
      </x:c>
      <x:c r="J159" s="355" t="s">
        <x:v>1891</x:v>
      </x:c>
    </x:row>
    <x:row r="160" spans="2:10">
      <x:c r="B160" s="277"/>
      <x:c r="C160" s="251"/>
      <x:c r="D160" s="253">
        <x:v/>
      </x:c>
      <x:c r="E160" s="230"/>
      <x:c r="F160" s="230"/>
      <x:c r="G160" s="230"/>
      <x:c r="H160" s="230"/>
      <x:c r="I160" s="230"/>
      <x:c r="J160" s="231"/>
    </x:row>
    <x:row r="161" spans="2:10">
      <x:c r="B161" s="277"/>
      <x:c r="C161" s="251"/>
      <x:c r="D161" s="253">
        <x:v/>
      </x:c>
      <x:c r="E161" s="230"/>
      <x:c r="F161" s="230"/>
      <x:c r="G161" s="230"/>
      <x:c r="H161" s="230"/>
      <x:c r="I161" s="230"/>
      <x:c r="J161" s="231"/>
    </x:row>
    <x:row r="162" spans="2:10">
      <x:c r="B162" s="277"/>
      <x:c r="C162" s="251"/>
      <x:c r="D162" s="252">
        <x:v/>
      </x:c>
      <x:c r="E162" s="254"/>
      <x:c r="F162" s="254"/>
      <x:c r="G162" s="254"/>
      <x:c r="H162" s="254"/>
      <x:c r="I162" s="254"/>
      <x:c r="J162" s="255"/>
    </x:row>
    <x:row r="163" spans="2:10">
      <x:c r="B163" s="237" t="s">
        <x:v>868</x:v>
      </x:c>
      <x:c r="C163" s="234"/>
      <x:c r="D163" s="234">
        <x:v/>
      </x:c>
      <x:c r="E163" s="235">
        <x:f>SUM(E159:E162)</x:f>
        <x:v>-357718129</x:v>
      </x:c>
      <x:c r="F163" s="235">
        <x:f>SUM(F159:F162)</x:f>
        <x:v>-35771813</x:v>
      </x:c>
      <x:c r="G163" s="235">
        <x:f>SUM(G159:G162)</x:f>
        <x:v>0</x:v>
      </x:c>
      <x:c r="H163" s="235">
        <x:f>SUM(H159:H162)</x:f>
        <x:v>-321946316</x:v>
      </x:c>
      <x:c r="I163" s="235">
        <x:f>SUM(I159:I162)</x:f>
        <x:v>0</x:v>
      </x:c>
      <x:c r="J163" s="236"/>
    </x:row>
    <x:row r="164" spans="2:10">
      <x:c r="B164" s="237"/>
      <x:c r="C164" s="234"/>
      <x:c r="D164" s="234">
        <x:v/>
      </x:c>
      <x:c r="E164" s="235"/>
      <x:c r="F164" s="235"/>
      <x:c r="G164" s="235"/>
      <x:c r="H164" s="235"/>
      <x:c r="I164" s="235"/>
      <x:c r="J164" s="236"/>
    </x:row>
    <x:row r="165" spans="2:10">
      <x:c r="B165" s="256" t="s">
        <x:v>1529</x:v>
      </x:c>
      <x:c r="C165" s="257"/>
      <x:c r="D165" s="258">
        <x:v/>
      </x:c>
      <x:c r="E165" s="240"/>
      <x:c r="F165" s="230"/>
      <x:c r="G165" s="230"/>
      <x:c r="H165" s="230"/>
      <x:c r="I165" s="230"/>
      <x:c r="J165" s="241"/>
    </x:row>
    <x:row r="166" spans="2:10">
      <x:c r="B166" s="238" t="s">
        <x:v>1530</x:v>
      </x:c>
      <x:c r="C166" s="239"/>
      <x:c r="D166" s="258">
        <x:v/>
      </x:c>
      <x:c r="E166" s="240"/>
      <x:c r="F166" s="230"/>
      <x:c r="G166" s="230"/>
      <x:c r="H166" s="230"/>
      <x:c r="I166" s="230"/>
      <x:c r="J166" s="241"/>
    </x:row>
    <x:row r="167" spans="2:10">
      <x:c r="B167" s="238" t="s">
        <x:v>1531</x:v>
      </x:c>
      <x:c r="C167" s="239"/>
      <x:c r="D167" s="258">
        <x:v/>
      </x:c>
      <x:c r="E167" s="240"/>
      <x:c r="F167" s="230"/>
      <x:c r="G167" s="230"/>
      <x:c r="H167" s="230"/>
      <x:c r="I167" s="230"/>
      <x:c r="J167" s="241"/>
    </x:row>
    <x:row r="168" spans="2:10">
      <x:c r="B168" s="238" t="s">
        <x:v>1532</x:v>
      </x:c>
      <x:c r="C168" s="239"/>
      <x:c r="D168" s="258">
        <x:v/>
      </x:c>
      <x:c r="E168" s="240"/>
      <x:c r="F168" s="230"/>
      <x:c r="G168" s="230"/>
      <x:c r="H168" s="230"/>
      <x:c r="I168" s="230"/>
      <x:c r="J168" s="241"/>
    </x:row>
    <x:row r="169" spans="2:10" ht="5.0999999999999996" customHeight="1">
      <x:c r="B169" s="232"/>
      <x:c r="C169" s="233"/>
      <x:c r="D169" s="234">
        <x:v/>
      </x:c>
      <x:c r="E169" s="235"/>
      <x:c r="F169" s="235"/>
      <x:c r="G169" s="235"/>
      <x:c r="H169" s="235"/>
      <x:c r="I169" s="235"/>
      <x:c r="J169" s="236"/>
    </x:row>
    <x:row r="170" spans="2:10">
      <x:c r="B170" s="259" t="s">
        <x:v>866</x:v>
      </x:c>
      <x:c r="C170" s="260"/>
      <x:c r="D170" s="234">
        <x:v/>
      </x:c>
      <x:c r="E170" s="235">
        <x:f>SUM(E165:E168)+E163</x:f>
        <x:v>-357718129</x:v>
      </x:c>
      <x:c r="F170" s="235">
        <x:f>SUM(F165:F168)+F163</x:f>
        <x:v>-35771813</x:v>
      </x:c>
      <x:c r="G170" s="235">
        <x:f>SUM(G165:G168)+G163</x:f>
        <x:v>0</x:v>
      </x:c>
      <x:c r="H170" s="235">
        <x:f>SUM(H165:H168)+H163</x:f>
        <x:v>-321946316</x:v>
      </x:c>
      <x:c r="I170" s="235">
        <x:f>SUM(I165:I168)+I163</x:f>
        <x:v>0</x:v>
      </x:c>
      <x:c r="J170" s="236"/>
    </x:row>
    <x:row r="171" spans="2:10">
      <x:c r="B171" s="261"/>
      <x:c r="C171" s="262"/>
      <x:c r="D171" s="262">
        <x:v/>
      </x:c>
      <x:c r="E171" s="245"/>
      <x:c r="F171" s="235"/>
      <x:c r="G171" s="235"/>
      <x:c r="H171" s="235"/>
      <x:c r="I171" s="235"/>
      <x:c r="J171" s="247"/>
    </x:row>
    <x:row r="172" spans="2:10">
      <x:c r="B172" s="263" t="s">
        <x:v>237</x:v>
      </x:c>
      <x:c r="C172" s="264"/>
      <x:c r="D172" s="244">
        <x:v/>
      </x:c>
      <x:c r="E172" s="245"/>
      <x:c r="F172" s="245"/>
      <x:c r="G172" s="245"/>
      <x:c r="H172" s="245"/>
      <x:c r="I172" s="246">
        <x:f>+'ATT H-3D'!$H$24</x:f>
        <x:v>0.14582932326077899</x:v>
      </x:c>
      <x:c r="J172" s="247"/>
    </x:row>
    <x:row r="173" spans="2:10">
      <x:c r="B173" s="242" t="s">
        <x:v>215</x:v>
      </x:c>
      <x:c r="C173" s="243"/>
      <x:c r="D173" s="244">
        <x:v/>
      </x:c>
      <x:c r="E173" s="245"/>
      <x:c r="F173" s="245"/>
      <x:c r="G173" s="245"/>
      <x:c r="H173" s="246">
        <x:f>+'ATT H-3D'!$H$45</x:f>
        <x:v>0.36691024632926028</x:v>
      </x:c>
      <x:c r="I173" s="245"/>
      <x:c r="J173" s="247"/>
    </x:row>
    <x:row r="174" spans="2:10">
      <x:c r="B174" s="242" t="s">
        <x:v>856</x:v>
      </x:c>
      <x:c r="C174" s="243"/>
      <x:c r="D174" s="244">
        <x:v/>
      </x:c>
      <x:c r="E174" s="245"/>
      <x:c r="F174" s="245"/>
      <x:c r="G174" s="246">
        <x:v>1</x:v>
      </x:c>
      <x:c r="H174" s="245"/>
      <x:c r="I174" s="245"/>
      <x:c r="J174" s="247"/>
    </x:row>
    <x:row r="175" spans="2:10">
      <x:c r="B175" s="242" t="s">
        <x:v>857</x:v>
      </x:c>
      <x:c r="C175" s="243"/>
      <x:c r="D175" s="244">
        <x:v/>
      </x:c>
      <x:c r="E175" s="245"/>
      <x:c r="F175" s="246">
        <x:v>0</x:v>
      </x:c>
      <x:c r="G175" s="245"/>
      <x:c r="H175" s="245"/>
      <x:c r="I175" s="245"/>
      <x:c r="J175" s="247"/>
    </x:row>
    <x:row r="176" spans="2:10">
      <x:c r="B176" s="248" t="s">
        <x:v>858</x:v>
      </x:c>
      <x:c r="C176" s="243"/>
      <x:c r="D176" s="244">
        <x:v/>
      </x:c>
      <x:c r="E176" s="245">
        <x:f>F176+G176+H176+I176</x:f>
        <x:v>-118125402.10835788</x:v>
      </x:c>
      <x:c r="F176" s="245">
        <x:f>F175*F170</x:f>
        <x:v>0</x:v>
      </x:c>
      <x:c r="G176" s="245">
        <x:f>G170*G174</x:f>
        <x:v>0</x:v>
      </x:c>
      <x:c r="H176" s="245">
        <x:f>H170*H173</x:f>
        <x:v>-118125402.10835788</x:v>
      </x:c>
      <x:c r="I176" s="245">
        <x:f>I172*I170</x:f>
        <x:v>0</x:v>
      </x:c>
      <x:c r="J176" s="247"/>
    </x:row>
    <x:row r="177" spans="2:10">
      <x:c r="B177" s="249"/>
      <x:c r="E177" s="219"/>
      <x:c r="F177" s="219"/>
      <x:c r="G177" s="219"/>
      <x:c r="H177" s="219"/>
      <x:c r="I177" s="219"/>
      <x:c r="J177" s="250"/>
    </x:row>
    <x:row r="178" spans="2:10">
      <x:c r="B178" s="249"/>
      <x:c r="E178" s="219"/>
      <x:c r="F178" s="219"/>
      <x:c r="G178" s="219"/>
      <x:c r="H178" s="219"/>
      <x:c r="I178" s="219"/>
      <x:c r="J178" s="250"/>
    </x:row>
    <x:row r="179" spans="2:10">
      <x:c r="B179" s="212" t="s">
        <x:v>163</x:v>
      </x:c>
      <x:c r="C179" s="212"/>
      <x:c r="D179" s="212">
        <x:v/>
      </x:c>
      <x:c r="E179" s="212" t="s">
        <x:v>164</x:v>
      </x:c>
      <x:c r="F179" s="212" t="s">
        <x:v>1023</x:v>
      </x:c>
      <x:c r="G179" s="212" t="s">
        <x:v>1155</x:v>
      </x:c>
      <x:c r="H179" s="212" t="s">
        <x:v>1156</x:v>
      </x:c>
      <x:c r="I179" s="212" t="s">
        <x:v>1157</x:v>
      </x:c>
      <x:c r="J179" s="212" t="s">
        <x:v>1158</x:v>
      </x:c>
    </x:row>
    <x:row r="180" spans="2:10">
      <x:c r="B180" s="220"/>
      <x:c r="C180" s="62"/>
      <x:c r="D180" s="62">
        <x:v/>
      </x:c>
      <x:c r="E180" s="212"/>
      <x:c r="F180" s="212" t="s">
        <x:v>1188</x:v>
      </x:c>
      <x:c r="G180" s="212" t="s">
        <x:v>231</x:v>
      </x:c>
      <x:c r="H180" s="212"/>
      <x:c r="I180" s="212"/>
      <x:c r="J180" s="62"/>
    </x:row>
    <x:row r="181" spans="2:10">
      <x:c r="B181" s="220"/>
      <x:c r="C181" s="62"/>
      <x:c r="D181" s="62">
        <x:v/>
      </x:c>
      <x:c r="E181" s="212"/>
      <x:c r="F181" s="212" t="s">
        <x:v>1189</x:v>
      </x:c>
      <x:c r="G181" s="212" t="s">
        <x:v>206</x:v>
      </x:c>
      <x:c r="H181" s="212" t="s">
        <x:v>232</x:v>
      </x:c>
      <x:c r="I181" s="212" t="s">
        <x:v>233</x:v>
      </x:c>
      <x:c r="J181" s="62"/>
    </x:row>
    <x:row r="182" spans="2:10">
      <x:c r="B182" s="220" t="s">
        <x:v>869</x:v>
      </x:c>
      <x:c r="C182" s="62"/>
      <x:c r="D182" s="62">
        <x:v/>
      </x:c>
      <x:c r="E182" s="212" t="s">
        <x:v>42</x:v>
      </x:c>
      <x:c r="F182" s="215" t="s">
        <x:v>1190</x:v>
      </x:c>
      <x:c r="G182" s="212" t="s">
        <x:v>234</x:v>
      </x:c>
      <x:c r="H182" s="212" t="s">
        <x:v>234</x:v>
      </x:c>
      <x:c r="I182" s="212" t="s">
        <x:v>234</x:v>
      </x:c>
      <x:c r="J182" s="212" t="s">
        <x:v>238</x:v>
      </x:c>
    </x:row>
    <x:row r="183" spans="2:10">
      <x:c r="B183" s="244" t="s">
        <x:v>870</x:v>
      </x:c>
      <x:c r="C183" s="244"/>
      <x:c r="D183" s="244">
        <x:v/>
      </x:c>
      <x:c r="E183" s="235">
        <x:f>SUM(F183:I183)</x:f>
        <x:v>-659052637</x:v>
      </x:c>
      <x:c r="F183" s="245">
        <x:f>F139</x:f>
        <x:v>-46270802</x:v>
      </x:c>
      <x:c r="G183" s="245">
        <x:f>G139</x:f>
        <x:v>-8886116</x:v>
      </x:c>
      <x:c r="H183" s="245">
        <x:f>H139</x:f>
        <x:v>-603895719</x:v>
      </x:c>
      <x:c r="I183" s="245">
        <x:f>I139</x:f>
        <x:v>0</x:v>
      </x:c>
      <x:c r="J183" s="247"/>
    </x:row>
    <x:row r="184" spans="2:10">
      <x:c r="B184" s="244" t="s">
        <x:v>867</x:v>
      </x:c>
      <x:c r="C184" s="244"/>
      <x:c r="D184" s="244">
        <x:v/>
      </x:c>
      <x:c r="E184" s="235">
        <x:f>SUM(F184:I184)</x:f>
        <x:v>-357718129</x:v>
      </x:c>
      <x:c r="F184" s="245">
        <x:f>F163</x:f>
        <x:v>-35771813</x:v>
      </x:c>
      <x:c r="G184" s="245">
        <x:f>G163</x:f>
        <x:v>0</x:v>
      </x:c>
      <x:c r="H184" s="245">
        <x:f>H163</x:f>
        <x:v>-321946316</x:v>
      </x:c>
      <x:c r="I184" s="245">
        <x:f>I163</x:f>
        <x:v>0</x:v>
      </x:c>
      <x:c r="J184" s="247"/>
    </x:row>
    <x:row r="185" spans="2:10">
      <x:c r="B185" s="237" t="s">
        <x:v>2179</x:v>
      </x:c>
      <x:c r="C185" s="244"/>
      <x:c r="D185" s="244">
        <x:v/>
      </x:c>
      <x:c r="E185" s="245">
        <x:f>E183+E184</x:f>
        <x:v>-1016770766</x:v>
      </x:c>
      <x:c r="F185" s="245">
        <x:f>F183+F184</x:f>
        <x:v>-82042615</x:v>
      </x:c>
      <x:c r="G185" s="245">
        <x:f>G183+G184</x:f>
        <x:v>-8886116</x:v>
      </x:c>
      <x:c r="H185" s="245">
        <x:f>H183+H184</x:f>
        <x:v>-925842035</x:v>
      </x:c>
      <x:c r="I185" s="245">
        <x:f>I183+I184</x:f>
        <x:v>0</x:v>
      </x:c>
      <x:c r="J185" s="247"/>
    </x:row>
    <x:row r="186" spans="2:10">
      <x:c r="B186" s="1511"/>
      <x:c r="C186" s="1512"/>
      <x:c r="D186" s="1512">
        <x:v/>
      </x:c>
      <x:c r="E186" s="1513"/>
      <x:c r="F186" s="1513"/>
      <x:c r="G186" s="1513"/>
      <x:c r="H186" s="1513"/>
      <x:c r="I186" s="1513"/>
      <x:c r="J186" s="1514"/>
    </x:row>
    <x:row r="187" spans="2:10">
      <x:c r="B187" s="249"/>
      <x:c r="E187" s="219"/>
      <x:c r="F187" s="219"/>
      <x:c r="G187" s="219"/>
      <x:c r="H187" s="219"/>
      <x:c r="I187" s="219"/>
      <x:c r="J187" s="250"/>
    </x:row>
    <x:row r="188" spans="2:10" s="62" customFormat="1">
      <x:c r="B188" s="220" t="s">
        <x:v>240</x:v>
      </x:c>
      <x:c r="G188" s="270"/>
      <x:c r="H188" s="270"/>
      <x:c r="I188" s="270"/>
      <x:c r="J188" s="271"/>
    </x:row>
    <x:row r="189" spans="2:10" s="62" customFormat="1" ht="12.75" customHeight="1">
      <x:c r="B189" s="1603" t="s">
        <x:v>2162</x:v>
      </x:c>
      <x:c r="C189" s="1603"/>
      <x:c r="D189" s="1603">
        <x:v/>
      </x:c>
      <x:c r="E189" s="1603"/>
      <x:c r="F189" s="1603"/>
      <x:c r="G189" s="1603"/>
      <x:c r="H189" s="1603"/>
      <x:c r="I189" s="1603"/>
      <x:c r="J189" s="271"/>
    </x:row>
    <x:row r="190" spans="2:10" s="62" customFormat="1">
      <x:c r="B190" s="273" t="s">
        <x:v>2163</x:v>
      </x:c>
      <x:c r="C190" s="273"/>
      <x:c r="H190" s="270"/>
      <x:c r="I190" s="270"/>
      <x:c r="J190" s="271"/>
    </x:row>
    <x:row r="191" spans="2:10" s="62" customFormat="1">
      <x:c r="B191" s="273" t="s">
        <x:v>2164</x:v>
      </x:c>
      <x:c r="C191" s="273"/>
      <x:c r="H191" s="270"/>
      <x:c r="I191" s="270"/>
      <x:c r="J191" s="271"/>
    </x:row>
    <x:row r="192" spans="2:10" s="62" customFormat="1">
      <x:c r="B192" s="273" t="s">
        <x:v>2165</x:v>
      </x:c>
      <x:c r="C192" s="273"/>
      <x:c r="H192" s="270"/>
      <x:c r="I192" s="270"/>
      <x:c r="J192" s="271"/>
    </x:row>
    <x:row r="193" spans="2:11" s="62" customFormat="1" ht="15.75" customHeight="1">
      <x:c r="B193" s="1603" t="s">
        <x:v>863</x:v>
      </x:c>
      <x:c r="C193" s="1603"/>
      <x:c r="D193" s="1603">
        <x:v/>
      </x:c>
      <x:c r="E193" s="1603"/>
      <x:c r="F193" s="1603"/>
      <x:c r="G193" s="1603"/>
      <x:c r="H193" s="1603"/>
      <x:c r="I193" s="1603"/>
    </x:row>
    <x:row r="194" spans="2:11" s="62" customFormat="1">
      <x:c r="B194" s="273" t="s">
        <x:v>2167</x:v>
      </x:c>
      <x:c r="G194" s="270"/>
      <x:c r="H194" s="270"/>
      <x:c r="I194" s="270"/>
      <x:c r="J194" s="271"/>
    </x:row>
    <x:row r="195" spans="2:11">
      <x:c r="B195" s="278" t="s">
        <x:v>2168</x:v>
      </x:c>
    </x:row>
    <x:row r="196" spans="2:11" ht="12" customHeight="1">
      <x:c r="B196" s="279"/>
      <x:c r="C196" s="280"/>
      <x:c r="D196" s="281">
        <x:v/>
      </x:c>
      <x:c r="E196" s="281"/>
      <x:c r="F196" s="281"/>
      <x:c r="G196" s="281"/>
      <x:c r="H196" s="281"/>
      <x:c r="I196" s="281"/>
      <x:c r="J196" s="281"/>
    </x:row>
    <x:row r="197" spans="2:11">
      <x:c r="B197" s="209"/>
    </x:row>
    <x:row r="198" spans="2:11">
      <x:c r="B198" s="212" t="s">
        <x:v>163</x:v>
      </x:c>
      <x:c r="C198" s="212"/>
      <x:c r="D198" s="212">
        <x:v/>
      </x:c>
      <x:c r="E198" s="212" t="s">
        <x:v>164</x:v>
      </x:c>
      <x:c r="F198" s="212" t="s">
        <x:v>1023</x:v>
      </x:c>
      <x:c r="G198" s="212" t="s">
        <x:v>1155</x:v>
      </x:c>
      <x:c r="H198" s="212" t="s">
        <x:v>1156</x:v>
      </x:c>
      <x:c r="I198" s="212" t="s">
        <x:v>1157</x:v>
      </x:c>
      <x:c r="J198" s="212" t="s">
        <x:v>1158</x:v>
      </x:c>
    </x:row>
    <x:row r="199" spans="2:11">
      <x:c r="B199" s="220"/>
      <x:c r="C199" s="62"/>
      <x:c r="D199" s="62">
        <x:v/>
      </x:c>
      <x:c r="E199" s="212"/>
      <x:c r="F199" s="212" t="s">
        <x:v>1188</x:v>
      </x:c>
      <x:c r="G199" s="212" t="s">
        <x:v>231</x:v>
      </x:c>
      <x:c r="H199" s="212"/>
      <x:c r="I199" s="212"/>
      <x:c r="J199" s="62"/>
    </x:row>
    <x:row r="200" spans="2:11">
      <x:c r="B200" s="220"/>
      <x:c r="C200" s="228"/>
      <x:c r="D200" s="62">
        <x:v/>
      </x:c>
      <x:c r="E200" s="212"/>
      <x:c r="F200" s="212" t="s">
        <x:v>1189</x:v>
      </x:c>
      <x:c r="G200" s="212" t="s">
        <x:v>206</x:v>
      </x:c>
      <x:c r="H200" s="212" t="s">
        <x:v>232</x:v>
      </x:c>
      <x:c r="I200" s="212" t="s">
        <x:v>233</x:v>
      </x:c>
      <x:c r="J200" s="62"/>
      <x:c r="K200" s="208" t="s">
        <x:v>83</x:v>
      </x:c>
    </x:row>
    <x:row r="201" spans="2:11">
      <x:c r="B201" s="220" t="s">
        <x:v>872</x:v>
      </x:c>
      <x:c r="C201" s="62"/>
      <x:c r="D201" s="62">
        <x:v/>
      </x:c>
      <x:c r="E201" s="212" t="s">
        <x:v>42</x:v>
      </x:c>
      <x:c r="F201" s="215" t="s">
        <x:v>1190</x:v>
      </x:c>
      <x:c r="G201" s="212" t="s">
        <x:v>234</x:v>
      </x:c>
      <x:c r="H201" s="212" t="s">
        <x:v>234</x:v>
      </x:c>
      <x:c r="I201" s="212" t="s">
        <x:v>234</x:v>
      </x:c>
      <x:c r="J201" s="212" t="s">
        <x:v>238</x:v>
      </x:c>
    </x:row>
    <x:row r="202" spans="2:11" s="1093" customFormat="1" ht="25.5">
      <x:c r="B202" s="1098" t="s">
        <x:v>1778</x:v>
      </x:c>
      <x:c r="C202" s="1099"/>
      <x:c r="D202" s="1100">
        <x:v/>
      </x:c>
      <x:c r="E202" s="240">
        <x:f t="shared" ref="E202:E211" si="7">SUM(F202:I202)</x:f>
        <x:v>-7094756</x:v>
      </x:c>
      <x:c r="F202" s="230">
        <x:v>-993266</x:v>
      </x:c>
      <x:c r="G202" s="230">
        <x:v>0</x:v>
      </x:c>
      <x:c r="H202" s="230">
        <x:v>-6101490</x:v>
      </x:c>
      <x:c r="I202" s="230">
        <x:v>0</x:v>
      </x:c>
      <x:c r="J202" s="355" t="s">
        <x:v>1896</x:v>
      </x:c>
    </x:row>
    <x:row r="203" spans="2:11" s="1093" customFormat="1">
      <x:c r="B203" s="1098" t="s">
        <x:v>1763</x:v>
      </x:c>
      <x:c r="C203" s="1099"/>
      <x:c r="D203" s="1100">
        <x:v/>
      </x:c>
      <x:c r="E203" s="240">
        <x:f t="shared" si="7"/>
        <x:v>-845299</x:v>
      </x:c>
      <x:c r="F203" s="230">
        <x:v>-845299</x:v>
      </x:c>
      <x:c r="G203" s="230">
        <x:v>0</x:v>
      </x:c>
      <x:c r="H203" s="230">
        <x:v>0</x:v>
      </x:c>
      <x:c r="I203" s="230">
        <x:v>0</x:v>
      </x:c>
      <x:c r="J203" s="355" t="s">
        <x:v>1884</x:v>
      </x:c>
    </x:row>
    <x:row r="204" spans="2:11" s="1093" customFormat="1">
      <x:c r="B204" s="1098" t="s">
        <x:v>1676</x:v>
      </x:c>
      <x:c r="C204" s="1099"/>
      <x:c r="D204" s="1100">
        <x:v/>
      </x:c>
      <x:c r="E204" s="240">
        <x:f t="shared" si="7"/>
        <x:v>322055</x:v>
      </x:c>
      <x:c r="F204" s="230">
        <x:v>45088</x:v>
      </x:c>
      <x:c r="G204" s="230">
        <x:v>0</x:v>
      </x:c>
      <x:c r="H204" s="230">
        <x:v>276967</x:v>
      </x:c>
      <x:c r="I204" s="230">
        <x:v>0</x:v>
      </x:c>
      <x:c r="J204" s="355" t="s">
        <x:v>1897</x:v>
      </x:c>
    </x:row>
    <x:row r="205" spans="2:11" s="1093" customFormat="1" ht="25.5">
      <x:c r="B205" s="1098" t="s">
        <x:v>1779</x:v>
      </x:c>
      <x:c r="C205" s="1099"/>
      <x:c r="D205" s="1100">
        <x:v/>
      </x:c>
      <x:c r="E205" s="240">
        <x:f t="shared" si="7"/>
        <x:v>-2996529</x:v>
      </x:c>
      <x:c r="F205" s="230">
        <x:v>-771223</x:v>
      </x:c>
      <x:c r="G205" s="230">
        <x:v>0</x:v>
      </x:c>
      <x:c r="H205" s="230">
        <x:v>-2225306</x:v>
      </x:c>
      <x:c r="I205" s="230">
        <x:v>0</x:v>
      </x:c>
      <x:c r="J205" s="410" t="s">
        <x:v>1896</x:v>
      </x:c>
    </x:row>
    <x:row r="206" spans="2:11" s="1093" customFormat="1" ht="25.5">
      <x:c r="B206" s="1098" t="s">
        <x:v>1780</x:v>
      </x:c>
      <x:c r="C206" s="1099"/>
      <x:c r="D206" s="1100">
        <x:v/>
      </x:c>
      <x:c r="E206" s="240">
        <x:f t="shared" si="7"/>
        <x:v>-28546114</x:v>
      </x:c>
      <x:c r="F206" s="230">
        <x:v>-3996456</x:v>
      </x:c>
      <x:c r="G206" s="230">
        <x:v>0</x:v>
      </x:c>
      <x:c r="H206" s="230">
        <x:v>0</x:v>
      </x:c>
      <x:c r="I206" s="230">
        <x:v>-24549658</x:v>
      </x:c>
      <x:c r="J206" s="355" t="s">
        <x:v>1898</x:v>
      </x:c>
    </x:row>
    <x:row r="207" spans="2:11" s="1093" customFormat="1">
      <x:c r="B207" s="1098" t="s">
        <x:v>1781</x:v>
      </x:c>
      <x:c r="C207" s="1099"/>
      <x:c r="D207" s="1100">
        <x:v/>
      </x:c>
      <x:c r="E207" s="240">
        <x:f t="shared" si="7"/>
        <x:v>-35437345</x:v>
      </x:c>
      <x:c r="F207" s="230">
        <x:v>-35437345</x:v>
      </x:c>
      <x:c r="G207" s="230">
        <x:v>0</x:v>
      </x:c>
      <x:c r="H207" s="230">
        <x:v>0</x:v>
      </x:c>
      <x:c r="I207" s="230">
        <x:v>0</x:v>
      </x:c>
      <x:c r="J207" s="355" t="s">
        <x:v>1884</x:v>
      </x:c>
    </x:row>
    <x:row r="208" spans="2:11" s="1093" customFormat="1">
      <x:c r="B208" s="1098" t="s">
        <x:v>1782</x:v>
      </x:c>
      <x:c r="C208" s="1099"/>
      <x:c r="D208" s="1100">
        <x:v/>
      </x:c>
      <x:c r="E208" s="240">
        <x:f t="shared" si="7"/>
        <x:v>-1025007</x:v>
      </x:c>
      <x:c r="F208" s="230">
        <x:v>-1025007</x:v>
      </x:c>
      <x:c r="G208" s="230">
        <x:v>0</x:v>
      </x:c>
      <x:c r="H208" s="230">
        <x:v>0</x:v>
      </x:c>
      <x:c r="I208" s="230">
        <x:v>0</x:v>
      </x:c>
      <x:c r="J208" s="355" t="s">
        <x:v>1884</x:v>
      </x:c>
    </x:row>
    <x:row r="209" spans="2:10" s="1093" customFormat="1">
      <x:c r="B209" s="1098" t="s">
        <x:v>1914</x:v>
      </x:c>
      <x:c r="C209" s="1099"/>
      <x:c r="D209" s="1100">
        <x:v/>
      </x:c>
      <x:c r="E209" s="240">
        <x:f t="shared" ref="E209" si="8">SUM(F209:I209)</x:f>
        <x:v>0</x:v>
      </x:c>
      <x:c r="F209" s="230">
        <x:v>0</x:v>
      </x:c>
      <x:c r="G209" s="230">
        <x:v>0</x:v>
      </x:c>
      <x:c r="H209" s="230">
        <x:v>0</x:v>
      </x:c>
      <x:c r="I209" s="230">
        <x:v>0</x:v>
      </x:c>
      <x:c r="J209" s="355" t="s">
        <x:v>1884</x:v>
      </x:c>
    </x:row>
    <x:row r="210" spans="2:10" s="1093" customFormat="1">
      <x:c r="B210" s="1098" t="s">
        <x:v>1638</x:v>
      </x:c>
      <x:c r="C210" s="1099"/>
      <x:c r="D210" s="1100">
        <x:v/>
      </x:c>
      <x:c r="E210" s="240">
        <x:f t="shared" si="7"/>
        <x:v>-2449595</x:v>
      </x:c>
      <x:c r="F210" s="230">
        <x:v>-2449595</x:v>
      </x:c>
      <x:c r="G210" s="230">
        <x:v>0</x:v>
      </x:c>
      <x:c r="H210" s="230">
        <x:v>0</x:v>
      </x:c>
      <x:c r="I210" s="230">
        <x:v>0</x:v>
      </x:c>
      <x:c r="J210" s="282" t="s">
        <x:v>1884</x:v>
      </x:c>
    </x:row>
    <x:row r="211" spans="2:10" s="1093" customFormat="1" ht="26.25" customHeight="1">
      <x:c r="B211" s="1098" t="s">
        <x:v>1687</x:v>
      </x:c>
      <x:c r="C211" s="1099"/>
      <x:c r="D211" s="1100">
        <x:v/>
      </x:c>
      <x:c r="E211" s="240">
        <x:f t="shared" si="7"/>
        <x:v>-573665</x:v>
      </x:c>
      <x:c r="F211" s="230">
        <x:v>-573665</x:v>
      </x:c>
      <x:c r="G211" s="230">
        <x:v>0</x:v>
      </x:c>
      <x:c r="H211" s="230">
        <x:v>0</x:v>
      </x:c>
      <x:c r="I211" s="230">
        <x:v>0</x:v>
      </x:c>
      <x:c r="J211" s="355" t="s">
        <x:v>1907</x:v>
      </x:c>
    </x:row>
    <x:row r="212" spans="2:10">
      <x:c r="B212" s="237" t="s">
        <x:v>873</x:v>
      </x:c>
      <x:c r="C212" s="234"/>
      <x:c r="D212" s="234">
        <x:v/>
      </x:c>
      <x:c r="E212" s="235">
        <x:f>SUM(E202:E211)</x:f>
        <x:v>-78646255</x:v>
      </x:c>
      <x:c r="F212" s="235">
        <x:f>SUM(F202:F211)</x:f>
        <x:v>-46046768</x:v>
      </x:c>
      <x:c r="G212" s="235">
        <x:f>SUM(G202:G211)</x:f>
        <x:v>0</x:v>
      </x:c>
      <x:c r="H212" s="235">
        <x:f>SUM(H202:H211)</x:f>
        <x:v>-8049829</x:v>
      </x:c>
      <x:c r="I212" s="235">
        <x:f>SUM(I202:I211)</x:f>
        <x:v>-24549658</x:v>
      </x:c>
      <x:c r="J212" s="236"/>
    </x:row>
    <x:row r="213" spans="2:10">
      <x:c r="B213" s="237"/>
      <x:c r="C213" s="234"/>
      <x:c r="D213" s="234">
        <x:v/>
      </x:c>
      <x:c r="E213" s="235"/>
      <x:c r="F213" s="235"/>
      <x:c r="G213" s="235"/>
      <x:c r="H213" s="235"/>
      <x:c r="I213" s="235"/>
      <x:c r="J213" s="236"/>
    </x:row>
    <x:row r="214" spans="2:10">
      <x:c r="B214" s="256" t="s">
        <x:v>1529</x:v>
      </x:c>
      <x:c r="C214" s="257"/>
      <x:c r="D214" s="258">
        <x:v/>
      </x:c>
      <x:c r="E214" s="240"/>
      <x:c r="F214" s="230"/>
      <x:c r="G214" s="230"/>
      <x:c r="H214" s="230"/>
      <x:c r="I214" s="230"/>
      <x:c r="J214" s="241"/>
    </x:row>
    <x:row r="215" spans="2:10">
      <x:c r="B215" s="238" t="s">
        <x:v>1530</x:v>
      </x:c>
      <x:c r="C215" s="239"/>
      <x:c r="D215" s="258">
        <x:v/>
      </x:c>
      <x:c r="E215" s="240"/>
      <x:c r="F215" s="230"/>
      <x:c r="G215" s="230"/>
      <x:c r="H215" s="230"/>
      <x:c r="I215" s="230"/>
      <x:c r="J215" s="241"/>
    </x:row>
    <x:row r="216" spans="2:10">
      <x:c r="B216" s="238" t="s">
        <x:v>1531</x:v>
      </x:c>
      <x:c r="C216" s="239"/>
      <x:c r="D216" s="258">
        <x:v/>
      </x:c>
      <x:c r="E216" s="240"/>
      <x:c r="F216" s="230"/>
      <x:c r="G216" s="230"/>
      <x:c r="H216" s="230"/>
      <x:c r="I216" s="230"/>
      <x:c r="J216" s="241"/>
    </x:row>
    <x:row r="217" spans="2:10">
      <x:c r="B217" s="238" t="s">
        <x:v>1532</x:v>
      </x:c>
      <x:c r="C217" s="239"/>
      <x:c r="D217" s="258">
        <x:v/>
      </x:c>
      <x:c r="E217" s="240"/>
      <x:c r="F217" s="230"/>
      <x:c r="G217" s="230"/>
      <x:c r="H217" s="230"/>
      <x:c r="I217" s="230"/>
      <x:c r="J217" s="241"/>
    </x:row>
    <x:row r="218" spans="2:10" ht="5.0999999999999996" customHeight="1">
      <x:c r="B218" s="232"/>
      <x:c r="C218" s="233"/>
      <x:c r="D218" s="234">
        <x:v/>
      </x:c>
      <x:c r="E218" s="235"/>
      <x:c r="F218" s="235"/>
      <x:c r="G218" s="235"/>
      <x:c r="H218" s="235"/>
      <x:c r="I218" s="235"/>
      <x:c r="J218" s="236"/>
    </x:row>
    <x:row r="219" spans="2:10">
      <x:c r="B219" s="259" t="s">
        <x:v>874</x:v>
      </x:c>
      <x:c r="C219" s="260"/>
      <x:c r="D219" s="234">
        <x:v/>
      </x:c>
      <x:c r="E219" s="235">
        <x:f>SUM(E214:E217)+E212</x:f>
        <x:v>-78646255</x:v>
      </x:c>
      <x:c r="F219" s="235">
        <x:f>SUM(F214:F217)+F212</x:f>
        <x:v>-46046768</x:v>
      </x:c>
      <x:c r="G219" s="235">
        <x:f>SUM(G214:G217)+G212</x:f>
        <x:v>0</x:v>
      </x:c>
      <x:c r="H219" s="235">
        <x:f>SUM(H214:H217)+H212</x:f>
        <x:v>-8049829</x:v>
      </x:c>
      <x:c r="I219" s="235">
        <x:f>SUM(I214:I217)+I212</x:f>
        <x:v>-24549658</x:v>
      </x:c>
      <x:c r="J219" s="236"/>
    </x:row>
    <x:row r="220" spans="2:10">
      <x:c r="B220" s="261"/>
      <x:c r="C220" s="262"/>
      <x:c r="D220" s="262">
        <x:v/>
      </x:c>
      <x:c r="E220" s="245"/>
      <x:c r="F220" s="235"/>
      <x:c r="G220" s="235"/>
      <x:c r="H220" s="235"/>
      <x:c r="I220" s="235"/>
      <x:c r="J220" s="247"/>
    </x:row>
    <x:row r="221" spans="2:10">
      <x:c r="B221" s="263" t="s">
        <x:v>237</x:v>
      </x:c>
      <x:c r="C221" s="264"/>
      <x:c r="D221" s="244">
        <x:v/>
      </x:c>
      <x:c r="E221" s="245"/>
      <x:c r="F221" s="245"/>
      <x:c r="G221" s="245"/>
      <x:c r="H221" s="245"/>
      <x:c r="I221" s="246">
        <x:f>+'ATT H-3D'!$H$24</x:f>
        <x:v>0.14582932326077899</x:v>
      </x:c>
      <x:c r="J221" s="247"/>
    </x:row>
    <x:row r="222" spans="2:10">
      <x:c r="B222" s="242" t="s">
        <x:v>215</x:v>
      </x:c>
      <x:c r="C222" s="243"/>
      <x:c r="D222" s="244">
        <x:v/>
      </x:c>
      <x:c r="E222" s="245"/>
      <x:c r="F222" s="245"/>
      <x:c r="G222" s="245"/>
      <x:c r="H222" s="246">
        <x:f>+'ATT H-3D'!$H$45</x:f>
        <x:v>0.36691024632926028</x:v>
      </x:c>
      <x:c r="I222" s="245"/>
      <x:c r="J222" s="247"/>
    </x:row>
    <x:row r="223" spans="2:10">
      <x:c r="B223" s="242" t="s">
        <x:v>856</x:v>
      </x:c>
      <x:c r="C223" s="243"/>
      <x:c r="D223" s="244">
        <x:v/>
      </x:c>
      <x:c r="E223" s="245"/>
      <x:c r="F223" s="245"/>
      <x:c r="G223" s="246">
        <x:v>1</x:v>
      </x:c>
      <x:c r="H223" s="245"/>
      <x:c r="I223" s="245"/>
      <x:c r="J223" s="247"/>
    </x:row>
    <x:row r="224" spans="2:10">
      <x:c r="B224" s="242" t="s">
        <x:v>857</x:v>
      </x:c>
      <x:c r="C224" s="243"/>
      <x:c r="D224" s="244">
        <x:v/>
      </x:c>
      <x:c r="E224" s="245"/>
      <x:c r="F224" s="246">
        <x:v>0</x:v>
      </x:c>
      <x:c r="G224" s="245"/>
      <x:c r="H224" s="245"/>
      <x:c r="I224" s="245"/>
      <x:c r="J224" s="247"/>
    </x:row>
    <x:row r="225" spans="2:10" ht="17.25" customHeight="1">
      <x:c r="B225" s="248" t="s">
        <x:v>858</x:v>
      </x:c>
      <x:c r="C225" s="243"/>
      <x:c r="D225" s="244">
        <x:v/>
      </x:c>
      <x:c r="E225" s="245">
        <x:f>F225+G225+H225+I225</x:f>
        <x:v>-6533624.7537219916</x:v>
      </x:c>
      <x:c r="F225" s="245">
        <x:f>F224*F219</x:f>
        <x:v>0</x:v>
      </x:c>
      <x:c r="G225" s="245">
        <x:f>G219*G223</x:f>
        <x:v>0</x:v>
      </x:c>
      <x:c r="H225" s="245">
        <x:f>H219*H222</x:f>
        <x:v>-2953564.7412984231</x:v>
      </x:c>
      <x:c r="I225" s="245">
        <x:f>I221*I219</x:f>
        <x:v>-3580060.0124235689</x:v>
      </x:c>
      <x:c r="J225" s="247"/>
    </x:row>
    <x:row r="226" spans="2:10" ht="12.75" customHeight="1">
      <x:c r="B226" s="279"/>
      <x:c r="C226" s="281"/>
      <x:c r="D226" s="281">
        <x:v/>
      </x:c>
      <x:c r="E226" s="281"/>
      <x:c r="F226" s="281"/>
      <x:c r="G226" s="281"/>
      <x:c r="H226" s="281"/>
      <x:c r="I226" s="281"/>
      <x:c r="J226" s="281"/>
    </x:row>
    <x:row r="227" spans="2:10">
      <x:c r="B227" s="212"/>
      <x:c r="C227" s="212"/>
      <x:c r="D227" s="212">
        <x:v/>
      </x:c>
      <x:c r="E227" s="212"/>
      <x:c r="F227" s="212"/>
      <x:c r="G227" s="212"/>
      <x:c r="H227" s="212"/>
      <x:c r="I227" s="212"/>
      <x:c r="J227" s="212"/>
    </x:row>
    <x:row r="228" spans="2:10">
      <x:c r="B228" s="212" t="s">
        <x:v>163</x:v>
      </x:c>
      <x:c r="C228" s="62"/>
      <x:c r="D228" s="62">
        <x:v/>
      </x:c>
      <x:c r="E228" s="212" t="s">
        <x:v>164</x:v>
      </x:c>
      <x:c r="F228" s="212" t="s">
        <x:v>1023</x:v>
      </x:c>
      <x:c r="G228" s="212" t="s">
        <x:v>1155</x:v>
      </x:c>
      <x:c r="H228" s="212" t="s">
        <x:v>1156</x:v>
      </x:c>
      <x:c r="I228" s="212" t="s">
        <x:v>1157</x:v>
      </x:c>
      <x:c r="J228" s="212" t="s">
        <x:v>1158</x:v>
      </x:c>
    </x:row>
    <x:row r="229" spans="2:10">
      <x:c r="B229" s="220"/>
      <x:c r="C229" s="62"/>
      <x:c r="D229" s="62">
        <x:v/>
      </x:c>
      <x:c r="E229" s="212"/>
      <x:c r="F229" s="212" t="s">
        <x:v>1188</x:v>
      </x:c>
      <x:c r="G229" s="212" t="s">
        <x:v>231</x:v>
      </x:c>
      <x:c r="H229" s="212"/>
      <x:c r="I229" s="212"/>
      <x:c r="J229" s="62"/>
    </x:row>
    <x:row r="230" spans="2:10">
      <x:c r="B230" s="265"/>
      <x:c r="C230" s="62"/>
      <x:c r="D230" s="62">
        <x:v/>
      </x:c>
      <x:c r="E230" s="212"/>
      <x:c r="F230" s="212" t="s">
        <x:v>1189</x:v>
      </x:c>
      <x:c r="G230" s="212" t="s">
        <x:v>206</x:v>
      </x:c>
      <x:c r="H230" s="212" t="s">
        <x:v>232</x:v>
      </x:c>
      <x:c r="I230" s="212" t="s">
        <x:v>233</x:v>
      </x:c>
      <x:c r="J230" s="62"/>
    </x:row>
    <x:row r="231" spans="2:10">
      <x:c r="B231" s="220" t="s">
        <x:v>1195</x:v>
      </x:c>
      <x:c r="E231" s="212" t="s">
        <x:v>42</x:v>
      </x:c>
      <x:c r="F231" s="215" t="s">
        <x:v>1190</x:v>
      </x:c>
      <x:c r="G231" s="212" t="s">
        <x:v>234</x:v>
      </x:c>
      <x:c r="H231" s="212" t="s">
        <x:v>234</x:v>
      </x:c>
      <x:c r="I231" s="212" t="s">
        <x:v>234</x:v>
      </x:c>
      <x:c r="J231" s="212" t="s">
        <x:v>238</x:v>
      </x:c>
    </x:row>
    <x:row r="232" spans="2:10">
      <x:c r="B232" s="229"/>
      <x:c r="C232" s="251"/>
      <x:c r="D232" s="252">
        <x:v/>
      </x:c>
      <x:c r="E232" s="230"/>
      <x:c r="F232" s="230"/>
      <x:c r="G232" s="230"/>
      <x:c r="H232" s="230"/>
      <x:c r="I232" s="230"/>
      <x:c r="J232" s="231"/>
    </x:row>
    <x:row r="233" spans="2:10">
      <x:c r="B233" s="229"/>
      <x:c r="C233" s="251"/>
      <x:c r="D233" s="252">
        <x:v/>
      </x:c>
      <x:c r="E233" s="230"/>
      <x:c r="F233" s="230"/>
      <x:c r="G233" s="230"/>
      <x:c r="H233" s="230"/>
      <x:c r="I233" s="230"/>
      <x:c r="J233" s="231"/>
    </x:row>
    <x:row r="234" spans="2:10">
      <x:c r="B234" s="229"/>
      <x:c r="C234" s="251"/>
      <x:c r="D234" s="252">
        <x:v/>
      </x:c>
      <x:c r="E234" s="230"/>
      <x:c r="F234" s="230"/>
      <x:c r="G234" s="230"/>
      <x:c r="H234" s="230"/>
      <x:c r="I234" s="230"/>
      <x:c r="J234" s="231"/>
    </x:row>
    <x:row r="235" spans="2:10">
      <x:c r="B235" s="229"/>
      <x:c r="C235" s="251"/>
      <x:c r="D235" s="253">
        <x:v/>
      </x:c>
      <x:c r="E235" s="230"/>
      <x:c r="F235" s="230"/>
      <x:c r="G235" s="230"/>
      <x:c r="H235" s="230"/>
      <x:c r="I235" s="230"/>
      <x:c r="J235" s="231"/>
    </x:row>
    <x:row r="236" spans="2:10">
      <x:c r="B236" s="229"/>
      <x:c r="C236" s="251"/>
      <x:c r="D236" s="253">
        <x:v/>
      </x:c>
      <x:c r="E236" s="230"/>
      <x:c r="F236" s="230"/>
      <x:c r="G236" s="230"/>
      <x:c r="H236" s="230"/>
      <x:c r="I236" s="230"/>
      <x:c r="J236" s="231"/>
    </x:row>
    <x:row r="237" spans="2:10">
      <x:c r="B237" s="229"/>
      <x:c r="C237" s="251"/>
      <x:c r="D237" s="253">
        <x:v/>
      </x:c>
      <x:c r="E237" s="230"/>
      <x:c r="F237" s="230"/>
      <x:c r="G237" s="230"/>
      <x:c r="H237" s="230"/>
      <x:c r="I237" s="230"/>
      <x:c r="J237" s="231"/>
    </x:row>
    <x:row r="238" spans="2:10">
      <x:c r="B238" s="229"/>
      <x:c r="C238" s="251"/>
      <x:c r="D238" s="252">
        <x:v/>
      </x:c>
      <x:c r="E238" s="254"/>
      <x:c r="F238" s="254"/>
      <x:c r="G238" s="254"/>
      <x:c r="H238" s="254"/>
      <x:c r="I238" s="254"/>
      <x:c r="J238" s="255"/>
    </x:row>
    <x:row r="239" spans="2:10">
      <x:c r="B239" s="237" t="s">
        <x:v>922</x:v>
      </x:c>
      <x:c r="C239" s="234"/>
      <x:c r="D239" s="235">
        <x:v/>
      </x:c>
      <x:c r="E239" s="235">
        <x:f>SUM(E232:E238)</x:f>
        <x:v>0</x:v>
      </x:c>
      <x:c r="F239" s="235">
        <x:f>SUM(F232:F238)</x:f>
        <x:v>0</x:v>
      </x:c>
      <x:c r="G239" s="235">
        <x:f>SUM(G232:G238)</x:f>
        <x:v>0</x:v>
      </x:c>
      <x:c r="H239" s="235">
        <x:f>SUM(H232:H238)</x:f>
        <x:v>0</x:v>
      </x:c>
      <x:c r="I239" s="235">
        <x:f>SUM(I232:I238)</x:f>
        <x:v>0</x:v>
      </x:c>
      <x:c r="J239" s="236"/>
    </x:row>
    <x:row r="240" spans="2:10">
      <x:c r="B240" s="237"/>
      <x:c r="C240" s="234"/>
      <x:c r="D240" s="234">
        <x:v/>
      </x:c>
      <x:c r="E240" s="235"/>
      <x:c r="F240" s="235"/>
      <x:c r="G240" s="235"/>
      <x:c r="H240" s="235"/>
      <x:c r="I240" s="235"/>
      <x:c r="J240" s="236"/>
    </x:row>
    <x:row r="241" spans="2:10">
      <x:c r="B241" s="256" t="s">
        <x:v>1529</x:v>
      </x:c>
      <x:c r="C241" s="257"/>
      <x:c r="D241" s="258">
        <x:v/>
      </x:c>
      <x:c r="E241" s="240"/>
      <x:c r="F241" s="230"/>
      <x:c r="G241" s="230"/>
      <x:c r="H241" s="230"/>
      <x:c r="I241" s="230"/>
      <x:c r="J241" s="241"/>
    </x:row>
    <x:row r="242" spans="2:10">
      <x:c r="B242" s="238" t="s">
        <x:v>1530</x:v>
      </x:c>
      <x:c r="C242" s="239"/>
      <x:c r="D242" s="258">
        <x:v/>
      </x:c>
      <x:c r="E242" s="240"/>
      <x:c r="F242" s="230"/>
      <x:c r="G242" s="230"/>
      <x:c r="H242" s="230"/>
      <x:c r="I242" s="230"/>
      <x:c r="J242" s="241"/>
    </x:row>
    <x:row r="243" spans="2:10">
      <x:c r="B243" s="238" t="s">
        <x:v>1531</x:v>
      </x:c>
      <x:c r="C243" s="239"/>
      <x:c r="D243" s="258">
        <x:v/>
      </x:c>
      <x:c r="E243" s="240"/>
      <x:c r="F243" s="230"/>
      <x:c r="G243" s="230"/>
      <x:c r="H243" s="230"/>
      <x:c r="I243" s="230"/>
      <x:c r="J243" s="241"/>
    </x:row>
    <x:row r="244" spans="2:10">
      <x:c r="B244" s="238" t="s">
        <x:v>1532</x:v>
      </x:c>
      <x:c r="C244" s="239"/>
      <x:c r="D244" s="258">
        <x:v/>
      </x:c>
      <x:c r="E244" s="240"/>
      <x:c r="F244" s="230"/>
      <x:c r="G244" s="230"/>
      <x:c r="H244" s="230"/>
      <x:c r="I244" s="230"/>
      <x:c r="J244" s="241"/>
    </x:row>
    <x:row r="245" spans="2:10" ht="5.0999999999999996" customHeight="1">
      <x:c r="B245" s="232"/>
      <x:c r="C245" s="233"/>
      <x:c r="D245" s="234">
        <x:v/>
      </x:c>
      <x:c r="E245" s="235"/>
      <x:c r="F245" s="235"/>
      <x:c r="G245" s="235"/>
      <x:c r="H245" s="235"/>
      <x:c r="I245" s="235"/>
      <x:c r="J245" s="236"/>
    </x:row>
    <x:row r="246" spans="2:10">
      <x:c r="B246" s="259" t="s">
        <x:v>876</x:v>
      </x:c>
      <x:c r="C246" s="260"/>
      <x:c r="D246" s="234">
        <x:v/>
      </x:c>
      <x:c r="E246" s="235">
        <x:f>SUM(E241:E245)+E239</x:f>
        <x:v>0</x:v>
      </x:c>
      <x:c r="F246" s="235">
        <x:f>SUM(F241:F245)+F239</x:f>
        <x:v>0</x:v>
      </x:c>
      <x:c r="G246" s="235">
        <x:f>SUM(G241:G245)+G239</x:f>
        <x:v>0</x:v>
      </x:c>
      <x:c r="H246" s="235">
        <x:f>SUM(H241:H245)+H239</x:f>
        <x:v>0</x:v>
      </x:c>
      <x:c r="I246" s="235">
        <x:f>SUM(I241:I245)+I239</x:f>
        <x:v>0</x:v>
      </x:c>
      <x:c r="J246" s="236"/>
    </x:row>
    <x:row r="247" spans="2:10">
      <x:c r="B247" s="261"/>
      <x:c r="C247" s="262"/>
      <x:c r="D247" s="262">
        <x:v/>
      </x:c>
      <x:c r="E247" s="245"/>
      <x:c r="F247" s="235"/>
      <x:c r="G247" s="235"/>
      <x:c r="H247" s="235"/>
      <x:c r="I247" s="235"/>
      <x:c r="J247" s="247"/>
    </x:row>
    <x:row r="248" spans="2:10">
      <x:c r="B248" s="263" t="s">
        <x:v>237</x:v>
      </x:c>
      <x:c r="C248" s="264"/>
      <x:c r="D248" s="244">
        <x:v/>
      </x:c>
      <x:c r="E248" s="245"/>
      <x:c r="F248" s="245"/>
      <x:c r="G248" s="245"/>
      <x:c r="H248" s="245"/>
      <x:c r="I248" s="246">
        <x:f>+'ATT H-3D'!$H$24</x:f>
        <x:v>0.14582932326077899</x:v>
      </x:c>
      <x:c r="J248" s="247"/>
    </x:row>
    <x:row r="249" spans="2:10">
      <x:c r="B249" s="242" t="s">
        <x:v>215</x:v>
      </x:c>
      <x:c r="C249" s="243"/>
      <x:c r="D249" s="244">
        <x:v/>
      </x:c>
      <x:c r="E249" s="245"/>
      <x:c r="F249" s="245"/>
      <x:c r="G249" s="245"/>
      <x:c r="H249" s="246">
        <x:f>+'ATT H-3D'!$H$45</x:f>
        <x:v>0.36691024632926028</x:v>
      </x:c>
      <x:c r="I249" s="245"/>
      <x:c r="J249" s="247"/>
    </x:row>
    <x:row r="250" spans="2:10">
      <x:c r="B250" s="242" t="s">
        <x:v>856</x:v>
      </x:c>
      <x:c r="C250" s="243"/>
      <x:c r="D250" s="244">
        <x:v/>
      </x:c>
      <x:c r="E250" s="245"/>
      <x:c r="F250" s="245"/>
      <x:c r="G250" s="246">
        <x:v>1</x:v>
      </x:c>
      <x:c r="H250" s="245"/>
      <x:c r="I250" s="245"/>
      <x:c r="J250" s="247"/>
    </x:row>
    <x:row r="251" spans="2:10">
      <x:c r="B251" s="242" t="s">
        <x:v>857</x:v>
      </x:c>
      <x:c r="C251" s="243"/>
      <x:c r="D251" s="244">
        <x:v/>
      </x:c>
      <x:c r="E251" s="245"/>
      <x:c r="F251" s="246">
        <x:v>0</x:v>
      </x:c>
      <x:c r="G251" s="245"/>
      <x:c r="H251" s="245"/>
      <x:c r="I251" s="245"/>
      <x:c r="J251" s="247"/>
    </x:row>
    <x:row r="252" spans="2:10">
      <x:c r="B252" s="248" t="s">
        <x:v>858</x:v>
      </x:c>
      <x:c r="C252" s="243"/>
      <x:c r="D252" s="244">
        <x:v/>
      </x:c>
      <x:c r="E252" s="245">
        <x:f>F252+G252+H252+I252</x:f>
        <x:v>0</x:v>
      </x:c>
      <x:c r="F252" s="245">
        <x:f>F251*F246</x:f>
        <x:v>0</x:v>
      </x:c>
      <x:c r="G252" s="245">
        <x:f>G246*G250</x:f>
        <x:v>0</x:v>
      </x:c>
      <x:c r="H252" s="245">
        <x:f>H246*H249</x:f>
        <x:v>0</x:v>
      </x:c>
      <x:c r="I252" s="245">
        <x:f>I248*I246</x:f>
        <x:v>0</x:v>
      </x:c>
      <x:c r="J252" s="247"/>
    </x:row>
    <x:row r="253" spans="2:10">
      <x:c r="B253" s="249"/>
      <x:c r="E253" s="219"/>
      <x:c r="F253" s="219"/>
      <x:c r="G253" s="219"/>
      <x:c r="H253" s="219"/>
      <x:c r="I253" s="219"/>
      <x:c r="J253" s="250"/>
    </x:row>
    <x:row r="254" spans="2:10">
      <x:c r="B254" s="212"/>
      <x:c r="C254" s="212"/>
      <x:c r="D254" s="212">
        <x:v/>
      </x:c>
      <x:c r="E254" s="212"/>
      <x:c r="F254" s="212"/>
      <x:c r="G254" s="212"/>
      <x:c r="H254" s="212"/>
      <x:c r="I254" s="212"/>
      <x:c r="J254" s="212"/>
    </x:row>
    <x:row r="255" spans="2:10">
      <x:c r="B255" s="212" t="s">
        <x:v>163</x:v>
      </x:c>
      <x:c r="C255" s="62"/>
      <x:c r="D255" s="62">
        <x:v/>
      </x:c>
      <x:c r="E255" s="212" t="s">
        <x:v>164</x:v>
      </x:c>
      <x:c r="F255" s="212" t="s">
        <x:v>1023</x:v>
      </x:c>
      <x:c r="G255" s="212" t="s">
        <x:v>1155</x:v>
      </x:c>
      <x:c r="H255" s="212" t="s">
        <x:v>1156</x:v>
      </x:c>
      <x:c r="I255" s="212" t="s">
        <x:v>1157</x:v>
      </x:c>
      <x:c r="J255" s="212" t="s">
        <x:v>1158</x:v>
      </x:c>
    </x:row>
    <x:row r="256" spans="2:10">
      <x:c r="B256" s="220"/>
      <x:c r="C256" s="62"/>
      <x:c r="D256" s="62">
        <x:v/>
      </x:c>
      <x:c r="E256" s="212"/>
      <x:c r="F256" s="212" t="s">
        <x:v>1188</x:v>
      </x:c>
      <x:c r="G256" s="212" t="s">
        <x:v>231</x:v>
      </x:c>
      <x:c r="H256" s="212"/>
      <x:c r="I256" s="212"/>
      <x:c r="J256" s="62"/>
    </x:row>
    <x:row r="257" spans="2:10">
      <x:c r="B257" s="265"/>
      <x:c r="C257" s="62"/>
      <x:c r="D257" s="62">
        <x:v/>
      </x:c>
      <x:c r="E257" s="212"/>
      <x:c r="F257" s="212" t="s">
        <x:v>1189</x:v>
      </x:c>
      <x:c r="G257" s="212" t="s">
        <x:v>206</x:v>
      </x:c>
      <x:c r="H257" s="212" t="s">
        <x:v>232</x:v>
      </x:c>
      <x:c r="I257" s="212" t="s">
        <x:v>233</x:v>
      </x:c>
      <x:c r="J257" s="62"/>
    </x:row>
    <x:row r="258" spans="2:10" ht="16.5" customHeight="1">
      <x:c r="B258" s="220" t="s">
        <x:v>875</x:v>
      </x:c>
      <x:c r="E258" s="212" t="s">
        <x:v>42</x:v>
      </x:c>
      <x:c r="F258" s="215" t="s">
        <x:v>1190</x:v>
      </x:c>
      <x:c r="G258" s="212" t="s">
        <x:v>234</x:v>
      </x:c>
      <x:c r="H258" s="212" t="s">
        <x:v>234</x:v>
      </x:c>
      <x:c r="I258" s="212" t="s">
        <x:v>234</x:v>
      </x:c>
      <x:c r="J258" s="212" t="s">
        <x:v>238</x:v>
      </x:c>
    </x:row>
    <x:row r="259" spans="2:10">
      <x:c r="B259" s="244" t="s">
        <x:v>921</x:v>
      </x:c>
      <x:c r="C259" s="244"/>
      <x:c r="D259" s="244">
        <x:v/>
      </x:c>
      <x:c r="E259" s="235">
        <x:f>SUM(F259:I259)</x:f>
        <x:v>-78646255</x:v>
      </x:c>
      <x:c r="F259" s="245">
        <x:f>F212</x:f>
        <x:v>-46046768</x:v>
      </x:c>
      <x:c r="G259" s="245">
        <x:f>G212</x:f>
        <x:v>0</x:v>
      </x:c>
      <x:c r="H259" s="245">
        <x:f>H212</x:f>
        <x:v>-8049829</x:v>
      </x:c>
      <x:c r="I259" s="245">
        <x:f>I212</x:f>
        <x:v>-24549658</x:v>
      </x:c>
      <x:c r="J259" s="247"/>
    </x:row>
    <x:row r="260" spans="2:10">
      <x:c r="B260" s="244" t="s">
        <x:v>875</x:v>
      </x:c>
      <x:c r="C260" s="244"/>
      <x:c r="D260" s="244">
        <x:v/>
      </x:c>
      <x:c r="E260" s="235">
        <x:f>SUM(F260:I260)</x:f>
        <x:v>0</x:v>
      </x:c>
      <x:c r="F260" s="245">
        <x:f>F239</x:f>
        <x:v>0</x:v>
      </x:c>
      <x:c r="G260" s="245">
        <x:f>G239</x:f>
        <x:v>0</x:v>
      </x:c>
      <x:c r="H260" s="245">
        <x:f>H239</x:f>
        <x:v>0</x:v>
      </x:c>
      <x:c r="I260" s="245">
        <x:f>I239</x:f>
        <x:v>0</x:v>
      </x:c>
      <x:c r="J260" s="247"/>
    </x:row>
    <x:row r="261" spans="2:10">
      <x:c r="B261" s="237" t="s">
        <x:v>871</x:v>
      </x:c>
      <x:c r="C261" s="244"/>
      <x:c r="D261" s="244">
        <x:v/>
      </x:c>
      <x:c r="E261" s="245">
        <x:f>E259+E260</x:f>
        <x:v>-78646255</x:v>
      </x:c>
      <x:c r="F261" s="245">
        <x:f>F259+F260</x:f>
        <x:v>-46046768</x:v>
      </x:c>
      <x:c r="G261" s="245">
        <x:f>G259+G260</x:f>
        <x:v>0</x:v>
      </x:c>
      <x:c r="H261" s="245">
        <x:f>H259+H260</x:f>
        <x:v>-8049829</x:v>
      </x:c>
      <x:c r="I261" s="245">
        <x:f>I259+I260</x:f>
        <x:v>-24549658</x:v>
      </x:c>
      <x:c r="J261" s="247"/>
    </x:row>
    <x:row r="262" spans="2:10">
      <x:c r="B262" s="1511"/>
      <x:c r="C262" s="1512"/>
      <x:c r="D262" s="1512">
        <x:v/>
      </x:c>
      <x:c r="E262" s="1513"/>
      <x:c r="F262" s="1513"/>
      <x:c r="G262" s="1513"/>
      <x:c r="H262" s="1513"/>
      <x:c r="I262" s="1513"/>
      <x:c r="J262" s="1514"/>
    </x:row>
    <x:row r="263" spans="2:10">
      <x:c r="B263" s="249"/>
      <x:c r="E263" s="219"/>
      <x:c r="F263" s="219"/>
      <x:c r="G263" s="219"/>
      <x:c r="H263" s="219"/>
      <x:c r="I263" s="219"/>
      <x:c r="J263" s="250"/>
    </x:row>
    <x:row r="264" spans="2:10" s="62" customFormat="1">
      <x:c r="B264" s="220" t="s">
        <x:v>241</x:v>
      </x:c>
      <x:c r="G264" s="270"/>
      <x:c r="H264" s="270"/>
      <x:c r="I264" s="270"/>
      <x:c r="J264" s="271"/>
    </x:row>
    <x:row r="265" spans="2:10" s="62" customFormat="1" ht="12.75" customHeight="1">
      <x:c r="B265" s="1603" t="s">
        <x:v>2162</x:v>
      </x:c>
      <x:c r="C265" s="1603"/>
      <x:c r="D265" s="1603">
        <x:v/>
      </x:c>
      <x:c r="E265" s="1603"/>
      <x:c r="F265" s="1603"/>
      <x:c r="G265" s="1603"/>
      <x:c r="H265" s="1603"/>
      <x:c r="I265" s="1603"/>
      <x:c r="J265" s="271"/>
    </x:row>
    <x:row r="266" spans="2:10" s="62" customFormat="1">
      <x:c r="B266" s="278" t="s">
        <x:v>2163</x:v>
      </x:c>
      <x:c r="G266" s="270"/>
      <x:c r="H266" s="270"/>
      <x:c r="I266" s="270"/>
      <x:c r="J266" s="271"/>
    </x:row>
    <x:row r="267" spans="2:10" s="62" customFormat="1">
      <x:c r="B267" s="278" t="s">
        <x:v>2164</x:v>
      </x:c>
      <x:c r="G267" s="270"/>
      <x:c r="H267" s="270"/>
      <x:c r="I267" s="270"/>
      <x:c r="J267" s="271"/>
    </x:row>
    <x:row r="268" spans="2:10" s="62" customFormat="1">
      <x:c r="B268" s="278" t="s">
        <x:v>2165</x:v>
      </x:c>
      <x:c r="G268" s="270"/>
      <x:c r="H268" s="270"/>
      <x:c r="I268" s="270"/>
      <x:c r="J268" s="271"/>
    </x:row>
    <x:row r="269" spans="2:10" s="62" customFormat="1" ht="15.75" customHeight="1">
      <x:c r="B269" s="1604" t="s">
        <x:v>863</x:v>
      </x:c>
      <x:c r="C269" s="1604"/>
      <x:c r="D269" s="1604">
        <x:v/>
      </x:c>
      <x:c r="E269" s="1604"/>
      <x:c r="F269" s="1604"/>
      <x:c r="G269" s="1604"/>
      <x:c r="H269" s="1604"/>
      <x:c r="I269" s="1604"/>
    </x:row>
    <x:row r="270" spans="2:10" s="62" customFormat="1">
      <x:c r="B270" s="273" t="s">
        <x:v>2169</x:v>
      </x:c>
      <x:c r="G270" s="270"/>
      <x:c r="H270" s="270"/>
      <x:c r="I270" s="270"/>
      <x:c r="J270" s="271"/>
    </x:row>
    <x:row r="271" spans="2:10">
      <x:c r="B271" s="278" t="s">
        <x:v>2168</x:v>
      </x:c>
    </x:row>
    <x:row r="272" spans="2:10" ht="12" customHeight="1">
      <x:c r="B272" s="279"/>
      <x:c r="C272" s="280"/>
      <x:c r="D272" s="281">
        <x:v/>
      </x:c>
      <x:c r="E272" s="281"/>
      <x:c r="F272" s="281"/>
      <x:c r="G272" s="281"/>
      <x:c r="H272" s="281"/>
      <x:c r="I272" s="281"/>
      <x:c r="J272" s="281"/>
    </x:row>
    <x:row r="273" spans="2:10" ht="12.75" customHeight="1">
      <x:c r="B273" s="279"/>
      <x:c r="C273" s="281"/>
      <x:c r="D273" s="281">
        <x:v/>
      </x:c>
      <x:c r="E273" s="281"/>
      <x:c r="F273" s="281"/>
      <x:c r="G273" s="281"/>
      <x:c r="H273" s="281"/>
      <x:c r="I273" s="281"/>
      <x:c r="J273" s="281"/>
    </x:row>
    <x:row r="274" spans="2:10">
      <x:c r="B274" s="212" t="s">
        <x:v>163</x:v>
      </x:c>
      <x:c r="C274" s="62"/>
      <x:c r="D274" s="62">
        <x:v/>
      </x:c>
      <x:c r="E274" s="212" t="s">
        <x:v>164</x:v>
      </x:c>
      <x:c r="F274" s="212" t="s">
        <x:v>1023</x:v>
      </x:c>
      <x:c r="G274" s="212" t="s">
        <x:v>1155</x:v>
      </x:c>
      <x:c r="H274" s="212" t="s">
        <x:v>1156</x:v>
      </x:c>
      <x:c r="I274" s="212" t="s">
        <x:v>1157</x:v>
      </x:c>
      <x:c r="J274" s="212" t="s">
        <x:v>1158</x:v>
      </x:c>
    </x:row>
    <x:row r="275" spans="2:10">
      <x:c r="B275" s="220"/>
      <x:c r="C275" s="62"/>
      <x:c r="D275" s="62">
        <x:v/>
      </x:c>
      <x:c r="E275" s="212"/>
      <x:c r="F275" s="212" t="s">
        <x:v>1188</x:v>
      </x:c>
      <x:c r="G275" s="212" t="s">
        <x:v>231</x:v>
      </x:c>
      <x:c r="H275" s="212"/>
      <x:c r="I275" s="212"/>
      <x:c r="J275" s="62"/>
    </x:row>
    <x:row r="276" spans="2:10">
      <x:c r="B276" s="265"/>
      <x:c r="C276" s="62"/>
      <x:c r="D276" s="62">
        <x:v/>
      </x:c>
      <x:c r="E276" s="212"/>
      <x:c r="F276" s="212" t="s">
        <x:v>1189</x:v>
      </x:c>
      <x:c r="G276" s="212" t="s">
        <x:v>206</x:v>
      </x:c>
      <x:c r="H276" s="212" t="s">
        <x:v>232</x:v>
      </x:c>
      <x:c r="I276" s="212" t="s">
        <x:v>233</x:v>
      </x:c>
      <x:c r="J276" s="62"/>
    </x:row>
    <x:row r="277" spans="2:10">
      <x:c r="B277" s="220" t="s">
        <x:v>1196</x:v>
      </x:c>
      <x:c r="E277" s="212" t="s">
        <x:v>42</x:v>
      </x:c>
      <x:c r="F277" s="215" t="s">
        <x:v>1190</x:v>
      </x:c>
      <x:c r="G277" s="212" t="s">
        <x:v>234</x:v>
      </x:c>
      <x:c r="H277" s="212" t="s">
        <x:v>234</x:v>
      </x:c>
      <x:c r="I277" s="212" t="s">
        <x:v>234</x:v>
      </x:c>
      <x:c r="J277" s="212" t="s">
        <x:v>238</x:v>
      </x:c>
    </x:row>
    <x:row r="278" spans="2:10" ht="54.75" customHeight="1">
      <x:c r="B278" s="229" t="s">
        <x:v>1783</x:v>
      </x:c>
      <x:c r="C278" s="251"/>
      <x:c r="D278" s="253">
        <x:v/>
      </x:c>
      <x:c r="E278" s="240">
        <x:f>SUM(F278:I278)</x:f>
        <x:v>-497362</x:v>
      </x:c>
      <x:c r="F278" s="230"/>
      <x:c r="G278" s="230"/>
      <x:c r="H278" s="230">
        <x:v>-497362</x:v>
      </x:c>
      <x:c r="I278" s="230"/>
      <x:c r="J278" s="282" t="s">
        <x:v>1383</x:v>
      </x:c>
    </x:row>
    <x:row r="279" spans="2:10">
      <x:c r="B279" s="342"/>
      <x:c r="C279" s="345"/>
      <x:c r="D279" s="348">
        <x:v/>
      </x:c>
      <x:c r="E279" s="343"/>
      <x:c r="F279" s="343"/>
      <x:c r="G279" s="343"/>
      <x:c r="H279" s="343"/>
      <x:c r="I279" s="343"/>
      <x:c r="J279" s="282"/>
    </x:row>
    <x:row r="280" spans="2:10">
      <x:c r="B280" s="229"/>
      <x:c r="C280" s="251"/>
      <x:c r="D280" s="253">
        <x:v/>
      </x:c>
      <x:c r="E280" s="230"/>
      <x:c r="F280" s="230"/>
      <x:c r="G280" s="230"/>
      <x:c r="H280" s="230"/>
      <x:c r="I280" s="230"/>
      <x:c r="J280" s="282"/>
    </x:row>
    <x:row r="281" spans="2:10">
      <x:c r="B281" s="229"/>
      <x:c r="C281" s="251"/>
      <x:c r="D281" s="253">
        <x:v/>
      </x:c>
      <x:c r="E281" s="230"/>
      <x:c r="F281" s="230"/>
      <x:c r="G281" s="230"/>
      <x:c r="H281" s="230"/>
      <x:c r="I281" s="230"/>
      <x:c r="J281" s="282"/>
    </x:row>
    <x:row r="282" spans="2:10">
      <x:c r="B282" s="229"/>
      <x:c r="C282" s="251"/>
      <x:c r="D282" s="253">
        <x:v/>
      </x:c>
      <x:c r="E282" s="230"/>
      <x:c r="F282" s="230"/>
      <x:c r="G282" s="230"/>
      <x:c r="H282" s="230"/>
      <x:c r="I282" s="230"/>
      <x:c r="J282" s="282"/>
    </x:row>
    <x:row r="283" spans="2:10">
      <x:c r="B283" s="229"/>
      <x:c r="C283" s="251"/>
      <x:c r="D283" s="253">
        <x:v/>
      </x:c>
      <x:c r="E283" s="230"/>
      <x:c r="F283" s="230"/>
      <x:c r="G283" s="230"/>
      <x:c r="H283" s="230"/>
      <x:c r="I283" s="230"/>
      <x:c r="J283" s="282"/>
    </x:row>
    <x:row r="284" spans="2:10">
      <x:c r="B284" s="229"/>
      <x:c r="C284" s="251"/>
      <x:c r="D284" s="253">
        <x:v/>
      </x:c>
      <x:c r="E284" s="230"/>
      <x:c r="F284" s="230"/>
      <x:c r="G284" s="230"/>
      <x:c r="H284" s="230"/>
      <x:c r="I284" s="230"/>
      <x:c r="J284" s="282"/>
    </x:row>
    <x:row r="285" spans="2:10">
      <x:c r="B285" s="237" t="s">
        <x:v>1197</x:v>
      </x:c>
      <x:c r="C285" s="260"/>
      <x:c r="D285" s="234">
        <x:v/>
      </x:c>
      <x:c r="E285" s="235">
        <x:f>SUM(E278:E284)</x:f>
        <x:v>-497362</x:v>
      </x:c>
      <x:c r="F285" s="235">
        <x:f>SUM(F278:F284)</x:f>
        <x:v>0</x:v>
      </x:c>
      <x:c r="G285" s="235">
        <x:f>SUM(G278:G284)</x:f>
        <x:v>0</x:v>
      </x:c>
      <x:c r="H285" s="235">
        <x:f>SUM(H278:H284)</x:f>
        <x:v>-497362</x:v>
      </x:c>
      <x:c r="I285" s="235">
        <x:f>SUM(I278:I284)</x:f>
        <x:v>0</x:v>
      </x:c>
      <x:c r="J285" s="236"/>
    </x:row>
    <x:row r="286" spans="2:10">
      <x:c r="B286" s="237"/>
      <x:c r="C286" s="234"/>
      <x:c r="D286" s="234">
        <x:v/>
      </x:c>
      <x:c r="E286" s="235"/>
      <x:c r="F286" s="235"/>
      <x:c r="G286" s="235"/>
      <x:c r="H286" s="235"/>
      <x:c r="I286" s="235"/>
      <x:c r="J286" s="236"/>
    </x:row>
    <x:row r="287" spans="2:10">
      <x:c r="B287" s="238"/>
      <x:c r="C287" s="239"/>
      <x:c r="D287" s="258">
        <x:v/>
      </x:c>
      <x:c r="E287" s="240"/>
      <x:c r="F287" s="230"/>
      <x:c r="G287" s="230"/>
      <x:c r="H287" s="230">
        <x:v>0</x:v>
      </x:c>
      <x:c r="I287" s="230"/>
      <x:c r="J287" s="241"/>
    </x:row>
    <x:row r="288" spans="2:10">
      <x:c r="B288" s="238"/>
      <x:c r="C288" s="239"/>
      <x:c r="D288" s="258">
        <x:v/>
      </x:c>
      <x:c r="E288" s="240"/>
      <x:c r="F288" s="230"/>
      <x:c r="G288" s="230"/>
      <x:c r="H288" s="230">
        <x:v>0</x:v>
      </x:c>
      <x:c r="I288" s="230"/>
      <x:c r="J288" s="241"/>
    </x:row>
    <x:row r="289" spans="2:10">
      <x:c r="B289" s="238"/>
      <x:c r="C289" s="239"/>
      <x:c r="D289" s="258">
        <x:v/>
      </x:c>
      <x:c r="E289" s="240"/>
      <x:c r="F289" s="230"/>
      <x:c r="G289" s="230"/>
      <x:c r="H289" s="230">
        <x:v>0</x:v>
      </x:c>
      <x:c r="I289" s="230"/>
      <x:c r="J289" s="241"/>
    </x:row>
    <x:row r="290" spans="2:10">
      <x:c r="B290" s="238"/>
      <x:c r="C290" s="239"/>
      <x:c r="D290" s="258">
        <x:v/>
      </x:c>
      <x:c r="E290" s="240"/>
      <x:c r="F290" s="230"/>
      <x:c r="G290" s="230"/>
      <x:c r="H290" s="230">
        <x:v>0</x:v>
      </x:c>
      <x:c r="I290" s="230"/>
      <x:c r="J290" s="241"/>
    </x:row>
    <x:row r="291" spans="2:10" ht="5.0999999999999996" customHeight="1">
      <x:c r="B291" s="232"/>
      <x:c r="C291" s="233"/>
      <x:c r="D291" s="234">
        <x:v/>
      </x:c>
      <x:c r="E291" s="235"/>
      <x:c r="F291" s="235"/>
      <x:c r="G291" s="235"/>
      <x:c r="H291" s="235"/>
      <x:c r="I291" s="235"/>
      <x:c r="J291" s="236"/>
    </x:row>
    <x:row r="292" spans="2:10">
      <x:c r="B292" s="237" t="s">
        <x:v>1198</x:v>
      </x:c>
      <x:c r="C292" s="234"/>
      <x:c r="D292" s="234">
        <x:v/>
      </x:c>
      <x:c r="E292" s="235">
        <x:f>SUM(E287:E291)+E285</x:f>
        <x:v>-497362</x:v>
      </x:c>
      <x:c r="F292" s="235">
        <x:f>SUM(F287:F287)+F285</x:f>
        <x:v>0</x:v>
      </x:c>
      <x:c r="G292" s="235">
        <x:f>SUM(G287:G287)+G285</x:f>
        <x:v>0</x:v>
      </x:c>
      <x:c r="H292" s="235">
        <x:f>SUM(H287:H287)+H285</x:f>
        <x:v>-497362</x:v>
      </x:c>
      <x:c r="I292" s="235">
        <x:f>SUM(I287:I287)+I285</x:f>
        <x:v>0</x:v>
      </x:c>
      <x:c r="J292" s="236"/>
    </x:row>
    <x:row r="293" spans="2:10">
      <x:c r="B293" s="283"/>
      <x:c r="C293" s="244"/>
      <x:c r="D293" s="244">
        <x:v/>
      </x:c>
      <x:c r="E293" s="245"/>
      <x:c r="F293" s="235"/>
      <x:c r="G293" s="235"/>
      <x:c r="H293" s="235"/>
      <x:c r="I293" s="235"/>
      <x:c r="J293" s="247"/>
    </x:row>
    <x:row r="294" spans="2:10">
      <x:c r="B294" s="242" t="s">
        <x:v>237</x:v>
      </x:c>
      <x:c r="C294" s="243"/>
      <x:c r="D294" s="244">
        <x:v/>
      </x:c>
      <x:c r="E294" s="245"/>
      <x:c r="F294" s="245"/>
      <x:c r="G294" s="245"/>
      <x:c r="H294" s="245"/>
      <x:c r="I294" s="246">
        <x:f>+'ATT H-3D'!$H$24</x:f>
        <x:v>0.14582932326077899</x:v>
      </x:c>
      <x:c r="J294" s="247"/>
    </x:row>
    <x:row r="295" spans="2:10">
      <x:c r="B295" s="242" t="s">
        <x:v>215</x:v>
      </x:c>
      <x:c r="C295" s="243"/>
      <x:c r="D295" s="244">
        <x:v/>
      </x:c>
      <x:c r="E295" s="245"/>
      <x:c r="F295" s="245"/>
      <x:c r="G295" s="245"/>
      <x:c r="H295" s="246">
        <x:f>'ATT H-3D'!H45</x:f>
        <x:v>0.36691024632926028</x:v>
      </x:c>
      <x:c r="I295" s="245"/>
      <x:c r="J295" s="247"/>
    </x:row>
    <x:row r="296" spans="2:10">
      <x:c r="B296" s="242" t="s">
        <x:v>856</x:v>
      </x:c>
      <x:c r="C296" s="243"/>
      <x:c r="D296" s="244">
        <x:v/>
      </x:c>
      <x:c r="E296" s="245"/>
      <x:c r="F296" s="245"/>
      <x:c r="G296" s="246">
        <x:v>1</x:v>
      </x:c>
      <x:c r="H296" s="245"/>
      <x:c r="I296" s="245"/>
      <x:c r="J296" s="247"/>
    </x:row>
    <x:row r="297" spans="2:10">
      <x:c r="B297" s="242" t="s">
        <x:v>857</x:v>
      </x:c>
      <x:c r="C297" s="243"/>
      <x:c r="D297" s="244">
        <x:v/>
      </x:c>
      <x:c r="E297" s="245"/>
      <x:c r="F297" s="246">
        <x:v>0</x:v>
      </x:c>
      <x:c r="G297" s="245"/>
      <x:c r="H297" s="245"/>
      <x:c r="I297" s="245"/>
      <x:c r="J297" s="247"/>
    </x:row>
    <x:row r="298" spans="2:10">
      <x:c r="B298" s="248" t="s">
        <x:v>1503</x:v>
      </x:c>
      <x:c r="C298" s="243"/>
      <x:c r="D298" s="244">
        <x:v/>
      </x:c>
      <x:c r="E298" s="245">
        <x:f>F298+G298+H298+I298</x:f>
        <x:v>-182487.21393481354</x:v>
      </x:c>
      <x:c r="F298" s="245">
        <x:f>F297*F292</x:f>
        <x:v>0</x:v>
      </x:c>
      <x:c r="G298" s="245">
        <x:f>G292*G296</x:f>
        <x:v>0</x:v>
      </x:c>
      <x:c r="H298" s="245">
        <x:f>H292*H295</x:f>
        <x:v>-182487.21393481354</x:v>
      </x:c>
      <x:c r="I298" s="245">
        <x:f>I294*I292</x:f>
        <x:v>0</x:v>
      </x:c>
      <x:c r="J298" s="247"/>
    </x:row>
    <x:row r="299" spans="2:10" ht="12.75" customHeight="1">
      <x:c r="B299" s="279"/>
      <x:c r="C299" s="281"/>
      <x:c r="D299" s="281">
        <x:v/>
      </x:c>
      <x:c r="E299" s="281"/>
      <x:c r="F299" s="281"/>
      <x:c r="G299" s="281"/>
      <x:c r="H299" s="281"/>
      <x:c r="I299" s="281"/>
      <x:c r="J299" s="281"/>
    </x:row>
    <x:row r="300" spans="2:10" ht="12.75" customHeight="1">
      <x:c r="B300" s="279"/>
      <x:c r="C300" s="281"/>
      <x:c r="D300" s="281">
        <x:v/>
      </x:c>
      <x:c r="E300" s="281"/>
      <x:c r="F300" s="281"/>
      <x:c r="G300" s="281"/>
      <x:c r="H300" s="281"/>
      <x:c r="I300" s="281"/>
      <x:c r="J300" s="281"/>
    </x:row>
    <x:row r="301" spans="2:10">
      <x:c r="B301" s="212" t="s">
        <x:v>163</x:v>
      </x:c>
      <x:c r="C301" s="62"/>
      <x:c r="D301" s="62">
        <x:v/>
      </x:c>
      <x:c r="E301" s="212" t="s">
        <x:v>164</x:v>
      </x:c>
      <x:c r="F301" s="212" t="s">
        <x:v>1023</x:v>
      </x:c>
      <x:c r="G301" s="212" t="s">
        <x:v>1155</x:v>
      </x:c>
      <x:c r="H301" s="212" t="s">
        <x:v>1156</x:v>
      </x:c>
      <x:c r="I301" s="212" t="s">
        <x:v>1157</x:v>
      </x:c>
      <x:c r="J301" s="212" t="s">
        <x:v>1158</x:v>
      </x:c>
    </x:row>
    <x:row r="302" spans="2:10">
      <x:c r="B302" s="220"/>
      <x:c r="C302" s="62"/>
      <x:c r="D302" s="62">
        <x:v/>
      </x:c>
      <x:c r="E302" s="212"/>
      <x:c r="F302" s="212" t="s">
        <x:v>1188</x:v>
      </x:c>
      <x:c r="G302" s="212" t="s">
        <x:v>231</x:v>
      </x:c>
      <x:c r="H302" s="212"/>
      <x:c r="I302" s="212"/>
      <x:c r="J302" s="62"/>
    </x:row>
    <x:row r="303" spans="2:10">
      <x:c r="B303" s="265"/>
      <x:c r="C303" s="62"/>
      <x:c r="D303" s="62">
        <x:v/>
      </x:c>
      <x:c r="E303" s="212"/>
      <x:c r="F303" s="212" t="s">
        <x:v>1189</x:v>
      </x:c>
      <x:c r="G303" s="212" t="s">
        <x:v>206</x:v>
      </x:c>
      <x:c r="H303" s="212" t="s">
        <x:v>232</x:v>
      </x:c>
      <x:c r="I303" s="212" t="s">
        <x:v>233</x:v>
      </x:c>
      <x:c r="J303" s="62"/>
    </x:row>
    <x:row r="304" spans="2:10">
      <x:c r="B304" s="220" t="s">
        <x:v>1092</x:v>
      </x:c>
      <x:c r="E304" s="212" t="s">
        <x:v>42</x:v>
      </x:c>
      <x:c r="F304" s="215" t="s">
        <x:v>1190</x:v>
      </x:c>
      <x:c r="G304" s="212" t="s">
        <x:v>234</x:v>
      </x:c>
      <x:c r="H304" s="212" t="s">
        <x:v>234</x:v>
      </x:c>
      <x:c r="I304" s="212" t="s">
        <x:v>234</x:v>
      </x:c>
      <x:c r="J304" s="212" t="s">
        <x:v>238</x:v>
      </x:c>
    </x:row>
    <x:row r="305" spans="2:10" ht="52.5" customHeight="1">
      <x:c r="B305" s="238" t="s">
        <x:v>1092</x:v>
      </x:c>
      <x:c r="C305" s="251"/>
      <x:c r="D305" s="253">
        <x:v/>
      </x:c>
      <x:c r="E305" s="240">
        <x:f>SUM(F305:I305)</x:f>
        <x:v>144738</x:v>
      </x:c>
      <x:c r="F305" s="230"/>
      <x:c r="G305" s="230"/>
      <x:c r="H305" s="230">
        <x:v>144738</x:v>
      </x:c>
      <x:c r="I305" s="230"/>
      <x:c r="J305" s="282" t="s">
        <x:v>1383</x:v>
      </x:c>
    </x:row>
    <x:row r="306" spans="2:10">
      <x:c r="B306" s="229"/>
      <x:c r="C306" s="251"/>
      <x:c r="D306" s="253">
        <x:v/>
      </x:c>
      <x:c r="E306" s="230"/>
      <x:c r="F306" s="230"/>
      <x:c r="G306" s="230"/>
      <x:c r="H306" s="230"/>
      <x:c r="I306" s="230"/>
      <x:c r="J306" s="282"/>
    </x:row>
    <x:row r="307" spans="2:10">
      <x:c r="B307" s="229"/>
      <x:c r="C307" s="251"/>
      <x:c r="D307" s="253">
        <x:v/>
      </x:c>
      <x:c r="E307" s="230"/>
      <x:c r="F307" s="230"/>
      <x:c r="G307" s="230"/>
      <x:c r="H307" s="230"/>
      <x:c r="I307" s="230"/>
      <x:c r="J307" s="282"/>
    </x:row>
    <x:row r="308" spans="2:10">
      <x:c r="B308" s="229"/>
      <x:c r="C308" s="251"/>
      <x:c r="D308" s="253">
        <x:v/>
      </x:c>
      <x:c r="E308" s="230"/>
      <x:c r="F308" s="230"/>
      <x:c r="G308" s="230"/>
      <x:c r="H308" s="230"/>
      <x:c r="I308" s="230"/>
      <x:c r="J308" s="282"/>
    </x:row>
    <x:row r="309" spans="2:10">
      <x:c r="B309" s="229"/>
      <x:c r="C309" s="251"/>
      <x:c r="D309" s="253">
        <x:v/>
      </x:c>
      <x:c r="E309" s="230"/>
      <x:c r="F309" s="230"/>
      <x:c r="G309" s="230"/>
      <x:c r="H309" s="230"/>
      <x:c r="I309" s="230"/>
      <x:c r="J309" s="282"/>
    </x:row>
    <x:row r="310" spans="2:10">
      <x:c r="B310" s="237" t="s">
        <x:v>1200</x:v>
      </x:c>
      <x:c r="C310" s="284"/>
      <x:c r="D310" s="234">
        <x:v/>
      </x:c>
      <x:c r="E310" s="235">
        <x:f>SUM(E305:E309)</x:f>
        <x:v>144738</x:v>
      </x:c>
      <x:c r="F310" s="235">
        <x:f>SUM(F305:F309)</x:f>
        <x:v>0</x:v>
      </x:c>
      <x:c r="G310" s="235">
        <x:f>SUM(G305:G309)</x:f>
        <x:v>0</x:v>
      </x:c>
      <x:c r="H310" s="235">
        <x:f>SUM(H305:H309)</x:f>
        <x:v>144738</x:v>
      </x:c>
      <x:c r="I310" s="235">
        <x:f>SUM(I305:I309)</x:f>
        <x:v>0</x:v>
      </x:c>
      <x:c r="J310" s="236"/>
    </x:row>
    <x:row r="311" spans="2:10">
      <x:c r="B311" s="237"/>
      <x:c r="C311" s="234"/>
      <x:c r="D311" s="234">
        <x:v/>
      </x:c>
      <x:c r="E311" s="235"/>
      <x:c r="F311" s="235"/>
      <x:c r="G311" s="235"/>
      <x:c r="H311" s="235"/>
      <x:c r="I311" s="235"/>
      <x:c r="J311" s="236"/>
    </x:row>
    <x:row r="312" spans="2:10">
      <x:c r="B312" s="238"/>
      <x:c r="C312" s="239"/>
      <x:c r="D312" s="258">
        <x:v/>
      </x:c>
      <x:c r="E312" s="240"/>
      <x:c r="F312" s="230"/>
      <x:c r="G312" s="230"/>
      <x:c r="H312" s="230"/>
      <x:c r="I312" s="230"/>
      <x:c r="J312" s="241"/>
    </x:row>
    <x:row r="313" spans="2:10">
      <x:c r="B313" s="238"/>
      <x:c r="C313" s="239"/>
      <x:c r="D313" s="258">
        <x:v/>
      </x:c>
      <x:c r="E313" s="240"/>
      <x:c r="F313" s="230"/>
      <x:c r="G313" s="230"/>
      <x:c r="H313" s="230"/>
      <x:c r="I313" s="230"/>
      <x:c r="J313" s="241"/>
    </x:row>
    <x:row r="314" spans="2:10">
      <x:c r="B314" s="238"/>
      <x:c r="C314" s="239"/>
      <x:c r="D314" s="258">
        <x:v/>
      </x:c>
      <x:c r="E314" s="240"/>
      <x:c r="F314" s="230"/>
      <x:c r="G314" s="230"/>
      <x:c r="H314" s="230"/>
      <x:c r="I314" s="230"/>
      <x:c r="J314" s="241"/>
    </x:row>
    <x:row r="315" spans="2:10">
      <x:c r="B315" s="238"/>
      <x:c r="C315" s="239"/>
      <x:c r="D315" s="258">
        <x:v/>
      </x:c>
      <x:c r="E315" s="240"/>
      <x:c r="F315" s="230"/>
      <x:c r="G315" s="230"/>
      <x:c r="H315" s="230"/>
      <x:c r="I315" s="230"/>
      <x:c r="J315" s="241"/>
    </x:row>
    <x:row r="316" spans="2:10" ht="5.0999999999999996" customHeight="1">
      <x:c r="B316" s="232"/>
      <x:c r="C316" s="233"/>
      <x:c r="D316" s="234">
        <x:v/>
      </x:c>
      <x:c r="E316" s="235"/>
      <x:c r="F316" s="235"/>
      <x:c r="G316" s="235"/>
      <x:c r="H316" s="235"/>
      <x:c r="I316" s="235"/>
      <x:c r="J316" s="236"/>
    </x:row>
    <x:row r="317" spans="2:10">
      <x:c r="B317" s="237" t="s">
        <x:v>1502</x:v>
      </x:c>
      <x:c r="C317" s="234"/>
      <x:c r="D317" s="234">
        <x:v/>
      </x:c>
      <x:c r="E317" s="235">
        <x:f>SUM(E312:E316)+E310</x:f>
        <x:v>144738</x:v>
      </x:c>
      <x:c r="F317" s="235">
        <x:f>SUM(F312:F316)+F310</x:f>
        <x:v>0</x:v>
      </x:c>
      <x:c r="G317" s="235">
        <x:f>SUM(G312:G316)+G310</x:f>
        <x:v>0</x:v>
      </x:c>
      <x:c r="H317" s="235">
        <x:f>SUM(H312:H316)+H310</x:f>
        <x:v>144738</x:v>
      </x:c>
      <x:c r="I317" s="235">
        <x:f>SUM(I312:I316)+I310</x:f>
        <x:v>0</x:v>
      </x:c>
      <x:c r="J317" s="236"/>
    </x:row>
    <x:row r="318" spans="2:10">
      <x:c r="B318" s="261"/>
      <x:c r="C318" s="262"/>
      <x:c r="D318" s="262">
        <x:v/>
      </x:c>
      <x:c r="E318" s="245"/>
      <x:c r="F318" s="235"/>
      <x:c r="G318" s="235"/>
      <x:c r="H318" s="235"/>
      <x:c r="I318" s="235"/>
      <x:c r="J318" s="247"/>
    </x:row>
    <x:row r="319" spans="2:10">
      <x:c r="B319" s="263" t="s">
        <x:v>237</x:v>
      </x:c>
      <x:c r="C319" s="264"/>
      <x:c r="D319" s="244">
        <x:v/>
      </x:c>
      <x:c r="E319" s="245"/>
      <x:c r="F319" s="245"/>
      <x:c r="G319" s="245"/>
      <x:c r="H319" s="245"/>
      <x:c r="I319" s="246">
        <x:f>+'ATT H-3D'!$H$24</x:f>
        <x:v>0.14582932326077899</x:v>
      </x:c>
      <x:c r="J319" s="247"/>
    </x:row>
    <x:row r="320" spans="2:10">
      <x:c r="B320" s="242" t="s">
        <x:v>215</x:v>
      </x:c>
      <x:c r="C320" s="243"/>
      <x:c r="D320" s="244">
        <x:v/>
      </x:c>
      <x:c r="E320" s="245"/>
      <x:c r="F320" s="245"/>
      <x:c r="G320" s="245"/>
      <x:c r="H320" s="246">
        <x:f>'ATT H-3D'!H45</x:f>
        <x:v>0.36691024632926028</x:v>
      </x:c>
      <x:c r="I320" s="245"/>
      <x:c r="J320" s="247"/>
    </x:row>
    <x:row r="321" spans="1:10">
      <x:c r="B321" s="242" t="s">
        <x:v>856</x:v>
      </x:c>
      <x:c r="C321" s="243"/>
      <x:c r="D321" s="244">
        <x:v/>
      </x:c>
      <x:c r="E321" s="245"/>
      <x:c r="F321" s="245"/>
      <x:c r="G321" s="246">
        <x:v>1</x:v>
      </x:c>
      <x:c r="H321" s="245"/>
      <x:c r="I321" s="245"/>
      <x:c r="J321" s="247"/>
    </x:row>
    <x:row r="322" spans="1:10">
      <x:c r="B322" s="242" t="s">
        <x:v>857</x:v>
      </x:c>
      <x:c r="C322" s="243"/>
      <x:c r="D322" s="244">
        <x:v/>
      </x:c>
      <x:c r="E322" s="245"/>
      <x:c r="F322" s="246">
        <x:v>0</x:v>
      </x:c>
      <x:c r="G322" s="245"/>
      <x:c r="H322" s="245"/>
      <x:c r="I322" s="245"/>
      <x:c r="J322" s="247"/>
    </x:row>
    <x:row r="323" spans="1:10">
      <x:c r="B323" s="248" t="s">
        <x:v>1201</x:v>
      </x:c>
      <x:c r="C323" s="243"/>
      <x:c r="D323" s="244">
        <x:v/>
      </x:c>
      <x:c r="E323" s="245">
        <x:f>F323+G323+H323+I323</x:f>
        <x:v>53105.855233204471</x:v>
      </x:c>
      <x:c r="F323" s="245">
        <x:f>F322*F317</x:f>
        <x:v>0</x:v>
      </x:c>
      <x:c r="G323" s="245">
        <x:f>G317*G321</x:f>
        <x:v>0</x:v>
      </x:c>
      <x:c r="H323" s="245">
        <x:f>H317*H320</x:f>
        <x:v>53105.855233204471</x:v>
      </x:c>
      <x:c r="I323" s="245">
        <x:f>I317*I319</x:f>
        <x:v>0</x:v>
      </x:c>
      <x:c r="J323" s="247"/>
    </x:row>
    <x:row r="324" spans="1:10">
      <x:c r="G324" s="222"/>
    </x:row>
    <x:row r="325" spans="1:10" s="18" customFormat="1" ht="15.75">
      <x:c r="A325" s="84" t="s">
        <x:v>446</x:v>
      </x:c>
      <x:c r="B325" s="124"/>
      <x:c r="C325" s="124"/>
      <x:c r="D325" s="13">
        <x:v/>
      </x:c>
      <x:c r="E325" s="13"/>
      <x:c r="F325" s="125"/>
      <x:c r="G325" s="13"/>
      <x:c r="H325" s="13"/>
      <x:c r="I325" s="13"/>
      <x:c r="J325" s="13"/>
    </x:row>
  </x:sheetData>
  <x:mergeCells count="12">
    <x:mergeCell ref="B193:I193"/>
    <x:mergeCell ref="B265:I265"/>
    <x:mergeCell ref="B269:I269"/>
    <x:mergeCell ref="A1:J1"/>
    <x:mergeCell ref="A2:J2"/>
    <x:mergeCell ref="A3:J3"/>
    <x:mergeCell ref="B6:J6"/>
    <x:mergeCell ref="B25:I26"/>
    <x:mergeCell ref="B29:I30"/>
    <x:mergeCell ref="B120:I120"/>
    <x:mergeCell ref="B124:I124"/>
    <x:mergeCell ref="B189:I189"/>
  </x:mergeCells>
  <x:pageMargins left="0.25" right="0.25" top="0.5" bottom="0.5" header="0.3" footer="0.3"/>
  <x:pageSetup scale="43" fitToHeight="0" orientation="landscape" r:id="rId1"/>
  <x:rowBreaks count="4" manualBreakCount="4">
    <x:brk id="30" max="9" man="1"/>
    <x:brk id="108" max="9" man="1"/>
    <x:brk id="177" max="9" man="1"/>
    <x:brk id="253" max="9"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539B93-D142-4304-AA5E-A4EEF6EB73E9}" mc:Ignorable="x14ac xr xr2 xr3">
  <x:dimension ref="A1:Q325"/>
  <x:sheetViews>
    <x:sheetView zoomScaleNormal="100" zoomScaleSheetLayoutView="90" workbookViewId="0">
      <x:pane ySplit="3" topLeftCell="A4" activePane="bottomLeft" state="frozen"/>
      <x:selection pane="bottomLeft" activeCell="A4" sqref="A4"/>
    </x:sheetView>
  </x:sheetViews>
  <x:sheetFormatPr defaultColWidth="9.140625" defaultRowHeight="12.75"/>
  <x:cols>
    <x:col min="1" max="1" width="5.7109375" style="208" customWidth="1"/>
    <x:col min="2" max="2" width="11.42578125" style="210" customWidth="1"/>
    <x:col min="3" max="3" width="55.28515625" style="208" customWidth="1"/>
    <x:col min="4" max="4" width="0.5703125" style="208" customWidth="1"/>
    <x:col min="5" max="9" width="22.7109375" style="208" customWidth="1"/>
    <x:col min="10" max="10" width="85.7109375" style="208" customWidth="1"/>
    <x:col min="11" max="11" width="5.7109375" style="208" customWidth="1"/>
    <x:col min="12" max="16384" width="9.140625" style="208"/>
  </x:cols>
  <x:sheetData>
    <x:row r="1" spans="1:17" s="1147" customFormat="1" ht="18">
      <x:c r="A1" s="1605" t="s">
        <x:v>1380</x:v>
      </x:c>
      <x:c r="B1" s="1605"/>
      <x:c r="C1" s="1605"/>
      <x:c r="D1" s="1605">
        <x:v/>
      </x:c>
      <x:c r="E1" s="1605"/>
      <x:c r="F1" s="1605"/>
      <x:c r="G1" s="1605"/>
      <x:c r="H1" s="1605"/>
      <x:c r="I1" s="1605"/>
      <x:c r="J1" s="1605"/>
    </x:row>
    <x:row r="2" spans="1:17" s="1148" customFormat="1" ht="15.75">
      <x:c r="A2" s="1606" t="s">
        <x:v>819</x:v>
      </x:c>
      <x:c r="B2" s="1606"/>
      <x:c r="C2" s="1606"/>
      <x:c r="D2" s="1606">
        <x:v/>
      </x:c>
      <x:c r="E2" s="1606"/>
      <x:c r="F2" s="1606"/>
      <x:c r="G2" s="1606"/>
      <x:c r="H2" s="1606"/>
      <x:c r="I2" s="1606"/>
      <x:c r="J2" s="1606"/>
    </x:row>
    <x:row r="3" spans="1:17" s="1148" customFormat="1" ht="15.75">
      <x:c r="A3" s="1607" t="s">
        <x:v>1202</x:v>
      </x:c>
      <x:c r="B3" s="1607"/>
      <x:c r="C3" s="1607"/>
      <x:c r="D3" s="1607">
        <x:v/>
      </x:c>
      <x:c r="E3" s="1607"/>
      <x:c r="F3" s="1607"/>
      <x:c r="G3" s="1607"/>
      <x:c r="H3" s="1607"/>
      <x:c r="I3" s="1607"/>
      <x:c r="J3" s="1607"/>
    </x:row>
    <x:row r="4" spans="1:17">
      <x:c r="B4" s="209"/>
    </x:row>
    <x:row r="5" spans="1:17">
      <x:c r="I5" s="211"/>
    </x:row>
    <x:row r="6" spans="1:17">
      <x:c r="B6" s="1608" t="s">
        <x:v>2102</x:v>
      </x:c>
      <x:c r="C6" s="1608"/>
      <x:c r="D6" s="1608">
        <x:v/>
      </x:c>
      <x:c r="E6" s="1608"/>
      <x:c r="F6" s="1608"/>
      <x:c r="G6" s="1608"/>
      <x:c r="H6" s="1608"/>
      <x:c r="I6" s="1608"/>
      <x:c r="J6" s="1608"/>
    </x:row>
    <x:row r="7" spans="1:17">
      <x:c r="F7" s="212" t="s">
        <x:v>1188</x:v>
      </x:c>
      <x:c r="G7" s="213" t="s">
        <x:v>231</x:v>
      </x:c>
      <x:c r="H7" s="213"/>
    </x:row>
    <x:row r="8" spans="1:17">
      <x:c r="F8" s="212" t="s">
        <x:v>1189</x:v>
      </x:c>
      <x:c r="G8" s="213" t="s">
        <x:v>206</x:v>
      </x:c>
      <x:c r="H8" s="213" t="s">
        <x:v>232</x:v>
      </x:c>
      <x:c r="I8" s="213" t="s">
        <x:v>233</x:v>
      </x:c>
    </x:row>
    <x:row r="9" spans="1:17">
      <x:c r="B9" s="214" t="s">
        <x:v>523</x:v>
      </x:c>
      <x:c r="C9" s="214" t="s">
        <x:v>849</x:v>
      </x:c>
      <x:c r="E9" s="215" t="s">
        <x:v>42</x:v>
      </x:c>
      <x:c r="F9" s="215" t="s">
        <x:v>1190</x:v>
      </x:c>
      <x:c r="G9" s="216" t="s">
        <x:v>234</x:v>
      </x:c>
      <x:c r="H9" s="216" t="s">
        <x:v>234</x:v>
      </x:c>
      <x:c r="I9" s="216" t="s">
        <x:v>234</x:v>
      </x:c>
    </x:row>
    <x:row r="10" spans="1:17" ht="5.0999999999999996" customHeight="1"/>
    <x:row r="11" spans="1:17">
      <x:c r="B11" s="210">
        <x:v>1</x:v>
      </x:c>
      <x:c r="C11" s="217" t="s">
        <x:v>236</x:v>
      </x:c>
      <x:c r="E11" s="218">
        <x:f>F11+G11+H11+I11</x:f>
        <x:v>2942735.3930626675</x:v>
      </x:c>
      <x:c r="F11" s="218">
        <x:f>F81</x:f>
        <x:v>0</x:v>
      </x:c>
      <x:c r="G11" s="218">
        <x:f>G81</x:f>
        <x:v>0</x:v>
      </x:c>
      <x:c r="H11" s="218">
        <x:f>H81</x:f>
        <x:v>2164397.1919484767</x:v>
      </x:c>
      <x:c r="I11" s="218">
        <x:f>I81</x:f>
        <x:v>778338.20111419074</x:v>
      </x:c>
    </x:row>
    <x:row r="12" spans="1:17">
      <x:c r="B12" s="210">
        <x:f>B11+1</x:f>
        <x:v>2</x:v>
      </x:c>
      <x:c r="C12" s="217" t="s">
        <x:v>850</x:v>
      </x:c>
      <x:c r="E12" s="218">
        <x:f>F12+G12+H12+I12</x:f>
        <x:v>0</x:v>
      </x:c>
      <x:c r="F12" s="218">
        <x:v>0</x:v>
      </x:c>
      <x:c r="G12" s="218">
        <x:v>0</x:v>
      </x:c>
      <x:c r="H12" s="218">
        <x:v>0</x:v>
      </x:c>
      <x:c r="I12" s="218">
        <x:v>0</x:v>
      </x:c>
      <x:c r="N12" s="219"/>
      <x:c r="O12" s="219"/>
      <x:c r="P12" s="219"/>
      <x:c r="Q12" s="219"/>
    </x:row>
    <x:row r="13" spans="1:17">
      <x:c r="B13" s="210">
        <x:f>B12+1</x:f>
        <x:v>3</x:v>
      </x:c>
      <x:c r="C13" s="217" t="s">
        <x:v>851</x:v>
      </x:c>
      <x:c r="E13" s="218">
        <x:f>F13+G13+H13+I13</x:f>
        <x:v>-209927200.02276409</x:v>
      </x:c>
      <x:c r="F13" s="218">
        <x:f>F152</x:f>
        <x:v>0</x:v>
      </x:c>
      <x:c r="G13" s="218">
        <x:f>G152</x:f>
        <x:v>0</x:v>
      </x:c>
      <x:c r="H13" s="218">
        <x:f>H152</x:f>
        <x:v>-209927200.02276409</x:v>
      </x:c>
      <x:c r="I13" s="218">
        <x:f>I152</x:f>
        <x:v>0</x:v>
      </x:c>
      <x:c r="N13" s="219"/>
      <x:c r="O13" s="219"/>
      <x:c r="P13" s="219"/>
      <x:c r="Q13" s="219"/>
    </x:row>
    <x:row r="14" spans="1:17">
      <x:c r="B14" s="210">
        <x:f>B13+1</x:f>
        <x:v>4</x:v>
      </x:c>
      <x:c r="C14" s="217" t="s">
        <x:v>235</x:v>
      </x:c>
      <x:c r="E14" s="218">
        <x:f>F14+G14+H14+I14</x:f>
        <x:v>-7157934.6215463597</x:v>
      </x:c>
      <x:c r="F14" s="218">
        <x:f>F225</x:f>
        <x:v>0</x:v>
      </x:c>
      <x:c r="G14" s="218">
        <x:f>G225</x:f>
        <x:v>0</x:v>
      </x:c>
      <x:c r="H14" s="218">
        <x:f>H225</x:f>
        <x:v>-2967310.1278336616</x:v>
      </x:c>
      <x:c r="I14" s="218">
        <x:f>I225</x:f>
        <x:v>-4190624.4937126986</x:v>
      </x:c>
      <x:c r="N14" s="219"/>
      <x:c r="O14" s="219"/>
      <x:c r="P14" s="219"/>
      <x:c r="Q14" s="219"/>
    </x:row>
    <x:row r="15" spans="1:17">
      <x:c r="B15" s="210">
        <x:f>B14+1</x:f>
        <x:v>5</x:v>
      </x:c>
      <x:c r="C15" s="217" t="s">
        <x:v>242</x:v>
      </x:c>
      <x:c r="E15" s="218">
        <x:f>F15+G15+H15+I15</x:f>
        <x:v>-236689.47912831369</x:v>
      </x:c>
      <x:c r="F15" s="218">
        <x:f>F298</x:f>
        <x:v>0</x:v>
      </x:c>
      <x:c r="G15" s="218">
        <x:f>G298</x:f>
        <x:v>0</x:v>
      </x:c>
      <x:c r="H15" s="218">
        <x:f>H298</x:f>
        <x:v>-236689.47912831369</x:v>
      </x:c>
      <x:c r="I15" s="218">
        <x:f>I298</x:f>
        <x:v>0</x:v>
      </x:c>
      <x:c r="N15" s="219"/>
      <x:c r="O15" s="219"/>
      <x:c r="P15" s="219"/>
      <x:c r="Q15" s="219"/>
    </x:row>
    <x:row r="16" spans="1:17" ht="5.0999999999999996" customHeight="1">
      <x:c r="E16" s="413"/>
      <x:c r="F16" s="413"/>
      <x:c r="G16" s="413"/>
      <x:c r="H16" s="413"/>
      <x:c r="I16" s="413"/>
    </x:row>
    <x:row r="17" spans="2:10">
      <x:c r="B17" s="210">
        <x:f>B16+6</x:f>
        <x:v>6</x:v>
      </x:c>
      <x:c r="C17" s="220" t="s">
        <x:v>852</x:v>
      </x:c>
      <x:c r="E17" s="218">
        <x:f>E11+E12+E13+E14+E15</x:f>
        <x:v>-214379088.73037606</x:v>
      </x:c>
      <x:c r="F17" s="218">
        <x:f>F11+F12+F13+F14+F15</x:f>
        <x:v>0</x:v>
      </x:c>
      <x:c r="G17" s="218">
        <x:f>G11+G12+G13+G14+G15</x:f>
        <x:v>0</x:v>
      </x:c>
      <x:c r="H17" s="218">
        <x:f>H11+H12+H13+H14+H15</x:f>
        <x:v>-210966802.43777758</x:v>
      </x:c>
      <x:c r="I17" s="218">
        <x:f>I11+I12+I13+I14+I15</x:f>
        <x:v>-3412286.2925985078</x:v>
      </x:c>
      <x:c r="J17" s="221"/>
    </x:row>
    <x:row r="18" spans="2:10">
      <x:c r="C18" s="210"/>
      <x:c r="F18" s="219"/>
      <x:c r="G18" s="219"/>
      <x:c r="H18" s="219"/>
      <x:c r="I18" s="222"/>
    </x:row>
    <x:row r="19" spans="2:10">
      <x:c r="C19" s="210"/>
      <x:c r="F19" s="219"/>
      <x:c r="G19" s="219"/>
      <x:c r="H19" s="219"/>
      <x:c r="I19" s="222"/>
    </x:row>
    <x:row r="20" spans="2:10">
      <x:c r="B20" s="223" t="s">
        <x:v>523</x:v>
      </x:c>
      <x:c r="C20" s="223" t="s">
        <x:v>1191</x:v>
      </x:c>
      <x:c r="D20" s="62">
        <x:v/>
      </x:c>
      <x:c r="E20" s="215" t="s">
        <x:v>42</x:v>
      </x:c>
      <x:c r="F20" s="62"/>
      <x:c r="G20" s="62"/>
      <x:c r="H20" s="62"/>
      <x:c r="I20" s="412"/>
    </x:row>
    <x:row r="21" spans="2:10">
      <x:c r="B21" s="62"/>
      <x:c r="C21" s="62"/>
      <x:c r="D21" s="62">
        <x:v/>
      </x:c>
      <x:c r="E21" s="62"/>
      <x:c r="F21" s="62"/>
      <x:c r="G21" s="62"/>
      <x:c r="H21" s="62"/>
      <x:c r="I21" s="412"/>
    </x:row>
    <x:row r="22" spans="2:10">
      <x:c r="B22" s="210">
        <x:f>B17+1</x:f>
        <x:v>7</x:v>
      </x:c>
      <x:c r="C22" s="208" t="s">
        <x:v>1192</x:v>
      </x:c>
      <x:c r="E22" s="225">
        <x:v>-794496</x:v>
      </x:c>
      <x:c r="I22" s="226"/>
    </x:row>
    <x:row r="23" spans="2:10">
      <x:c r="B23" s="224"/>
      <x:c r="E23" s="1586"/>
      <x:c r="I23" s="226"/>
    </x:row>
    <x:row r="24" spans="2:10">
      <x:c r="B24" s="208"/>
    </x:row>
    <x:row r="25" spans="2:10" ht="12.75" customHeight="1">
      <x:c r="B25" s="1609" t="s">
        <x:v>1398</x:v>
      </x:c>
      <x:c r="C25" s="1609"/>
      <x:c r="D25" s="1609">
        <x:v/>
      </x:c>
      <x:c r="E25" s="1609"/>
      <x:c r="F25" s="1609"/>
      <x:c r="G25" s="1609"/>
      <x:c r="H25" s="1609"/>
      <x:c r="I25" s="1609"/>
    </x:row>
    <x:row r="26" spans="2:10">
      <x:c r="B26" s="1609"/>
      <x:c r="C26" s="1609"/>
      <x:c r="D26" s="1609">
        <x:v/>
      </x:c>
      <x:c r="E26" s="1609"/>
      <x:c r="F26" s="1609"/>
      <x:c r="G26" s="1609"/>
      <x:c r="H26" s="1609"/>
      <x:c r="I26" s="1609"/>
    </x:row>
    <x:row r="27" spans="2:10">
      <x:c r="B27" s="427"/>
      <x:c r="C27" s="427"/>
      <x:c r="D27" s="427">
        <x:v/>
      </x:c>
      <x:c r="E27" s="427"/>
      <x:c r="F27" s="427"/>
      <x:c r="G27" s="427"/>
      <x:c r="H27" s="427"/>
      <x:c r="I27" s="427"/>
    </x:row>
    <x:row r="29" spans="2:10" ht="15" customHeight="1">
      <x:c r="B29" s="1609" t="s">
        <x:v>1193</x:v>
      </x:c>
      <x:c r="C29" s="1609"/>
      <x:c r="D29" s="1609">
        <x:v/>
      </x:c>
      <x:c r="E29" s="1609"/>
      <x:c r="F29" s="1609"/>
      <x:c r="G29" s="1609"/>
      <x:c r="H29" s="1609"/>
      <x:c r="I29" s="1609"/>
      <x:c r="J29" s="227"/>
    </x:row>
    <x:row r="30" spans="2:10">
      <x:c r="B30" s="1609"/>
      <x:c r="C30" s="1609"/>
      <x:c r="D30" s="1609">
        <x:v/>
      </x:c>
      <x:c r="E30" s="1609"/>
      <x:c r="F30" s="1609"/>
      <x:c r="G30" s="1609"/>
      <x:c r="H30" s="1609"/>
      <x:c r="I30" s="1609"/>
      <x:c r="J30" s="227"/>
    </x:row>
    <x:row r="31" spans="2:10" ht="8.1" customHeight="1">
      <x:c r="C31" s="210"/>
      <x:c r="F31" s="219"/>
      <x:c r="G31" s="219"/>
      <x:c r="H31" s="219"/>
      <x:c r="I31" s="222"/>
    </x:row>
    <x:row r="32" spans="2:10">
      <x:c r="B32" s="212" t="s">
        <x:v>163</x:v>
      </x:c>
      <x:c r="C32" s="212"/>
      <x:c r="D32" s="212">
        <x:v/>
      </x:c>
      <x:c r="E32" s="212" t="s">
        <x:v>164</x:v>
      </x:c>
      <x:c r="F32" s="212" t="s">
        <x:v>1023</x:v>
      </x:c>
      <x:c r="G32" s="212" t="s">
        <x:v>1155</x:v>
      </x:c>
      <x:c r="H32" s="212" t="s">
        <x:v>1156</x:v>
      </x:c>
      <x:c r="I32" s="212" t="s">
        <x:v>1157</x:v>
      </x:c>
      <x:c r="J32" s="212" t="s">
        <x:v>1158</x:v>
      </x:c>
    </x:row>
    <x:row r="33" spans="2:10">
      <x:c r="B33" s="220"/>
      <x:c r="C33" s="62"/>
      <x:c r="D33" s="62">
        <x:v/>
      </x:c>
      <x:c r="E33" s="212"/>
      <x:c r="F33" s="212" t="s">
        <x:v>1188</x:v>
      </x:c>
      <x:c r="G33" s="212" t="s">
        <x:v>231</x:v>
      </x:c>
      <x:c r="H33" s="212"/>
      <x:c r="I33" s="212"/>
      <x:c r="J33" s="62"/>
    </x:row>
    <x:row r="34" spans="2:10">
      <x:c r="B34" s="228"/>
      <x:c r="C34" s="62"/>
      <x:c r="D34" s="62">
        <x:v/>
      </x:c>
      <x:c r="E34" s="212"/>
      <x:c r="F34" s="212" t="s">
        <x:v>1189</x:v>
      </x:c>
      <x:c r="G34" s="212" t="s">
        <x:v>206</x:v>
      </x:c>
      <x:c r="H34" s="212" t="s">
        <x:v>232</x:v>
      </x:c>
      <x:c r="I34" s="212" t="s">
        <x:v>233</x:v>
      </x:c>
      <x:c r="J34" s="62"/>
    </x:row>
    <x:row r="35" spans="2:10">
      <x:c r="B35" s="220" t="s">
        <x:v>853</x:v>
      </x:c>
      <x:c r="C35" s="62"/>
      <x:c r="D35" s="62">
        <x:v/>
      </x:c>
      <x:c r="E35" s="212" t="s">
        <x:v>42</x:v>
      </x:c>
      <x:c r="F35" s="215" t="s">
        <x:v>1190</x:v>
      </x:c>
      <x:c r="G35" s="212" t="s">
        <x:v>234</x:v>
      </x:c>
      <x:c r="H35" s="212" t="s">
        <x:v>234</x:v>
      </x:c>
      <x:c r="I35" s="212" t="s">
        <x:v>234</x:v>
      </x:c>
      <x:c r="J35" s="212" t="s">
        <x:v>238</x:v>
      </x:c>
    </x:row>
    <x:row r="36" spans="2:10" ht="25.5">
      <x:c r="B36" s="229" t="s">
        <x:v>1754</x:v>
      </x:c>
      <x:c r="C36" s="1096"/>
      <x:c r="D36" s="1097">
        <x:v/>
      </x:c>
      <x:c r="E36" s="240">
        <x:f t="shared" ref="E36:E67" si="0">SUM(F36:I36)</x:f>
        <x:v>1726728</x:v>
      </x:c>
      <x:c r="F36" s="230">
        <x:v>241742</x:v>
      </x:c>
      <x:c r="G36" s="230">
        <x:v>0</x:v>
      </x:c>
      <x:c r="H36" s="230">
        <x:v>0</x:v>
      </x:c>
      <x:c r="I36" s="230">
        <x:v>1484986</x:v>
      </x:c>
      <x:c r="J36" s="282" t="s">
        <x:v>1883</x:v>
      </x:c>
    </x:row>
    <x:row r="37" spans="2:10" ht="25.5">
      <x:c r="B37" s="229" t="s">
        <x:v>1870</x:v>
      </x:c>
      <x:c r="C37" s="1096"/>
      <x:c r="D37" s="1097">
        <x:v/>
      </x:c>
      <x:c r="E37" s="240">
        <x:f t="shared" si="0"/>
        <x:v>519091</x:v>
      </x:c>
      <x:c r="F37" s="230">
        <x:v>72673</x:v>
      </x:c>
      <x:c r="G37" s="230">
        <x:v>0</x:v>
      </x:c>
      <x:c r="H37" s="230">
        <x:v>359929</x:v>
      </x:c>
      <x:c r="I37" s="230">
        <x:v>86489</x:v>
      </x:c>
      <x:c r="J37" s="282" t="s">
        <x:v>1883</x:v>
      </x:c>
    </x:row>
    <x:row r="38" spans="2:10" ht="25.5">
      <x:c r="B38" s="229" t="s">
        <x:v>1550</x:v>
      </x:c>
      <x:c r="C38" s="1096"/>
      <x:c r="D38" s="1097">
        <x:v/>
      </x:c>
      <x:c r="E38" s="240">
        <x:f t="shared" si="0"/>
        <x:v>3373194</x:v>
      </x:c>
      <x:c r="F38" s="230">
        <x:v>472247</x:v>
      </x:c>
      <x:c r="G38" s="230">
        <x:v>0</x:v>
      </x:c>
      <x:c r="H38" s="230">
        <x:v>0</x:v>
      </x:c>
      <x:c r="I38" s="230">
        <x:v>2900947</x:v>
      </x:c>
      <x:c r="J38" s="282" t="s">
        <x:v>1883</x:v>
      </x:c>
    </x:row>
    <x:row r="39" spans="2:10">
      <x:c r="B39" s="229" t="s">
        <x:v>1755</x:v>
      </x:c>
      <x:c r="C39" s="1096"/>
      <x:c r="D39" s="1097">
        <x:v/>
      </x:c>
      <x:c r="E39" s="240">
        <x:f t="shared" si="0"/>
        <x:v>217662</x:v>
      </x:c>
      <x:c r="F39" s="230">
        <x:v>217662</x:v>
      </x:c>
      <x:c r="G39" s="230">
        <x:v>0</x:v>
      </x:c>
      <x:c r="H39" s="230">
        <x:v>0</x:v>
      </x:c>
      <x:c r="I39" s="230">
        <x:v>0</x:v>
      </x:c>
      <x:c r="J39" s="282" t="s">
        <x:v>1884</x:v>
      </x:c>
    </x:row>
    <x:row r="40" spans="2:10">
      <x:c r="B40" s="229" t="s">
        <x:v>1756</x:v>
      </x:c>
      <x:c r="C40" s="1096"/>
      <x:c r="D40" s="1097">
        <x:v/>
      </x:c>
      <x:c r="E40" s="240">
        <x:f t="shared" si="0"/>
        <x:v>0</x:v>
      </x:c>
      <x:c r="F40" s="230">
        <x:v>0</x:v>
      </x:c>
      <x:c r="G40" s="230">
        <x:v>0</x:v>
      </x:c>
      <x:c r="H40" s="230">
        <x:v>0</x:v>
      </x:c>
      <x:c r="I40" s="230">
        <x:v>0</x:v>
      </x:c>
      <x:c r="J40" s="282" t="s">
        <x:v>1884</x:v>
      </x:c>
    </x:row>
    <x:row r="41" spans="2:10" ht="27.75" customHeight="1">
      <x:c r="B41" s="229" t="s">
        <x:v>1757</x:v>
      </x:c>
      <x:c r="C41" s="1096"/>
      <x:c r="D41" s="1097">
        <x:v/>
      </x:c>
      <x:c r="E41" s="240">
        <x:f t="shared" si="0"/>
        <x:v>1424606</x:v>
      </x:c>
      <x:c r="F41" s="230">
        <x:v>199445</x:v>
      </x:c>
      <x:c r="G41" s="230">
        <x:v>0</x:v>
      </x:c>
      <x:c r="H41" s="230">
        <x:v>0</x:v>
      </x:c>
      <x:c r="I41" s="230">
        <x:v>1225161</x:v>
      </x:c>
      <x:c r="J41" s="282" t="s">
        <x:v>2107</x:v>
      </x:c>
    </x:row>
    <x:row r="42" spans="2:10">
      <x:c r="B42" s="229" t="s">
        <x:v>1758</x:v>
      </x:c>
      <x:c r="C42" s="1096"/>
      <x:c r="D42" s="1097">
        <x:v/>
      </x:c>
      <x:c r="E42" s="240">
        <x:f t="shared" si="0"/>
        <x:v>469836</x:v>
      </x:c>
      <x:c r="F42" s="230">
        <x:v>469836</x:v>
      </x:c>
      <x:c r="G42" s="230">
        <x:v>0</x:v>
      </x:c>
      <x:c r="H42" s="230">
        <x:v>0</x:v>
      </x:c>
      <x:c r="I42" s="230">
        <x:v>0</x:v>
      </x:c>
      <x:c r="J42" s="282" t="s">
        <x:v>1884</x:v>
      </x:c>
    </x:row>
    <x:row r="43" spans="2:10" ht="25.5">
      <x:c r="B43" s="229" t="s">
        <x:v>1759</x:v>
      </x:c>
      <x:c r="C43" s="1096"/>
      <x:c r="D43" s="1097">
        <x:v/>
      </x:c>
      <x:c r="E43" s="240">
        <x:f t="shared" si="0"/>
        <x:v>247642</x:v>
      </x:c>
      <x:c r="F43" s="230">
        <x:v>34670</x:v>
      </x:c>
      <x:c r="G43" s="230">
        <x:v>0</x:v>
      </x:c>
      <x:c r="H43" s="230">
        <x:v>0</x:v>
      </x:c>
      <x:c r="I43" s="230">
        <x:v>212972</x:v>
      </x:c>
      <x:c r="J43" s="282" t="s">
        <x:v>1883</x:v>
      </x:c>
    </x:row>
    <x:row r="44" spans="2:10">
      <x:c r="B44" s="229" t="s">
        <x:v>1558</x:v>
      </x:c>
      <x:c r="C44" s="1096"/>
      <x:c r="D44" s="1097">
        <x:v/>
      </x:c>
      <x:c r="E44" s="240">
        <x:f t="shared" si="0"/>
        <x:v>0</x:v>
      </x:c>
      <x:c r="F44" s="230">
        <x:v>0</x:v>
      </x:c>
      <x:c r="G44" s="230">
        <x:v>0</x:v>
      </x:c>
      <x:c r="H44" s="230">
        <x:v>0</x:v>
      </x:c>
      <x:c r="I44" s="230">
        <x:v>0</x:v>
      </x:c>
      <x:c r="J44" s="282" t="s">
        <x:v>1884</x:v>
      </x:c>
    </x:row>
    <x:row r="45" spans="2:10" ht="25.5">
      <x:c r="B45" s="229" t="s">
        <x:v>1760</x:v>
      </x:c>
      <x:c r="C45" s="1096"/>
      <x:c r="D45" s="1097">
        <x:v/>
      </x:c>
      <x:c r="E45" s="240">
        <x:f t="shared" si="0"/>
        <x:v>27715</x:v>
      </x:c>
      <x:c r="F45" s="230">
        <x:v>3880</x:v>
      </x:c>
      <x:c r="G45" s="230">
        <x:v>0</x:v>
      </x:c>
      <x:c r="H45" s="230">
        <x:v>0</x:v>
      </x:c>
      <x:c r="I45" s="230">
        <x:v>23835</x:v>
      </x:c>
      <x:c r="J45" s="282" t="s">
        <x:v>1883</x:v>
      </x:c>
    </x:row>
    <x:row r="46" spans="2:10">
      <x:c r="B46" s="229" t="s">
        <x:v>1761</x:v>
      </x:c>
      <x:c r="C46" s="1096"/>
      <x:c r="D46" s="1097">
        <x:v/>
      </x:c>
      <x:c r="E46" s="240">
        <x:f t="shared" si="0"/>
        <x:v>450143</x:v>
      </x:c>
      <x:c r="F46" s="230">
        <x:v>450143</x:v>
      </x:c>
      <x:c r="G46" s="230">
        <x:v>0</x:v>
      </x:c>
      <x:c r="H46" s="230">
        <x:v>0</x:v>
      </x:c>
      <x:c r="I46" s="230">
        <x:v>0</x:v>
      </x:c>
      <x:c r="J46" s="282" t="s">
        <x:v>1884</x:v>
      </x:c>
    </x:row>
    <x:row r="47" spans="2:10" ht="25.5">
      <x:c r="B47" s="229" t="s">
        <x:v>1762</x:v>
      </x:c>
      <x:c r="C47" s="1096"/>
      <x:c r="D47" s="1097">
        <x:v/>
      </x:c>
      <x:c r="E47" s="240">
        <x:f t="shared" si="0"/>
        <x:v>705431</x:v>
      </x:c>
      <x:c r="F47" s="230">
        <x:v>98760</x:v>
      </x:c>
      <x:c r="G47" s="230">
        <x:v>0</x:v>
      </x:c>
      <x:c r="H47" s="230">
        <x:v>0</x:v>
      </x:c>
      <x:c r="I47" s="230">
        <x:v>606671</x:v>
      </x:c>
      <x:c r="J47" s="282" t="s">
        <x:v>1883</x:v>
      </x:c>
    </x:row>
    <x:row r="48" spans="2:10">
      <x:c r="B48" s="229" t="s">
        <x:v>1560</x:v>
      </x:c>
      <x:c r="C48" s="1096"/>
      <x:c r="D48" s="1097">
        <x:v/>
      </x:c>
      <x:c r="E48" s="240">
        <x:f t="shared" si="0"/>
        <x:v>6990513</x:v>
      </x:c>
      <x:c r="F48" s="230">
        <x:v>6990513</x:v>
      </x:c>
      <x:c r="G48" s="230">
        <x:v>0</x:v>
      </x:c>
      <x:c r="H48" s="230">
        <x:v>0</x:v>
      </x:c>
      <x:c r="I48" s="230">
        <x:v>0</x:v>
      </x:c>
      <x:c r="J48" s="282" t="s">
        <x:v>1884</x:v>
      </x:c>
    </x:row>
    <x:row r="49" spans="2:10">
      <x:c r="B49" s="229" t="s">
        <x:v>1763</x:v>
      </x:c>
      <x:c r="C49" s="1096"/>
      <x:c r="D49" s="1097">
        <x:v/>
      </x:c>
      <x:c r="E49" s="240">
        <x:f t="shared" si="0"/>
        <x:v>3545215</x:v>
      </x:c>
      <x:c r="F49" s="230">
        <x:v>3545215</x:v>
      </x:c>
      <x:c r="G49" s="230">
        <x:v>0</x:v>
      </x:c>
      <x:c r="H49" s="230">
        <x:v>0</x:v>
      </x:c>
      <x:c r="I49" s="230">
        <x:v>0</x:v>
      </x:c>
      <x:c r="J49" s="282" t="s">
        <x:v>1884</x:v>
      </x:c>
    </x:row>
    <x:row r="50" spans="2:10" ht="25.5">
      <x:c r="B50" s="229" t="s">
        <x:v>1764</x:v>
      </x:c>
      <x:c r="C50" s="1096"/>
      <x:c r="D50" s="1097">
        <x:v/>
      </x:c>
      <x:c r="E50" s="240">
        <x:f t="shared" si="0"/>
        <x:v>24910</x:v>
      </x:c>
      <x:c r="F50" s="230">
        <x:v>3487</x:v>
      </x:c>
      <x:c r="G50" s="230">
        <x:v>0</x:v>
      </x:c>
      <x:c r="H50" s="230">
        <x:v>0</x:v>
      </x:c>
      <x:c r="I50" s="230">
        <x:v>21423</x:v>
      </x:c>
      <x:c r="J50" s="282" t="s">
        <x:v>1883</x:v>
      </x:c>
    </x:row>
    <x:row r="51" spans="2:10">
      <x:c r="B51" s="229" t="s">
        <x:v>1765</x:v>
      </x:c>
      <x:c r="C51" s="1096"/>
      <x:c r="D51" s="1097">
        <x:v/>
      </x:c>
      <x:c r="E51" s="240">
        <x:f t="shared" si="0"/>
        <x:v>3517333</x:v>
      </x:c>
      <x:c r="F51" s="230">
        <x:v>3517333</x:v>
      </x:c>
      <x:c r="G51" s="230">
        <x:v>0</x:v>
      </x:c>
      <x:c r="H51" s="230">
        <x:v>0</x:v>
      </x:c>
      <x:c r="I51" s="230">
        <x:v>0</x:v>
      </x:c>
      <x:c r="J51" s="282" t="s">
        <x:v>1884</x:v>
      </x:c>
    </x:row>
    <x:row r="52" spans="2:10">
      <x:c r="B52" s="229" t="s">
        <x:v>1766</x:v>
      </x:c>
      <x:c r="C52" s="1096"/>
      <x:c r="D52" s="1097">
        <x:v/>
      </x:c>
      <x:c r="E52" s="240">
        <x:f t="shared" si="0"/>
        <x:v>0</x:v>
      </x:c>
      <x:c r="F52" s="230">
        <x:v>0</x:v>
      </x:c>
      <x:c r="G52" s="230">
        <x:v>0</x:v>
      </x:c>
      <x:c r="H52" s="230">
        <x:v>0</x:v>
      </x:c>
      <x:c r="I52" s="230">
        <x:v>0</x:v>
      </x:c>
      <x:c r="J52" s="282" t="s">
        <x:v>1884</x:v>
      </x:c>
    </x:row>
    <x:row r="53" spans="2:10">
      <x:c r="B53" s="229" t="s">
        <x:v>1767</x:v>
      </x:c>
      <x:c r="C53" s="1096"/>
      <x:c r="D53" s="1097">
        <x:v/>
      </x:c>
      <x:c r="E53" s="240">
        <x:f t="shared" si="0"/>
        <x:v>59226</x:v>
      </x:c>
      <x:c r="F53" s="230">
        <x:v>59226</x:v>
      </x:c>
      <x:c r="G53" s="230">
        <x:v>0</x:v>
      </x:c>
      <x:c r="H53" s="230">
        <x:v>0</x:v>
      </x:c>
      <x:c r="I53" s="230">
        <x:v>0</x:v>
      </x:c>
      <x:c r="J53" s="282" t="s">
        <x:v>1884</x:v>
      </x:c>
    </x:row>
    <x:row r="54" spans="2:10">
      <x:c r="B54" s="229" t="s">
        <x:v>1768</x:v>
      </x:c>
      <x:c r="C54" s="1096"/>
      <x:c r="D54" s="1097">
        <x:v/>
      </x:c>
      <x:c r="E54" s="240">
        <x:f t="shared" si="0"/>
        <x:v>0</x:v>
      </x:c>
      <x:c r="F54" s="230">
        <x:v>0</x:v>
      </x:c>
      <x:c r="G54" s="230">
        <x:v>0</x:v>
      </x:c>
      <x:c r="H54" s="230">
        <x:v>0</x:v>
      </x:c>
      <x:c r="I54" s="230">
        <x:v>0</x:v>
      </x:c>
      <x:c r="J54" s="282" t="s">
        <x:v>1884</x:v>
      </x:c>
    </x:row>
    <x:row r="55" spans="2:10">
      <x:c r="B55" s="229" t="s">
        <x:v>1769</x:v>
      </x:c>
      <x:c r="C55" s="1096"/>
      <x:c r="D55" s="1097">
        <x:v/>
      </x:c>
      <x:c r="E55" s="240">
        <x:f t="shared" si="0"/>
        <x:v>3682590</x:v>
      </x:c>
      <x:c r="F55" s="230">
        <x:v>3682590</x:v>
      </x:c>
      <x:c r="G55" s="230">
        <x:v>0</x:v>
      </x:c>
      <x:c r="H55" s="230">
        <x:v>0</x:v>
      </x:c>
      <x:c r="I55" s="230">
        <x:v>0</x:v>
      </x:c>
      <x:c r="J55" s="282" t="s">
        <x:v>1884</x:v>
      </x:c>
    </x:row>
    <x:row r="56" spans="2:10">
      <x:c r="B56" s="229" t="s">
        <x:v>1770</x:v>
      </x:c>
      <x:c r="C56" s="1096"/>
      <x:c r="D56" s="1097">
        <x:v/>
      </x:c>
      <x:c r="E56" s="240">
        <x:f t="shared" si="0"/>
        <x:v>218715</x:v>
      </x:c>
      <x:c r="F56" s="230">
        <x:v>218715</x:v>
      </x:c>
      <x:c r="G56" s="230">
        <x:v>0</x:v>
      </x:c>
      <x:c r="H56" s="230">
        <x:v>0</x:v>
      </x:c>
      <x:c r="I56" s="230">
        <x:v>0</x:v>
      </x:c>
      <x:c r="J56" s="282" t="s">
        <x:v>1884</x:v>
      </x:c>
    </x:row>
    <x:row r="57" spans="2:10" ht="12" customHeight="1">
      <x:c r="B57" s="229" t="s">
        <x:v>1771</x:v>
      </x:c>
      <x:c r="C57" s="1096"/>
      <x:c r="D57" s="1097">
        <x:v/>
      </x:c>
      <x:c r="E57" s="240">
        <x:f t="shared" si="0"/>
        <x:v>-138508</x:v>
      </x:c>
      <x:c r="F57" s="230">
        <x:v>-138508</x:v>
      </x:c>
      <x:c r="G57" s="230">
        <x:v>0</x:v>
      </x:c>
      <x:c r="H57" s="230">
        <x:v>0</x:v>
      </x:c>
      <x:c r="I57" s="230">
        <x:v>0</x:v>
      </x:c>
      <x:c r="J57" s="282" t="s">
        <x:v>2106</x:v>
      </x:c>
    </x:row>
    <x:row r="58" spans="2:10" ht="25.5">
      <x:c r="B58" s="229" t="s">
        <x:v>1784</x:v>
      </x:c>
      <x:c r="C58" s="1096"/>
      <x:c r="D58" s="1097">
        <x:v/>
      </x:c>
      <x:c r="E58" s="240">
        <x:f t="shared" si="0"/>
        <x:v>5297670</x:v>
      </x:c>
      <x:c r="F58" s="230">
        <x:v>2119863</x:v>
      </x:c>
      <x:c r="G58" s="230">
        <x:v>0</x:v>
      </x:c>
      <x:c r="H58" s="230">
        <x:v>3177807</x:v>
      </x:c>
      <x:c r="I58" s="230">
        <x:v>0</x:v>
      </x:c>
      <x:c r="J58" s="282" t="s">
        <x:v>1885</x:v>
      </x:c>
    </x:row>
    <x:row r="59" spans="2:10">
      <x:c r="B59" s="229" t="s">
        <x:v>1785</x:v>
      </x:c>
      <x:c r="C59" s="1096"/>
      <x:c r="D59" s="1097">
        <x:v/>
      </x:c>
      <x:c r="E59" s="240">
        <x:f t="shared" si="0"/>
        <x:v>8050708</x:v>
      </x:c>
      <x:c r="F59" s="230">
        <x:v>8050708</x:v>
      </x:c>
      <x:c r="G59" s="230">
        <x:v>0</x:v>
      </x:c>
      <x:c r="H59" s="230">
        <x:v>0</x:v>
      </x:c>
      <x:c r="I59" s="230">
        <x:v>0</x:v>
      </x:c>
      <x:c r="J59" s="282" t="s">
        <x:v>1886</x:v>
      </x:c>
    </x:row>
    <x:row r="60" spans="2:10" ht="14.25" customHeight="1">
      <x:c r="B60" s="229" t="s">
        <x:v>1786</x:v>
      </x:c>
      <x:c r="C60" s="1096"/>
      <x:c r="D60" s="1097">
        <x:v/>
      </x:c>
      <x:c r="E60" s="240">
        <x:f t="shared" si="0"/>
        <x:v>2593246</x:v>
      </x:c>
      <x:c r="F60" s="230">
        <x:v>259325</x:v>
      </x:c>
      <x:c r="G60" s="230">
        <x:v>0</x:v>
      </x:c>
      <x:c r="H60" s="230">
        <x:v>2333921</x:v>
      </x:c>
      <x:c r="I60" s="230">
        <x:v>0</x:v>
      </x:c>
      <x:c r="J60" s="282" t="s">
        <x:v>1887</x:v>
      </x:c>
    </x:row>
    <x:row r="61" spans="2:10" ht="25.5">
      <x:c r="B61" s="229" t="s">
        <x:v>1787</x:v>
      </x:c>
      <x:c r="C61" s="1096"/>
      <x:c r="D61" s="1097">
        <x:v/>
      </x:c>
      <x:c r="E61" s="240">
        <x:f t="shared" si="0"/>
        <x:v>32624853</x:v>
      </x:c>
      <x:c r="F61" s="230">
        <x:v>6579938</x:v>
      </x:c>
      <x:c r="G61" s="230">
        <x:v>0</x:v>
      </x:c>
      <x:c r="H61" s="230">
        <x:v>26044915</x:v>
      </x:c>
      <x:c r="I61" s="230">
        <x:v>0</x:v>
      </x:c>
      <x:c r="J61" s="282" t="s">
        <x:v>1885</x:v>
      </x:c>
    </x:row>
    <x:row r="62" spans="2:10" ht="25.5">
      <x:c r="B62" s="229" t="s">
        <x:v>1788</x:v>
      </x:c>
      <x:c r="C62" s="1096"/>
      <x:c r="D62" s="1097">
        <x:v/>
      </x:c>
      <x:c r="E62" s="240">
        <x:f t="shared" si="0"/>
        <x:v>-32350496</x:v>
      </x:c>
      <x:c r="F62" s="230">
        <x:v>-6305581</x:v>
      </x:c>
      <x:c r="G62" s="230">
        <x:v>0</x:v>
      </x:c>
      <x:c r="H62" s="230">
        <x:v>-26044915</x:v>
      </x:c>
      <x:c r="I62" s="230">
        <x:v>0</x:v>
      </x:c>
      <x:c r="J62" s="282" t="s">
        <x:v>1885</x:v>
      </x:c>
    </x:row>
    <x:row r="63" spans="2:10" ht="39.75" customHeight="1">
      <x:c r="B63" s="229" t="s">
        <x:v>1772</x:v>
      </x:c>
      <x:c r="C63" s="1096"/>
      <x:c r="D63" s="1097">
        <x:v/>
      </x:c>
      <x:c r="E63" s="240">
        <x:f t="shared" si="0"/>
        <x:v>178033</x:v>
      </x:c>
      <x:c r="F63" s="230">
        <x:v>24925</x:v>
      </x:c>
      <x:c r="G63" s="230">
        <x:v>0</x:v>
      </x:c>
      <x:c r="H63" s="230">
        <x:v>153108</x:v>
      </x:c>
      <x:c r="I63" s="230">
        <x:v>0</x:v>
      </x:c>
      <x:c r="J63" s="282" t="s">
        <x:v>1888</x:v>
      </x:c>
    </x:row>
    <x:row r="64" spans="2:10">
      <x:c r="B64" s="229" t="s">
        <x:v>1881</x:v>
      </x:c>
      <x:c r="C64" s="1096"/>
      <x:c r="D64" s="1097">
        <x:v/>
      </x:c>
      <x:c r="E64" s="240">
        <x:f t="shared" si="0"/>
        <x:v>45531</x:v>
      </x:c>
      <x:c r="F64" s="230">
        <x:v>45531</x:v>
      </x:c>
      <x:c r="G64" s="230">
        <x:v>0</x:v>
      </x:c>
      <x:c r="H64" s="230">
        <x:v>0</x:v>
      </x:c>
      <x:c r="I64" s="230">
        <x:v>0</x:v>
      </x:c>
      <x:c r="J64" s="282" t="s">
        <x:v>1884</x:v>
      </x:c>
    </x:row>
    <x:row r="65" spans="2:10" ht="25.5" customHeight="1">
      <x:c r="B65" s="229" t="s">
        <x:v>1882</x:v>
      </x:c>
      <x:c r="C65" s="1096"/>
      <x:c r="D65" s="1097">
        <x:v/>
      </x:c>
      <x:c r="E65" s="240">
        <x:f t="shared" si="0"/>
        <x:v>68429797</x:v>
      </x:c>
      <x:c r="F65" s="230">
        <x:v>6842980</x:v>
      </x:c>
      <x:c r="G65" s="230">
        <x:v>0</x:v>
      </x:c>
      <x:c r="H65" s="230">
        <x:v>61586817</x:v>
      </x:c>
      <x:c r="I65" s="230">
        <x:v>0</x:v>
      </x:c>
      <x:c r="J65" s="282" t="s">
        <x:v>2108</x:v>
      </x:c>
    </x:row>
    <x:row r="66" spans="2:10">
      <x:c r="B66" s="229" t="s">
        <x:v>1773</x:v>
      </x:c>
      <x:c r="C66" s="1096"/>
      <x:c r="D66" s="1097">
        <x:v/>
      </x:c>
      <x:c r="E66" s="240">
        <x:f t="shared" si="0"/>
        <x:v>0</x:v>
      </x:c>
      <x:c r="F66" s="230">
        <x:v>0</x:v>
      </x:c>
      <x:c r="G66" s="230">
        <x:v>0</x:v>
      </x:c>
      <x:c r="H66" s="230">
        <x:v>0</x:v>
      </x:c>
      <x:c r="I66" s="230">
        <x:v>0</x:v>
      </x:c>
      <x:c r="J66" s="282" t="s">
        <x:v>1884</x:v>
      </x:c>
    </x:row>
    <x:row r="67" spans="2:10">
      <x:c r="B67" s="229" t="s">
        <x:v>1774</x:v>
      </x:c>
      <x:c r="C67" s="1096"/>
      <x:c r="D67" s="1097">
        <x:v/>
      </x:c>
      <x:c r="E67" s="240">
        <x:f t="shared" si="0"/>
        <x:v>0</x:v>
      </x:c>
      <x:c r="F67" s="230">
        <x:v>0</x:v>
      </x:c>
      <x:c r="G67" s="230">
        <x:v>0</x:v>
      </x:c>
      <x:c r="H67" s="230">
        <x:v>0</x:v>
      </x:c>
      <x:c r="I67" s="230">
        <x:v>0</x:v>
      </x:c>
      <x:c r="J67" s="282" t="s">
        <x:v>1884</x:v>
      </x:c>
    </x:row>
    <x:row r="68" spans="2:10">
      <x:c r="B68" s="232" t="s">
        <x:v>854</x:v>
      </x:c>
      <x:c r="C68" s="233"/>
      <x:c r="D68" s="234">
        <x:v/>
      </x:c>
      <x:c r="E68" s="235">
        <x:f>SUM(E36:E67)</x:f>
        <x:v>111931384</x:v>
      </x:c>
      <x:c r="F68" s="235">
        <x:f>SUM(F36:F67)</x:f>
        <x:v>37757318</x:v>
      </x:c>
      <x:c r="G68" s="235">
        <x:f>SUM(G36:G67)</x:f>
        <x:v>0</x:v>
      </x:c>
      <x:c r="H68" s="235">
        <x:f>SUM(H36:H67)</x:f>
        <x:v>67611582</x:v>
      </x:c>
      <x:c r="I68" s="235">
        <x:f>SUM(I36:I67)</x:f>
        <x:v>6562484</x:v>
      </x:c>
      <x:c r="J68" s="236"/>
    </x:row>
    <x:row r="69" spans="2:10" ht="8.1" customHeight="1">
      <x:c r="B69" s="1569"/>
      <x:c r="C69" s="1570"/>
      <x:c r="D69" s="1512">
        <x:v/>
      </x:c>
      <x:c r="E69" s="1512"/>
      <x:c r="F69" s="1513"/>
      <x:c r="G69" s="1513"/>
      <x:c r="H69" s="1513"/>
      <x:c r="I69" s="1571"/>
      <x:c r="J69" s="1572"/>
    </x:row>
    <x:row r="70" spans="2:10">
      <x:c r="B70" s="238" t="s">
        <x:v>1529</x:v>
      </x:c>
      <x:c r="C70" s="239"/>
      <x:c r="D70" s="239">
        <x:v/>
      </x:c>
      <x:c r="E70" s="240">
        <x:f t="shared" ref="E70:E73" si="1">SUM(F70:I70)</x:f>
        <x:v>-178033</x:v>
      </x:c>
      <x:c r="F70" s="230">
        <x:f>-F63</x:f>
        <x:v>-24925</x:v>
      </x:c>
      <x:c r="G70" s="230">
        <x:f>-G63</x:f>
        <x:v>0</x:v>
      </x:c>
      <x:c r="H70" s="230">
        <x:f>-H63</x:f>
        <x:v>-153108</x:v>
      </x:c>
      <x:c r="I70" s="230">
        <x:f>-I63</x:f>
        <x:v>0</x:v>
      </x:c>
      <x:c r="J70" s="241"/>
    </x:row>
    <x:row r="71" spans="2:10">
      <x:c r="B71" s="238" t="s">
        <x:v>1530</x:v>
      </x:c>
      <x:c r="C71" s="239"/>
      <x:c r="D71" s="239">
        <x:v/>
      </x:c>
      <x:c r="E71" s="240">
        <x:f t="shared" si="1"/>
        <x:v>0</x:v>
      </x:c>
      <x:c r="F71" s="230"/>
      <x:c r="G71" s="230"/>
      <x:c r="H71" s="230"/>
      <x:c r="I71" s="230"/>
      <x:c r="J71" s="241"/>
    </x:row>
    <x:row r="72" spans="2:10">
      <x:c r="B72" s="238" t="s">
        <x:v>1531</x:v>
      </x:c>
      <x:c r="C72" s="239"/>
      <x:c r="D72" s="239">
        <x:v/>
      </x:c>
      <x:c r="E72" s="240">
        <x:f t="shared" si="1"/>
        <x:v>-68429797</x:v>
      </x:c>
      <x:c r="F72" s="230">
        <x:f>-F65</x:f>
        <x:v>-6842980</x:v>
      </x:c>
      <x:c r="G72" s="230">
        <x:f t="shared" ref="G72:I72" si="2">-G65</x:f>
        <x:v>0</x:v>
      </x:c>
      <x:c r="H72" s="230">
        <x:f t="shared" si="2"/>
        <x:v>-61586817</x:v>
      </x:c>
      <x:c r="I72" s="230">
        <x:f t="shared" si="2"/>
        <x:v>0</x:v>
      </x:c>
      <x:c r="J72" s="241"/>
    </x:row>
    <x:row r="73" spans="2:10">
      <x:c r="B73" s="238" t="s">
        <x:v>1532</x:v>
      </x:c>
      <x:c r="C73" s="239"/>
      <x:c r="D73" s="239">
        <x:v/>
      </x:c>
      <x:c r="E73" s="240">
        <x:f t="shared" si="1"/>
        <x:v>-1424606</x:v>
      </x:c>
      <x:c r="F73" s="230">
        <x:f>-F41</x:f>
        <x:v>-199445</x:v>
      </x:c>
      <x:c r="G73" s="230">
        <x:f>-G41</x:f>
        <x:v>0</x:v>
      </x:c>
      <x:c r="H73" s="230">
        <x:f>-H41</x:f>
        <x:v>0</x:v>
      </x:c>
      <x:c r="I73" s="230">
        <x:f>-I41</x:f>
        <x:v>-1225161</x:v>
      </x:c>
      <x:c r="J73" s="241"/>
    </x:row>
    <x:row r="74" spans="2:10" ht="5.0999999999999996" customHeight="1">
      <x:c r="B74" s="232"/>
      <x:c r="C74" s="233"/>
      <x:c r="D74" s="234">
        <x:v/>
      </x:c>
      <x:c r="E74" s="235"/>
      <x:c r="F74" s="235"/>
      <x:c r="G74" s="235"/>
      <x:c r="H74" s="235"/>
      <x:c r="I74" s="235"/>
      <x:c r="J74" s="236"/>
    </x:row>
    <x:row r="75" spans="2:10">
      <x:c r="B75" s="237" t="s">
        <x:v>855</x:v>
      </x:c>
      <x:c r="C75" s="234"/>
      <x:c r="D75" s="234">
        <x:v/>
      </x:c>
      <x:c r="E75" s="235">
        <x:f>SUM(E70:E74)+E68</x:f>
        <x:v>41898948</x:v>
      </x:c>
      <x:c r="F75" s="235">
        <x:f>SUM(F70:F74)+F68</x:f>
        <x:v>30689968</x:v>
      </x:c>
      <x:c r="G75" s="235">
        <x:f>SUM(G70:G74)+G68</x:f>
        <x:v>0</x:v>
      </x:c>
      <x:c r="H75" s="235">
        <x:f>SUM(H70:H74)+H68</x:f>
        <x:v>5871657</x:v>
      </x:c>
      <x:c r="I75" s="235">
        <x:f>SUM(I70:I74)+I68</x:f>
        <x:v>5337323</x:v>
      </x:c>
      <x:c r="J75" s="236"/>
    </x:row>
    <x:row r="76" spans="2:10" ht="8.1" customHeight="1">
      <x:c r="B76" s="1569"/>
      <x:c r="C76" s="1570"/>
      <x:c r="D76" s="1512">
        <x:v/>
      </x:c>
      <x:c r="E76" s="1512"/>
      <x:c r="F76" s="1513"/>
      <x:c r="G76" s="1513"/>
      <x:c r="H76" s="1513"/>
      <x:c r="I76" s="1571"/>
      <x:c r="J76" s="1572"/>
    </x:row>
    <x:row r="77" spans="2:10">
      <x:c r="B77" s="242" t="s">
        <x:v>237</x:v>
      </x:c>
      <x:c r="C77" s="243"/>
      <x:c r="D77" s="244">
        <x:v/>
      </x:c>
      <x:c r="E77" s="245"/>
      <x:c r="F77" s="245"/>
      <x:c r="G77" s="245"/>
      <x:c r="H77" s="245"/>
      <x:c r="I77" s="1568">
        <x:v>0.14582932326077899</x:v>
      </x:c>
      <x:c r="J77" s="247"/>
    </x:row>
    <x:row r="78" spans="2:10">
      <x:c r="B78" s="242" t="s">
        <x:v>215</x:v>
      </x:c>
      <x:c r="C78" s="243"/>
      <x:c r="D78" s="244">
        <x:v/>
      </x:c>
      <x:c r="E78" s="245"/>
      <x:c r="F78" s="245"/>
      <x:c r="G78" s="245"/>
      <x:c r="H78" s="1573">
        <x:v>0.36861778403412815</x:v>
      </x:c>
      <x:c r="I78" s="245"/>
      <x:c r="J78" s="247"/>
    </x:row>
    <x:row r="79" spans="2:10">
      <x:c r="B79" s="242" t="s">
        <x:v>856</x:v>
      </x:c>
      <x:c r="C79" s="243"/>
      <x:c r="D79" s="244">
        <x:v/>
      </x:c>
      <x:c r="E79" s="245"/>
      <x:c r="F79" s="245"/>
      <x:c r="G79" s="1573">
        <x:v>1</x:v>
      </x:c>
      <x:c r="H79" s="245"/>
      <x:c r="I79" s="245"/>
      <x:c r="J79" s="247"/>
    </x:row>
    <x:row r="80" spans="2:10">
      <x:c r="B80" s="242" t="s">
        <x:v>857</x:v>
      </x:c>
      <x:c r="C80" s="243"/>
      <x:c r="D80" s="244">
        <x:v/>
      </x:c>
      <x:c r="E80" s="245"/>
      <x:c r="F80" s="1573">
        <x:v>0</x:v>
      </x:c>
      <x:c r="G80" s="245"/>
      <x:c r="H80" s="245"/>
      <x:c r="I80" s="245"/>
      <x:c r="J80" s="247"/>
    </x:row>
    <x:row r="81" spans="2:10">
      <x:c r="B81" s="248" t="s">
        <x:v>858</x:v>
      </x:c>
      <x:c r="C81" s="243"/>
      <x:c r="D81" s="244">
        <x:v/>
      </x:c>
      <x:c r="E81" s="245">
        <x:f>F81+G81+H81+I81</x:f>
        <x:v>2942735.3930626675</x:v>
      </x:c>
      <x:c r="F81" s="245">
        <x:f>F80*F75</x:f>
        <x:v>0</x:v>
      </x:c>
      <x:c r="G81" s="245">
        <x:f>G75*G79</x:f>
        <x:v>0</x:v>
      </x:c>
      <x:c r="H81" s="245">
        <x:f>H75*H78</x:f>
        <x:v>2164397.1919484767</x:v>
      </x:c>
      <x:c r="I81" s="245">
        <x:f>I77*I75</x:f>
        <x:v>778338.20111419074</x:v>
      </x:c>
      <x:c r="J81" s="247"/>
    </x:row>
    <x:row r="82" spans="2:10" ht="8.1" customHeight="1">
      <x:c r="C82" s="210"/>
      <x:c r="F82" s="219"/>
      <x:c r="G82" s="219"/>
      <x:c r="H82" s="219"/>
      <x:c r="I82" s="222"/>
    </x:row>
    <x:row r="83" spans="2:10" ht="8.1" customHeight="1">
      <x:c r="C83" s="210"/>
      <x:c r="F83" s="219"/>
      <x:c r="G83" s="219"/>
      <x:c r="H83" s="219"/>
      <x:c r="I83" s="222"/>
    </x:row>
    <x:row r="84" spans="2:10">
      <x:c r="B84" s="212" t="s">
        <x:v>163</x:v>
      </x:c>
      <x:c r="C84" s="212"/>
      <x:c r="D84" s="212">
        <x:v/>
      </x:c>
      <x:c r="E84" s="212" t="s">
        <x:v>164</x:v>
      </x:c>
      <x:c r="F84" s="212" t="s">
        <x:v>1023</x:v>
      </x:c>
      <x:c r="G84" s="212" t="s">
        <x:v>1155</x:v>
      </x:c>
      <x:c r="H84" s="212" t="s">
        <x:v>1156</x:v>
      </x:c>
      <x:c r="I84" s="212" t="s">
        <x:v>1157</x:v>
      </x:c>
      <x:c r="J84" s="212" t="s">
        <x:v>1158</x:v>
      </x:c>
    </x:row>
    <x:row r="85" spans="2:10">
      <x:c r="B85" s="220"/>
      <x:c r="C85" s="62"/>
      <x:c r="D85" s="62">
        <x:v/>
      </x:c>
      <x:c r="E85" s="212"/>
      <x:c r="F85" s="212" t="s">
        <x:v>1188</x:v>
      </x:c>
      <x:c r="G85" s="212" t="s">
        <x:v>231</x:v>
      </x:c>
      <x:c r="H85" s="212"/>
      <x:c r="I85" s="212"/>
      <x:c r="J85" s="62"/>
    </x:row>
    <x:row r="86" spans="2:10">
      <x:c r="B86" s="228"/>
      <x:c r="C86" s="62"/>
      <x:c r="D86" s="62">
        <x:v/>
      </x:c>
      <x:c r="E86" s="212"/>
      <x:c r="F86" s="212" t="s">
        <x:v>1189</x:v>
      </x:c>
      <x:c r="G86" s="212" t="s">
        <x:v>206</x:v>
      </x:c>
      <x:c r="H86" s="212" t="s">
        <x:v>232</x:v>
      </x:c>
      <x:c r="I86" s="212" t="s">
        <x:v>233</x:v>
      </x:c>
      <x:c r="J86" s="62"/>
    </x:row>
    <x:row r="87" spans="2:10">
      <x:c r="B87" s="220" t="s">
        <x:v>859</x:v>
      </x:c>
      <x:c r="C87" s="62"/>
      <x:c r="D87" s="62">
        <x:v/>
      </x:c>
      <x:c r="E87" s="212" t="s">
        <x:v>42</x:v>
      </x:c>
      <x:c r="F87" s="215" t="s">
        <x:v>1190</x:v>
      </x:c>
      <x:c r="G87" s="212" t="s">
        <x:v>234</x:v>
      </x:c>
      <x:c r="H87" s="212" t="s">
        <x:v>234</x:v>
      </x:c>
      <x:c r="I87" s="212" t="s">
        <x:v>234</x:v>
      </x:c>
      <x:c r="J87" s="212" t="s">
        <x:v>238</x:v>
      </x:c>
    </x:row>
    <x:row r="88" spans="2:10">
      <x:c r="B88" s="229" t="s">
        <x:v>1904</x:v>
      </x:c>
      <x:c r="C88" s="251"/>
      <x:c r="D88" s="252">
        <x:v/>
      </x:c>
      <x:c r="E88" s="240">
        <x:f t="shared" ref="E88:E89" si="3">SUM(F88:I88)</x:f>
        <x:v>4077976</x:v>
      </x:c>
      <x:c r="F88" s="343">
        <x:v>-43835049.5</x:v>
      </x:c>
      <x:c r="G88" s="343">
        <x:v>0</x:v>
      </x:c>
      <x:c r="H88" s="343">
        <x:v>47913025.5</x:v>
      </x:c>
      <x:c r="I88" s="343">
        <x:v>0</x:v>
      </x:c>
      <x:c r="J88" s="231" t="s">
        <x:v>1903</x:v>
      </x:c>
    </x:row>
    <x:row r="89" spans="2:10">
      <x:c r="B89" s="229" t="s">
        <x:v>2103</x:v>
      </x:c>
      <x:c r="C89" s="251"/>
      <x:c r="D89" s="253">
        <x:v/>
      </x:c>
      <x:c r="E89" s="240">
        <x:f t="shared" si="3"/>
        <x:v>0</x:v>
      </x:c>
      <x:c r="F89" s="343">
        <x:v>-75424295.700000003</x:v>
      </x:c>
      <x:c r="G89" s="343">
        <x:v>0</x:v>
      </x:c>
      <x:c r="H89" s="343">
        <x:v>75424295.700000003</x:v>
      </x:c>
      <x:c r="I89" s="343"/>
      <x:c r="J89" s="231" t="s">
        <x:v>1903</x:v>
      </x:c>
    </x:row>
    <x:row r="90" spans="2:10">
      <x:c r="B90" s="229"/>
      <x:c r="C90" s="251"/>
      <x:c r="D90" s="253">
        <x:v/>
      </x:c>
      <x:c r="E90" s="240"/>
      <x:c r="F90" s="343"/>
      <x:c r="G90" s="343"/>
      <x:c r="H90" s="343"/>
      <x:c r="I90" s="343"/>
      <x:c r="J90" s="231"/>
    </x:row>
    <x:row r="91" spans="2:10">
      <x:c r="B91" s="229"/>
      <x:c r="C91" s="251"/>
      <x:c r="D91" s="253">
        <x:v/>
      </x:c>
      <x:c r="E91" s="240"/>
      <x:c r="F91" s="343"/>
      <x:c r="G91" s="343"/>
      <x:c r="H91" s="343"/>
      <x:c r="I91" s="343"/>
      <x:c r="J91" s="231"/>
    </x:row>
    <x:row r="92" spans="2:10">
      <x:c r="B92" s="229"/>
      <x:c r="C92" s="251"/>
      <x:c r="D92" s="253">
        <x:v/>
      </x:c>
      <x:c r="E92" s="230"/>
      <x:c r="F92" s="230"/>
      <x:c r="G92" s="230"/>
      <x:c r="H92" s="230"/>
      <x:c r="I92" s="230"/>
      <x:c r="J92" s="231"/>
    </x:row>
    <x:row r="93" spans="2:10">
      <x:c r="B93" s="229"/>
      <x:c r="C93" s="251"/>
      <x:c r="D93" s="252">
        <x:v/>
      </x:c>
      <x:c r="E93" s="254"/>
      <x:c r="F93" s="254"/>
      <x:c r="G93" s="254"/>
      <x:c r="H93" s="254"/>
      <x:c r="I93" s="254"/>
      <x:c r="J93" s="255"/>
    </x:row>
    <x:row r="94" spans="2:10">
      <x:c r="B94" s="237" t="s">
        <x:v>860</x:v>
      </x:c>
      <x:c r="C94" s="234"/>
      <x:c r="D94" s="234">
        <x:v/>
      </x:c>
      <x:c r="E94" s="235">
        <x:f>SUM(E88:E93)</x:f>
        <x:v>4077976</x:v>
      </x:c>
      <x:c r="F94" s="235">
        <x:f>SUM(F88:F93)</x:f>
        <x:v>-119259345.2</x:v>
      </x:c>
      <x:c r="G94" s="235">
        <x:f>SUM(G88:G93)</x:f>
        <x:v>0</x:v>
      </x:c>
      <x:c r="H94" s="235">
        <x:f>SUM(H88:H93)</x:f>
        <x:v>123337321.2</x:v>
      </x:c>
      <x:c r="I94" s="235">
        <x:f>SUM(I88:I93)</x:f>
        <x:v>0</x:v>
      </x:c>
      <x:c r="J94" s="236"/>
    </x:row>
    <x:row r="95" spans="2:10" ht="8.1" customHeight="1">
      <x:c r="B95" s="1578"/>
      <x:c r="C95" s="1579"/>
      <x:c r="D95" s="1580">
        <x:v/>
      </x:c>
      <x:c r="E95" s="1580"/>
      <x:c r="F95" s="1581"/>
      <x:c r="G95" s="1581"/>
      <x:c r="H95" s="1581"/>
      <x:c r="I95" s="1582"/>
      <x:c r="J95" s="262"/>
    </x:row>
    <x:row r="96" spans="2:10">
      <x:c r="B96" s="256" t="s">
        <x:v>1529</x:v>
      </x:c>
      <x:c r="C96" s="257"/>
      <x:c r="D96" s="1574">
        <x:v/>
      </x:c>
      <x:c r="E96" s="1575"/>
      <x:c r="F96" s="1576"/>
      <x:c r="G96" s="1576"/>
      <x:c r="H96" s="1576"/>
      <x:c r="I96" s="1576"/>
      <x:c r="J96" s="1577"/>
    </x:row>
    <x:row r="97" spans="2:10">
      <x:c r="B97" s="238" t="s">
        <x:v>1530</x:v>
      </x:c>
      <x:c r="C97" s="239"/>
      <x:c r="D97" s="258">
        <x:v/>
      </x:c>
      <x:c r="E97" s="240"/>
      <x:c r="F97" s="230"/>
      <x:c r="G97" s="230"/>
      <x:c r="H97" s="230"/>
      <x:c r="I97" s="230"/>
      <x:c r="J97" s="241"/>
    </x:row>
    <x:row r="98" spans="2:10">
      <x:c r="B98" s="238" t="s">
        <x:v>1531</x:v>
      </x:c>
      <x:c r="C98" s="239"/>
      <x:c r="D98" s="258">
        <x:v/>
      </x:c>
      <x:c r="E98" s="240"/>
      <x:c r="F98" s="230"/>
      <x:c r="G98" s="230"/>
      <x:c r="H98" s="230"/>
      <x:c r="I98" s="230"/>
      <x:c r="J98" s="241"/>
    </x:row>
    <x:row r="99" spans="2:10">
      <x:c r="B99" s="238" t="s">
        <x:v>1532</x:v>
      </x:c>
      <x:c r="C99" s="239"/>
      <x:c r="D99" s="258">
        <x:v/>
      </x:c>
      <x:c r="E99" s="240"/>
      <x:c r="F99" s="230"/>
      <x:c r="G99" s="230"/>
      <x:c r="H99" s="230"/>
      <x:c r="I99" s="230"/>
      <x:c r="J99" s="241"/>
    </x:row>
    <x:row r="100" spans="2:10" ht="5.0999999999999996" customHeight="1">
      <x:c r="B100" s="232"/>
      <x:c r="C100" s="233"/>
      <x:c r="D100" s="234">
        <x:v/>
      </x:c>
      <x:c r="E100" s="235"/>
      <x:c r="F100" s="235"/>
      <x:c r="G100" s="235"/>
      <x:c r="H100" s="235"/>
      <x:c r="I100" s="235"/>
      <x:c r="J100" s="236"/>
    </x:row>
    <x:row r="101" spans="2:10">
      <x:c r="B101" s="259" t="s">
        <x:v>861</x:v>
      </x:c>
      <x:c r="C101" s="260"/>
      <x:c r="D101" s="260">
        <x:v/>
      </x:c>
      <x:c r="E101" s="1566">
        <x:f>SUM(E96:E100)+E94</x:f>
        <x:v>4077976</x:v>
      </x:c>
      <x:c r="F101" s="1566">
        <x:f>SUM(F96:F100)+F94</x:f>
        <x:v>-119259345.2</x:v>
      </x:c>
      <x:c r="G101" s="1566">
        <x:f>SUM(G96:G100)+G94</x:f>
        <x:v>0</x:v>
      </x:c>
      <x:c r="H101" s="1566">
        <x:f>SUM(H96:H100)+H94</x:f>
        <x:v>123337321.2</x:v>
      </x:c>
      <x:c r="I101" s="1566">
        <x:f>SUM(I96:I100)+I94</x:f>
        <x:v>0</x:v>
      </x:c>
      <x:c r="J101" s="1567"/>
    </x:row>
    <x:row r="102" spans="2:10" ht="8.1" customHeight="1">
      <x:c r="B102" s="1578"/>
      <x:c r="C102" s="1579"/>
      <x:c r="D102" s="1580">
        <x:v/>
      </x:c>
      <x:c r="E102" s="1580"/>
      <x:c r="F102" s="1581"/>
      <x:c r="G102" s="1581"/>
      <x:c r="H102" s="1581"/>
      <x:c r="I102" s="1582"/>
      <x:c r="J102" s="262"/>
    </x:row>
    <x:row r="103" spans="2:10">
      <x:c r="B103" s="263" t="s">
        <x:v>237</x:v>
      </x:c>
      <x:c r="C103" s="264"/>
      <x:c r="D103" s="1583">
        <x:v/>
      </x:c>
      <x:c r="E103" s="1584"/>
      <x:c r="F103" s="1584"/>
      <x:c r="G103" s="1584"/>
      <x:c r="H103" s="1584"/>
      <x:c r="I103" s="1573">
        <x:f>$I$77</x:f>
        <x:v>0.14582932326077899</x:v>
      </x:c>
      <x:c r="J103" s="1585"/>
    </x:row>
    <x:row r="104" spans="2:10">
      <x:c r="B104" s="242" t="s">
        <x:v>215</x:v>
      </x:c>
      <x:c r="C104" s="243"/>
      <x:c r="D104" s="244">
        <x:v/>
      </x:c>
      <x:c r="E104" s="245"/>
      <x:c r="F104" s="245"/>
      <x:c r="G104" s="245"/>
      <x:c r="H104" s="1573">
        <x:f>$H$78</x:f>
        <x:v>0.36861778403412815</x:v>
      </x:c>
      <x:c r="I104" s="245"/>
      <x:c r="J104" s="247"/>
    </x:row>
    <x:row r="105" spans="2:10">
      <x:c r="B105" s="242" t="s">
        <x:v>856</x:v>
      </x:c>
      <x:c r="C105" s="243"/>
      <x:c r="D105" s="244">
        <x:v/>
      </x:c>
      <x:c r="E105" s="245"/>
      <x:c r="F105" s="245"/>
      <x:c r="G105" s="1573">
        <x:f>$G$79</x:f>
        <x:v>1</x:v>
      </x:c>
      <x:c r="H105" s="245"/>
      <x:c r="I105" s="245"/>
      <x:c r="J105" s="247"/>
    </x:row>
    <x:row r="106" spans="2:10">
      <x:c r="B106" s="242" t="s">
        <x:v>857</x:v>
      </x:c>
      <x:c r="C106" s="243"/>
      <x:c r="D106" s="244">
        <x:v/>
      </x:c>
      <x:c r="E106" s="245"/>
      <x:c r="F106" s="1573">
        <x:f>$F$80</x:f>
        <x:v>0</x:v>
      </x:c>
      <x:c r="G106" s="245"/>
      <x:c r="H106" s="245"/>
      <x:c r="I106" s="245"/>
      <x:c r="J106" s="247"/>
    </x:row>
    <x:row r="107" spans="2:10">
      <x:c r="B107" s="248" t="s">
        <x:v>858</x:v>
      </x:c>
      <x:c r="C107" s="243"/>
      <x:c r="D107" s="244">
        <x:v/>
      </x:c>
      <x:c r="E107" s="245">
        <x:f>F107+G107+H107+I107</x:f>
        <x:v>45464330.029449493</x:v>
      </x:c>
      <x:c r="F107" s="245">
        <x:f>F106*F101</x:f>
        <x:v>0</x:v>
      </x:c>
      <x:c r="G107" s="245">
        <x:f>G101*G105</x:f>
        <x:v>0</x:v>
      </x:c>
      <x:c r="H107" s="245">
        <x:f>H101*H104</x:f>
        <x:v>45464330.029449493</x:v>
      </x:c>
      <x:c r="I107" s="245">
        <x:f>I103*I101</x:f>
        <x:v>0</x:v>
      </x:c>
      <x:c r="J107" s="247"/>
    </x:row>
    <x:row r="108" spans="2:10" ht="8.1" customHeight="1">
      <x:c r="C108" s="210"/>
      <x:c r="F108" s="219"/>
      <x:c r="G108" s="219"/>
      <x:c r="H108" s="219"/>
      <x:c r="I108" s="222"/>
    </x:row>
    <x:row r="109" spans="2:10" ht="8.1" customHeight="1">
      <x:c r="C109" s="210"/>
      <x:c r="F109" s="219"/>
      <x:c r="G109" s="219"/>
      <x:c r="H109" s="219"/>
      <x:c r="I109" s="222"/>
    </x:row>
    <x:row r="110" spans="2:10">
      <x:c r="B110" s="212" t="s">
        <x:v>163</x:v>
      </x:c>
      <x:c r="C110" s="212"/>
      <x:c r="D110" s="212">
        <x:v/>
      </x:c>
      <x:c r="E110" s="212" t="s">
        <x:v>164</x:v>
      </x:c>
      <x:c r="F110" s="212" t="s">
        <x:v>1023</x:v>
      </x:c>
      <x:c r="G110" s="212" t="s">
        <x:v>1155</x:v>
      </x:c>
      <x:c r="H110" s="212" t="s">
        <x:v>1156</x:v>
      </x:c>
      <x:c r="I110" s="212" t="s">
        <x:v>1157</x:v>
      </x:c>
      <x:c r="J110" s="212" t="s">
        <x:v>1158</x:v>
      </x:c>
    </x:row>
    <x:row r="111" spans="2:10">
      <x:c r="B111" s="220"/>
      <x:c r="C111" s="62"/>
      <x:c r="D111" s="62">
        <x:v/>
      </x:c>
      <x:c r="E111" s="212"/>
      <x:c r="F111" s="212" t="s">
        <x:v>1188</x:v>
      </x:c>
      <x:c r="G111" s="212" t="s">
        <x:v>231</x:v>
      </x:c>
      <x:c r="H111" s="212"/>
      <x:c r="I111" s="212"/>
      <x:c r="J111" s="62"/>
    </x:row>
    <x:row r="112" spans="2:10">
      <x:c r="B112" s="265"/>
      <x:c r="C112" s="62"/>
      <x:c r="D112" s="62">
        <x:v/>
      </x:c>
      <x:c r="E112" s="212"/>
      <x:c r="F112" s="212" t="s">
        <x:v>1189</x:v>
      </x:c>
      <x:c r="G112" s="212" t="s">
        <x:v>206</x:v>
      </x:c>
      <x:c r="H112" s="212" t="s">
        <x:v>232</x:v>
      </x:c>
      <x:c r="I112" s="212" t="s">
        <x:v>233</x:v>
      </x:c>
      <x:c r="J112" s="62"/>
    </x:row>
    <x:row r="113" spans="2:10">
      <x:c r="B113" s="220" t="s">
        <x:v>1194</x:v>
      </x:c>
      <x:c r="E113" s="212" t="s">
        <x:v>42</x:v>
      </x:c>
      <x:c r="F113" s="215" t="s">
        <x:v>1190</x:v>
      </x:c>
      <x:c r="G113" s="212" t="s">
        <x:v>234</x:v>
      </x:c>
      <x:c r="H113" s="212" t="s">
        <x:v>234</x:v>
      </x:c>
      <x:c r="I113" s="212" t="s">
        <x:v>234</x:v>
      </x:c>
      <x:c r="J113" s="212" t="s">
        <x:v>238</x:v>
      </x:c>
    </x:row>
    <x:row r="114" spans="2:10">
      <x:c r="B114" s="244" t="s">
        <x:v>853</x:v>
      </x:c>
      <x:c r="C114" s="244"/>
      <x:c r="D114" s="244">
        <x:v/>
      </x:c>
      <x:c r="E114" s="235">
        <x:f>SUM(F114:I114)</x:f>
        <x:v>111931384</x:v>
      </x:c>
      <x:c r="F114" s="245">
        <x:f>F68</x:f>
        <x:v>37757318</x:v>
      </x:c>
      <x:c r="G114" s="245">
        <x:f>G68</x:f>
        <x:v>0</x:v>
      </x:c>
      <x:c r="H114" s="245">
        <x:f>H68</x:f>
        <x:v>67611582</x:v>
      </x:c>
      <x:c r="I114" s="245">
        <x:f>I68</x:f>
        <x:v>6562484</x:v>
      </x:c>
      <x:c r="J114" s="247"/>
    </x:row>
    <x:row r="115" spans="2:10">
      <x:c r="B115" s="244" t="s">
        <x:v>859</x:v>
      </x:c>
      <x:c r="C115" s="244"/>
      <x:c r="D115" s="244">
        <x:v/>
      </x:c>
      <x:c r="E115" s="235">
        <x:f>SUM(F115:I115)</x:f>
        <x:v>4077976</x:v>
      </x:c>
      <x:c r="F115" s="245">
        <x:f>F94</x:f>
        <x:v>-119259345.2</x:v>
      </x:c>
      <x:c r="G115" s="245">
        <x:f>G94</x:f>
        <x:v>0</x:v>
      </x:c>
      <x:c r="H115" s="245">
        <x:f>H94</x:f>
        <x:v>123337321.2</x:v>
      </x:c>
      <x:c r="I115" s="245">
        <x:f>I94</x:f>
        <x:v>0</x:v>
      </x:c>
      <x:c r="J115" s="247"/>
    </x:row>
    <x:row r="116" spans="2:10">
      <x:c r="B116" s="266" t="s">
        <x:v>862</x:v>
      </x:c>
      <x:c r="C116" s="244"/>
      <x:c r="D116" s="244">
        <x:v/>
      </x:c>
      <x:c r="E116" s="245">
        <x:f>E114+E115</x:f>
        <x:v>116009360</x:v>
      </x:c>
      <x:c r="F116" s="245">
        <x:f>F114+F115</x:f>
        <x:v>-81502027.200000003</x:v>
      </x:c>
      <x:c r="G116" s="245">
        <x:f>G114+G115</x:f>
        <x:v>0</x:v>
      </x:c>
      <x:c r="H116" s="245">
        <x:f>H114+H115</x:f>
        <x:v>190948903.19999999</x:v>
      </x:c>
      <x:c r="I116" s="245">
        <x:f>I114+I115</x:f>
        <x:v>6562484</x:v>
      </x:c>
      <x:c r="J116" s="247"/>
    </x:row>
    <x:row r="117" spans="2:10" ht="8.1" customHeight="1">
      <x:c r="C117" s="210"/>
      <x:c r="F117" s="219"/>
      <x:c r="G117" s="219"/>
      <x:c r="H117" s="219"/>
      <x:c r="I117" s="222"/>
    </x:row>
    <x:row r="118" spans="2:10" ht="8.1" customHeight="1">
      <x:c r="C118" s="210"/>
      <x:c r="F118" s="219"/>
      <x:c r="G118" s="219"/>
      <x:c r="H118" s="219"/>
      <x:c r="I118" s="222"/>
    </x:row>
    <x:row r="119" spans="2:10" s="62" customFormat="1" ht="12.75" customHeight="1">
      <x:c r="B119" s="267" t="s">
        <x:v>239</x:v>
      </x:c>
      <x:c r="C119" s="267"/>
      <x:c r="E119" s="268"/>
      <x:c r="G119" s="268"/>
      <x:c r="H119" s="269"/>
      <x:c r="I119" s="270"/>
      <x:c r="J119" s="271"/>
    </x:row>
    <x:row r="120" spans="2:10" s="62" customFormat="1" ht="15.75" customHeight="1">
      <x:c r="B120" s="1603" t="s">
        <x:v>2162</x:v>
      </x:c>
      <x:c r="C120" s="1603"/>
      <x:c r="D120" s="1603">
        <x:v/>
      </x:c>
      <x:c r="E120" s="1603"/>
      <x:c r="F120" s="1603"/>
      <x:c r="G120" s="1603"/>
      <x:c r="H120" s="1603"/>
      <x:c r="I120" s="1603"/>
      <x:c r="J120" s="272"/>
    </x:row>
    <x:row r="121" spans="2:10" s="62" customFormat="1">
      <x:c r="B121" s="273" t="s">
        <x:v>2163</x:v>
      </x:c>
      <x:c r="C121" s="273"/>
      <x:c r="H121" s="270"/>
      <x:c r="I121" s="270"/>
      <x:c r="J121" s="271"/>
    </x:row>
    <x:row r="122" spans="2:10" s="62" customFormat="1">
      <x:c r="B122" s="273" t="s">
        <x:v>2164</x:v>
      </x:c>
      <x:c r="C122" s="273"/>
      <x:c r="H122" s="270"/>
      <x:c r="I122" s="270"/>
      <x:c r="J122" s="272"/>
    </x:row>
    <x:row r="123" spans="2:10" s="62" customFormat="1">
      <x:c r="B123" s="273" t="s">
        <x:v>2165</x:v>
      </x:c>
      <x:c r="C123" s="273"/>
      <x:c r="H123" s="270"/>
      <x:c r="I123" s="270"/>
      <x:c r="J123" s="271"/>
    </x:row>
    <x:row r="124" spans="2:10" s="62" customFormat="1">
      <x:c r="B124" s="1603" t="s">
        <x:v>863</x:v>
      </x:c>
      <x:c r="C124" s="1603"/>
      <x:c r="D124" s="1603">
        <x:v/>
      </x:c>
      <x:c r="E124" s="1603"/>
      <x:c r="F124" s="1603"/>
      <x:c r="G124" s="1603"/>
      <x:c r="H124" s="1603"/>
      <x:c r="I124" s="1603"/>
    </x:row>
    <x:row r="125" spans="2:10" s="62" customFormat="1">
      <x:c r="B125" s="273" t="s">
        <x:v>2166</x:v>
      </x:c>
      <x:c r="C125" s="273"/>
      <x:c r="H125" s="270"/>
      <x:c r="I125" s="270"/>
      <x:c r="J125" s="271"/>
    </x:row>
    <x:row r="126" spans="2:10" ht="8.1" customHeight="1">
      <x:c r="C126" s="210"/>
      <x:c r="F126" s="219"/>
      <x:c r="G126" s="219"/>
      <x:c r="H126" s="219"/>
      <x:c r="I126" s="222"/>
    </x:row>
    <x:row r="127" spans="2:10" ht="8.1" customHeight="1">
      <x:c r="C127" s="210"/>
      <x:c r="F127" s="219"/>
      <x:c r="G127" s="219"/>
      <x:c r="H127" s="219"/>
      <x:c r="I127" s="222"/>
    </x:row>
    <x:row r="128" spans="2:10">
      <x:c r="B128" s="212" t="s">
        <x:v>163</x:v>
      </x:c>
      <x:c r="C128" s="212"/>
      <x:c r="D128" s="212">
        <x:v/>
      </x:c>
      <x:c r="E128" s="212" t="s">
        <x:v>164</x:v>
      </x:c>
      <x:c r="F128" s="212" t="s">
        <x:v>1023</x:v>
      </x:c>
      <x:c r="G128" s="212" t="s">
        <x:v>1155</x:v>
      </x:c>
      <x:c r="H128" s="212" t="s">
        <x:v>1156</x:v>
      </x:c>
      <x:c r="I128" s="212" t="s">
        <x:v>1157</x:v>
      </x:c>
      <x:c r="J128" s="212" t="s">
        <x:v>1158</x:v>
      </x:c>
    </x:row>
    <x:row r="129" spans="2:10">
      <x:c r="B129" s="220"/>
      <x:c r="C129" s="62"/>
      <x:c r="D129" s="62">
        <x:v/>
      </x:c>
      <x:c r="E129" s="212"/>
      <x:c r="F129" s="212" t="s">
        <x:v>1188</x:v>
      </x:c>
      <x:c r="G129" s="212" t="s">
        <x:v>231</x:v>
      </x:c>
      <x:c r="H129" s="212"/>
      <x:c r="I129" s="212"/>
      <x:c r="J129" s="62"/>
    </x:row>
    <x:row r="130" spans="2:10">
      <x:c r="B130" s="220"/>
      <x:c r="C130" s="228"/>
      <x:c r="D130" s="62">
        <x:v/>
      </x:c>
      <x:c r="E130" s="212"/>
      <x:c r="F130" s="212" t="s">
        <x:v>1189</x:v>
      </x:c>
      <x:c r="G130" s="212" t="s">
        <x:v>206</x:v>
      </x:c>
      <x:c r="H130" s="212" t="s">
        <x:v>232</x:v>
      </x:c>
      <x:c r="I130" s="212" t="s">
        <x:v>233</x:v>
      </x:c>
      <x:c r="J130" s="62"/>
    </x:row>
    <x:row r="131" spans="2:10">
      <x:c r="B131" s="220" t="s">
        <x:v>864</x:v>
      </x:c>
      <x:c r="C131" s="62"/>
      <x:c r="D131" s="62">
        <x:v/>
      </x:c>
      <x:c r="E131" s="212" t="s">
        <x:v>42</x:v>
      </x:c>
      <x:c r="F131" s="215" t="s">
        <x:v>1190</x:v>
      </x:c>
      <x:c r="G131" s="212" t="s">
        <x:v>234</x:v>
      </x:c>
      <x:c r="H131" s="212" t="s">
        <x:v>234</x:v>
      </x:c>
      <x:c r="I131" s="212" t="s">
        <x:v>234</x:v>
      </x:c>
      <x:c r="J131" s="212" t="s">
        <x:v>238</x:v>
      </x:c>
    </x:row>
    <x:row r="132" spans="2:10">
      <x:c r="B132" s="277" t="s">
        <x:v>1889</x:v>
      </x:c>
      <x:c r="C132" s="251"/>
      <x:c r="D132" s="258">
        <x:v/>
      </x:c>
      <x:c r="E132" s="240">
        <x:f t="shared" ref="E132:E138" si="4">SUM(F132:I132)</x:f>
        <x:v>-631163723.83395255</x:v>
      </x:c>
      <x:c r="F132" s="230">
        <x:v>-61665427.454068273</x:v>
      </x:c>
      <x:c r="G132" s="230">
        <x:v>0</x:v>
      </x:c>
      <x:c r="H132" s="230">
        <x:v>-569498296.37988424</x:v>
      </x:c>
      <x:c r="I132" s="230">
        <x:v>0</x:v>
      </x:c>
      <x:c r="J132" s="1094" t="s">
        <x:v>1891</x:v>
      </x:c>
    </x:row>
    <x:row r="133" spans="2:10">
      <x:c r="B133" s="277" t="s">
        <x:v>1890</x:v>
      </x:c>
      <x:c r="C133" s="239"/>
      <x:c r="D133" s="1095">
        <x:v/>
      </x:c>
      <x:c r="E133" s="240">
        <x:f t="shared" si="4"/>
        <x:v>25281589.378196202</x:v>
      </x:c>
      <x:c r="F133" s="230">
        <x:v>25281589.378196202</x:v>
      </x:c>
      <x:c r="G133" s="230">
        <x:v>0</x:v>
      </x:c>
      <x:c r="H133" s="230">
        <x:v>0</x:v>
      </x:c>
      <x:c r="I133" s="230">
        <x:v>0</x:v>
      </x:c>
      <x:c r="J133" s="1094" t="s">
        <x:v>1892</x:v>
      </x:c>
    </x:row>
    <x:row r="134" spans="2:10" ht="38.25">
      <x:c r="B134" s="277" t="s">
        <x:v>1775</x:v>
      </x:c>
      <x:c r="C134" s="251"/>
      <x:c r="D134" s="1095">
        <x:v/>
      </x:c>
      <x:c r="E134" s="240">
        <x:f t="shared" si="4"/>
        <x:v>-18246696.743540503</x:v>
      </x:c>
      <x:c r="F134" s="230">
        <x:v>-9936123.6197345499</x:v>
      </x:c>
      <x:c r="G134" s="230">
        <x:v>-8310573.1238059523</x:v>
      </x:c>
      <x:c r="H134" s="230">
        <x:v>0</x:v>
      </x:c>
      <x:c r="I134" s="230">
        <x:v>0</x:v>
      </x:c>
      <x:c r="J134" s="411" t="s">
        <x:v>1893</x:v>
      </x:c>
    </x:row>
    <x:row r="135" spans="2:10" ht="25.5">
      <x:c r="B135" s="277" t="s">
        <x:v>2109</x:v>
      </x:c>
      <x:c r="C135" s="251"/>
      <x:c r="D135" s="1095">
        <x:v/>
      </x:c>
      <x:c r="E135" s="240">
        <x:f t="shared" si="4"/>
        <x:v>-8018441.2837150097</x:v>
      </x:c>
      <x:c r="F135" s="230">
        <x:v>-801844.12837150076</x:v>
      </x:c>
      <x:c r="G135" s="230">
        <x:v>0</x:v>
      </x:c>
      <x:c r="H135" s="230">
        <x:v>-7216597.1553435093</x:v>
      </x:c>
      <x:c r="I135" s="230">
        <x:v>0</x:v>
      </x:c>
      <x:c r="J135" s="411" t="s">
        <x:v>2120</x:v>
      </x:c>
    </x:row>
    <x:row r="136" spans="2:10" ht="25.5">
      <x:c r="B136" s="277" t="s">
        <x:v>2110</x:v>
      </x:c>
      <x:c r="C136" s="251"/>
      <x:c r="D136" s="1095">
        <x:v/>
      </x:c>
      <x:c r="E136" s="240">
        <x:f t="shared" si="4"/>
        <x:v>8018441.2837150097</x:v>
      </x:c>
      <x:c r="F136" s="230">
        <x:v>801844.12837150076</x:v>
      </x:c>
      <x:c r="G136" s="230">
        <x:v>0</x:v>
      </x:c>
      <x:c r="H136" s="230">
        <x:v>7216597.1553435093</x:v>
      </x:c>
      <x:c r="I136" s="230">
        <x:v>0</x:v>
      </x:c>
      <x:c r="J136" s="411" t="s">
        <x:v>1894</x:v>
      </x:c>
    </x:row>
    <x:row r="137" spans="2:10">
      <x:c r="B137" s="277" t="s">
        <x:v>1776</x:v>
      </x:c>
      <x:c r="C137" s="251"/>
      <x:c r="D137" s="1095">
        <x:v/>
      </x:c>
      <x:c r="E137" s="240">
        <x:f t="shared" si="4"/>
        <x:v>10753086.782517591</x:v>
      </x:c>
      <x:c r="F137" s="230">
        <x:v>10753086.782517591</x:v>
      </x:c>
      <x:c r="G137" s="230">
        <x:v>0</x:v>
      </x:c>
      <x:c r="H137" s="230">
        <x:v>0</x:v>
      </x:c>
      <x:c r="I137" s="230">
        <x:v>0</x:v>
      </x:c>
      <x:c r="J137" s="411" t="s">
        <x:v>2111</x:v>
      </x:c>
    </x:row>
    <x:row r="138" spans="2:10" ht="25.5">
      <x:c r="B138" s="277" t="s">
        <x:v>1777</x:v>
      </x:c>
      <x:c r="C138" s="251"/>
      <x:c r="D138" s="1095">
        <x:v/>
      </x:c>
      <x:c r="E138" s="240">
        <x:f t="shared" si="4"/>
        <x:v>-8562120.3548319992</x:v>
      </x:c>
      <x:c r="F138" s="230">
        <x:v>-856212.03548319987</x:v>
      </x:c>
      <x:c r="G138" s="230">
        <x:v>0</x:v>
      </x:c>
      <x:c r="H138" s="230">
        <x:v>-7705908.3193488</x:v>
      </x:c>
      <x:c r="I138" s="230">
        <x:v>0</x:v>
      </x:c>
      <x:c r="J138" s="1094" t="s">
        <x:v>1895</x:v>
      </x:c>
    </x:row>
    <x:row r="139" spans="2:10">
      <x:c r="B139" s="237" t="s">
        <x:v>865</x:v>
      </x:c>
      <x:c r="C139" s="234"/>
      <x:c r="D139" s="234">
        <x:v/>
      </x:c>
      <x:c r="E139" s="235">
        <x:f>SUM(E132:E138)</x:f>
        <x:v>-621937864.77161133</x:v>
      </x:c>
      <x:c r="F139" s="235">
        <x:f t="shared" ref="F139:I139" si="5">SUM(F132:F138)</x:f>
        <x:v>-36423086.948572226</x:v>
      </x:c>
      <x:c r="G139" s="235">
        <x:f t="shared" si="5"/>
        <x:v>-8310573.1238059523</x:v>
      </x:c>
      <x:c r="H139" s="235">
        <x:f t="shared" si="5"/>
        <x:v>-577204204.69923306</x:v>
      </x:c>
      <x:c r="I139" s="235">
        <x:f t="shared" si="5"/>
        <x:v>0</x:v>
      </x:c>
      <x:c r="J139" s="236"/>
    </x:row>
    <x:row r="140" spans="2:10" ht="8.1" customHeight="1">
      <x:c r="B140" s="1569"/>
      <x:c r="C140" s="1570"/>
      <x:c r="D140" s="1512">
        <x:v/>
      </x:c>
      <x:c r="E140" s="1512"/>
      <x:c r="F140" s="1513"/>
      <x:c r="G140" s="1513"/>
      <x:c r="H140" s="1513"/>
      <x:c r="I140" s="1571"/>
      <x:c r="J140" s="1572"/>
    </x:row>
    <x:row r="141" spans="2:10">
      <x:c r="B141" s="238" t="s">
        <x:v>1529</x:v>
      </x:c>
      <x:c r="C141" s="239"/>
      <x:c r="D141" s="258">
        <x:v/>
      </x:c>
      <x:c r="E141" s="240">
        <x:f t="shared" ref="E141:E144" si="6">SUM(F141:I141)</x:f>
        <x:v>-2190966.4276855914</x:v>
      </x:c>
      <x:c r="F141" s="230">
        <x:f>-F137-F138</x:f>
        <x:v>-9896874.7470343914</x:v>
      </x:c>
      <x:c r="G141" s="230">
        <x:f t="shared" ref="G141:I141" si="7">-G137-G138</x:f>
        <x:v>0</x:v>
      </x:c>
      <x:c r="H141" s="230">
        <x:f>-H138</x:f>
        <x:v>7705908.3193488</x:v>
      </x:c>
      <x:c r="I141" s="230">
        <x:f t="shared" si="7"/>
        <x:v>0</x:v>
      </x:c>
      <x:c r="J141" s="241"/>
    </x:row>
    <x:row r="142" spans="2:10">
      <x:c r="B142" s="238" t="s">
        <x:v>1530</x:v>
      </x:c>
      <x:c r="C142" s="239"/>
      <x:c r="D142" s="258">
        <x:v/>
      </x:c>
      <x:c r="E142" s="240">
        <x:f t="shared" si="6"/>
        <x:v>18246696.743540503</x:v>
      </x:c>
      <x:c r="F142" s="230">
        <x:f>-F134</x:f>
        <x:v>9936123.6197345499</x:v>
      </x:c>
      <x:c r="G142" s="230">
        <x:f t="shared" ref="G142:I142" si="8">-G134</x:f>
        <x:v>8310573.1238059523</x:v>
      </x:c>
      <x:c r="H142" s="230">
        <x:f t="shared" si="8"/>
        <x:v>0</x:v>
      </x:c>
      <x:c r="I142" s="230">
        <x:f t="shared" si="8"/>
        <x:v>0</x:v>
      </x:c>
      <x:c r="J142" s="241"/>
    </x:row>
    <x:row r="143" spans="2:10">
      <x:c r="B143" s="238" t="s">
        <x:v>1531</x:v>
      </x:c>
      <x:c r="C143" s="239"/>
      <x:c r="D143" s="258">
        <x:v/>
      </x:c>
      <x:c r="E143" s="240">
        <x:f t="shared" si="6"/>
        <x:v>0</x:v>
      </x:c>
      <x:c r="F143" s="230">
        <x:v>0</x:v>
      </x:c>
      <x:c r="G143" s="230">
        <x:v>0</x:v>
      </x:c>
      <x:c r="H143" s="230">
        <x:v>0</x:v>
      </x:c>
      <x:c r="I143" s="230">
        <x:v>0</x:v>
      </x:c>
      <x:c r="J143" s="241"/>
    </x:row>
    <x:row r="144" spans="2:10">
      <x:c r="B144" s="238" t="s">
        <x:v>1532</x:v>
      </x:c>
      <x:c r="C144" s="239"/>
      <x:c r="D144" s="258">
        <x:v/>
      </x:c>
      <x:c r="E144" s="240">
        <x:f t="shared" si="6"/>
        <x:v>0</x:v>
      </x:c>
      <x:c r="F144" s="230">
        <x:v>0</x:v>
      </x:c>
      <x:c r="G144" s="230">
        <x:v>0</x:v>
      </x:c>
      <x:c r="H144" s="230">
        <x:v>0</x:v>
      </x:c>
      <x:c r="I144" s="230">
        <x:v>0</x:v>
      </x:c>
      <x:c r="J144" s="241"/>
    </x:row>
    <x:row r="145" spans="2:10" ht="5.0999999999999996" customHeight="1">
      <x:c r="B145" s="232"/>
      <x:c r="C145" s="233"/>
      <x:c r="D145" s="234">
        <x:v/>
      </x:c>
      <x:c r="E145" s="235"/>
      <x:c r="F145" s="235"/>
      <x:c r="G145" s="235"/>
      <x:c r="H145" s="235"/>
      <x:c r="I145" s="235"/>
      <x:c r="J145" s="236"/>
    </x:row>
    <x:row r="146" spans="2:10">
      <x:c r="B146" s="237" t="s">
        <x:v>866</x:v>
      </x:c>
      <x:c r="C146" s="234"/>
      <x:c r="D146" s="234">
        <x:v/>
      </x:c>
      <x:c r="E146" s="235">
        <x:f>SUM(E141:E145)+E139</x:f>
        <x:v>-605882134.45575643</x:v>
      </x:c>
      <x:c r="F146" s="235">
        <x:f>SUM(F141:F145)+F139</x:f>
        <x:v>-36383838.075872064</x:v>
      </x:c>
      <x:c r="G146" s="235">
        <x:f>SUM(G141:G145)+G139</x:f>
        <x:v>0</x:v>
      </x:c>
      <x:c r="H146" s="235">
        <x:f>SUM(H141:H145)+H139</x:f>
        <x:v>-569498296.37988424</x:v>
      </x:c>
      <x:c r="I146" s="235">
        <x:f>SUM(I141:I145)+I139</x:f>
        <x:v>0</x:v>
      </x:c>
      <x:c r="J146" s="236"/>
    </x:row>
    <x:row r="147" spans="2:10" ht="8.1" customHeight="1">
      <x:c r="B147" s="1569"/>
      <x:c r="C147" s="1570"/>
      <x:c r="D147" s="1512">
        <x:v/>
      </x:c>
      <x:c r="E147" s="1512"/>
      <x:c r="F147" s="1513"/>
      <x:c r="G147" s="1513"/>
      <x:c r="H147" s="1513"/>
      <x:c r="I147" s="1571"/>
      <x:c r="J147" s="1572"/>
    </x:row>
    <x:row r="148" spans="2:10">
      <x:c r="B148" s="242" t="s">
        <x:v>237</x:v>
      </x:c>
      <x:c r="C148" s="243"/>
      <x:c r="D148" s="244">
        <x:v/>
      </x:c>
      <x:c r="E148" s="245"/>
      <x:c r="F148" s="245"/>
      <x:c r="G148" s="245"/>
      <x:c r="H148" s="245"/>
      <x:c r="I148" s="1568">
        <x:f>$I$77</x:f>
        <x:v>0.14582932326077899</x:v>
      </x:c>
      <x:c r="J148" s="247"/>
    </x:row>
    <x:row r="149" spans="2:10">
      <x:c r="B149" s="242" t="s">
        <x:v>215</x:v>
      </x:c>
      <x:c r="C149" s="243"/>
      <x:c r="D149" s="244">
        <x:v/>
      </x:c>
      <x:c r="E149" s="245"/>
      <x:c r="F149" s="245"/>
      <x:c r="G149" s="245"/>
      <x:c r="H149" s="1573">
        <x:f>$H$78</x:f>
        <x:v>0.36861778403412815</x:v>
      </x:c>
      <x:c r="I149" s="245"/>
      <x:c r="J149" s="247"/>
    </x:row>
    <x:row r="150" spans="2:10">
      <x:c r="B150" s="242" t="s">
        <x:v>856</x:v>
      </x:c>
      <x:c r="C150" s="243"/>
      <x:c r="D150" s="244">
        <x:v/>
      </x:c>
      <x:c r="E150" s="245"/>
      <x:c r="F150" s="245"/>
      <x:c r="G150" s="1573">
        <x:f>$G$79</x:f>
        <x:v>1</x:v>
      </x:c>
      <x:c r="H150" s="245"/>
      <x:c r="I150" s="245"/>
      <x:c r="J150" s="247"/>
    </x:row>
    <x:row r="151" spans="2:10">
      <x:c r="B151" s="242" t="s">
        <x:v>857</x:v>
      </x:c>
      <x:c r="C151" s="243"/>
      <x:c r="D151" s="244">
        <x:v/>
      </x:c>
      <x:c r="E151" s="245"/>
      <x:c r="F151" s="1573">
        <x:f>$F$80</x:f>
        <x:v>0</x:v>
      </x:c>
      <x:c r="G151" s="245"/>
      <x:c r="H151" s="245"/>
      <x:c r="I151" s="245"/>
      <x:c r="J151" s="247"/>
    </x:row>
    <x:row r="152" spans="2:10">
      <x:c r="B152" s="248" t="s">
        <x:v>858</x:v>
      </x:c>
      <x:c r="C152" s="243"/>
      <x:c r="D152" s="244">
        <x:v/>
      </x:c>
      <x:c r="E152" s="245">
        <x:f>F152+G152+H152+I152</x:f>
        <x:v>-209927200.02276409</x:v>
      </x:c>
      <x:c r="F152" s="245">
        <x:f>F151*F146</x:f>
        <x:v>0</x:v>
      </x:c>
      <x:c r="G152" s="245">
        <x:f>G146*G150</x:f>
        <x:v>0</x:v>
      </x:c>
      <x:c r="H152" s="245">
        <x:f>H146*H149</x:f>
        <x:v>-209927200.02276409</x:v>
      </x:c>
      <x:c r="I152" s="245">
        <x:f>I148*I146</x:f>
        <x:v>0</x:v>
      </x:c>
      <x:c r="J152" s="247"/>
    </x:row>
    <x:row r="153" spans="2:10" ht="7.9" customHeight="1">
      <x:c r="C153" s="210"/>
      <x:c r="F153" s="219"/>
      <x:c r="G153" s="219"/>
      <x:c r="H153" s="219"/>
      <x:c r="I153" s="222"/>
    </x:row>
    <x:row r="154" spans="2:10" ht="8.1" customHeight="1">
      <x:c r="C154" s="210"/>
      <x:c r="F154" s="219"/>
      <x:c r="G154" s="219"/>
      <x:c r="H154" s="219"/>
      <x:c r="I154" s="222"/>
    </x:row>
    <x:row r="155" spans="2:10">
      <x:c r="B155" s="212" t="s">
        <x:v>163</x:v>
      </x:c>
      <x:c r="C155" s="212"/>
      <x:c r="D155" s="212">
        <x:v/>
      </x:c>
      <x:c r="E155" s="212" t="s">
        <x:v>164</x:v>
      </x:c>
      <x:c r="F155" s="212" t="s">
        <x:v>1023</x:v>
      </x:c>
      <x:c r="G155" s="212" t="s">
        <x:v>1155</x:v>
      </x:c>
      <x:c r="H155" s="212" t="s">
        <x:v>1156</x:v>
      </x:c>
      <x:c r="I155" s="212" t="s">
        <x:v>1157</x:v>
      </x:c>
      <x:c r="J155" s="212" t="s">
        <x:v>1158</x:v>
      </x:c>
    </x:row>
    <x:row r="156" spans="2:10">
      <x:c r="B156" s="220"/>
      <x:c r="C156" s="62"/>
      <x:c r="D156" s="62">
        <x:v/>
      </x:c>
      <x:c r="E156" s="212"/>
      <x:c r="F156" s="212" t="s">
        <x:v>1188</x:v>
      </x:c>
      <x:c r="G156" s="212" t="s">
        <x:v>231</x:v>
      </x:c>
      <x:c r="H156" s="212"/>
      <x:c r="I156" s="212"/>
      <x:c r="J156" s="62"/>
    </x:row>
    <x:row r="157" spans="2:10">
      <x:c r="B157" s="220"/>
      <x:c r="C157" s="62"/>
      <x:c r="D157" s="62">
        <x:v/>
      </x:c>
      <x:c r="E157" s="212"/>
      <x:c r="F157" s="212" t="s">
        <x:v>1189</x:v>
      </x:c>
      <x:c r="G157" s="212" t="s">
        <x:v>206</x:v>
      </x:c>
      <x:c r="H157" s="212" t="s">
        <x:v>232</x:v>
      </x:c>
      <x:c r="I157" s="212" t="s">
        <x:v>233</x:v>
      </x:c>
      <x:c r="J157" s="62"/>
    </x:row>
    <x:row r="158" spans="2:10">
      <x:c r="B158" s="220" t="s">
        <x:v>867</x:v>
      </x:c>
      <x:c r="C158" s="62"/>
      <x:c r="D158" s="62">
        <x:v/>
      </x:c>
      <x:c r="E158" s="212" t="s">
        <x:v>42</x:v>
      </x:c>
      <x:c r="F158" s="215" t="s">
        <x:v>1190</x:v>
      </x:c>
      <x:c r="G158" s="212" t="s">
        <x:v>234</x:v>
      </x:c>
      <x:c r="H158" s="212" t="s">
        <x:v>234</x:v>
      </x:c>
      <x:c r="I158" s="212" t="s">
        <x:v>234</x:v>
      </x:c>
      <x:c r="J158" s="212" t="s">
        <x:v>238</x:v>
      </x:c>
    </x:row>
    <x:row r="159" spans="2:10">
      <x:c r="B159" s="344" t="s">
        <x:v>1889</x:v>
      </x:c>
      <x:c r="C159" s="251"/>
      <x:c r="D159" s="253">
        <x:v/>
      </x:c>
      <x:c r="E159" s="240">
        <x:f>SUM(F159:I159)</x:f>
        <x:v>-352790413</x:v>
      </x:c>
      <x:c r="F159" s="230">
        <x:v>-35279041</x:v>
      </x:c>
      <x:c r="G159" s="230">
        <x:v>0</x:v>
      </x:c>
      <x:c r="H159" s="230">
        <x:v>-317511372</x:v>
      </x:c>
      <x:c r="I159" s="230">
        <x:v>0</x:v>
      </x:c>
      <x:c r="J159" s="355" t="s">
        <x:v>1891</x:v>
      </x:c>
    </x:row>
    <x:row r="160" spans="2:10">
      <x:c r="B160" s="277"/>
      <x:c r="C160" s="251"/>
      <x:c r="D160" s="253">
        <x:v/>
      </x:c>
      <x:c r="E160" s="230"/>
      <x:c r="F160" s="230"/>
      <x:c r="G160" s="230"/>
      <x:c r="H160" s="230"/>
      <x:c r="I160" s="230"/>
      <x:c r="J160" s="231"/>
    </x:row>
    <x:row r="161" spans="2:10">
      <x:c r="B161" s="277"/>
      <x:c r="C161" s="251"/>
      <x:c r="D161" s="253">
        <x:v/>
      </x:c>
      <x:c r="E161" s="230"/>
      <x:c r="F161" s="230"/>
      <x:c r="G161" s="230"/>
      <x:c r="H161" s="230"/>
      <x:c r="I161" s="230"/>
      <x:c r="J161" s="231"/>
    </x:row>
    <x:row r="162" spans="2:10">
      <x:c r="B162" s="277"/>
      <x:c r="C162" s="251"/>
      <x:c r="D162" s="252">
        <x:v/>
      </x:c>
      <x:c r="E162" s="254"/>
      <x:c r="F162" s="254"/>
      <x:c r="G162" s="254"/>
      <x:c r="H162" s="254"/>
      <x:c r="I162" s="254"/>
      <x:c r="J162" s="255"/>
    </x:row>
    <x:row r="163" spans="2:10">
      <x:c r="B163" s="237" t="s">
        <x:v>868</x:v>
      </x:c>
      <x:c r="C163" s="234"/>
      <x:c r="D163" s="234">
        <x:v/>
      </x:c>
      <x:c r="E163" s="235">
        <x:f>SUM(E159:E162)</x:f>
        <x:v>-352790413</x:v>
      </x:c>
      <x:c r="F163" s="235">
        <x:f>SUM(F159:F162)</x:f>
        <x:v>-35279041</x:v>
      </x:c>
      <x:c r="G163" s="235">
        <x:f>SUM(G159:G162)</x:f>
        <x:v>0</x:v>
      </x:c>
      <x:c r="H163" s="235">
        <x:f>SUM(H159:H162)</x:f>
        <x:v>-317511372</x:v>
      </x:c>
      <x:c r="I163" s="235">
        <x:f>SUM(I159:I162)</x:f>
        <x:v>0</x:v>
      </x:c>
      <x:c r="J163" s="236"/>
    </x:row>
    <x:row r="164" spans="2:10" ht="8.1" customHeight="1">
      <x:c r="B164" s="237"/>
      <x:c r="C164" s="234"/>
      <x:c r="D164" s="234">
        <x:v/>
      </x:c>
      <x:c r="E164" s="235"/>
      <x:c r="F164" s="235"/>
      <x:c r="G164" s="235"/>
      <x:c r="H164" s="235"/>
      <x:c r="I164" s="235"/>
      <x:c r="J164" s="236"/>
    </x:row>
    <x:row r="165" spans="2:10">
      <x:c r="B165" s="256" t="s">
        <x:v>1529</x:v>
      </x:c>
      <x:c r="C165" s="257"/>
      <x:c r="D165" s="258">
        <x:v/>
      </x:c>
      <x:c r="E165" s="240"/>
      <x:c r="F165" s="230"/>
      <x:c r="G165" s="230"/>
      <x:c r="H165" s="230"/>
      <x:c r="I165" s="230"/>
      <x:c r="J165" s="241"/>
    </x:row>
    <x:row r="166" spans="2:10">
      <x:c r="B166" s="238" t="s">
        <x:v>1530</x:v>
      </x:c>
      <x:c r="C166" s="239"/>
      <x:c r="D166" s="258">
        <x:v/>
      </x:c>
      <x:c r="E166" s="240"/>
      <x:c r="F166" s="230"/>
      <x:c r="G166" s="230"/>
      <x:c r="H166" s="230"/>
      <x:c r="I166" s="230"/>
      <x:c r="J166" s="241"/>
    </x:row>
    <x:row r="167" spans="2:10">
      <x:c r="B167" s="238" t="s">
        <x:v>1531</x:v>
      </x:c>
      <x:c r="C167" s="239"/>
      <x:c r="D167" s="258">
        <x:v/>
      </x:c>
      <x:c r="E167" s="240"/>
      <x:c r="F167" s="230"/>
      <x:c r="G167" s="230"/>
      <x:c r="H167" s="230"/>
      <x:c r="I167" s="230"/>
      <x:c r="J167" s="241"/>
    </x:row>
    <x:row r="168" spans="2:10">
      <x:c r="B168" s="238" t="s">
        <x:v>1532</x:v>
      </x:c>
      <x:c r="C168" s="239"/>
      <x:c r="D168" s="258">
        <x:v/>
      </x:c>
      <x:c r="E168" s="240"/>
      <x:c r="F168" s="230"/>
      <x:c r="G168" s="230"/>
      <x:c r="H168" s="230"/>
      <x:c r="I168" s="230"/>
      <x:c r="J168" s="241"/>
    </x:row>
    <x:row r="169" spans="2:10" ht="5.0999999999999996" customHeight="1">
      <x:c r="B169" s="232"/>
      <x:c r="C169" s="233"/>
      <x:c r="D169" s="234">
        <x:v/>
      </x:c>
      <x:c r="E169" s="235"/>
      <x:c r="F169" s="235"/>
      <x:c r="G169" s="235"/>
      <x:c r="H169" s="235"/>
      <x:c r="I169" s="235"/>
      <x:c r="J169" s="236"/>
    </x:row>
    <x:row r="170" spans="2:10">
      <x:c r="B170" s="259" t="s">
        <x:v>866</x:v>
      </x:c>
      <x:c r="C170" s="260"/>
      <x:c r="D170" s="234">
        <x:v/>
      </x:c>
      <x:c r="E170" s="235">
        <x:f>SUM(E165:E169)+E163</x:f>
        <x:v>-352790413</x:v>
      </x:c>
      <x:c r="F170" s="235">
        <x:f>SUM(F165:F169)+F163</x:f>
        <x:v>-35279041</x:v>
      </x:c>
      <x:c r="G170" s="235">
        <x:f>SUM(G165:G169)+G163</x:f>
        <x:v>0</x:v>
      </x:c>
      <x:c r="H170" s="235">
        <x:f>SUM(H165:H169)+H163</x:f>
        <x:v>-317511372</x:v>
      </x:c>
      <x:c r="I170" s="235">
        <x:f>SUM(I165:I169)+I163</x:f>
        <x:v>0</x:v>
      </x:c>
      <x:c r="J170" s="236"/>
    </x:row>
    <x:row r="171" spans="2:10" ht="8.1" customHeight="1">
      <x:c r="B171" s="237"/>
      <x:c r="C171" s="234"/>
      <x:c r="D171" s="234">
        <x:v/>
      </x:c>
      <x:c r="E171" s="235"/>
      <x:c r="F171" s="235"/>
      <x:c r="G171" s="235"/>
      <x:c r="H171" s="235"/>
      <x:c r="I171" s="235"/>
      <x:c r="J171" s="236"/>
    </x:row>
    <x:row r="172" spans="2:10">
      <x:c r="B172" s="263" t="s">
        <x:v>237</x:v>
      </x:c>
      <x:c r="C172" s="264"/>
      <x:c r="D172" s="244">
        <x:v/>
      </x:c>
      <x:c r="E172" s="245"/>
      <x:c r="F172" s="245"/>
      <x:c r="G172" s="245"/>
      <x:c r="H172" s="245"/>
      <x:c r="I172" s="246">
        <x:f>$I$77</x:f>
        <x:v>0.14582932326077899</x:v>
      </x:c>
      <x:c r="J172" s="247"/>
    </x:row>
    <x:row r="173" spans="2:10">
      <x:c r="B173" s="242" t="s">
        <x:v>215</x:v>
      </x:c>
      <x:c r="C173" s="243"/>
      <x:c r="D173" s="244">
        <x:v/>
      </x:c>
      <x:c r="E173" s="245"/>
      <x:c r="F173" s="245"/>
      <x:c r="G173" s="245"/>
      <x:c r="H173" s="246">
        <x:f>$H$78</x:f>
        <x:v>0.36861778403412815</x:v>
      </x:c>
      <x:c r="I173" s="245"/>
      <x:c r="J173" s="247"/>
    </x:row>
    <x:row r="174" spans="2:10">
      <x:c r="B174" s="242" t="s">
        <x:v>856</x:v>
      </x:c>
      <x:c r="C174" s="243"/>
      <x:c r="D174" s="244">
        <x:v/>
      </x:c>
      <x:c r="E174" s="245"/>
      <x:c r="F174" s="245"/>
      <x:c r="G174" s="246">
        <x:f>$G$79</x:f>
        <x:v>1</x:v>
      </x:c>
      <x:c r="H174" s="245"/>
      <x:c r="I174" s="245"/>
      <x:c r="J174" s="247"/>
    </x:row>
    <x:row r="175" spans="2:10">
      <x:c r="B175" s="242" t="s">
        <x:v>857</x:v>
      </x:c>
      <x:c r="C175" s="243"/>
      <x:c r="D175" s="244">
        <x:v/>
      </x:c>
      <x:c r="E175" s="245"/>
      <x:c r="F175" s="246">
        <x:f>$F$80</x:f>
        <x:v>0</x:v>
      </x:c>
      <x:c r="G175" s="245"/>
      <x:c r="H175" s="245"/>
      <x:c r="I175" s="245"/>
      <x:c r="J175" s="247"/>
    </x:row>
    <x:row r="176" spans="2:10">
      <x:c r="B176" s="248" t="s">
        <x:v>858</x:v>
      </x:c>
      <x:c r="C176" s="243"/>
      <x:c r="D176" s="244">
        <x:v/>
      </x:c>
      <x:c r="E176" s="245">
        <x:f>F176+G176+H176+I176</x:f>
        <x:v>-117040338.35227573</x:v>
      </x:c>
      <x:c r="F176" s="245">
        <x:f>F175*F170</x:f>
        <x:v>0</x:v>
      </x:c>
      <x:c r="G176" s="245">
        <x:f>G170*G174</x:f>
        <x:v>0</x:v>
      </x:c>
      <x:c r="H176" s="245">
        <x:f>H170*H173</x:f>
        <x:v>-117040338.35227573</x:v>
      </x:c>
      <x:c r="I176" s="245">
        <x:f>I172*I170</x:f>
        <x:v>0</x:v>
      </x:c>
      <x:c r="J176" s="247"/>
    </x:row>
    <x:row r="177" spans="2:10" ht="8.1" customHeight="1">
      <x:c r="C177" s="210"/>
      <x:c r="F177" s="219"/>
      <x:c r="G177" s="219"/>
      <x:c r="H177" s="219"/>
      <x:c r="I177" s="222"/>
    </x:row>
    <x:row r="178" spans="2:10" ht="8.1" customHeight="1">
      <x:c r="C178" s="210"/>
      <x:c r="F178" s="219"/>
      <x:c r="G178" s="219"/>
      <x:c r="H178" s="219"/>
      <x:c r="I178" s="222"/>
    </x:row>
    <x:row r="179" spans="2:10">
      <x:c r="B179" s="212" t="s">
        <x:v>163</x:v>
      </x:c>
      <x:c r="C179" s="212"/>
      <x:c r="D179" s="212">
        <x:v/>
      </x:c>
      <x:c r="E179" s="212" t="s">
        <x:v>164</x:v>
      </x:c>
      <x:c r="F179" s="212" t="s">
        <x:v>1023</x:v>
      </x:c>
      <x:c r="G179" s="212" t="s">
        <x:v>1155</x:v>
      </x:c>
      <x:c r="H179" s="212" t="s">
        <x:v>1156</x:v>
      </x:c>
      <x:c r="I179" s="212" t="s">
        <x:v>1157</x:v>
      </x:c>
      <x:c r="J179" s="212" t="s">
        <x:v>1158</x:v>
      </x:c>
    </x:row>
    <x:row r="180" spans="2:10">
      <x:c r="B180" s="220"/>
      <x:c r="C180" s="62"/>
      <x:c r="D180" s="62">
        <x:v/>
      </x:c>
      <x:c r="E180" s="212"/>
      <x:c r="F180" s="212" t="s">
        <x:v>1188</x:v>
      </x:c>
      <x:c r="G180" s="212" t="s">
        <x:v>231</x:v>
      </x:c>
      <x:c r="H180" s="212"/>
      <x:c r="I180" s="212"/>
      <x:c r="J180" s="62"/>
    </x:row>
    <x:row r="181" spans="2:10">
      <x:c r="B181" s="220"/>
      <x:c r="C181" s="62"/>
      <x:c r="D181" s="62">
        <x:v/>
      </x:c>
      <x:c r="E181" s="212"/>
      <x:c r="F181" s="212" t="s">
        <x:v>1189</x:v>
      </x:c>
      <x:c r="G181" s="212" t="s">
        <x:v>206</x:v>
      </x:c>
      <x:c r="H181" s="212" t="s">
        <x:v>232</x:v>
      </x:c>
      <x:c r="I181" s="212" t="s">
        <x:v>233</x:v>
      </x:c>
      <x:c r="J181" s="62"/>
    </x:row>
    <x:row r="182" spans="2:10">
      <x:c r="B182" s="220" t="s">
        <x:v>869</x:v>
      </x:c>
      <x:c r="C182" s="62"/>
      <x:c r="D182" s="62">
        <x:v/>
      </x:c>
      <x:c r="E182" s="212" t="s">
        <x:v>42</x:v>
      </x:c>
      <x:c r="F182" s="215" t="s">
        <x:v>1190</x:v>
      </x:c>
      <x:c r="G182" s="212" t="s">
        <x:v>234</x:v>
      </x:c>
      <x:c r="H182" s="212" t="s">
        <x:v>234</x:v>
      </x:c>
      <x:c r="I182" s="212" t="s">
        <x:v>234</x:v>
      </x:c>
      <x:c r="J182" s="212" t="s">
        <x:v>238</x:v>
      </x:c>
    </x:row>
    <x:row r="183" spans="2:10">
      <x:c r="B183" s="244" t="s">
        <x:v>870</x:v>
      </x:c>
      <x:c r="C183" s="244"/>
      <x:c r="D183" s="244">
        <x:v/>
      </x:c>
      <x:c r="E183" s="235">
        <x:f>SUM(F183:I183)</x:f>
        <x:v>-621937864.77161121</x:v>
      </x:c>
      <x:c r="F183" s="245">
        <x:f>F139</x:f>
        <x:v>-36423086.948572226</x:v>
      </x:c>
      <x:c r="G183" s="245">
        <x:f>G139</x:f>
        <x:v>-8310573.1238059523</x:v>
      </x:c>
      <x:c r="H183" s="245">
        <x:f>H139</x:f>
        <x:v>-577204204.69923306</x:v>
      </x:c>
      <x:c r="I183" s="245">
        <x:f>I139</x:f>
        <x:v>0</x:v>
      </x:c>
      <x:c r="J183" s="247"/>
    </x:row>
    <x:row r="184" spans="2:10">
      <x:c r="B184" s="244" t="s">
        <x:v>867</x:v>
      </x:c>
      <x:c r="C184" s="244"/>
      <x:c r="D184" s="244">
        <x:v/>
      </x:c>
      <x:c r="E184" s="235">
        <x:f>SUM(F184:I184)</x:f>
        <x:v>-352790413</x:v>
      </x:c>
      <x:c r="F184" s="245">
        <x:f>F163</x:f>
        <x:v>-35279041</x:v>
      </x:c>
      <x:c r="G184" s="245">
        <x:f>G163</x:f>
        <x:v>0</x:v>
      </x:c>
      <x:c r="H184" s="245">
        <x:f>H163</x:f>
        <x:v>-317511372</x:v>
      </x:c>
      <x:c r="I184" s="245">
        <x:f>I163</x:f>
        <x:v>0</x:v>
      </x:c>
      <x:c r="J184" s="247"/>
    </x:row>
    <x:row r="185" spans="2:10">
      <x:c r="B185" s="237" t="s">
        <x:v>2179</x:v>
      </x:c>
      <x:c r="C185" s="244"/>
      <x:c r="D185" s="244">
        <x:v/>
      </x:c>
      <x:c r="E185" s="245">
        <x:f>E183+E184</x:f>
        <x:v>-974728277.77161121</x:v>
      </x:c>
      <x:c r="F185" s="245">
        <x:f>F183+F184</x:f>
        <x:v>-71702127.948572218</x:v>
      </x:c>
      <x:c r="G185" s="245">
        <x:f>G183+G184</x:f>
        <x:v>-8310573.1238059523</x:v>
      </x:c>
      <x:c r="H185" s="245">
        <x:f>H183+H184</x:f>
        <x:v>-894715576.69923306</x:v>
      </x:c>
      <x:c r="I185" s="245">
        <x:f>I183+I184</x:f>
        <x:v>0</x:v>
      </x:c>
      <x:c r="J185" s="247"/>
    </x:row>
    <x:row r="186" spans="2:10" ht="8.1" customHeight="1">
      <x:c r="C186" s="210"/>
      <x:c r="F186" s="219"/>
      <x:c r="G186" s="219"/>
      <x:c r="H186" s="219"/>
      <x:c r="I186" s="222"/>
    </x:row>
    <x:row r="187" spans="2:10" ht="8.1" customHeight="1">
      <x:c r="C187" s="210"/>
      <x:c r="F187" s="219"/>
      <x:c r="G187" s="219"/>
      <x:c r="H187" s="219"/>
      <x:c r="I187" s="222"/>
    </x:row>
    <x:row r="188" spans="2:10" s="62" customFormat="1">
      <x:c r="B188" s="220" t="s">
        <x:v>240</x:v>
      </x:c>
      <x:c r="G188" s="270"/>
      <x:c r="H188" s="270"/>
      <x:c r="I188" s="270"/>
      <x:c r="J188" s="271"/>
    </x:row>
    <x:row r="189" spans="2:10" s="62" customFormat="1" ht="12.75" customHeight="1">
      <x:c r="B189" s="1603" t="s">
        <x:v>2162</x:v>
      </x:c>
      <x:c r="C189" s="1603"/>
      <x:c r="D189" s="1603">
        <x:v/>
      </x:c>
      <x:c r="E189" s="1603"/>
      <x:c r="F189" s="1603"/>
      <x:c r="G189" s="1603"/>
      <x:c r="H189" s="1603"/>
      <x:c r="I189" s="1603"/>
      <x:c r="J189" s="271"/>
    </x:row>
    <x:row r="190" spans="2:10" s="62" customFormat="1">
      <x:c r="B190" s="273" t="s">
        <x:v>2163</x:v>
      </x:c>
      <x:c r="C190" s="273"/>
      <x:c r="H190" s="270"/>
      <x:c r="I190" s="270"/>
      <x:c r="J190" s="271"/>
    </x:row>
    <x:row r="191" spans="2:10" s="62" customFormat="1">
      <x:c r="B191" s="273" t="s">
        <x:v>2164</x:v>
      </x:c>
      <x:c r="C191" s="273"/>
      <x:c r="H191" s="270"/>
      <x:c r="I191" s="270"/>
      <x:c r="J191" s="271"/>
    </x:row>
    <x:row r="192" spans="2:10" s="62" customFormat="1">
      <x:c r="B192" s="273" t="s">
        <x:v>2165</x:v>
      </x:c>
      <x:c r="C192" s="273"/>
      <x:c r="H192" s="270"/>
      <x:c r="I192" s="270"/>
      <x:c r="J192" s="271"/>
    </x:row>
    <x:row r="193" spans="2:11" s="62" customFormat="1" ht="15.75" customHeight="1">
      <x:c r="B193" s="1603" t="s">
        <x:v>863</x:v>
      </x:c>
      <x:c r="C193" s="1603"/>
      <x:c r="D193" s="1603">
        <x:v/>
      </x:c>
      <x:c r="E193" s="1603"/>
      <x:c r="F193" s="1603"/>
      <x:c r="G193" s="1603"/>
      <x:c r="H193" s="1603"/>
      <x:c r="I193" s="1603"/>
    </x:row>
    <x:row r="194" spans="2:11" s="62" customFormat="1">
      <x:c r="B194" s="273" t="s">
        <x:v>2167</x:v>
      </x:c>
      <x:c r="G194" s="270"/>
      <x:c r="H194" s="270"/>
      <x:c r="I194" s="270"/>
      <x:c r="J194" s="271"/>
    </x:row>
    <x:row r="195" spans="2:11">
      <x:c r="B195" s="278" t="s">
        <x:v>2168</x:v>
      </x:c>
    </x:row>
    <x:row r="196" spans="2:11" ht="8.1" customHeight="1">
      <x:c r="C196" s="210"/>
      <x:c r="F196" s="219"/>
      <x:c r="G196" s="219"/>
      <x:c r="H196" s="219"/>
      <x:c r="I196" s="222"/>
    </x:row>
    <x:row r="197" spans="2:11" ht="8.1" customHeight="1">
      <x:c r="C197" s="210"/>
      <x:c r="F197" s="219"/>
      <x:c r="G197" s="219"/>
      <x:c r="H197" s="219"/>
      <x:c r="I197" s="222"/>
    </x:row>
    <x:row r="198" spans="2:11">
      <x:c r="B198" s="212" t="s">
        <x:v>163</x:v>
      </x:c>
      <x:c r="C198" s="212"/>
      <x:c r="D198" s="212">
        <x:v/>
      </x:c>
      <x:c r="E198" s="212" t="s">
        <x:v>164</x:v>
      </x:c>
      <x:c r="F198" s="212" t="s">
        <x:v>1023</x:v>
      </x:c>
      <x:c r="G198" s="212" t="s">
        <x:v>1155</x:v>
      </x:c>
      <x:c r="H198" s="212" t="s">
        <x:v>1156</x:v>
      </x:c>
      <x:c r="I198" s="212" t="s">
        <x:v>1157</x:v>
      </x:c>
      <x:c r="J198" s="212" t="s">
        <x:v>1158</x:v>
      </x:c>
    </x:row>
    <x:row r="199" spans="2:11">
      <x:c r="B199" s="220"/>
      <x:c r="C199" s="62"/>
      <x:c r="D199" s="62">
        <x:v/>
      </x:c>
      <x:c r="E199" s="212"/>
      <x:c r="F199" s="212" t="s">
        <x:v>1188</x:v>
      </x:c>
      <x:c r="G199" s="212" t="s">
        <x:v>231</x:v>
      </x:c>
      <x:c r="H199" s="212"/>
      <x:c r="I199" s="212"/>
      <x:c r="J199" s="62"/>
    </x:row>
    <x:row r="200" spans="2:11">
      <x:c r="B200" s="220"/>
      <x:c r="C200" s="228"/>
      <x:c r="D200" s="62">
        <x:v/>
      </x:c>
      <x:c r="E200" s="212"/>
      <x:c r="F200" s="212" t="s">
        <x:v>1189</x:v>
      </x:c>
      <x:c r="G200" s="212" t="s">
        <x:v>206</x:v>
      </x:c>
      <x:c r="H200" s="212" t="s">
        <x:v>232</x:v>
      </x:c>
      <x:c r="I200" s="212" t="s">
        <x:v>233</x:v>
      </x:c>
      <x:c r="J200" s="62"/>
      <x:c r="K200" s="208" t="s">
        <x:v>83</x:v>
      </x:c>
    </x:row>
    <x:row r="201" spans="2:11">
      <x:c r="B201" s="220" t="s">
        <x:v>872</x:v>
      </x:c>
      <x:c r="C201" s="62"/>
      <x:c r="D201" s="62">
        <x:v/>
      </x:c>
      <x:c r="E201" s="212" t="s">
        <x:v>42</x:v>
      </x:c>
      <x:c r="F201" s="215" t="s">
        <x:v>1190</x:v>
      </x:c>
      <x:c r="G201" s="212" t="s">
        <x:v>234</x:v>
      </x:c>
      <x:c r="H201" s="212" t="s">
        <x:v>234</x:v>
      </x:c>
      <x:c r="I201" s="212" t="s">
        <x:v>234</x:v>
      </x:c>
      <x:c r="J201" s="212" t="s">
        <x:v>238</x:v>
      </x:c>
    </x:row>
    <x:row r="202" spans="2:11" ht="25.5">
      <x:c r="B202" s="229" t="s">
        <x:v>1778</x:v>
      </x:c>
      <x:c r="C202" s="251"/>
      <x:c r="D202" s="253">
        <x:v/>
      </x:c>
      <x:c r="E202" s="240">
        <x:f>SUM(F202:I202)</x:f>
        <x:v>-7094756</x:v>
      </x:c>
      <x:c r="F202" s="230">
        <x:v>-993266</x:v>
      </x:c>
      <x:c r="G202" s="230">
        <x:v>0</x:v>
      </x:c>
      <x:c r="H202" s="230">
        <x:v>-6101490</x:v>
      </x:c>
      <x:c r="I202" s="230">
        <x:v>0</x:v>
      </x:c>
      <x:c r="J202" s="355" t="s">
        <x:v>1896</x:v>
      </x:c>
    </x:row>
    <x:row r="203" spans="2:11">
      <x:c r="B203" s="229" t="s">
        <x:v>1763</x:v>
      </x:c>
      <x:c r="C203" s="251"/>
      <x:c r="D203" s="253">
        <x:v/>
      </x:c>
      <x:c r="E203" s="240">
        <x:f t="shared" ref="E203:E211" si="9">SUM(F203:I203)</x:f>
        <x:v>-845299</x:v>
      </x:c>
      <x:c r="F203" s="230">
        <x:v>-845299</x:v>
      </x:c>
      <x:c r="G203" s="230">
        <x:v>0</x:v>
      </x:c>
      <x:c r="H203" s="230">
        <x:v>0</x:v>
      </x:c>
      <x:c r="I203" s="230">
        <x:v>0</x:v>
      </x:c>
      <x:c r="J203" s="355" t="s">
        <x:v>1884</x:v>
      </x:c>
    </x:row>
    <x:row r="204" spans="2:11">
      <x:c r="B204" s="229" t="s">
        <x:v>1676</x:v>
      </x:c>
      <x:c r="C204" s="251"/>
      <x:c r="D204" s="253">
        <x:v/>
      </x:c>
      <x:c r="E204" s="240">
        <x:f t="shared" si="9"/>
        <x:v>322055</x:v>
      </x:c>
      <x:c r="F204" s="230">
        <x:v>45088</x:v>
      </x:c>
      <x:c r="G204" s="230">
        <x:v>0</x:v>
      </x:c>
      <x:c r="H204" s="230">
        <x:v>276967</x:v>
      </x:c>
      <x:c r="I204" s="230">
        <x:v>0</x:v>
      </x:c>
      <x:c r="J204" s="355" t="s">
        <x:v>1897</x:v>
      </x:c>
    </x:row>
    <x:row r="205" spans="2:11" ht="25.5">
      <x:c r="B205" s="229" t="s">
        <x:v>1779</x:v>
      </x:c>
      <x:c r="C205" s="251"/>
      <x:c r="D205" s="253">
        <x:v/>
      </x:c>
      <x:c r="E205" s="240">
        <x:f t="shared" si="9"/>
        <x:v>-2996528</x:v>
      </x:c>
      <x:c r="F205" s="230">
        <x:v>-771222</x:v>
      </x:c>
      <x:c r="G205" s="230">
        <x:v>0</x:v>
      </x:c>
      <x:c r="H205" s="230">
        <x:v>-2225306</x:v>
      </x:c>
      <x:c r="I205" s="230">
        <x:v>0</x:v>
      </x:c>
      <x:c r="J205" s="410" t="s">
        <x:v>1896</x:v>
      </x:c>
    </x:row>
    <x:row r="206" spans="2:11" ht="25.5">
      <x:c r="B206" s="229" t="s">
        <x:v>1780</x:v>
      </x:c>
      <x:c r="C206" s="251"/>
      <x:c r="D206" s="253">
        <x:v/>
      </x:c>
      <x:c r="E206" s="240">
        <x:f t="shared" si="9"/>
        <x:v>-33414536</x:v>
      </x:c>
      <x:c r="F206" s="230">
        <x:v>-4678035</x:v>
      </x:c>
      <x:c r="G206" s="230">
        <x:v>0</x:v>
      </x:c>
      <x:c r="H206" s="230">
        <x:v>0</x:v>
      </x:c>
      <x:c r="I206" s="230">
        <x:v>-28736501</x:v>
      </x:c>
      <x:c r="J206" s="355" t="s">
        <x:v>1898</x:v>
      </x:c>
    </x:row>
    <x:row r="207" spans="2:11">
      <x:c r="B207" s="229" t="s">
        <x:v>1781</x:v>
      </x:c>
      <x:c r="C207" s="251"/>
      <x:c r="D207" s="253">
        <x:v/>
      </x:c>
      <x:c r="E207" s="240">
        <x:f t="shared" si="9"/>
        <x:v>-37649208</x:v>
      </x:c>
      <x:c r="F207" s="230">
        <x:v>-37649208</x:v>
      </x:c>
      <x:c r="G207" s="230">
        <x:v>0</x:v>
      </x:c>
      <x:c r="H207" s="230">
        <x:v>0</x:v>
      </x:c>
      <x:c r="I207" s="230">
        <x:v>0</x:v>
      </x:c>
      <x:c r="J207" s="355" t="s">
        <x:v>1884</x:v>
      </x:c>
    </x:row>
    <x:row r="208" spans="2:11">
      <x:c r="B208" s="229" t="s">
        <x:v>1782</x:v>
      </x:c>
      <x:c r="C208" s="251"/>
      <x:c r="D208" s="253">
        <x:v/>
      </x:c>
      <x:c r="E208" s="240">
        <x:f t="shared" si="9"/>
        <x:v>-1025007</x:v>
      </x:c>
      <x:c r="F208" s="230">
        <x:v>-1025007</x:v>
      </x:c>
      <x:c r="G208" s="230">
        <x:v>0</x:v>
      </x:c>
      <x:c r="H208" s="230">
        <x:v>0</x:v>
      </x:c>
      <x:c r="I208" s="230">
        <x:v>0</x:v>
      </x:c>
      <x:c r="J208" s="282" t="s">
        <x:v>1884</x:v>
      </x:c>
    </x:row>
    <x:row r="209" spans="2:10">
      <x:c r="B209" s="229" t="s">
        <x:v>1914</x:v>
      </x:c>
      <x:c r="C209" s="251"/>
      <x:c r="D209" s="253">
        <x:v/>
      </x:c>
      <x:c r="E209" s="240">
        <x:f t="shared" ref="E209" si="10">SUM(F209:I209)</x:f>
        <x:v>0</x:v>
      </x:c>
      <x:c r="F209" s="230">
        <x:v>0</x:v>
      </x:c>
      <x:c r="G209" s="230">
        <x:v>0</x:v>
      </x:c>
      <x:c r="H209" s="230">
        <x:v>0</x:v>
      </x:c>
      <x:c r="I209" s="230">
        <x:v>0</x:v>
      </x:c>
      <x:c r="J209" s="355" t="s">
        <x:v>1884</x:v>
      </x:c>
    </x:row>
    <x:row r="210" spans="2:10">
      <x:c r="B210" s="229" t="s">
        <x:v>1638</x:v>
      </x:c>
      <x:c r="C210" s="251"/>
      <x:c r="D210" s="253">
        <x:v/>
      </x:c>
      <x:c r="E210" s="240">
        <x:f t="shared" si="9"/>
        <x:v>-2449595</x:v>
      </x:c>
      <x:c r="F210" s="230">
        <x:v>-2449595</x:v>
      </x:c>
      <x:c r="G210" s="230">
        <x:v>0</x:v>
      </x:c>
      <x:c r="H210" s="230">
        <x:v>0</x:v>
      </x:c>
      <x:c r="I210" s="230">
        <x:v>0</x:v>
      </x:c>
      <x:c r="J210" s="355" t="s">
        <x:v>1884</x:v>
      </x:c>
    </x:row>
    <x:row r="211" spans="2:10" ht="25.5">
      <x:c r="B211" s="229" t="s">
        <x:v>1687</x:v>
      </x:c>
      <x:c r="C211" s="251"/>
      <x:c r="D211" s="253">
        <x:v/>
      </x:c>
      <x:c r="E211" s="240">
        <x:f t="shared" si="9"/>
        <x:v>-709708</x:v>
      </x:c>
      <x:c r="F211" s="230">
        <x:v>-709708</x:v>
      </x:c>
      <x:c r="G211" s="230">
        <x:v>0</x:v>
      </x:c>
      <x:c r="H211" s="230">
        <x:v>0</x:v>
      </x:c>
      <x:c r="I211" s="230">
        <x:v>0</x:v>
      </x:c>
      <x:c r="J211" s="282" t="s">
        <x:v>1907</x:v>
      </x:c>
    </x:row>
    <x:row r="212" spans="2:10">
      <x:c r="B212" s="237" t="s">
        <x:v>873</x:v>
      </x:c>
      <x:c r="C212" s="234"/>
      <x:c r="D212" s="234">
        <x:v/>
      </x:c>
      <x:c r="E212" s="235">
        <x:f>SUM(E202:E211)</x:f>
        <x:v>-85862582</x:v>
      </x:c>
      <x:c r="F212" s="235">
        <x:f>SUM(F202:F211)</x:f>
        <x:v>-49076252</x:v>
      </x:c>
      <x:c r="G212" s="235">
        <x:f>SUM(G202:G211)</x:f>
        <x:v>0</x:v>
      </x:c>
      <x:c r="H212" s="235">
        <x:f>SUM(H202:H211)</x:f>
        <x:v>-8049829</x:v>
      </x:c>
      <x:c r="I212" s="235">
        <x:f>SUM(I202:I211)</x:f>
        <x:v>-28736501</x:v>
      </x:c>
      <x:c r="J212" s="236"/>
    </x:row>
    <x:row r="213" spans="2:10">
      <x:c r="B213" s="237"/>
      <x:c r="C213" s="234"/>
      <x:c r="D213" s="234">
        <x:v/>
      </x:c>
      <x:c r="E213" s="235"/>
      <x:c r="F213" s="235"/>
      <x:c r="G213" s="235"/>
      <x:c r="H213" s="235"/>
      <x:c r="I213" s="235"/>
      <x:c r="J213" s="236"/>
    </x:row>
    <x:row r="214" spans="2:10">
      <x:c r="B214" s="256" t="s">
        <x:v>1529</x:v>
      </x:c>
      <x:c r="C214" s="257"/>
      <x:c r="D214" s="258">
        <x:v/>
      </x:c>
      <x:c r="E214" s="240">
        <x:f>SUM(F214:I214)</x:f>
        <x:v>0</x:v>
      </x:c>
      <x:c r="F214" s="230"/>
      <x:c r="G214" s="230"/>
      <x:c r="H214" s="230"/>
      <x:c r="I214" s="230"/>
      <x:c r="J214" s="241"/>
    </x:row>
    <x:row r="215" spans="2:10">
      <x:c r="B215" s="238" t="s">
        <x:v>1530</x:v>
      </x:c>
      <x:c r="C215" s="239"/>
      <x:c r="D215" s="258">
        <x:v/>
      </x:c>
      <x:c r="E215" s="240">
        <x:f>SUM(F215:I215)</x:f>
        <x:v>0</x:v>
      </x:c>
      <x:c r="F215" s="230"/>
      <x:c r="G215" s="230"/>
      <x:c r="H215" s="230"/>
      <x:c r="I215" s="230"/>
      <x:c r="J215" s="241"/>
    </x:row>
    <x:row r="216" spans="2:10">
      <x:c r="B216" s="238" t="s">
        <x:v>1531</x:v>
      </x:c>
      <x:c r="C216" s="239"/>
      <x:c r="D216" s="258">
        <x:v/>
      </x:c>
      <x:c r="E216" s="240">
        <x:f>SUM(F216:I216)</x:f>
        <x:v>0</x:v>
      </x:c>
      <x:c r="F216" s="230"/>
      <x:c r="G216" s="230"/>
      <x:c r="H216" s="230"/>
      <x:c r="I216" s="230"/>
      <x:c r="J216" s="241"/>
    </x:row>
    <x:row r="217" spans="2:10">
      <x:c r="B217" s="238" t="s">
        <x:v>1532</x:v>
      </x:c>
      <x:c r="C217" s="239"/>
      <x:c r="D217" s="258">
        <x:v/>
      </x:c>
      <x:c r="E217" s="240">
        <x:f>SUM(F217:I217)</x:f>
        <x:v>0</x:v>
      </x:c>
      <x:c r="F217" s="230"/>
      <x:c r="G217" s="230"/>
      <x:c r="H217" s="230"/>
      <x:c r="I217" s="230"/>
      <x:c r="J217" s="241"/>
    </x:row>
    <x:row r="218" spans="2:10" ht="5.0999999999999996" customHeight="1">
      <x:c r="B218" s="232"/>
      <x:c r="C218" s="233"/>
      <x:c r="D218" s="234">
        <x:v/>
      </x:c>
      <x:c r="E218" s="235"/>
      <x:c r="F218" s="235"/>
      <x:c r="G218" s="235"/>
      <x:c r="H218" s="235"/>
      <x:c r="I218" s="235"/>
      <x:c r="J218" s="236"/>
    </x:row>
    <x:row r="219" spans="2:10">
      <x:c r="B219" s="259" t="s">
        <x:v>874</x:v>
      </x:c>
      <x:c r="C219" s="260"/>
      <x:c r="D219" s="234">
        <x:v/>
      </x:c>
      <x:c r="E219" s="235">
        <x:f>SUM(E214:E218)+E212</x:f>
        <x:v>-85862582</x:v>
      </x:c>
      <x:c r="F219" s="235">
        <x:f t="shared" ref="F219:I219" si="11">SUM(F214:F218)+F212</x:f>
        <x:v>-49076252</x:v>
      </x:c>
      <x:c r="G219" s="235">
        <x:f t="shared" si="11"/>
        <x:v>0</x:v>
      </x:c>
      <x:c r="H219" s="235">
        <x:f t="shared" si="11"/>
        <x:v>-8049829</x:v>
      </x:c>
      <x:c r="I219" s="235">
        <x:f t="shared" si="11"/>
        <x:v>-28736501</x:v>
      </x:c>
      <x:c r="J219" s="236"/>
    </x:row>
    <x:row r="220" spans="2:10">
      <x:c r="B220" s="261"/>
      <x:c r="C220" s="262"/>
      <x:c r="D220" s="262">
        <x:v/>
      </x:c>
      <x:c r="E220" s="245"/>
      <x:c r="F220" s="235"/>
      <x:c r="G220" s="235"/>
      <x:c r="H220" s="235"/>
      <x:c r="I220" s="235"/>
      <x:c r="J220" s="247"/>
    </x:row>
    <x:row r="221" spans="2:10">
      <x:c r="B221" s="263" t="s">
        <x:v>237</x:v>
      </x:c>
      <x:c r="C221" s="264"/>
      <x:c r="D221" s="244">
        <x:v/>
      </x:c>
      <x:c r="E221" s="245"/>
      <x:c r="F221" s="245"/>
      <x:c r="G221" s="245"/>
      <x:c r="H221" s="245"/>
      <x:c r="I221" s="246">
        <x:f>$I$77</x:f>
        <x:v>0.14582932326077899</x:v>
      </x:c>
      <x:c r="J221" s="247"/>
    </x:row>
    <x:row r="222" spans="2:10">
      <x:c r="B222" s="242" t="s">
        <x:v>215</x:v>
      </x:c>
      <x:c r="C222" s="243"/>
      <x:c r="D222" s="244">
        <x:v/>
      </x:c>
      <x:c r="E222" s="245"/>
      <x:c r="F222" s="245"/>
      <x:c r="G222" s="245"/>
      <x:c r="H222" s="246">
        <x:f>$H$78</x:f>
        <x:v>0.36861778403412815</x:v>
      </x:c>
      <x:c r="I222" s="245"/>
      <x:c r="J222" s="247"/>
    </x:row>
    <x:row r="223" spans="2:10">
      <x:c r="B223" s="242" t="s">
        <x:v>856</x:v>
      </x:c>
      <x:c r="C223" s="243"/>
      <x:c r="D223" s="244">
        <x:v/>
      </x:c>
      <x:c r="E223" s="245"/>
      <x:c r="F223" s="245"/>
      <x:c r="G223" s="246">
        <x:f>$G$79</x:f>
        <x:v>1</x:v>
      </x:c>
      <x:c r="H223" s="245"/>
      <x:c r="I223" s="245"/>
      <x:c r="J223" s="247"/>
    </x:row>
    <x:row r="224" spans="2:10">
      <x:c r="B224" s="242" t="s">
        <x:v>857</x:v>
      </x:c>
      <x:c r="C224" s="243"/>
      <x:c r="D224" s="244">
        <x:v/>
      </x:c>
      <x:c r="E224" s="245"/>
      <x:c r="F224" s="246">
        <x:f>$F$80</x:f>
        <x:v>0</x:v>
      </x:c>
      <x:c r="G224" s="245"/>
      <x:c r="H224" s="245"/>
      <x:c r="I224" s="245"/>
      <x:c r="J224" s="247"/>
    </x:row>
    <x:row r="225" spans="2:10" ht="17.25" customHeight="1">
      <x:c r="B225" s="248" t="s">
        <x:v>858</x:v>
      </x:c>
      <x:c r="C225" s="243"/>
      <x:c r="D225" s="244">
        <x:v/>
      </x:c>
      <x:c r="E225" s="245">
        <x:f>F225+G225+H225+I225</x:f>
        <x:v>-7157934.6215463597</x:v>
      </x:c>
      <x:c r="F225" s="245">
        <x:f>F224*F219</x:f>
        <x:v>0</x:v>
      </x:c>
      <x:c r="G225" s="245">
        <x:f>G219*G223</x:f>
        <x:v>0</x:v>
      </x:c>
      <x:c r="H225" s="245">
        <x:f>H219*H222</x:f>
        <x:v>-2967310.1278336616</x:v>
      </x:c>
      <x:c r="I225" s="245">
        <x:f>I221*I219</x:f>
        <x:v>-4190624.4937126986</x:v>
      </x:c>
      <x:c r="J225" s="247"/>
    </x:row>
    <x:row r="226" spans="2:10" ht="8.1" customHeight="1">
      <x:c r="C226" s="210"/>
      <x:c r="F226" s="219"/>
      <x:c r="G226" s="219"/>
      <x:c r="H226" s="219"/>
      <x:c r="I226" s="222"/>
    </x:row>
    <x:row r="227" spans="2:10" ht="8.1" customHeight="1">
      <x:c r="C227" s="210"/>
      <x:c r="F227" s="219"/>
      <x:c r="G227" s="219"/>
      <x:c r="H227" s="219"/>
      <x:c r="I227" s="222"/>
    </x:row>
    <x:row r="228" spans="2:10">
      <x:c r="B228" s="212" t="s">
        <x:v>163</x:v>
      </x:c>
      <x:c r="C228" s="62"/>
      <x:c r="D228" s="62">
        <x:v/>
      </x:c>
      <x:c r="E228" s="212" t="s">
        <x:v>164</x:v>
      </x:c>
      <x:c r="F228" s="212" t="s">
        <x:v>1023</x:v>
      </x:c>
      <x:c r="G228" s="212" t="s">
        <x:v>1155</x:v>
      </x:c>
      <x:c r="H228" s="212" t="s">
        <x:v>1156</x:v>
      </x:c>
      <x:c r="I228" s="212" t="s">
        <x:v>1157</x:v>
      </x:c>
      <x:c r="J228" s="212" t="s">
        <x:v>1158</x:v>
      </x:c>
    </x:row>
    <x:row r="229" spans="2:10">
      <x:c r="B229" s="220"/>
      <x:c r="C229" s="62"/>
      <x:c r="D229" s="62">
        <x:v/>
      </x:c>
      <x:c r="E229" s="212"/>
      <x:c r="F229" s="212" t="s">
        <x:v>1188</x:v>
      </x:c>
      <x:c r="G229" s="212" t="s">
        <x:v>231</x:v>
      </x:c>
      <x:c r="H229" s="212"/>
      <x:c r="I229" s="212"/>
      <x:c r="J229" s="62"/>
    </x:row>
    <x:row r="230" spans="2:10">
      <x:c r="B230" s="265"/>
      <x:c r="C230" s="62"/>
      <x:c r="D230" s="62">
        <x:v/>
      </x:c>
      <x:c r="E230" s="212"/>
      <x:c r="F230" s="212" t="s">
        <x:v>1189</x:v>
      </x:c>
      <x:c r="G230" s="212" t="s">
        <x:v>206</x:v>
      </x:c>
      <x:c r="H230" s="212" t="s">
        <x:v>232</x:v>
      </x:c>
      <x:c r="I230" s="212" t="s">
        <x:v>233</x:v>
      </x:c>
      <x:c r="J230" s="62"/>
    </x:row>
    <x:row r="231" spans="2:10">
      <x:c r="B231" s="220" t="s">
        <x:v>875</x:v>
      </x:c>
      <x:c r="E231" s="212" t="s">
        <x:v>42</x:v>
      </x:c>
      <x:c r="F231" s="215" t="s">
        <x:v>1190</x:v>
      </x:c>
      <x:c r="G231" s="212" t="s">
        <x:v>234</x:v>
      </x:c>
      <x:c r="H231" s="212" t="s">
        <x:v>234</x:v>
      </x:c>
      <x:c r="I231" s="212" t="s">
        <x:v>234</x:v>
      </x:c>
      <x:c r="J231" s="212" t="s">
        <x:v>238</x:v>
      </x:c>
    </x:row>
    <x:row r="232" spans="2:10">
      <x:c r="B232" s="229"/>
      <x:c r="C232" s="251"/>
      <x:c r="D232" s="252">
        <x:v/>
      </x:c>
      <x:c r="E232" s="230"/>
      <x:c r="F232" s="230"/>
      <x:c r="G232" s="230"/>
      <x:c r="H232" s="230"/>
      <x:c r="I232" s="230"/>
      <x:c r="J232" s="231"/>
    </x:row>
    <x:row r="233" spans="2:10">
      <x:c r="B233" s="229"/>
      <x:c r="C233" s="251"/>
      <x:c r="D233" s="253">
        <x:v/>
      </x:c>
      <x:c r="E233" s="230"/>
      <x:c r="F233" s="230"/>
      <x:c r="G233" s="230"/>
      <x:c r="H233" s="230"/>
      <x:c r="I233" s="230"/>
      <x:c r="J233" s="231"/>
    </x:row>
    <x:row r="234" spans="2:10">
      <x:c r="B234" s="229"/>
      <x:c r="C234" s="251"/>
      <x:c r="D234" s="253">
        <x:v/>
      </x:c>
      <x:c r="E234" s="230"/>
      <x:c r="F234" s="230"/>
      <x:c r="G234" s="230"/>
      <x:c r="H234" s="230"/>
      <x:c r="I234" s="230"/>
      <x:c r="J234" s="231"/>
    </x:row>
    <x:row r="235" spans="2:10">
      <x:c r="B235" s="229"/>
      <x:c r="C235" s="251"/>
      <x:c r="D235" s="253">
        <x:v/>
      </x:c>
      <x:c r="E235" s="230"/>
      <x:c r="F235" s="230"/>
      <x:c r="G235" s="230"/>
      <x:c r="H235" s="230"/>
      <x:c r="I235" s="230"/>
      <x:c r="J235" s="231"/>
    </x:row>
    <x:row r="236" spans="2:10">
      <x:c r="B236" s="229"/>
      <x:c r="C236" s="251"/>
      <x:c r="D236" s="253">
        <x:v/>
      </x:c>
      <x:c r="E236" s="230"/>
      <x:c r="F236" s="230"/>
      <x:c r="G236" s="230"/>
      <x:c r="H236" s="230"/>
      <x:c r="I236" s="230"/>
      <x:c r="J236" s="231"/>
    </x:row>
    <x:row r="237" spans="2:10">
      <x:c r="B237" s="229"/>
      <x:c r="C237" s="251"/>
      <x:c r="D237" s="253">
        <x:v/>
      </x:c>
      <x:c r="E237" s="230"/>
      <x:c r="F237" s="230"/>
      <x:c r="G237" s="230"/>
      <x:c r="H237" s="230"/>
      <x:c r="I237" s="230"/>
      <x:c r="J237" s="231"/>
    </x:row>
    <x:row r="238" spans="2:10">
      <x:c r="B238" s="229"/>
      <x:c r="C238" s="251"/>
      <x:c r="D238" s="252">
        <x:v/>
      </x:c>
      <x:c r="E238" s="254"/>
      <x:c r="F238" s="254"/>
      <x:c r="G238" s="254"/>
      <x:c r="H238" s="254"/>
      <x:c r="I238" s="254"/>
      <x:c r="J238" s="255"/>
    </x:row>
    <x:row r="239" spans="2:10">
      <x:c r="B239" s="237" t="s">
        <x:v>922</x:v>
      </x:c>
      <x:c r="C239" s="234"/>
      <x:c r="D239" s="235">
        <x:v/>
      </x:c>
      <x:c r="E239" s="235">
        <x:f>SUM(E232:E238)</x:f>
        <x:v>0</x:v>
      </x:c>
      <x:c r="F239" s="235">
        <x:f>SUM(F232:F238)</x:f>
        <x:v>0</x:v>
      </x:c>
      <x:c r="G239" s="235">
        <x:f>SUM(G232:G238)</x:f>
        <x:v>0</x:v>
      </x:c>
      <x:c r="H239" s="235">
        <x:f>SUM(H232:H238)</x:f>
        <x:v>0</x:v>
      </x:c>
      <x:c r="I239" s="235">
        <x:f>SUM(I232:I238)</x:f>
        <x:v>0</x:v>
      </x:c>
      <x:c r="J239" s="236"/>
    </x:row>
    <x:row r="240" spans="2:10">
      <x:c r="B240" s="237"/>
      <x:c r="C240" s="234"/>
      <x:c r="D240" s="234">
        <x:v/>
      </x:c>
      <x:c r="E240" s="235"/>
      <x:c r="F240" s="235"/>
      <x:c r="G240" s="235"/>
      <x:c r="H240" s="235"/>
      <x:c r="I240" s="235"/>
      <x:c r="J240" s="236"/>
    </x:row>
    <x:row r="241" spans="2:10">
      <x:c r="B241" s="256" t="s">
        <x:v>1529</x:v>
      </x:c>
      <x:c r="C241" s="257"/>
      <x:c r="D241" s="258">
        <x:v/>
      </x:c>
      <x:c r="E241" s="240"/>
      <x:c r="F241" s="230"/>
      <x:c r="G241" s="230"/>
      <x:c r="H241" s="230"/>
      <x:c r="I241" s="230"/>
      <x:c r="J241" s="241"/>
    </x:row>
    <x:row r="242" spans="2:10">
      <x:c r="B242" s="238" t="s">
        <x:v>1530</x:v>
      </x:c>
      <x:c r="C242" s="239"/>
      <x:c r="D242" s="258">
        <x:v/>
      </x:c>
      <x:c r="E242" s="240"/>
      <x:c r="F242" s="230"/>
      <x:c r="G242" s="230"/>
      <x:c r="H242" s="230"/>
      <x:c r="I242" s="230"/>
      <x:c r="J242" s="241"/>
    </x:row>
    <x:row r="243" spans="2:10">
      <x:c r="B243" s="238" t="s">
        <x:v>1531</x:v>
      </x:c>
      <x:c r="C243" s="239"/>
      <x:c r="D243" s="258">
        <x:v/>
      </x:c>
      <x:c r="E243" s="240"/>
      <x:c r="F243" s="230"/>
      <x:c r="G243" s="230"/>
      <x:c r="H243" s="230"/>
      <x:c r="I243" s="230"/>
      <x:c r="J243" s="241"/>
    </x:row>
    <x:row r="244" spans="2:10">
      <x:c r="B244" s="238" t="s">
        <x:v>1532</x:v>
      </x:c>
      <x:c r="C244" s="239"/>
      <x:c r="D244" s="258">
        <x:v/>
      </x:c>
      <x:c r="E244" s="240"/>
      <x:c r="F244" s="230"/>
      <x:c r="G244" s="230"/>
      <x:c r="H244" s="230"/>
      <x:c r="I244" s="230"/>
      <x:c r="J244" s="241"/>
    </x:row>
    <x:row r="245" spans="2:10" ht="5.0999999999999996" customHeight="1">
      <x:c r="B245" s="232"/>
      <x:c r="C245" s="233"/>
      <x:c r="D245" s="234">
        <x:v/>
      </x:c>
      <x:c r="E245" s="235"/>
      <x:c r="F245" s="235"/>
      <x:c r="G245" s="235"/>
      <x:c r="H245" s="235"/>
      <x:c r="I245" s="235"/>
      <x:c r="J245" s="236"/>
    </x:row>
    <x:row r="246" spans="2:10">
      <x:c r="B246" s="259" t="s">
        <x:v>876</x:v>
      </x:c>
      <x:c r="C246" s="260"/>
      <x:c r="D246" s="234">
        <x:v/>
      </x:c>
      <x:c r="E246" s="235">
        <x:f>SUM(E241:E245)+E239</x:f>
        <x:v>0</x:v>
      </x:c>
      <x:c r="F246" s="235">
        <x:f>SUM(F241:F245)+F239</x:f>
        <x:v>0</x:v>
      </x:c>
      <x:c r="G246" s="235">
        <x:f>SUM(G241:G245)+G239</x:f>
        <x:v>0</x:v>
      </x:c>
      <x:c r="H246" s="235">
        <x:f>SUM(H241:H245)+H239</x:f>
        <x:v>0</x:v>
      </x:c>
      <x:c r="I246" s="235">
        <x:f>SUM(I241:I245)+I239</x:f>
        <x:v>0</x:v>
      </x:c>
      <x:c r="J246" s="236"/>
    </x:row>
    <x:row r="247" spans="2:10">
      <x:c r="B247" s="261"/>
      <x:c r="C247" s="262"/>
      <x:c r="D247" s="262">
        <x:v/>
      </x:c>
      <x:c r="E247" s="245"/>
      <x:c r="F247" s="235"/>
      <x:c r="G247" s="235"/>
      <x:c r="H247" s="235"/>
      <x:c r="I247" s="235"/>
      <x:c r="J247" s="247"/>
    </x:row>
    <x:row r="248" spans="2:10">
      <x:c r="B248" s="263" t="s">
        <x:v>237</x:v>
      </x:c>
      <x:c r="C248" s="264"/>
      <x:c r="D248" s="244">
        <x:v/>
      </x:c>
      <x:c r="E248" s="245"/>
      <x:c r="F248" s="245"/>
      <x:c r="G248" s="245"/>
      <x:c r="H248" s="245"/>
      <x:c r="I248" s="246">
        <x:f>$I$77</x:f>
        <x:v>0.14582932326077899</x:v>
      </x:c>
      <x:c r="J248" s="247"/>
    </x:row>
    <x:row r="249" spans="2:10">
      <x:c r="B249" s="242" t="s">
        <x:v>215</x:v>
      </x:c>
      <x:c r="C249" s="243"/>
      <x:c r="D249" s="244">
        <x:v/>
      </x:c>
      <x:c r="E249" s="245"/>
      <x:c r="F249" s="245"/>
      <x:c r="G249" s="245"/>
      <x:c r="H249" s="246">
        <x:f>$H$78</x:f>
        <x:v>0.36861778403412815</x:v>
      </x:c>
      <x:c r="I249" s="245"/>
      <x:c r="J249" s="247"/>
    </x:row>
    <x:row r="250" spans="2:10">
      <x:c r="B250" s="242" t="s">
        <x:v>856</x:v>
      </x:c>
      <x:c r="C250" s="243"/>
      <x:c r="D250" s="244">
        <x:v/>
      </x:c>
      <x:c r="E250" s="245"/>
      <x:c r="F250" s="245"/>
      <x:c r="G250" s="246">
        <x:f>$G$79</x:f>
        <x:v>1</x:v>
      </x:c>
      <x:c r="H250" s="245"/>
      <x:c r="I250" s="245"/>
      <x:c r="J250" s="247"/>
    </x:row>
    <x:row r="251" spans="2:10">
      <x:c r="B251" s="242" t="s">
        <x:v>857</x:v>
      </x:c>
      <x:c r="C251" s="243"/>
      <x:c r="D251" s="244">
        <x:v/>
      </x:c>
      <x:c r="E251" s="245"/>
      <x:c r="F251" s="246">
        <x:f>$F$80</x:f>
        <x:v>0</x:v>
      </x:c>
      <x:c r="G251" s="245"/>
      <x:c r="H251" s="245"/>
      <x:c r="I251" s="245"/>
      <x:c r="J251" s="247"/>
    </x:row>
    <x:row r="252" spans="2:10">
      <x:c r="B252" s="248" t="s">
        <x:v>858</x:v>
      </x:c>
      <x:c r="C252" s="243"/>
      <x:c r="D252" s="244">
        <x:v/>
      </x:c>
      <x:c r="E252" s="245">
        <x:f>F252+G252+H252+I252</x:f>
        <x:v>0</x:v>
      </x:c>
      <x:c r="F252" s="245">
        <x:f>F251*F246</x:f>
        <x:v>0</x:v>
      </x:c>
      <x:c r="G252" s="245">
        <x:f>G246*G250</x:f>
        <x:v>0</x:v>
      </x:c>
      <x:c r="H252" s="245">
        <x:f>H246*H249</x:f>
        <x:v>0</x:v>
      </x:c>
      <x:c r="I252" s="245">
        <x:f>I248*I246</x:f>
        <x:v>0</x:v>
      </x:c>
      <x:c r="J252" s="247"/>
    </x:row>
    <x:row r="253" spans="2:10" ht="8.1" customHeight="1">
      <x:c r="C253" s="210"/>
      <x:c r="F253" s="219"/>
      <x:c r="G253" s="219"/>
      <x:c r="H253" s="219"/>
      <x:c r="I253" s="222"/>
    </x:row>
    <x:row r="254" spans="2:10" ht="8.1" customHeight="1">
      <x:c r="C254" s="210"/>
      <x:c r="F254" s="219"/>
      <x:c r="G254" s="219"/>
      <x:c r="H254" s="219"/>
      <x:c r="I254" s="222"/>
    </x:row>
    <x:row r="255" spans="2:10">
      <x:c r="B255" s="212" t="s">
        <x:v>163</x:v>
      </x:c>
      <x:c r="C255" s="62"/>
      <x:c r="D255" s="62">
        <x:v/>
      </x:c>
      <x:c r="E255" s="212" t="s">
        <x:v>164</x:v>
      </x:c>
      <x:c r="F255" s="212" t="s">
        <x:v>1023</x:v>
      </x:c>
      <x:c r="G255" s="212" t="s">
        <x:v>1155</x:v>
      </x:c>
      <x:c r="H255" s="212" t="s">
        <x:v>1156</x:v>
      </x:c>
      <x:c r="I255" s="212" t="s">
        <x:v>1157</x:v>
      </x:c>
      <x:c r="J255" s="212" t="s">
        <x:v>1158</x:v>
      </x:c>
    </x:row>
    <x:row r="256" spans="2:10">
      <x:c r="B256" s="220"/>
      <x:c r="C256" s="62"/>
      <x:c r="D256" s="62">
        <x:v/>
      </x:c>
      <x:c r="E256" s="212"/>
      <x:c r="F256" s="212" t="s">
        <x:v>1188</x:v>
      </x:c>
      <x:c r="G256" s="212" t="s">
        <x:v>231</x:v>
      </x:c>
      <x:c r="H256" s="212"/>
      <x:c r="I256" s="212"/>
      <x:c r="J256" s="62"/>
    </x:row>
    <x:row r="257" spans="2:10">
      <x:c r="B257" s="265"/>
      <x:c r="C257" s="62"/>
      <x:c r="D257" s="62">
        <x:v/>
      </x:c>
      <x:c r="E257" s="212"/>
      <x:c r="F257" s="212" t="s">
        <x:v>1189</x:v>
      </x:c>
      <x:c r="G257" s="212" t="s">
        <x:v>206</x:v>
      </x:c>
      <x:c r="H257" s="212" t="s">
        <x:v>232</x:v>
      </x:c>
      <x:c r="I257" s="212" t="s">
        <x:v>233</x:v>
      </x:c>
      <x:c r="J257" s="62"/>
    </x:row>
    <x:row r="258" spans="2:10">
      <x:c r="B258" s="220" t="s">
        <x:v>875</x:v>
      </x:c>
      <x:c r="E258" s="212" t="s">
        <x:v>42</x:v>
      </x:c>
      <x:c r="F258" s="215" t="s">
        <x:v>1190</x:v>
      </x:c>
      <x:c r="G258" s="212" t="s">
        <x:v>234</x:v>
      </x:c>
      <x:c r="H258" s="212" t="s">
        <x:v>234</x:v>
      </x:c>
      <x:c r="I258" s="212" t="s">
        <x:v>234</x:v>
      </x:c>
      <x:c r="J258" s="212" t="s">
        <x:v>238</x:v>
      </x:c>
    </x:row>
    <x:row r="259" spans="2:10">
      <x:c r="B259" s="244" t="s">
        <x:v>921</x:v>
      </x:c>
      <x:c r="C259" s="244"/>
      <x:c r="D259" s="244">
        <x:v/>
      </x:c>
      <x:c r="E259" s="235">
        <x:f>SUM(F259:I259)</x:f>
        <x:v>-85862582</x:v>
      </x:c>
      <x:c r="F259" s="245">
        <x:f>F212</x:f>
        <x:v>-49076252</x:v>
      </x:c>
      <x:c r="G259" s="245">
        <x:f>G212</x:f>
        <x:v>0</x:v>
      </x:c>
      <x:c r="H259" s="245">
        <x:f>H212</x:f>
        <x:v>-8049829</x:v>
      </x:c>
      <x:c r="I259" s="245">
        <x:f>I212</x:f>
        <x:v>-28736501</x:v>
      </x:c>
      <x:c r="J259" s="247"/>
    </x:row>
    <x:row r="260" spans="2:10">
      <x:c r="B260" s="244" t="s">
        <x:v>875</x:v>
      </x:c>
      <x:c r="C260" s="244"/>
      <x:c r="D260" s="244">
        <x:v/>
      </x:c>
      <x:c r="E260" s="235">
        <x:f>SUM(F260:I260)</x:f>
        <x:v>0</x:v>
      </x:c>
      <x:c r="F260" s="245">
        <x:f>F239</x:f>
        <x:v>0</x:v>
      </x:c>
      <x:c r="G260" s="245">
        <x:f>G239</x:f>
        <x:v>0</x:v>
      </x:c>
      <x:c r="H260" s="245">
        <x:f>H239</x:f>
        <x:v>0</x:v>
      </x:c>
      <x:c r="I260" s="245">
        <x:f>I239</x:f>
        <x:v>0</x:v>
      </x:c>
      <x:c r="J260" s="247"/>
    </x:row>
    <x:row r="261" spans="2:10">
      <x:c r="B261" s="237" t="s">
        <x:v>871</x:v>
      </x:c>
      <x:c r="C261" s="244"/>
      <x:c r="D261" s="244">
        <x:v/>
      </x:c>
      <x:c r="E261" s="245">
        <x:f>E259+E260</x:f>
        <x:v>-85862582</x:v>
      </x:c>
      <x:c r="F261" s="245">
        <x:f>F259+F260</x:f>
        <x:v>-49076252</x:v>
      </x:c>
      <x:c r="G261" s="245">
        <x:f>G259+G260</x:f>
        <x:v>0</x:v>
      </x:c>
      <x:c r="H261" s="245">
        <x:f>H259+H260</x:f>
        <x:v>-8049829</x:v>
      </x:c>
      <x:c r="I261" s="245">
        <x:f>I259+I260</x:f>
        <x:v>-28736501</x:v>
      </x:c>
      <x:c r="J261" s="247"/>
    </x:row>
    <x:row r="262" spans="2:10" ht="8.1" customHeight="1">
      <x:c r="C262" s="210"/>
      <x:c r="F262" s="219"/>
      <x:c r="G262" s="219"/>
      <x:c r="H262" s="219"/>
      <x:c r="I262" s="222"/>
    </x:row>
    <x:row r="263" spans="2:10" ht="8.1" customHeight="1">
      <x:c r="C263" s="210"/>
      <x:c r="F263" s="219"/>
      <x:c r="G263" s="219"/>
      <x:c r="H263" s="219"/>
      <x:c r="I263" s="222"/>
    </x:row>
    <x:row r="264" spans="2:10" s="62" customFormat="1">
      <x:c r="B264" s="220" t="s">
        <x:v>241</x:v>
      </x:c>
      <x:c r="G264" s="270"/>
      <x:c r="H264" s="270"/>
      <x:c r="I264" s="270"/>
      <x:c r="J264" s="271"/>
    </x:row>
    <x:row r="265" spans="2:10" s="62" customFormat="1" ht="12.75" customHeight="1">
      <x:c r="B265" s="1603" t="s">
        <x:v>2162</x:v>
      </x:c>
      <x:c r="C265" s="1603"/>
      <x:c r="D265" s="1603">
        <x:v/>
      </x:c>
      <x:c r="E265" s="1603"/>
      <x:c r="F265" s="1603"/>
      <x:c r="G265" s="1603"/>
      <x:c r="H265" s="1603"/>
      <x:c r="I265" s="1603"/>
      <x:c r="J265" s="271"/>
    </x:row>
    <x:row r="266" spans="2:10" s="62" customFormat="1">
      <x:c r="B266" s="278" t="s">
        <x:v>2163</x:v>
      </x:c>
      <x:c r="G266" s="270"/>
      <x:c r="H266" s="270"/>
      <x:c r="I266" s="270"/>
      <x:c r="J266" s="271"/>
    </x:row>
    <x:row r="267" spans="2:10" s="62" customFormat="1">
      <x:c r="B267" s="278" t="s">
        <x:v>2164</x:v>
      </x:c>
      <x:c r="G267" s="270"/>
      <x:c r="H267" s="270"/>
      <x:c r="I267" s="270"/>
      <x:c r="J267" s="271"/>
    </x:row>
    <x:row r="268" spans="2:10" s="62" customFormat="1">
      <x:c r="B268" s="278" t="s">
        <x:v>2165</x:v>
      </x:c>
      <x:c r="G268" s="270"/>
      <x:c r="H268" s="270"/>
      <x:c r="I268" s="270"/>
      <x:c r="J268" s="271"/>
    </x:row>
    <x:row r="269" spans="2:10" s="62" customFormat="1">
      <x:c r="B269" s="1604" t="s">
        <x:v>863</x:v>
      </x:c>
      <x:c r="C269" s="1604"/>
      <x:c r="D269" s="1604">
        <x:v/>
      </x:c>
      <x:c r="E269" s="1604"/>
      <x:c r="F269" s="1604"/>
      <x:c r="G269" s="1604"/>
      <x:c r="H269" s="1604"/>
      <x:c r="I269" s="1604"/>
    </x:row>
    <x:row r="270" spans="2:10" s="62" customFormat="1">
      <x:c r="B270" s="273" t="s">
        <x:v>2169</x:v>
      </x:c>
      <x:c r="G270" s="270"/>
      <x:c r="H270" s="270"/>
      <x:c r="I270" s="270"/>
      <x:c r="J270" s="271"/>
    </x:row>
    <x:row r="271" spans="2:10">
      <x:c r="B271" s="278" t="s">
        <x:v>2168</x:v>
      </x:c>
    </x:row>
    <x:row r="272" spans="2:10" ht="8.1" customHeight="1">
      <x:c r="C272" s="210"/>
      <x:c r="F272" s="219"/>
      <x:c r="G272" s="219"/>
      <x:c r="H272" s="219"/>
      <x:c r="I272" s="222"/>
    </x:row>
    <x:row r="273" spans="2:10" ht="8.1" customHeight="1">
      <x:c r="C273" s="210"/>
      <x:c r="F273" s="219"/>
      <x:c r="G273" s="219"/>
      <x:c r="H273" s="219"/>
      <x:c r="I273" s="222"/>
    </x:row>
    <x:row r="274" spans="2:10">
      <x:c r="B274" s="212" t="s">
        <x:v>163</x:v>
      </x:c>
      <x:c r="C274" s="62"/>
      <x:c r="D274" s="62">
        <x:v/>
      </x:c>
      <x:c r="E274" s="212" t="s">
        <x:v>164</x:v>
      </x:c>
      <x:c r="F274" s="212" t="s">
        <x:v>1023</x:v>
      </x:c>
      <x:c r="G274" s="212" t="s">
        <x:v>1155</x:v>
      </x:c>
      <x:c r="H274" s="212" t="s">
        <x:v>1156</x:v>
      </x:c>
      <x:c r="I274" s="212" t="s">
        <x:v>1157</x:v>
      </x:c>
      <x:c r="J274" s="212" t="s">
        <x:v>1158</x:v>
      </x:c>
    </x:row>
    <x:row r="275" spans="2:10">
      <x:c r="B275" s="220"/>
      <x:c r="C275" s="62"/>
      <x:c r="D275" s="62">
        <x:v/>
      </x:c>
      <x:c r="E275" s="212"/>
      <x:c r="F275" s="212" t="s">
        <x:v>1188</x:v>
      </x:c>
      <x:c r="G275" s="212" t="s">
        <x:v>231</x:v>
      </x:c>
      <x:c r="H275" s="212"/>
      <x:c r="I275" s="212"/>
      <x:c r="J275" s="62"/>
    </x:row>
    <x:row r="276" spans="2:10">
      <x:c r="B276" s="265"/>
      <x:c r="C276" s="62"/>
      <x:c r="D276" s="62">
        <x:v/>
      </x:c>
      <x:c r="E276" s="212"/>
      <x:c r="F276" s="212" t="s">
        <x:v>1189</x:v>
      </x:c>
      <x:c r="G276" s="212" t="s">
        <x:v>206</x:v>
      </x:c>
      <x:c r="H276" s="212" t="s">
        <x:v>232</x:v>
      </x:c>
      <x:c r="I276" s="212" t="s">
        <x:v>233</x:v>
      </x:c>
      <x:c r="J276" s="62"/>
    </x:row>
    <x:row r="277" spans="2:10">
      <x:c r="B277" s="220" t="s">
        <x:v>1203</x:v>
      </x:c>
      <x:c r="E277" s="212" t="s">
        <x:v>42</x:v>
      </x:c>
      <x:c r="F277" s="215" t="s">
        <x:v>1190</x:v>
      </x:c>
      <x:c r="G277" s="212" t="s">
        <x:v>234</x:v>
      </x:c>
      <x:c r="H277" s="212" t="s">
        <x:v>234</x:v>
      </x:c>
      <x:c r="I277" s="212" t="s">
        <x:v>234</x:v>
      </x:c>
      <x:c r="J277" s="212" t="s">
        <x:v>238</x:v>
      </x:c>
    </x:row>
    <x:row r="278" spans="2:10" ht="52.15" customHeight="1">
      <x:c r="B278" s="229" t="s">
        <x:v>1783</x:v>
      </x:c>
      <x:c r="C278" s="251"/>
      <x:c r="D278" s="253">
        <x:v/>
      </x:c>
      <x:c r="E278" s="240">
        <x:f>SUM(F278:I278)</x:f>
        <x:v>-642368</x:v>
      </x:c>
      <x:c r="F278" s="230">
        <x:v>-268</x:v>
      </x:c>
      <x:c r="G278" s="230">
        <x:v>0</x:v>
      </x:c>
      <x:c r="H278" s="230">
        <x:v>-642100</x:v>
      </x:c>
      <x:c r="I278" s="230">
        <x:v>0</x:v>
      </x:c>
      <x:c r="J278" s="231" t="s">
        <x:v>1383</x:v>
      </x:c>
    </x:row>
    <x:row r="279" spans="2:10">
      <x:c r="B279" s="342"/>
      <x:c r="C279" s="345"/>
      <x:c r="D279" s="348">
        <x:v/>
      </x:c>
      <x:c r="E279" s="343"/>
      <x:c r="F279" s="343"/>
      <x:c r="G279" s="343"/>
      <x:c r="H279" s="343"/>
      <x:c r="I279" s="343"/>
      <x:c r="J279" s="282"/>
    </x:row>
    <x:row r="280" spans="2:10">
      <x:c r="B280" s="342"/>
      <x:c r="C280" s="345"/>
      <x:c r="D280" s="348">
        <x:v/>
      </x:c>
      <x:c r="E280" s="343"/>
      <x:c r="F280" s="343"/>
      <x:c r="G280" s="343"/>
      <x:c r="H280" s="343"/>
      <x:c r="I280" s="343"/>
      <x:c r="J280" s="282"/>
    </x:row>
    <x:row r="281" spans="2:10" hidden="1">
      <x:c r="B281" s="229"/>
      <x:c r="C281" s="251"/>
      <x:c r="D281" s="253">
        <x:v/>
      </x:c>
      <x:c r="E281" s="230"/>
      <x:c r="F281" s="230"/>
      <x:c r="G281" s="230"/>
      <x:c r="H281" s="230"/>
      <x:c r="I281" s="230"/>
      <x:c r="J281" s="282"/>
    </x:row>
    <x:row r="282" spans="2:10" hidden="1">
      <x:c r="B282" s="229"/>
      <x:c r="C282" s="251"/>
      <x:c r="D282" s="253">
        <x:v/>
      </x:c>
      <x:c r="E282" s="230"/>
      <x:c r="F282" s="230"/>
      <x:c r="G282" s="230"/>
      <x:c r="H282" s="230"/>
      <x:c r="I282" s="230"/>
      <x:c r="J282" s="282"/>
    </x:row>
    <x:row r="283" spans="2:10">
      <x:c r="B283" s="229"/>
      <x:c r="C283" s="251"/>
      <x:c r="D283" s="253">
        <x:v/>
      </x:c>
      <x:c r="E283" s="230"/>
      <x:c r="F283" s="230"/>
      <x:c r="G283" s="230"/>
      <x:c r="H283" s="230"/>
      <x:c r="I283" s="230"/>
      <x:c r="J283" s="282"/>
    </x:row>
    <x:row r="284" spans="2:10">
      <x:c r="B284" s="229"/>
      <x:c r="C284" s="251"/>
      <x:c r="D284" s="253">
        <x:v/>
      </x:c>
      <x:c r="E284" s="230"/>
      <x:c r="F284" s="230"/>
      <x:c r="G284" s="230"/>
      <x:c r="H284" s="230"/>
      <x:c r="I284" s="230"/>
      <x:c r="J284" s="282"/>
    </x:row>
    <x:row r="285" spans="2:10">
      <x:c r="B285" s="237" t="s">
        <x:v>1197</x:v>
      </x:c>
      <x:c r="C285" s="260"/>
      <x:c r="D285" s="234">
        <x:v/>
      </x:c>
      <x:c r="E285" s="235">
        <x:f>SUM(E278:E284)</x:f>
        <x:v>-642368</x:v>
      </x:c>
      <x:c r="F285" s="235">
        <x:f>SUM(F278:F284)</x:f>
        <x:v>-268</x:v>
      </x:c>
      <x:c r="G285" s="235">
        <x:f>SUM(G278:G284)</x:f>
        <x:v>0</x:v>
      </x:c>
      <x:c r="H285" s="235">
        <x:f>SUM(H278:H284)</x:f>
        <x:v>-642100</x:v>
      </x:c>
      <x:c r="I285" s="235">
        <x:f>SUM(I278:I284)</x:f>
        <x:v>0</x:v>
      </x:c>
      <x:c r="J285" s="236"/>
    </x:row>
    <x:row r="286" spans="2:10">
      <x:c r="B286" s="237"/>
      <x:c r="C286" s="234"/>
      <x:c r="D286" s="234">
        <x:v/>
      </x:c>
      <x:c r="E286" s="235"/>
      <x:c r="F286" s="235"/>
      <x:c r="G286" s="235"/>
      <x:c r="H286" s="235"/>
      <x:c r="I286" s="235"/>
      <x:c r="J286" s="236"/>
    </x:row>
    <x:row r="287" spans="2:10">
      <x:c r="B287" s="238"/>
      <x:c r="C287" s="239"/>
      <x:c r="D287" s="258">
        <x:v/>
      </x:c>
      <x:c r="E287" s="240"/>
      <x:c r="F287" s="230"/>
      <x:c r="G287" s="230"/>
      <x:c r="H287" s="230">
        <x:v>0</x:v>
      </x:c>
      <x:c r="I287" s="230"/>
      <x:c r="J287" s="241"/>
    </x:row>
    <x:row r="288" spans="2:10">
      <x:c r="B288" s="238"/>
      <x:c r="C288" s="239"/>
      <x:c r="D288" s="258">
        <x:v/>
      </x:c>
      <x:c r="E288" s="240"/>
      <x:c r="F288" s="230"/>
      <x:c r="G288" s="230"/>
      <x:c r="H288" s="230">
        <x:v>0</x:v>
      </x:c>
      <x:c r="I288" s="230"/>
      <x:c r="J288" s="241"/>
    </x:row>
    <x:row r="289" spans="2:10">
      <x:c r="B289" s="238"/>
      <x:c r="C289" s="239"/>
      <x:c r="D289" s="258">
        <x:v/>
      </x:c>
      <x:c r="E289" s="240"/>
      <x:c r="F289" s="230"/>
      <x:c r="G289" s="230"/>
      <x:c r="H289" s="230">
        <x:v>0</x:v>
      </x:c>
      <x:c r="I289" s="230"/>
      <x:c r="J289" s="241"/>
    </x:row>
    <x:row r="290" spans="2:10">
      <x:c r="B290" s="238"/>
      <x:c r="C290" s="239"/>
      <x:c r="D290" s="258">
        <x:v/>
      </x:c>
      <x:c r="E290" s="240"/>
      <x:c r="F290" s="230"/>
      <x:c r="G290" s="230"/>
      <x:c r="H290" s="230">
        <x:v>0</x:v>
      </x:c>
      <x:c r="I290" s="230"/>
      <x:c r="J290" s="241"/>
    </x:row>
    <x:row r="291" spans="2:10" ht="5.0999999999999996" customHeight="1">
      <x:c r="B291" s="232"/>
      <x:c r="C291" s="233"/>
      <x:c r="D291" s="234">
        <x:v/>
      </x:c>
      <x:c r="E291" s="235"/>
      <x:c r="F291" s="235"/>
      <x:c r="G291" s="235"/>
      <x:c r="H291" s="235"/>
      <x:c r="I291" s="235"/>
      <x:c r="J291" s="236"/>
    </x:row>
    <x:row r="292" spans="2:10">
      <x:c r="B292" s="237" t="s">
        <x:v>1198</x:v>
      </x:c>
      <x:c r="C292" s="234"/>
      <x:c r="D292" s="234">
        <x:v/>
      </x:c>
      <x:c r="E292" s="235">
        <x:f>SUM(E287:E291)+E285</x:f>
        <x:v>-642368</x:v>
      </x:c>
      <x:c r="F292" s="235">
        <x:f>SUM(F287:F291)+F285</x:f>
        <x:v>-268</x:v>
      </x:c>
      <x:c r="G292" s="235">
        <x:f>SUM(G287:G291)+G285</x:f>
        <x:v>0</x:v>
      </x:c>
      <x:c r="H292" s="235">
        <x:f>SUM(H287:H291)+H285</x:f>
        <x:v>-642100</x:v>
      </x:c>
      <x:c r="I292" s="235">
        <x:f>SUM(I287:I291)+I285</x:f>
        <x:v>0</x:v>
      </x:c>
      <x:c r="J292" s="236"/>
    </x:row>
    <x:row r="293" spans="2:10">
      <x:c r="B293" s="283"/>
      <x:c r="C293" s="244"/>
      <x:c r="D293" s="244">
        <x:v/>
      </x:c>
      <x:c r="E293" s="245"/>
      <x:c r="F293" s="235"/>
      <x:c r="G293" s="235"/>
      <x:c r="H293" s="235"/>
      <x:c r="I293" s="235"/>
      <x:c r="J293" s="247"/>
    </x:row>
    <x:row r="294" spans="2:10">
      <x:c r="B294" s="242" t="s">
        <x:v>237</x:v>
      </x:c>
      <x:c r="C294" s="243"/>
      <x:c r="D294" s="244">
        <x:v/>
      </x:c>
      <x:c r="E294" s="245"/>
      <x:c r="F294" s="245"/>
      <x:c r="G294" s="245"/>
      <x:c r="H294" s="245"/>
      <x:c r="I294" s="246">
        <x:f>$I$77</x:f>
        <x:v>0.14582932326077899</x:v>
      </x:c>
      <x:c r="J294" s="247"/>
    </x:row>
    <x:row r="295" spans="2:10">
      <x:c r="B295" s="242" t="s">
        <x:v>215</x:v>
      </x:c>
      <x:c r="C295" s="243"/>
      <x:c r="D295" s="244">
        <x:v/>
      </x:c>
      <x:c r="E295" s="245"/>
      <x:c r="F295" s="245"/>
      <x:c r="G295" s="245"/>
      <x:c r="H295" s="246">
        <x:f>$H$78</x:f>
        <x:v>0.36861778403412815</x:v>
      </x:c>
      <x:c r="I295" s="245"/>
      <x:c r="J295" s="247"/>
    </x:row>
    <x:row r="296" spans="2:10">
      <x:c r="B296" s="242" t="s">
        <x:v>856</x:v>
      </x:c>
      <x:c r="C296" s="243"/>
      <x:c r="D296" s="244">
        <x:v/>
      </x:c>
      <x:c r="E296" s="245"/>
      <x:c r="F296" s="245"/>
      <x:c r="G296" s="246">
        <x:f>$G$79</x:f>
        <x:v>1</x:v>
      </x:c>
      <x:c r="H296" s="245"/>
      <x:c r="I296" s="245"/>
      <x:c r="J296" s="247"/>
    </x:row>
    <x:row r="297" spans="2:10">
      <x:c r="B297" s="242" t="s">
        <x:v>857</x:v>
      </x:c>
      <x:c r="C297" s="243"/>
      <x:c r="D297" s="244">
        <x:v/>
      </x:c>
      <x:c r="E297" s="245"/>
      <x:c r="F297" s="246">
        <x:f>$F$80</x:f>
        <x:v>0</x:v>
      </x:c>
      <x:c r="G297" s="245"/>
      <x:c r="H297" s="245"/>
      <x:c r="I297" s="245"/>
      <x:c r="J297" s="247"/>
    </x:row>
    <x:row r="298" spans="2:10">
      <x:c r="B298" s="248" t="s">
        <x:v>1199</x:v>
      </x:c>
      <x:c r="C298" s="243"/>
      <x:c r="D298" s="244">
        <x:v/>
      </x:c>
      <x:c r="E298" s="245">
        <x:f>F298+G298+H298+I298</x:f>
        <x:v>-236689.47912831369</x:v>
      </x:c>
      <x:c r="F298" s="245">
        <x:f>F297*F292</x:f>
        <x:v>0</x:v>
      </x:c>
      <x:c r="G298" s="245">
        <x:f>G292*G296</x:f>
        <x:v>0</x:v>
      </x:c>
      <x:c r="H298" s="245">
        <x:f>H292*H295</x:f>
        <x:v>-236689.47912831369</x:v>
      </x:c>
      <x:c r="I298" s="245">
        <x:f>I294*I292</x:f>
        <x:v>0</x:v>
      </x:c>
      <x:c r="J298" s="247"/>
    </x:row>
    <x:row r="299" spans="2:10" ht="8.1" customHeight="1">
      <x:c r="C299" s="210"/>
      <x:c r="F299" s="219"/>
      <x:c r="G299" s="219"/>
      <x:c r="H299" s="219"/>
      <x:c r="I299" s="222"/>
    </x:row>
    <x:row r="300" spans="2:10" ht="8.1" customHeight="1">
      <x:c r="C300" s="210"/>
      <x:c r="F300" s="219"/>
      <x:c r="G300" s="219"/>
      <x:c r="H300" s="219"/>
      <x:c r="I300" s="222"/>
    </x:row>
    <x:row r="301" spans="2:10">
      <x:c r="B301" s="212" t="s">
        <x:v>163</x:v>
      </x:c>
      <x:c r="C301" s="62"/>
      <x:c r="D301" s="62">
        <x:v/>
      </x:c>
      <x:c r="E301" s="212" t="s">
        <x:v>164</x:v>
      </x:c>
      <x:c r="F301" s="212" t="s">
        <x:v>1023</x:v>
      </x:c>
      <x:c r="G301" s="212" t="s">
        <x:v>1155</x:v>
      </x:c>
      <x:c r="H301" s="212" t="s">
        <x:v>1156</x:v>
      </x:c>
      <x:c r="I301" s="212" t="s">
        <x:v>1157</x:v>
      </x:c>
      <x:c r="J301" s="212" t="s">
        <x:v>1158</x:v>
      </x:c>
    </x:row>
    <x:row r="302" spans="2:10">
      <x:c r="B302" s="220"/>
      <x:c r="C302" s="62"/>
      <x:c r="D302" s="62">
        <x:v/>
      </x:c>
      <x:c r="E302" s="212"/>
      <x:c r="F302" s="212" t="s">
        <x:v>1188</x:v>
      </x:c>
      <x:c r="G302" s="212" t="s">
        <x:v>231</x:v>
      </x:c>
      <x:c r="H302" s="212"/>
      <x:c r="I302" s="212"/>
      <x:c r="J302" s="62"/>
    </x:row>
    <x:row r="303" spans="2:10">
      <x:c r="B303" s="265"/>
      <x:c r="C303" s="62"/>
      <x:c r="D303" s="62">
        <x:v/>
      </x:c>
      <x:c r="E303" s="212"/>
      <x:c r="F303" s="212" t="s">
        <x:v>1189</x:v>
      </x:c>
      <x:c r="G303" s="212" t="s">
        <x:v>206</x:v>
      </x:c>
      <x:c r="H303" s="212" t="s">
        <x:v>232</x:v>
      </x:c>
      <x:c r="I303" s="212" t="s">
        <x:v>233</x:v>
      </x:c>
      <x:c r="J303" s="62"/>
    </x:row>
    <x:row r="304" spans="2:10">
      <x:c r="B304" s="220" t="s">
        <x:v>1204</x:v>
      </x:c>
      <x:c r="E304" s="212" t="s">
        <x:v>42</x:v>
      </x:c>
      <x:c r="F304" s="215" t="s">
        <x:v>1190</x:v>
      </x:c>
      <x:c r="G304" s="212" t="s">
        <x:v>234</x:v>
      </x:c>
      <x:c r="H304" s="212" t="s">
        <x:v>234</x:v>
      </x:c>
      <x:c r="I304" s="212" t="s">
        <x:v>234</x:v>
      </x:c>
      <x:c r="J304" s="212" t="s">
        <x:v>238</x:v>
      </x:c>
    </x:row>
    <x:row r="305" spans="2:10" ht="52.5" customHeight="1">
      <x:c r="B305" s="238" t="s">
        <x:v>1092</x:v>
      </x:c>
      <x:c r="C305" s="251"/>
      <x:c r="D305" s="253">
        <x:v/>
      </x:c>
      <x:c r="E305" s="240">
        <x:f>SUM(F305:I305)</x:f>
        <x:v>191052</x:v>
      </x:c>
      <x:c r="F305" s="230">
        <x:v>15078</x:v>
      </x:c>
      <x:c r="G305" s="230">
        <x:v>0</x:v>
      </x:c>
      <x:c r="H305" s="230">
        <x:v>175974</x:v>
      </x:c>
      <x:c r="I305" s="230">
        <x:v>0</x:v>
      </x:c>
      <x:c r="J305" s="231" t="s">
        <x:v>1383</x:v>
      </x:c>
    </x:row>
    <x:row r="306" spans="2:10">
      <x:c r="B306" s="342"/>
      <x:c r="C306" s="345"/>
      <x:c r="D306" s="348">
        <x:v/>
      </x:c>
      <x:c r="E306" s="343"/>
      <x:c r="F306" s="343"/>
      <x:c r="G306" s="343"/>
      <x:c r="H306" s="343"/>
      <x:c r="I306" s="343"/>
      <x:c r="J306" s="282"/>
    </x:row>
    <x:row r="307" spans="2:10" hidden="1">
      <x:c r="B307" s="229"/>
      <x:c r="C307" s="251"/>
      <x:c r="D307" s="253">
        <x:v/>
      </x:c>
      <x:c r="E307" s="230"/>
      <x:c r="F307" s="230"/>
      <x:c r="G307" s="230"/>
      <x:c r="H307" s="230"/>
      <x:c r="I307" s="230"/>
      <x:c r="J307" s="282"/>
    </x:row>
    <x:row r="308" spans="2:10">
      <x:c r="B308" s="229"/>
      <x:c r="C308" s="251"/>
      <x:c r="D308" s="253">
        <x:v/>
      </x:c>
      <x:c r="E308" s="230"/>
      <x:c r="F308" s="230"/>
      <x:c r="G308" s="230"/>
      <x:c r="H308" s="230"/>
      <x:c r="I308" s="230"/>
      <x:c r="J308" s="282"/>
    </x:row>
    <x:row r="309" spans="2:10">
      <x:c r="B309" s="229"/>
      <x:c r="C309" s="251"/>
      <x:c r="D309" s="253">
        <x:v/>
      </x:c>
      <x:c r="E309" s="230"/>
      <x:c r="F309" s="230"/>
      <x:c r="G309" s="230"/>
      <x:c r="H309" s="230"/>
      <x:c r="I309" s="230"/>
      <x:c r="J309" s="282"/>
    </x:row>
    <x:row r="310" spans="2:10">
      <x:c r="B310" s="237" t="s">
        <x:v>1197</x:v>
      </x:c>
      <x:c r="C310" s="284"/>
      <x:c r="D310" s="234">
        <x:v/>
      </x:c>
      <x:c r="E310" s="235">
        <x:f>SUM(E305:E309)</x:f>
        <x:v>191052</x:v>
      </x:c>
      <x:c r="F310" s="235">
        <x:f>SUM(F305:F309)</x:f>
        <x:v>15078</x:v>
      </x:c>
      <x:c r="G310" s="235">
        <x:f>SUM(G305:G309)</x:f>
        <x:v>0</x:v>
      </x:c>
      <x:c r="H310" s="235">
        <x:f>SUM(H305:H309)</x:f>
        <x:v>175974</x:v>
      </x:c>
      <x:c r="I310" s="235">
        <x:f>SUM(I305:I309)</x:f>
        <x:v>0</x:v>
      </x:c>
      <x:c r="J310" s="236"/>
    </x:row>
    <x:row r="311" spans="2:10">
      <x:c r="B311" s="237"/>
      <x:c r="C311" s="234"/>
      <x:c r="D311" s="234">
        <x:v/>
      </x:c>
      <x:c r="E311" s="235"/>
      <x:c r="F311" s="235"/>
      <x:c r="G311" s="235"/>
      <x:c r="H311" s="235"/>
      <x:c r="I311" s="235"/>
      <x:c r="J311" s="236"/>
    </x:row>
    <x:row r="312" spans="2:10">
      <x:c r="B312" s="238"/>
      <x:c r="C312" s="239"/>
      <x:c r="D312" s="258">
        <x:v/>
      </x:c>
      <x:c r="E312" s="240"/>
      <x:c r="F312" s="230"/>
      <x:c r="G312" s="230"/>
      <x:c r="H312" s="230"/>
      <x:c r="I312" s="230"/>
      <x:c r="J312" s="241"/>
    </x:row>
    <x:row r="313" spans="2:10" hidden="1">
      <x:c r="B313" s="238"/>
      <x:c r="C313" s="239"/>
      <x:c r="D313" s="258">
        <x:v/>
      </x:c>
      <x:c r="E313" s="240"/>
      <x:c r="F313" s="230"/>
      <x:c r="G313" s="230"/>
      <x:c r="H313" s="230"/>
      <x:c r="I313" s="230"/>
      <x:c r="J313" s="241"/>
    </x:row>
    <x:row r="314" spans="2:10" hidden="1">
      <x:c r="B314" s="238"/>
      <x:c r="C314" s="239"/>
      <x:c r="D314" s="258">
        <x:v/>
      </x:c>
      <x:c r="E314" s="240"/>
      <x:c r="F314" s="230"/>
      <x:c r="G314" s="230"/>
      <x:c r="H314" s="230"/>
      <x:c r="I314" s="230"/>
      <x:c r="J314" s="241"/>
    </x:row>
    <x:row r="315" spans="2:10">
      <x:c r="B315" s="238"/>
      <x:c r="C315" s="239"/>
      <x:c r="D315" s="258">
        <x:v/>
      </x:c>
      <x:c r="E315" s="240"/>
      <x:c r="F315" s="230"/>
      <x:c r="G315" s="230"/>
      <x:c r="H315" s="230"/>
      <x:c r="I315" s="230"/>
      <x:c r="J315" s="241"/>
    </x:row>
    <x:row r="316" spans="2:10" ht="5.0999999999999996" customHeight="1">
      <x:c r="B316" s="232"/>
      <x:c r="C316" s="233"/>
      <x:c r="D316" s="234">
        <x:v/>
      </x:c>
      <x:c r="E316" s="235"/>
      <x:c r="F316" s="235"/>
      <x:c r="G316" s="235"/>
      <x:c r="H316" s="235"/>
      <x:c r="I316" s="235"/>
      <x:c r="J316" s="236"/>
    </x:row>
    <x:row r="317" spans="2:10">
      <x:c r="B317" s="237" t="s">
        <x:v>1502</x:v>
      </x:c>
      <x:c r="C317" s="234"/>
      <x:c r="D317" s="234">
        <x:v/>
      </x:c>
      <x:c r="E317" s="235">
        <x:f>SUM(E312:E316)+E310</x:f>
        <x:v>191052</x:v>
      </x:c>
      <x:c r="F317" s="235">
        <x:f>SUM(F312:F316)+F310</x:f>
        <x:v>15078</x:v>
      </x:c>
      <x:c r="G317" s="235">
        <x:f>SUM(G312:G316)+G310</x:f>
        <x:v>0</x:v>
      </x:c>
      <x:c r="H317" s="235">
        <x:f>SUM(H312:H316)+H310</x:f>
        <x:v>175974</x:v>
      </x:c>
      <x:c r="I317" s="235">
        <x:f>SUM(I312:I316)+I310</x:f>
        <x:v>0</x:v>
      </x:c>
      <x:c r="J317" s="236"/>
    </x:row>
    <x:row r="318" spans="2:10">
      <x:c r="B318" s="261"/>
      <x:c r="C318" s="262"/>
      <x:c r="D318" s="262">
        <x:v/>
      </x:c>
      <x:c r="E318" s="245"/>
      <x:c r="F318" s="235"/>
      <x:c r="G318" s="235"/>
      <x:c r="H318" s="235"/>
      <x:c r="I318" s="235"/>
      <x:c r="J318" s="247"/>
    </x:row>
    <x:row r="319" spans="2:10">
      <x:c r="B319" s="263" t="s">
        <x:v>237</x:v>
      </x:c>
      <x:c r="C319" s="264"/>
      <x:c r="D319" s="244">
        <x:v/>
      </x:c>
      <x:c r="E319" s="245"/>
      <x:c r="F319" s="245"/>
      <x:c r="G319" s="245"/>
      <x:c r="H319" s="245"/>
      <x:c r="I319" s="246">
        <x:f>$I$77</x:f>
        <x:v>0.14582932326077899</x:v>
      </x:c>
      <x:c r="J319" s="247"/>
    </x:row>
    <x:row r="320" spans="2:10">
      <x:c r="B320" s="242" t="s">
        <x:v>215</x:v>
      </x:c>
      <x:c r="C320" s="243"/>
      <x:c r="D320" s="244">
        <x:v/>
      </x:c>
      <x:c r="E320" s="245"/>
      <x:c r="F320" s="245"/>
      <x:c r="G320" s="245"/>
      <x:c r="H320" s="246">
        <x:f>$H$78</x:f>
        <x:v>0.36861778403412815</x:v>
      </x:c>
      <x:c r="I320" s="245"/>
      <x:c r="J320" s="247"/>
    </x:row>
    <x:row r="321" spans="1:10">
      <x:c r="B321" s="242" t="s">
        <x:v>856</x:v>
      </x:c>
      <x:c r="C321" s="243"/>
      <x:c r="D321" s="244">
        <x:v/>
      </x:c>
      <x:c r="E321" s="245"/>
      <x:c r="F321" s="245"/>
      <x:c r="G321" s="246">
        <x:f>$G$79</x:f>
        <x:v>1</x:v>
      </x:c>
      <x:c r="H321" s="245"/>
      <x:c r="I321" s="245"/>
      <x:c r="J321" s="247"/>
    </x:row>
    <x:row r="322" spans="1:10">
      <x:c r="B322" s="242" t="s">
        <x:v>857</x:v>
      </x:c>
      <x:c r="C322" s="243"/>
      <x:c r="D322" s="244">
        <x:v/>
      </x:c>
      <x:c r="E322" s="245"/>
      <x:c r="F322" s="246">
        <x:f>$F$80</x:f>
        <x:v>0</x:v>
      </x:c>
      <x:c r="G322" s="245"/>
      <x:c r="H322" s="245"/>
      <x:c r="I322" s="245"/>
      <x:c r="J322" s="247"/>
    </x:row>
    <x:row r="323" spans="1:10">
      <x:c r="B323" s="248" t="s">
        <x:v>1201</x:v>
      </x:c>
      <x:c r="C323" s="243"/>
      <x:c r="D323" s="244">
        <x:v/>
      </x:c>
      <x:c r="E323" s="245">
        <x:f>F323+G323+H323+I323</x:f>
        <x:v>64867.14592762167</x:v>
      </x:c>
      <x:c r="F323" s="245">
        <x:f>F322*F317</x:f>
        <x:v>0</x:v>
      </x:c>
      <x:c r="G323" s="245">
        <x:f>G317*G321</x:f>
        <x:v>0</x:v>
      </x:c>
      <x:c r="H323" s="245">
        <x:f>H317*H320</x:f>
        <x:v>64867.14592762167</x:v>
      </x:c>
      <x:c r="I323" s="245">
        <x:f>I317*I319</x:f>
        <x:v>0</x:v>
      </x:c>
      <x:c r="J323" s="247"/>
    </x:row>
    <x:row r="324" spans="1:10">
      <x:c r="G324" s="222"/>
    </x:row>
    <x:row r="325" spans="1:10" s="18" customFormat="1" ht="15.75">
      <x:c r="A325" s="84" t="s">
        <x:v>446</x:v>
      </x:c>
      <x:c r="B325" s="124"/>
      <x:c r="C325" s="124"/>
      <x:c r="D325" s="13">
        <x:v/>
      </x:c>
      <x:c r="E325" s="13"/>
      <x:c r="F325" s="125"/>
      <x:c r="G325" s="13"/>
      <x:c r="H325" s="13"/>
      <x:c r="I325" s="13"/>
      <x:c r="J325" s="13"/>
    </x:row>
  </x:sheetData>
  <x:mergeCells count="12">
    <x:mergeCell ref="B193:I193"/>
    <x:mergeCell ref="B265:I265"/>
    <x:mergeCell ref="B269:I269"/>
    <x:mergeCell ref="A1:J1"/>
    <x:mergeCell ref="A2:J2"/>
    <x:mergeCell ref="A3:J3"/>
    <x:mergeCell ref="B6:J6"/>
    <x:mergeCell ref="B25:I26"/>
    <x:mergeCell ref="B29:I30"/>
    <x:mergeCell ref="B120:I120"/>
    <x:mergeCell ref="B124:I124"/>
    <x:mergeCell ref="B189:I189"/>
  </x:mergeCells>
  <x:printOptions horizontalCentered="1"/>
  <x:pageMargins left="0.2" right="0.2" top="0.5" bottom="0.5" header="0.05" footer="0.05"/>
  <x:pageSetup scale="50" fitToHeight="0" orientation="landscape" r:id="rId1"/>
  <x:rowBreaks count="5" manualBreakCount="5">
    <x:brk id="30" max="9" man="1"/>
    <x:brk id="82" max="9" man="1"/>
    <x:brk id="153" max="9" man="1"/>
    <x:brk id="226" max="9" man="1"/>
    <x:brk id="299" max="9"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A1FA32-5374-410B-AB39-A1EA1FA6C55D}" mc:Ignorable="x14ac xr xr2 xr3">
  <x:sheetPr>
    <x:pageSetUpPr fitToPage="1"/>
  </x:sheetPr>
  <x:dimension ref="A1:R278"/>
  <x:sheetViews>
    <x:sheetView zoomScaleNormal="100" zoomScaleSheetLayoutView="80" workbookViewId="0">
      <x:pane xSplit="3" ySplit="5" topLeftCell="F6" activePane="bottomRight" state="frozen"/>
      <x:selection activeCell="J35" sqref="J35:Q35"/>
      <x:selection pane="topRight" activeCell="J35" sqref="J35:Q35"/>
      <x:selection pane="bottomLeft" activeCell="J35" sqref="J35:Q35"/>
      <x:selection pane="bottomRight" activeCell="J35" sqref="J35:Q35"/>
    </x:sheetView>
  </x:sheetViews>
  <x:sheetFormatPr defaultColWidth="9.140625" defaultRowHeight="12.75"/>
  <x:cols>
    <x:col min="1" max="1" width="5.7109375" style="167" customWidth="1"/>
    <x:col min="2" max="2" width="11" style="1307" customWidth="1"/>
    <x:col min="3" max="3" width="2.7109375" style="167" customWidth="1"/>
    <x:col min="4" max="4" width="28.7109375" style="167" customWidth="1"/>
    <x:col min="5" max="5" width="16.5703125" style="167" customWidth="1"/>
    <x:col min="6" max="6" width="20.5703125" style="167" customWidth="1"/>
    <x:col min="7" max="7" width="16.5703125" style="167" customWidth="1"/>
    <x:col min="8" max="8" width="20.85546875" style="167" bestFit="1" customWidth="1"/>
    <x:col min="9" max="9" width="2.7109375" style="167" customWidth="1"/>
    <x:col min="10" max="12" width="23.5703125" style="167" customWidth="1"/>
    <x:col min="13" max="13" width="2.7109375" style="167" customWidth="1"/>
    <x:col min="14" max="14" width="19.7109375" style="167" customWidth="1"/>
    <x:col min="15" max="18" width="23.5703125" style="167" customWidth="1"/>
    <x:col min="19" max="19" width="2.85546875" style="167" customWidth="1"/>
    <x:col min="20" max="16384" width="9.140625" style="167"/>
  </x:cols>
  <x:sheetData>
    <x:row r="1" spans="1:18" s="1129" customFormat="1" ht="18">
      <x:c r="A1" s="1597" t="s">
        <x:v>1380</x:v>
      </x:c>
      <x:c r="B1" s="1597"/>
      <x:c r="C1" s="1597"/>
      <x:c r="D1" s="1597"/>
      <x:c r="E1" s="1597"/>
      <x:c r="F1" s="1597"/>
      <x:c r="G1" s="1597"/>
      <x:c r="H1" s="1597"/>
      <x:c r="I1" s="1597"/>
      <x:c r="J1" s="1597"/>
      <x:c r="K1" s="1597"/>
      <x:c r="L1" s="1597"/>
      <x:c r="M1" s="1597"/>
      <x:c r="N1" s="1597"/>
      <x:c r="O1" s="1597"/>
      <x:c r="P1" s="1597"/>
      <x:c r="Q1" s="1597"/>
      <x:c r="R1" s="1597"/>
    </x:row>
    <x:row r="2" spans="1:18" s="156" customFormat="1" ht="15.75">
      <x:c r="A2" s="1598" t="s">
        <x:v>1205</x:v>
      </x:c>
      <x:c r="B2" s="1598"/>
      <x:c r="C2" s="1598"/>
      <x:c r="D2" s="1598"/>
      <x:c r="E2" s="1598"/>
      <x:c r="F2" s="1598"/>
      <x:c r="G2" s="1598"/>
      <x:c r="H2" s="1598"/>
      <x:c r="I2" s="1598"/>
      <x:c r="J2" s="1598"/>
      <x:c r="K2" s="1598"/>
      <x:c r="L2" s="1598"/>
      <x:c r="M2" s="1598"/>
      <x:c r="N2" s="1598"/>
      <x:c r="O2" s="1598"/>
      <x:c r="P2" s="1598"/>
      <x:c r="Q2" s="1598"/>
      <x:c r="R2" s="1598"/>
    </x:row>
    <x:row r="3" spans="1:18" s="156" customFormat="1" ht="15.75">
      <x:c r="A3" s="1598" t="s">
        <x:v>1384</x:v>
      </x:c>
      <x:c r="B3" s="1598"/>
      <x:c r="C3" s="1598"/>
      <x:c r="D3" s="1598"/>
      <x:c r="E3" s="1598"/>
      <x:c r="F3" s="1598"/>
      <x:c r="G3" s="1598"/>
      <x:c r="H3" s="1598"/>
      <x:c r="I3" s="1598"/>
      <x:c r="J3" s="1598"/>
      <x:c r="K3" s="1598"/>
      <x:c r="L3" s="1598"/>
      <x:c r="M3" s="1598"/>
      <x:c r="N3" s="1598"/>
      <x:c r="O3" s="1598"/>
      <x:c r="P3" s="1598"/>
      <x:c r="Q3" s="1598"/>
      <x:c r="R3" s="1598"/>
    </x:row>
    <x:row r="4" spans="1:18" ht="15.75">
      <x:c r="A4" s="157"/>
      <x:c r="B4" s="1306"/>
      <x:c r="C4" s="157"/>
      <x:c r="D4" s="156"/>
      <x:c r="E4" s="156"/>
      <x:c r="F4" s="156"/>
      <x:c r="G4" s="156"/>
      <x:c r="H4" s="156"/>
      <x:c r="I4" s="156"/>
      <x:c r="J4" s="156"/>
      <x:c r="K4" s="156"/>
      <x:c r="L4" s="156"/>
      <x:c r="M4" s="156"/>
      <x:c r="N4" s="156"/>
      <x:c r="O4" s="1020"/>
      <x:c r="P4" s="156"/>
      <x:c r="Q4" s="156"/>
      <x:c r="R4" s="156"/>
    </x:row>
    <x:row r="5" spans="1:18" ht="15.75">
      <x:c r="A5" s="156"/>
      <x:c r="B5" s="1308"/>
      <x:c r="C5" s="156"/>
      <x:c r="D5" s="156" t="s">
        <x:v>833</x:v>
      </x:c>
      <x:c r="E5" s="158" t="str">
        <x:f>'1A - ADIT Summary'!E5</x:f>
        <x:v>Projected for the 12 Months Ended December 31, 2025</x:v>
      </x:c>
      <x:c r="F5" s="159"/>
      <x:c r="G5" s="159"/>
      <x:c r="H5" s="159"/>
      <x:c r="I5" s="156"/>
      <x:c r="J5" s="156"/>
      <x:c r="K5" s="156"/>
      <x:c r="L5" s="156"/>
      <x:c r="M5" s="156"/>
      <x:c r="N5" s="156"/>
      <x:c r="O5" s="1020"/>
      <x:c r="P5" s="156"/>
      <x:c r="Q5" s="156"/>
      <x:c r="R5" s="156"/>
    </x:row>
    <x:row r="6" spans="1:18">
      <x:c r="D6" s="180"/>
    </x:row>
    <x:row r="7" spans="1:18" ht="15.75" customHeight="1">
      <x:c r="B7" s="1610" t="s">
        <x:v>1206</x:v>
      </x:c>
      <x:c r="C7" s="1610"/>
      <x:c r="D7" s="1610"/>
      <x:c r="E7" s="1610"/>
      <x:c r="F7" s="1610"/>
      <x:c r="G7" s="1610"/>
      <x:c r="H7" s="1610"/>
      <x:c r="I7" s="1610"/>
      <x:c r="J7" s="1610"/>
      <x:c r="K7" s="1610"/>
      <x:c r="L7" s="1610"/>
      <x:c r="M7" s="1610"/>
      <x:c r="N7" s="1610"/>
      <x:c r="O7" s="1610"/>
      <x:c r="P7" s="1610"/>
      <x:c r="Q7" s="1610"/>
      <x:c r="R7" s="1610"/>
    </x:row>
    <x:row r="8" spans="1:18">
      <x:c r="D8" s="180"/>
    </x:row>
    <x:row r="9" spans="1:18">
      <x:c r="D9" s="180" t="s">
        <x:v>1207</x:v>
      </x:c>
      <x:c r="J9" s="1599"/>
      <x:c r="K9" s="1599"/>
      <x:c r="L9" s="1599"/>
      <x:c r="N9" s="1599"/>
      <x:c r="O9" s="1599"/>
      <x:c r="P9" s="1599"/>
      <x:c r="Q9" s="1599"/>
      <x:c r="R9" s="1599"/>
    </x:row>
    <x:row r="10" spans="1:18">
      <x:c r="D10" s="1591" t="s">
        <x:v>835</x:v>
      </x:c>
      <x:c r="E10" s="1592"/>
      <x:c r="F10" s="1592"/>
      <x:c r="G10" s="1592"/>
      <x:c r="H10" s="1593"/>
      <x:c r="I10" s="184"/>
      <x:c r="J10" s="1594" t="s">
        <x:v>1208</x:v>
      </x:c>
      <x:c r="K10" s="1595"/>
      <x:c r="L10" s="1596"/>
      <x:c r="M10" s="184"/>
      <x:c r="N10" s="1594" t="s">
        <x:v>1209</x:v>
      </x:c>
      <x:c r="O10" s="1595"/>
      <x:c r="P10" s="1595"/>
      <x:c r="Q10" s="1595"/>
      <x:c r="R10" s="1596"/>
    </x:row>
    <x:row r="11" spans="1:18">
      <x:c r="D11" s="185" t="s">
        <x:v>163</x:v>
      </x:c>
      <x:c r="E11" s="185" t="s">
        <x:v>164</x:v>
      </x:c>
      <x:c r="F11" s="185" t="s">
        <x:v>1154</x:v>
      </x:c>
      <x:c r="G11" s="185" t="s">
        <x:v>1155</x:v>
      </x:c>
      <x:c r="H11" s="185" t="s">
        <x:v>1156</x:v>
      </x:c>
      <x:c r="I11" s="184"/>
      <x:c r="J11" s="185" t="s">
        <x:v>1157</x:v>
      </x:c>
      <x:c r="K11" s="185" t="s">
        <x:v>1158</x:v>
      </x:c>
      <x:c r="L11" s="185" t="s">
        <x:v>1159</x:v>
      </x:c>
      <x:c r="M11" s="184"/>
      <x:c r="N11" s="185" t="s">
        <x:v>1160</x:v>
      </x:c>
      <x:c r="O11" s="185" t="s">
        <x:v>1161</x:v>
      </x:c>
      <x:c r="P11" s="185" t="s">
        <x:v>1162</x:v>
      </x:c>
      <x:c r="Q11" s="185" t="s">
        <x:v>1163</x:v>
      </x:c>
      <x:c r="R11" s="185" t="s">
        <x:v>1164</x:v>
      </x:c>
    </x:row>
    <x:row r="12" spans="1:18" ht="63" customHeight="1">
      <x:c r="B12" s="186" t="s">
        <x:v>523</x:v>
      </x:c>
      <x:c r="D12" s="187" t="s">
        <x:v>158</x:v>
      </x:c>
      <x:c r="E12" s="187" t="s">
        <x:v>836</x:v>
      </x:c>
      <x:c r="F12" s="187" t="s">
        <x:v>920</x:v>
      </x:c>
      <x:c r="G12" s="187" t="s">
        <x:v>919</x:v>
      </x:c>
      <x:c r="H12" s="187" t="s">
        <x:v>1165</x:v>
      </x:c>
      <x:c r="I12" s="397"/>
      <x:c r="J12" s="187" t="s">
        <x:v>839</x:v>
      </x:c>
      <x:c r="K12" s="187" t="s">
        <x:v>1166</x:v>
      </x:c>
      <x:c r="L12" s="187" t="s">
        <x:v>1167</x:v>
      </x:c>
      <x:c r="M12" s="397"/>
      <x:c r="N12" s="187" t="s">
        <x:v>918</x:v>
      </x:c>
      <x:c r="O12" s="187" t="s">
        <x:v>1168</x:v>
      </x:c>
      <x:c r="P12" s="187" t="s">
        <x:v>1169</x:v>
      </x:c>
      <x:c r="Q12" s="187" t="s">
        <x:v>1170</x:v>
      </x:c>
      <x:c r="R12" s="187" t="s">
        <x:v>1171</x:v>
      </x:c>
    </x:row>
    <x:row r="13" spans="1:18">
      <x:c r="E13" s="397"/>
      <x:c r="F13" s="397"/>
      <x:c r="G13" s="397"/>
      <x:c r="H13" s="397"/>
      <x:c r="I13" s="397"/>
      <x:c r="J13" s="397"/>
      <x:c r="K13" s="397"/>
      <x:c r="L13" s="397"/>
      <x:c r="M13" s="397"/>
      <x:c r="N13" s="397"/>
      <x:c r="O13" s="397"/>
      <x:c r="P13" s="397"/>
      <x:c r="Q13" s="397"/>
      <x:c r="R13" s="397"/>
    </x:row>
    <x:row r="14" spans="1:18">
      <x:c r="B14" s="1307">
        <x:v>1</x:v>
      </x:c>
      <x:c r="D14" s="167" t="s">
        <x:v>1210</x:v>
      </x:c>
      <x:c r="E14" s="397"/>
      <x:c r="F14" s="397"/>
      <x:c r="G14" s="397"/>
      <x:c r="H14" s="397"/>
      <x:c r="I14" s="397"/>
      <x:c r="J14" s="1333" t="s">
        <x:v>2101</x:v>
      </x:c>
      <x:c r="K14" s="397"/>
      <x:c r="L14" s="402">
        <x:f>'1E - EDIT Amortization'!$O$34</x:f>
        <x:v>35371265</x:v>
      </x:c>
      <x:c r="M14" s="397"/>
      <x:c r="N14" s="402"/>
      <x:c r="O14" s="397"/>
      <x:c r="P14" s="397"/>
      <x:c r="Q14" s="397"/>
      <x:c r="R14" s="402"/>
    </x:row>
    <x:row r="15" spans="1:18">
      <x:c r="E15" s="397"/>
      <x:c r="F15" s="397"/>
      <x:c r="G15" s="397"/>
      <x:c r="H15" s="397"/>
      <x:c r="I15" s="397"/>
      <x:c r="J15" s="397"/>
      <x:c r="K15" s="397"/>
      <x:c r="L15" s="397"/>
      <x:c r="M15" s="397"/>
      <x:c r="N15" s="397"/>
      <x:c r="O15" s="397"/>
      <x:c r="P15" s="397"/>
      <x:c r="Q15" s="397"/>
      <x:c r="R15" s="397"/>
    </x:row>
    <x:row r="16" spans="1:18">
      <x:c r="B16" s="1307">
        <x:f>B14+1</x:f>
        <x:v>2</x:v>
      </x:c>
      <x:c r="D16" s="167" t="s">
        <x:v>1526</x:v>
      </x:c>
      <x:c r="E16" s="397"/>
      <x:c r="F16" s="397"/>
      <x:c r="G16" s="397"/>
      <x:c r="H16" s="397"/>
      <x:c r="I16" s="397"/>
      <x:c r="J16" s="1333" t="s">
        <x:v>2124</x:v>
      </x:c>
      <x:c r="K16" s="397"/>
      <x:c r="L16" s="397"/>
      <x:c r="M16" s="397"/>
      <x:c r="N16" s="402"/>
      <x:c r="O16" s="397"/>
      <x:c r="P16" s="397"/>
      <x:c r="Q16" s="397"/>
      <x:c r="R16" s="397"/>
    </x:row>
    <x:row r="17" spans="2:18">
      <x:c r="E17" s="397"/>
      <x:c r="F17" s="397"/>
      <x:c r="G17" s="397"/>
      <x:c r="H17" s="397"/>
      <x:c r="I17" s="397"/>
      <x:c r="J17" s="397"/>
      <x:c r="K17" s="397"/>
      <x:c r="L17" s="397"/>
      <x:c r="M17" s="397"/>
      <x:c r="N17" s="397"/>
      <x:c r="O17" s="397"/>
      <x:c r="P17" s="397"/>
      <x:c r="Q17" s="397"/>
      <x:c r="R17" s="397"/>
    </x:row>
    <x:row r="18" spans="2:18">
      <x:c r="B18" s="1307">
        <x:f>B16+1</x:f>
        <x:v>3</x:v>
      </x:c>
      <x:c r="D18" s="188" t="s">
        <x:v>473</x:v>
      </x:c>
      <x:c r="E18" s="402">
        <x:v>31</x:v>
      </x:c>
      <x:c r="F18" s="408">
        <x:v>0</x:v>
      </x:c>
      <x:c r="G18" s="408">
        <x:v>214</x:v>
      </x:c>
      <x:c r="H18" s="407">
        <x:f t="shared" ref="H18:H29" si="0">IF(F18=0,0.5,F18/G18)</x:f>
        <x:v>0.5</x:v>
      </x:c>
      <x:c r="I18" s="406"/>
      <x:c r="J18" s="402">
        <x:f>'1E - EDIT Amortization'!$Q$88/12</x:f>
        <x:v>-92885</x:v>
      </x:c>
      <x:c r="K18" s="400">
        <x:f t="shared" ref="K18:K29" si="1">+J18*H18</x:f>
        <x:v>-46442.5</x:v>
      </x:c>
      <x:c r="L18" s="400">
        <x:f>+K18+L14</x:f>
        <x:v>35324822.5</x:v>
      </x:c>
      <x:c r="M18" s="406"/>
      <x:c r="N18" s="402">
        <x:v>0</x:v>
      </x:c>
      <x:c r="O18" s="400">
        <x:f t="shared" ref="O18:O29" si="2">IF($D$249="True-Up Adjustment",N18-J18,0)</x:f>
        <x:v>0</x:v>
      </x:c>
      <x:c r="P18" s="400">
        <x:f t="shared" ref="P18:P29" si="3">IF($D$249="True-Up Adjustment",IF(AND(J18&gt;=0,N18&gt;=0),IF(O18&gt;=0,K18+O18,N18/J18*K18),IF(AND(J18&lt;0,N18&lt;0),IF(O18&lt;0,K18+O18,N18/J18*K18),0)),0)</x:f>
        <x:v>0</x:v>
      </x:c>
      <x:c r="Q18" s="400">
        <x:f t="shared" ref="Q18:Q29" si="4">IF(AND(J18&gt;=0,N18&lt;0),N18,IF(AND(J18&lt;0,N18&gt;=0),N18,0))</x:f>
        <x:v>0</x:v>
      </x:c>
      <x:c r="R18" s="400">
        <x:f>P18+Q18+R14</x:f>
        <x:v>0</x:v>
      </x:c>
    </x:row>
    <x:row r="19" spans="2:18">
      <x:c r="B19" s="1307">
        <x:f t="shared" ref="B19:B30" si="5">+B18+1</x:f>
        <x:v>4</x:v>
      </x:c>
      <x:c r="D19" s="188" t="s">
        <x:v>474</x:v>
      </x:c>
      <x:c r="E19" s="402">
        <x:v>28</x:v>
      </x:c>
      <x:c r="F19" s="408">
        <x:v>0</x:v>
      </x:c>
      <x:c r="G19" s="408">
        <x:v>214</x:v>
      </x:c>
      <x:c r="H19" s="407">
        <x:f t="shared" si="0"/>
        <x:v>0.5</x:v>
      </x:c>
      <x:c r="I19" s="406"/>
      <x:c r="J19" s="402">
        <x:f>'1E - EDIT Amortization'!$Q$88/12</x:f>
        <x:v>-92885</x:v>
      </x:c>
      <x:c r="K19" s="400">
        <x:f t="shared" si="1"/>
        <x:v>-46442.5</x:v>
      </x:c>
      <x:c r="L19" s="400">
        <x:f t="shared" ref="L19:L29" si="6">+K19+L18</x:f>
        <x:v>35278380</x:v>
      </x:c>
      <x:c r="M19" s="406"/>
      <x:c r="N19" s="402">
        <x:v>0</x:v>
      </x:c>
      <x:c r="O19" s="400">
        <x:f t="shared" si="2"/>
        <x:v>0</x:v>
      </x:c>
      <x:c r="P19" s="400">
        <x:f t="shared" si="3"/>
        <x:v>0</x:v>
      </x:c>
      <x:c r="Q19" s="400">
        <x:f t="shared" si="4"/>
        <x:v>0</x:v>
      </x:c>
      <x:c r="R19" s="400">
        <x:f t="shared" ref="R19:R29" si="7">R18+P19+Q19</x:f>
        <x:v>0</x:v>
      </x:c>
    </x:row>
    <x:row r="20" spans="2:18">
      <x:c r="B20" s="1307">
        <x:f t="shared" si="5"/>
        <x:v>5</x:v>
      </x:c>
      <x:c r="D20" s="188" t="s">
        <x:v>495</x:v>
      </x:c>
      <x:c r="E20" s="402">
        <x:v>31</x:v>
      </x:c>
      <x:c r="F20" s="408">
        <x:v>0</x:v>
      </x:c>
      <x:c r="G20" s="408">
        <x:v>214</x:v>
      </x:c>
      <x:c r="H20" s="407">
        <x:f t="shared" si="0"/>
        <x:v>0.5</x:v>
      </x:c>
      <x:c r="I20" s="406"/>
      <x:c r="J20" s="402">
        <x:f>'1E - EDIT Amortization'!$Q$88/12</x:f>
        <x:v>-92885</x:v>
      </x:c>
      <x:c r="K20" s="400">
        <x:f t="shared" si="1"/>
        <x:v>-46442.5</x:v>
      </x:c>
      <x:c r="L20" s="400">
        <x:f t="shared" si="6"/>
        <x:v>35231937.5</x:v>
      </x:c>
      <x:c r="M20" s="406"/>
      <x:c r="N20" s="402">
        <x:v>0</x:v>
      </x:c>
      <x:c r="O20" s="400">
        <x:f t="shared" si="2"/>
        <x:v>0</x:v>
      </x:c>
      <x:c r="P20" s="400">
        <x:f t="shared" si="3"/>
        <x:v>0</x:v>
      </x:c>
      <x:c r="Q20" s="400">
        <x:f t="shared" si="4"/>
        <x:v>0</x:v>
      </x:c>
      <x:c r="R20" s="400">
        <x:f t="shared" si="7"/>
        <x:v>0</x:v>
      </x:c>
    </x:row>
    <x:row r="21" spans="2:18">
      <x:c r="B21" s="1307">
        <x:f t="shared" si="5"/>
        <x:v>6</x:v>
      </x:c>
      <x:c r="D21" s="188" t="s">
        <x:v>160</x:v>
      </x:c>
      <x:c r="E21" s="402">
        <x:v>30</x:v>
      </x:c>
      <x:c r="F21" s="408">
        <x:v>0</x:v>
      </x:c>
      <x:c r="G21" s="408">
        <x:v>214</x:v>
      </x:c>
      <x:c r="H21" s="407">
        <x:f t="shared" si="0"/>
        <x:v>0.5</x:v>
      </x:c>
      <x:c r="I21" s="406"/>
      <x:c r="J21" s="402">
        <x:f>'1E - EDIT Amortization'!$Q$88/12</x:f>
        <x:v>-92885</x:v>
      </x:c>
      <x:c r="K21" s="400">
        <x:f t="shared" si="1"/>
        <x:v>-46442.5</x:v>
      </x:c>
      <x:c r="L21" s="400">
        <x:f t="shared" si="6"/>
        <x:v>35185495</x:v>
      </x:c>
      <x:c r="M21" s="406"/>
      <x:c r="N21" s="402">
        <x:v>0</x:v>
      </x:c>
      <x:c r="O21" s="400">
        <x:f t="shared" si="2"/>
        <x:v>0</x:v>
      </x:c>
      <x:c r="P21" s="400">
        <x:f t="shared" si="3"/>
        <x:v>0</x:v>
      </x:c>
      <x:c r="Q21" s="400">
        <x:f t="shared" si="4"/>
        <x:v>0</x:v>
      </x:c>
      <x:c r="R21" s="400">
        <x:f t="shared" si="7"/>
        <x:v>0</x:v>
      </x:c>
    </x:row>
    <x:row r="22" spans="2:18">
      <x:c r="B22" s="1307">
        <x:f t="shared" si="5"/>
        <x:v>7</x:v>
      </x:c>
      <x:c r="D22" s="188" t="s">
        <x:v>161</x:v>
      </x:c>
      <x:c r="E22" s="402">
        <x:v>31</x:v>
      </x:c>
      <x:c r="F22" s="408">
        <x:v>0</x:v>
      </x:c>
      <x:c r="G22" s="408">
        <x:v>214</x:v>
      </x:c>
      <x:c r="H22" s="407">
        <x:f t="shared" si="0"/>
        <x:v>0.5</x:v>
      </x:c>
      <x:c r="I22" s="406"/>
      <x:c r="J22" s="402">
        <x:f>'1E - EDIT Amortization'!$Q$88/12</x:f>
        <x:v>-92885</x:v>
      </x:c>
      <x:c r="K22" s="400">
        <x:f t="shared" si="1"/>
        <x:v>-46442.5</x:v>
      </x:c>
      <x:c r="L22" s="400">
        <x:f t="shared" si="6"/>
        <x:v>35139052.5</x:v>
      </x:c>
      <x:c r="M22" s="406"/>
      <x:c r="N22" s="402">
        <x:v>0</x:v>
      </x:c>
      <x:c r="O22" s="400">
        <x:f t="shared" si="2"/>
        <x:v>0</x:v>
      </x:c>
      <x:c r="P22" s="400">
        <x:f t="shared" si="3"/>
        <x:v>0</x:v>
      </x:c>
      <x:c r="Q22" s="400">
        <x:f t="shared" si="4"/>
        <x:v>0</x:v>
      </x:c>
      <x:c r="R22" s="400">
        <x:f t="shared" si="7"/>
        <x:v>0</x:v>
      </x:c>
    </x:row>
    <x:row r="23" spans="2:18">
      <x:c r="B23" s="1307">
        <x:f t="shared" si="5"/>
        <x:v>8</x:v>
      </x:c>
      <x:c r="D23" s="188" t="s">
        <x:v>162</x:v>
      </x:c>
      <x:c r="E23" s="402">
        <x:v>30</x:v>
      </x:c>
      <x:c r="F23" s="408">
        <x:f t="shared" ref="F23:F28" si="8">F24+E24</x:f>
        <x:v>185</x:v>
      </x:c>
      <x:c r="G23" s="408">
        <x:v>214</x:v>
      </x:c>
      <x:c r="H23" s="407">
        <x:f t="shared" si="0"/>
        <x:v>0.86448598130841126</x:v>
      </x:c>
      <x:c r="I23" s="406"/>
      <x:c r="J23" s="402">
        <x:f>'1E - EDIT Amortization'!$Q$88/12</x:f>
        <x:v>-92885</x:v>
      </x:c>
      <x:c r="K23" s="400">
        <x:f t="shared" si="1"/>
        <x:v>-80297.780373831774</x:v>
      </x:c>
      <x:c r="L23" s="400">
        <x:f t="shared" si="6"/>
        <x:v>35058754.719626166</x:v>
      </x:c>
      <x:c r="M23" s="406"/>
      <x:c r="N23" s="402">
        <x:v>0</x:v>
      </x:c>
      <x:c r="O23" s="400">
        <x:f t="shared" si="2"/>
        <x:v>0</x:v>
      </x:c>
      <x:c r="P23" s="400">
        <x:f t="shared" si="3"/>
        <x:v>0</x:v>
      </x:c>
      <x:c r="Q23" s="400">
        <x:f t="shared" si="4"/>
        <x:v>0</x:v>
      </x:c>
      <x:c r="R23" s="400">
        <x:f t="shared" si="7"/>
        <x:v>0</x:v>
      </x:c>
    </x:row>
    <x:row r="24" spans="2:18">
      <x:c r="B24" s="1307">
        <x:f t="shared" si="5"/>
        <x:v>9</x:v>
      </x:c>
      <x:c r="D24" s="188" t="s">
        <x:v>476</x:v>
      </x:c>
      <x:c r="E24" s="402">
        <x:v>31</x:v>
      </x:c>
      <x:c r="F24" s="408">
        <x:f t="shared" si="8"/>
        <x:v>154</x:v>
      </x:c>
      <x:c r="G24" s="408">
        <x:v>214</x:v>
      </x:c>
      <x:c r="H24" s="407">
        <x:f t="shared" si="0"/>
        <x:v>0.71962616822429903</x:v>
      </x:c>
      <x:c r="I24" s="406"/>
      <x:c r="J24" s="402">
        <x:f>'1E - EDIT Amortization'!$Q$88/12</x:f>
        <x:v>-92885</x:v>
      </x:c>
      <x:c r="K24" s="400">
        <x:f t="shared" si="1"/>
        <x:v>-66842.476635514016</x:v>
      </x:c>
      <x:c r="L24" s="400">
        <x:f t="shared" si="6"/>
        <x:v>34991912.24299065</x:v>
      </x:c>
      <x:c r="M24" s="406"/>
      <x:c r="N24" s="402">
        <x:v>0</x:v>
      </x:c>
      <x:c r="O24" s="400">
        <x:f t="shared" si="2"/>
        <x:v>0</x:v>
      </x:c>
      <x:c r="P24" s="400">
        <x:f t="shared" si="3"/>
        <x:v>0</x:v>
      </x:c>
      <x:c r="Q24" s="400">
        <x:f t="shared" si="4"/>
        <x:v>0</x:v>
      </x:c>
      <x:c r="R24" s="400">
        <x:f t="shared" si="7"/>
        <x:v>0</x:v>
      </x:c>
    </x:row>
    <x:row r="25" spans="2:18">
      <x:c r="B25" s="1307">
        <x:f t="shared" si="5"/>
        <x:v>10</x:v>
      </x:c>
      <x:c r="D25" s="188" t="s">
        <x:v>496</x:v>
      </x:c>
      <x:c r="E25" s="402">
        <x:v>31</x:v>
      </x:c>
      <x:c r="F25" s="408">
        <x:f t="shared" si="8"/>
        <x:v>123</x:v>
      </x:c>
      <x:c r="G25" s="408">
        <x:v>214</x:v>
      </x:c>
      <x:c r="H25" s="407">
        <x:f t="shared" si="0"/>
        <x:v>0.57476635514018692</x:v>
      </x:c>
      <x:c r="I25" s="406"/>
      <x:c r="J25" s="402">
        <x:f>'1E - EDIT Amortization'!$Q$88/12</x:f>
        <x:v>-92885</x:v>
      </x:c>
      <x:c r="K25" s="400">
        <x:f t="shared" si="1"/>
        <x:v>-53387.172897196266</x:v>
      </x:c>
      <x:c r="L25" s="400">
        <x:f t="shared" si="6"/>
        <x:v>34938525.070093453</x:v>
      </x:c>
      <x:c r="M25" s="406"/>
      <x:c r="N25" s="402">
        <x:v>0</x:v>
      </x:c>
      <x:c r="O25" s="400">
        <x:f t="shared" si="2"/>
        <x:v>0</x:v>
      </x:c>
      <x:c r="P25" s="400">
        <x:f t="shared" si="3"/>
        <x:v>0</x:v>
      </x:c>
      <x:c r="Q25" s="400">
        <x:f t="shared" si="4"/>
        <x:v>0</x:v>
      </x:c>
      <x:c r="R25" s="400">
        <x:f t="shared" si="7"/>
        <x:v>0</x:v>
      </x:c>
    </x:row>
    <x:row r="26" spans="2:18">
      <x:c r="B26" s="1307">
        <x:f t="shared" si="5"/>
        <x:v>11</x:v>
      </x:c>
      <x:c r="D26" s="188" t="s">
        <x:v>478</x:v>
      </x:c>
      <x:c r="E26" s="402">
        <x:v>30</x:v>
      </x:c>
      <x:c r="F26" s="408">
        <x:f t="shared" si="8"/>
        <x:v>93</x:v>
      </x:c>
      <x:c r="G26" s="408">
        <x:v>214</x:v>
      </x:c>
      <x:c r="H26" s="407">
        <x:f t="shared" si="0"/>
        <x:v>0.43457943925233644</x:v>
      </x:c>
      <x:c r="I26" s="406"/>
      <x:c r="J26" s="402">
        <x:f>'1E - EDIT Amortization'!$Q$88/12</x:f>
        <x:v>-92885</x:v>
      </x:c>
      <x:c r="K26" s="400">
        <x:f t="shared" si="1"/>
        <x:v>-40365.911214953274</x:v>
      </x:c>
      <x:c r="L26" s="400">
        <x:f t="shared" si="6"/>
        <x:v>34898159.158878498</x:v>
      </x:c>
      <x:c r="M26" s="406"/>
      <x:c r="N26" s="402">
        <x:v>0</x:v>
      </x:c>
      <x:c r="O26" s="400">
        <x:f t="shared" si="2"/>
        <x:v>0</x:v>
      </x:c>
      <x:c r="P26" s="400">
        <x:f t="shared" si="3"/>
        <x:v>0</x:v>
      </x:c>
      <x:c r="Q26" s="400">
        <x:f t="shared" si="4"/>
        <x:v>0</x:v>
      </x:c>
      <x:c r="R26" s="400">
        <x:f t="shared" si="7"/>
        <x:v>0</x:v>
      </x:c>
    </x:row>
    <x:row r="27" spans="2:18">
      <x:c r="B27" s="1307">
        <x:f t="shared" si="5"/>
        <x:v>12</x:v>
      </x:c>
      <x:c r="D27" s="188" t="s">
        <x:v>479</x:v>
      </x:c>
      <x:c r="E27" s="402">
        <x:v>31</x:v>
      </x:c>
      <x:c r="F27" s="408">
        <x:f t="shared" si="8"/>
        <x:v>62</x:v>
      </x:c>
      <x:c r="G27" s="408">
        <x:v>214</x:v>
      </x:c>
      <x:c r="H27" s="407">
        <x:f t="shared" si="0"/>
        <x:v>0.28971962616822428</x:v>
      </x:c>
      <x:c r="I27" s="406"/>
      <x:c r="J27" s="402">
        <x:f>'1E - EDIT Amortization'!$Q$88/12</x:f>
        <x:v>-92885</x:v>
      </x:c>
      <x:c r="K27" s="400">
        <x:f t="shared" si="1"/>
        <x:v>-26910.607476635512</x:v>
      </x:c>
      <x:c r="L27" s="400">
        <x:f t="shared" si="6"/>
        <x:v>34871248.551401861</x:v>
      </x:c>
      <x:c r="M27" s="406"/>
      <x:c r="N27" s="402">
        <x:v>0</x:v>
      </x:c>
      <x:c r="O27" s="400">
        <x:f t="shared" si="2"/>
        <x:v>0</x:v>
      </x:c>
      <x:c r="P27" s="400">
        <x:f t="shared" si="3"/>
        <x:v>0</x:v>
      </x:c>
      <x:c r="Q27" s="400">
        <x:f t="shared" si="4"/>
        <x:v>0</x:v>
      </x:c>
      <x:c r="R27" s="400">
        <x:f t="shared" si="7"/>
        <x:v>0</x:v>
      </x:c>
    </x:row>
    <x:row r="28" spans="2:18">
      <x:c r="B28" s="1307">
        <x:f t="shared" si="5"/>
        <x:v>13</x:v>
      </x:c>
      <x:c r="D28" s="188" t="s">
        <x:v>480</x:v>
      </x:c>
      <x:c r="E28" s="402">
        <x:v>30</x:v>
      </x:c>
      <x:c r="F28" s="408">
        <x:f t="shared" si="8"/>
        <x:v>32</x:v>
      </x:c>
      <x:c r="G28" s="408">
        <x:v>214</x:v>
      </x:c>
      <x:c r="H28" s="407">
        <x:f t="shared" si="0"/>
        <x:v>0.14953271028037382</x:v>
      </x:c>
      <x:c r="I28" s="406"/>
      <x:c r="J28" s="402">
        <x:f>'1E - EDIT Amortization'!$Q$88/12</x:f>
        <x:v>-92885</x:v>
      </x:c>
      <x:c r="K28" s="400">
        <x:f t="shared" si="1"/>
        <x:v>-13889.345794392522</x:v>
      </x:c>
      <x:c r="L28" s="400">
        <x:f t="shared" si="6"/>
        <x:v>34857359.205607466</x:v>
      </x:c>
      <x:c r="M28" s="406"/>
      <x:c r="N28" s="402">
        <x:v>0</x:v>
      </x:c>
      <x:c r="O28" s="400">
        <x:f t="shared" si="2"/>
        <x:v>0</x:v>
      </x:c>
      <x:c r="P28" s="400">
        <x:f t="shared" si="3"/>
        <x:v>0</x:v>
      </x:c>
      <x:c r="Q28" s="400">
        <x:f t="shared" si="4"/>
        <x:v>0</x:v>
      </x:c>
      <x:c r="R28" s="400">
        <x:f t="shared" si="7"/>
        <x:v>0</x:v>
      </x:c>
    </x:row>
    <x:row r="29" spans="2:18">
      <x:c r="B29" s="1307">
        <x:f t="shared" si="5"/>
        <x:v>14</x:v>
      </x:c>
      <x:c r="D29" s="189" t="s">
        <x:v>684</x:v>
      </x:c>
      <x:c r="E29" s="402">
        <x:v>31</x:v>
      </x:c>
      <x:c r="F29" s="408">
        <x:v>1</x:v>
      </x:c>
      <x:c r="G29" s="408">
        <x:v>214</x:v>
      </x:c>
      <x:c r="H29" s="407">
        <x:f t="shared" si="0"/>
        <x:v>4.6728971962616819E-3</x:v>
      </x:c>
      <x:c r="I29" s="406"/>
      <x:c r="J29" s="402">
        <x:f>'1E - EDIT Amortization'!$Q$88/12</x:f>
        <x:v>-92885</x:v>
      </x:c>
      <x:c r="K29" s="400">
        <x:f t="shared" si="1"/>
        <x:v>-434.04205607476632</x:v>
      </x:c>
      <x:c r="L29" s="400">
        <x:f t="shared" si="6"/>
        <x:v>34856925.16355139</x:v>
      </x:c>
      <x:c r="M29" s="406"/>
      <x:c r="N29" s="402">
        <x:v>0</x:v>
      </x:c>
      <x:c r="O29" s="400">
        <x:f t="shared" si="2"/>
        <x:v>0</x:v>
      </x:c>
      <x:c r="P29" s="400">
        <x:f t="shared" si="3"/>
        <x:v>0</x:v>
      </x:c>
      <x:c r="Q29" s="400">
        <x:f t="shared" si="4"/>
        <x:v>0</x:v>
      </x:c>
      <x:c r="R29" s="400">
        <x:f t="shared" si="7"/>
        <x:v>0</x:v>
      </x:c>
    </x:row>
    <x:row r="30" spans="2:18">
      <x:c r="B30" s="1307">
        <x:f t="shared" si="5"/>
        <x:v>15</x:v>
      </x:c>
      <x:c r="D30" s="190" t="str">
        <x:f>"Total (Sum of Lines "&amp;B18&amp;" - "&amp;B29&amp;")"</x:f>
        <x:v>Total (Sum of Lines 3 - 14)</x:v>
      </x:c>
      <x:c r="E30" s="405">
        <x:f>SUM(E18:E29)</x:f>
        <x:v>365</x:v>
      </x:c>
      <x:c r="F30" s="191"/>
      <x:c r="G30" s="191"/>
      <x:c r="H30" s="192"/>
      <x:c r="I30" s="403"/>
      <x:c r="J30" s="405">
        <x:f>SUM(J18:J29)</x:f>
        <x:v>-1114620</x:v>
      </x:c>
      <x:c r="K30" s="405">
        <x:f>SUM(K18:K29)</x:f>
        <x:v>-514339.83644859807</x:v>
      </x:c>
      <x:c r="L30" s="404"/>
      <x:c r="M30" s="403"/>
      <x:c r="N30" s="405">
        <x:f>SUM(N18:N29)</x:f>
        <x:v>0</x:v>
      </x:c>
      <x:c r="O30" s="405">
        <x:f>SUM(O18:O29)</x:f>
        <x:v>0</x:v>
      </x:c>
      <x:c r="P30" s="405">
        <x:f>SUM(P18:P29)</x:f>
        <x:v>0</x:v>
      </x:c>
      <x:c r="Q30" s="405">
        <x:f>SUM(Q18:Q29)</x:f>
        <x:v>0</x:v>
      </x:c>
      <x:c r="R30" s="404"/>
    </x:row>
    <x:row r="31" spans="2:18">
      <x:c r="D31" s="193"/>
      <x:c r="E31" s="193"/>
      <x:c r="F31" s="193"/>
      <x:c r="G31" s="193"/>
      <x:c r="H31" s="194"/>
      <x:c r="I31" s="194"/>
      <x:c r="K31" s="195"/>
      <x:c r="L31" s="194"/>
      <x:c r="M31" s="194"/>
      <x:c r="O31" s="195"/>
      <x:c r="P31" s="195"/>
      <x:c r="Q31" s="195"/>
      <x:c r="R31" s="194"/>
    </x:row>
    <x:row r="32" spans="2:18">
      <x:c r="B32" s="1307">
        <x:f>B30+1</x:f>
        <x:v>16</x:v>
      </x:c>
      <x:c r="D32" s="167" t="s">
        <x:v>1211</x:v>
      </x:c>
      <x:c r="I32" s="194"/>
      <x:c r="J32" s="402" t="str">
        <x:f>$J$14</x:f>
        <x:v>12/31/2024 (Actuals)</x:v>
      </x:c>
      <x:c r="L32" s="402">
        <x:f>'1E - EDIT Amortization'!$O$70+'1E - EDIT Amortization'!$O$79</x:f>
        <x:v>0</x:v>
      </x:c>
      <x:c r="M32" s="196"/>
      <x:c r="N32" s="402">
        <x:f>$N$14</x:f>
        <x:v>0</x:v>
      </x:c>
      <x:c r="R32" s="402">
        <x:f>'1E - EDIT Amortization'!$O$70+'1E - EDIT Amortization'!$O$79</x:f>
        <x:v>0</x:v>
      </x:c>
    </x:row>
    <x:row r="33" spans="2:18">
      <x:c r="B33" s="1307">
        <x:f>B32+1</x:f>
        <x:v>17</x:v>
      </x:c>
      <x:c r="D33" s="167" t="s">
        <x:v>1212</x:v>
      </x:c>
      <x:c r="I33" s="194"/>
      <x:c r="J33" s="197" t="s">
        <x:v>588</x:v>
      </x:c>
      <x:c r="L33" s="198">
        <x:v>0</x:v>
      </x:c>
      <x:c r="M33" s="199"/>
      <x:c r="N33" s="197" t="s">
        <x:v>588</x:v>
      </x:c>
      <x:c r="R33" s="198">
        <x:v>0</x:v>
      </x:c>
    </x:row>
    <x:row r="34" spans="2:18">
      <x:c r="B34" s="1307">
        <x:f>B33+1</x:f>
        <x:v>18</x:v>
      </x:c>
      <x:c r="D34" s="167" t="s">
        <x:v>1213</x:v>
      </x:c>
      <x:c r="I34" s="194"/>
      <x:c r="J34" s="190" t="str">
        <x:f>"(Col. "&amp;L11&amp;", Line "&amp;B32&amp;" + Line "&amp;B33&amp;")"</x:f>
        <x:v>(Col. (H), Line 16 + Line 17)</x:v>
      </x:c>
      <x:c r="L34" s="401">
        <x:f>L32+L33</x:f>
        <x:v>0</x:v>
      </x:c>
      <x:c r="M34" s="194"/>
      <x:c r="N34" s="190" t="str">
        <x:f>"(Col. "&amp;R11&amp;", Line "&amp;B32&amp;" + Line "&amp;B33&amp;")"</x:f>
        <x:v>(Col. (M), Line 16 + Line 17)</x:v>
      </x:c>
      <x:c r="R34" s="401">
        <x:f>R32+R33</x:f>
        <x:v>0</x:v>
      </x:c>
    </x:row>
    <x:row r="35" spans="2:18">
      <x:c r="I35" s="194"/>
      <x:c r="L35" s="401"/>
      <x:c r="M35" s="194"/>
      <x:c r="R35" s="401"/>
    </x:row>
    <x:row r="36" spans="2:18">
      <x:c r="B36" s="1307">
        <x:f>B34+1</x:f>
        <x:v>19</x:v>
      </x:c>
      <x:c r="D36" s="167" t="s">
        <x:v>1214</x:v>
      </x:c>
      <x:c r="I36" s="194"/>
      <x:c r="J36" s="402" t="str">
        <x:f>$J$16</x:f>
        <x:v>12/31/2025 (Projected)</x:v>
      </x:c>
      <x:c r="L36" s="402">
        <x:f>'1E - EDIT Amortization'!S70+'1E - EDIT Amortization'!S79</x:f>
        <x:v>0</x:v>
      </x:c>
      <x:c r="M36" s="196"/>
      <x:c r="N36" s="402">
        <x:f>$N$16</x:f>
        <x:v>0</x:v>
      </x:c>
      <x:c r="R36" s="402">
        <x:v>0</x:v>
      </x:c>
    </x:row>
    <x:row r="37" spans="2:18">
      <x:c r="B37" s="1307">
        <x:f>B36+1</x:f>
        <x:v>20</x:v>
      </x:c>
      <x:c r="D37" s="167" t="s">
        <x:v>1215</x:v>
      </x:c>
      <x:c r="I37" s="194"/>
      <x:c r="J37" s="197" t="s">
        <x:v>588</x:v>
      </x:c>
      <x:c r="L37" s="198">
        <x:v>0</x:v>
      </x:c>
      <x:c r="M37" s="194"/>
      <x:c r="N37" s="197" t="s">
        <x:v>588</x:v>
      </x:c>
      <x:c r="R37" s="198">
        <x:v>0</x:v>
      </x:c>
    </x:row>
    <x:row r="38" spans="2:18">
      <x:c r="B38" s="1307">
        <x:f>B37+1</x:f>
        <x:v>21</x:v>
      </x:c>
      <x:c r="D38" s="167" t="s">
        <x:v>1216</x:v>
      </x:c>
      <x:c r="G38" s="190"/>
      <x:c r="I38" s="194"/>
      <x:c r="J38" s="190" t="str">
        <x:f>"(Col. "&amp;L11&amp;", Line "&amp;B36&amp;" + Line "&amp;B37&amp;")"</x:f>
        <x:v>(Col. (H), Line 19 + Line 20)</x:v>
      </x:c>
      <x:c r="L38" s="401">
        <x:f>L36+L37</x:f>
        <x:v>0</x:v>
      </x:c>
      <x:c r="M38" s="194"/>
      <x:c r="N38" s="190" t="str">
        <x:f>"(Col. "&amp;R11&amp;", Line "&amp;B36&amp;" + Line "&amp;B37&amp;")"</x:f>
        <x:v>(Col. (M), Line 19 + Line 20)</x:v>
      </x:c>
      <x:c r="R38" s="401">
        <x:f>R36+R37</x:f>
        <x:v>0</x:v>
      </x:c>
    </x:row>
    <x:row r="39" spans="2:18">
      <x:c r="I39" s="194"/>
      <x:c r="L39" s="401"/>
      <x:c r="M39" s="194"/>
      <x:c r="R39" s="401"/>
    </x:row>
    <x:row r="40" spans="2:18">
      <x:c r="B40" s="1307">
        <x:f>B38+1</x:f>
        <x:v>22</x:v>
      </x:c>
      <x:c r="D40" s="167" t="s">
        <x:v>915</x:v>
      </x:c>
      <x:c r="I40" s="194"/>
      <x:c r="J40" s="190" t="str">
        <x:f>"([Col. "&amp;L11&amp;", Line "&amp;B34&amp;" + Line "&amp;B38&amp;"] / 2)"</x:f>
        <x:v>([Col. (H), Line 18 + Line 21] / 2)</x:v>
      </x:c>
      <x:c r="L40" s="400">
        <x:f>(L34+L38)/2</x:f>
        <x:v>0</x:v>
      </x:c>
      <x:c r="M40" s="194"/>
      <x:c r="N40" s="190" t="str">
        <x:f>"([Col. "&amp;R11&amp;", Line "&amp;B34&amp;" + Line "&amp;B38&amp;"] / 2)"</x:f>
        <x:v>([Col. (M), Line 18 + Line 21] / 2)</x:v>
      </x:c>
      <x:c r="R40" s="400">
        <x:f>(R34+R38)/2</x:f>
        <x:v>0</x:v>
      </x:c>
    </x:row>
    <x:row r="41" spans="2:18">
      <x:c r="B41" s="1307">
        <x:f>B40+1</x:f>
        <x:v>23</x:v>
      </x:c>
      <x:c r="D41" s="285" t="s">
        <x:v>1217</x:v>
      </x:c>
      <x:c r="E41" s="193"/>
      <x:c r="F41" s="193"/>
      <x:c r="G41" s="193"/>
      <x:c r="H41" s="194"/>
      <x:c r="I41" s="194"/>
      <x:c r="J41" s="190" t="str">
        <x:f>"(Col. "&amp;L11&amp;", Line "&amp;B29&amp;" )"</x:f>
        <x:v>(Col. (H), Line 14 )</x:v>
      </x:c>
      <x:c r="K41" s="195"/>
      <x:c r="L41" s="400">
        <x:f>L29</x:f>
        <x:v>34856925.16355139</x:v>
      </x:c>
      <x:c r="M41" s="194"/>
      <x:c r="N41" s="190" t="str">
        <x:f>"(Col. "&amp;R11&amp;", Line "&amp;B29&amp;" )"</x:f>
        <x:v>(Col. (M), Line 14 )</x:v>
      </x:c>
      <x:c r="R41" s="400">
        <x:f>R29</x:f>
        <x:v>0</x:v>
      </x:c>
    </x:row>
    <x:row r="42" spans="2:18" ht="13.5" thickBot="1">
      <x:c r="B42" s="1307">
        <x:f>B41+1</x:f>
        <x:v>24</x:v>
      </x:c>
      <x:c r="D42" s="200" t="s">
        <x:v>1218</x:v>
      </x:c>
      <x:c r="E42" s="193"/>
      <x:c r="F42" s="193"/>
      <x:c r="G42" s="193"/>
      <x:c r="H42" s="194"/>
      <x:c r="I42" s="194"/>
      <x:c r="J42" s="190" t="str">
        <x:f>"(Col. "&amp;L11&amp;", Line "&amp;B40&amp;" + Line "&amp;B41&amp;")"</x:f>
        <x:v>(Col. (H), Line 22 + Line 23)</x:v>
      </x:c>
      <x:c r="K42" s="195"/>
      <x:c r="L42" s="399">
        <x:f>L40+L41</x:f>
        <x:v>34856925.16355139</x:v>
      </x:c>
      <x:c r="M42" s="194"/>
      <x:c r="N42" s="190" t="str">
        <x:f>"(Col. "&amp;R11&amp;", Line "&amp;B40&amp;" + Line "&amp;B41&amp;")"</x:f>
        <x:v>(Col. (M), Line 22 + Line 23)</x:v>
      </x:c>
      <x:c r="R42" s="399">
        <x:f>R40+R41</x:f>
        <x:v>0</x:v>
      </x:c>
    </x:row>
    <x:row r="43" spans="2:18">
      <x:c r="I43" s="194"/>
      <x:c r="L43" s="400"/>
      <x:c r="M43" s="194"/>
      <x:c r="R43" s="400"/>
    </x:row>
    <x:row r="44" spans="2:18">
      <x:c r="D44" s="180" t="s">
        <x:v>1219</x:v>
      </x:c>
      <x:c r="J44" s="201"/>
      <x:c r="K44" s="202"/>
      <x:c r="L44" s="202"/>
      <x:c r="N44" s="202"/>
      <x:c r="O44" s="202"/>
      <x:c r="P44" s="202"/>
      <x:c r="Q44" s="202"/>
      <x:c r="R44" s="202"/>
    </x:row>
    <x:row r="45" spans="2:18">
      <x:c r="D45" s="1591" t="s">
        <x:v>835</x:v>
      </x:c>
      <x:c r="E45" s="1592"/>
      <x:c r="F45" s="1592"/>
      <x:c r="G45" s="1592"/>
      <x:c r="H45" s="1593"/>
      <x:c r="I45" s="184"/>
      <x:c r="J45" s="1594" t="s">
        <x:v>1208</x:v>
      </x:c>
      <x:c r="K45" s="1595"/>
      <x:c r="L45" s="1596"/>
      <x:c r="M45" s="184"/>
      <x:c r="N45" s="1594" t="s">
        <x:v>1209</x:v>
      </x:c>
      <x:c r="O45" s="1595"/>
      <x:c r="P45" s="1595"/>
      <x:c r="Q45" s="1595"/>
      <x:c r="R45" s="1596"/>
    </x:row>
    <x:row r="46" spans="2:18">
      <x:c r="D46" s="185" t="s">
        <x:v>163</x:v>
      </x:c>
      <x:c r="E46" s="185" t="s">
        <x:v>164</x:v>
      </x:c>
      <x:c r="F46" s="185" t="s">
        <x:v>1154</x:v>
      </x:c>
      <x:c r="G46" s="185" t="s">
        <x:v>1155</x:v>
      </x:c>
      <x:c r="H46" s="185" t="s">
        <x:v>1156</x:v>
      </x:c>
      <x:c r="I46" s="184"/>
      <x:c r="J46" s="185" t="s">
        <x:v>1157</x:v>
      </x:c>
      <x:c r="K46" s="185" t="s">
        <x:v>1158</x:v>
      </x:c>
      <x:c r="L46" s="185" t="s">
        <x:v>1159</x:v>
      </x:c>
      <x:c r="M46" s="184"/>
      <x:c r="N46" s="185" t="s">
        <x:v>1160</x:v>
      </x:c>
      <x:c r="O46" s="185" t="s">
        <x:v>1161</x:v>
      </x:c>
      <x:c r="P46" s="185" t="s">
        <x:v>1162</x:v>
      </x:c>
      <x:c r="Q46" s="185" t="s">
        <x:v>1163</x:v>
      </x:c>
      <x:c r="R46" s="185" t="s">
        <x:v>1164</x:v>
      </x:c>
    </x:row>
    <x:row r="47" spans="2:18" ht="51">
      <x:c r="B47" s="186" t="s">
        <x:v>523</x:v>
      </x:c>
      <x:c r="D47" s="187" t="s">
        <x:v>158</x:v>
      </x:c>
      <x:c r="E47" s="187" t="s">
        <x:v>836</x:v>
      </x:c>
      <x:c r="F47" s="187" t="s">
        <x:v>837</x:v>
      </x:c>
      <x:c r="G47" s="187" t="s">
        <x:v>838</x:v>
      </x:c>
      <x:c r="H47" s="187" t="s">
        <x:v>1165</x:v>
      </x:c>
      <x:c r="I47" s="397"/>
      <x:c r="J47" s="187" t="s">
        <x:v>839</x:v>
      </x:c>
      <x:c r="K47" s="187" t="s">
        <x:v>1166</x:v>
      </x:c>
      <x:c r="L47" s="187" t="s">
        <x:v>1167</x:v>
      </x:c>
      <x:c r="M47" s="397"/>
      <x:c r="N47" s="187" t="s">
        <x:v>918</x:v>
      </x:c>
      <x:c r="O47" s="187" t="s">
        <x:v>1168</x:v>
      </x:c>
      <x:c r="P47" s="187" t="s">
        <x:v>1169</x:v>
      </x:c>
      <x:c r="Q47" s="187" t="s">
        <x:v>1170</x:v>
      </x:c>
      <x:c r="R47" s="187" t="s">
        <x:v>1171</x:v>
      </x:c>
    </x:row>
    <x:row r="48" spans="2:18">
      <x:c r="E48" s="397"/>
      <x:c r="F48" s="397"/>
      <x:c r="G48" s="397"/>
      <x:c r="H48" s="397"/>
      <x:c r="I48" s="397"/>
      <x:c r="J48" s="397"/>
      <x:c r="K48" s="397"/>
      <x:c r="L48" s="397"/>
      <x:c r="M48" s="397"/>
      <x:c r="N48" s="397"/>
      <x:c r="O48" s="397"/>
      <x:c r="P48" s="397"/>
      <x:c r="Q48" s="397"/>
      <x:c r="R48" s="397"/>
    </x:row>
    <x:row r="49" spans="2:18">
      <x:c r="B49" s="1307">
        <x:f>B42+1</x:f>
        <x:v>25</x:v>
      </x:c>
      <x:c r="D49" s="167" t="s">
        <x:v>1210</x:v>
      </x:c>
      <x:c r="E49" s="397"/>
      <x:c r="F49" s="397"/>
      <x:c r="G49" s="397"/>
      <x:c r="H49" s="397"/>
      <x:c r="I49" s="397"/>
      <x:c r="J49" s="402" t="str">
        <x:f>J14</x:f>
        <x:v>12/31/2024 (Actuals)</x:v>
      </x:c>
      <x:c r="K49" s="397"/>
      <x:c r="L49" s="402">
        <x:f>'1E - EDIT Amortization'!$O$90</x:f>
        <x:v>-55929892</x:v>
      </x:c>
      <x:c r="M49" s="397"/>
      <x:c r="N49" s="402">
        <x:f>$N$14</x:f>
        <x:v>0</x:v>
      </x:c>
      <x:c r="O49" s="397"/>
      <x:c r="P49" s="397"/>
      <x:c r="Q49" s="397"/>
      <x:c r="R49" s="402">
        <x:v>0</x:v>
      </x:c>
    </x:row>
    <x:row r="50" spans="2:18">
      <x:c r="E50" s="397"/>
      <x:c r="F50" s="397"/>
      <x:c r="G50" s="397"/>
      <x:c r="H50" s="397"/>
      <x:c r="I50" s="397"/>
      <x:c r="J50" s="397"/>
      <x:c r="K50" s="397"/>
      <x:c r="L50" s="397"/>
      <x:c r="M50" s="397"/>
      <x:c r="N50" s="397"/>
      <x:c r="O50" s="397"/>
      <x:c r="P50" s="397"/>
      <x:c r="Q50" s="397"/>
      <x:c r="R50" s="397"/>
    </x:row>
    <x:row r="51" spans="2:18">
      <x:c r="B51" s="1307">
        <x:f>B49+1</x:f>
        <x:v>26</x:v>
      </x:c>
      <x:c r="D51" s="167" t="s">
        <x:v>1526</x:v>
      </x:c>
      <x:c r="E51" s="397"/>
      <x:c r="F51" s="397"/>
      <x:c r="G51" s="397"/>
      <x:c r="H51" s="397"/>
      <x:c r="I51" s="397"/>
      <x:c r="J51" s="402" t="str">
        <x:f>J16</x:f>
        <x:v>12/31/2025 (Projected)</x:v>
      </x:c>
      <x:c r="K51" s="397"/>
      <x:c r="L51" s="397"/>
      <x:c r="M51" s="397"/>
      <x:c r="N51" s="402">
        <x:f>$N$16</x:f>
        <x:v>0</x:v>
      </x:c>
      <x:c r="O51" s="397"/>
      <x:c r="P51" s="397"/>
      <x:c r="Q51" s="397"/>
      <x:c r="R51" s="397"/>
    </x:row>
    <x:row r="52" spans="2:18">
      <x:c r="E52" s="397"/>
      <x:c r="F52" s="397"/>
      <x:c r="G52" s="397"/>
      <x:c r="H52" s="397"/>
      <x:c r="I52" s="397"/>
      <x:c r="J52" s="397"/>
      <x:c r="K52" s="397"/>
      <x:c r="L52" s="397"/>
      <x:c r="M52" s="397"/>
      <x:c r="N52" s="397"/>
      <x:c r="O52" s="397"/>
      <x:c r="P52" s="397"/>
      <x:c r="Q52" s="397"/>
      <x:c r="R52" s="397"/>
    </x:row>
    <x:row r="53" spans="2:18">
      <x:c r="B53" s="1307">
        <x:f>B51+1</x:f>
        <x:v>27</x:v>
      </x:c>
      <x:c r="D53" s="188" t="s">
        <x:v>473</x:v>
      </x:c>
      <x:c r="E53" s="402">
        <x:v>31</x:v>
      </x:c>
      <x:c r="F53" s="408">
        <x:v>0</x:v>
      </x:c>
      <x:c r="G53" s="408">
        <x:v>214</x:v>
      </x:c>
      <x:c r="H53" s="407">
        <x:f t="shared" ref="H53:H64" si="9">IF(F53=0,0.5,F53/G53)</x:f>
        <x:v>0.5</x:v>
      </x:c>
      <x:c r="I53" s="406"/>
      <x:c r="J53" s="402">
        <x:f>'1E - EDIT Amortization'!$Q$90/12</x:f>
        <x:v>186878.66666666666</x:v>
      </x:c>
      <x:c r="K53" s="400">
        <x:f t="shared" ref="K53:K64" si="10">+J53*H53</x:f>
        <x:v>93439.333333333328</x:v>
      </x:c>
      <x:c r="L53" s="400">
        <x:f>+K53+L49</x:f>
        <x:v>-55836452.666666664</x:v>
      </x:c>
      <x:c r="M53" s="406"/>
      <x:c r="N53" s="402">
        <x:v>0</x:v>
      </x:c>
      <x:c r="O53" s="400">
        <x:f t="shared" ref="O53:O64" si="11">IF($D$249="True-Up Adjustment",N53-J53,0)</x:f>
        <x:v>0</x:v>
      </x:c>
      <x:c r="P53" s="400">
        <x:f t="shared" ref="P53:P64" si="12">IF($D$249="True-Up Adjustment",IF(AND(J53&gt;=0,N53&gt;=0),IF(O53&gt;=0,K53+O53,N53/J53*K53),IF(AND(J53&lt;0,N53&lt;0),IF(O53&lt;0,K53+O53,N53/J53*K53),0)),0)</x:f>
        <x:v>0</x:v>
      </x:c>
      <x:c r="Q53" s="400">
        <x:f t="shared" ref="Q53:Q64" si="13">IF(AND(J53&gt;=0,N53&lt;0),N53,IF(AND(J53&lt;0,N53&gt;=0),N53,0))</x:f>
        <x:v>0</x:v>
      </x:c>
      <x:c r="R53" s="400">
        <x:f>R49+P53+Q53</x:f>
        <x:v>0</x:v>
      </x:c>
    </x:row>
    <x:row r="54" spans="2:18">
      <x:c r="B54" s="1307">
        <x:f t="shared" ref="B54:B65" si="14">+B53+1</x:f>
        <x:v>28</x:v>
      </x:c>
      <x:c r="D54" s="188" t="s">
        <x:v>474</x:v>
      </x:c>
      <x:c r="E54" s="402">
        <x:v>28</x:v>
      </x:c>
      <x:c r="F54" s="408">
        <x:v>0</x:v>
      </x:c>
      <x:c r="G54" s="408">
        <x:v>214</x:v>
      </x:c>
      <x:c r="H54" s="407">
        <x:f t="shared" si="9"/>
        <x:v>0.5</x:v>
      </x:c>
      <x:c r="I54" s="406"/>
      <x:c r="J54" s="402">
        <x:f>'1E - EDIT Amortization'!$Q$90/12</x:f>
        <x:v>186878.66666666666</x:v>
      </x:c>
      <x:c r="K54" s="400">
        <x:f t="shared" si="10"/>
        <x:v>93439.333333333328</x:v>
      </x:c>
      <x:c r="L54" s="400">
        <x:f t="shared" ref="L54:L64" si="15">+K54+L53</x:f>
        <x:v>-55743013.333333328</x:v>
      </x:c>
      <x:c r="M54" s="406"/>
      <x:c r="N54" s="402">
        <x:v>0</x:v>
      </x:c>
      <x:c r="O54" s="400">
        <x:f t="shared" si="11"/>
        <x:v>0</x:v>
      </x:c>
      <x:c r="P54" s="400">
        <x:f t="shared" si="12"/>
        <x:v>0</x:v>
      </x:c>
      <x:c r="Q54" s="400">
        <x:f t="shared" si="13"/>
        <x:v>0</x:v>
      </x:c>
      <x:c r="R54" s="400">
        <x:f t="shared" ref="R54:R64" si="16">R53+P54+Q54</x:f>
        <x:v>0</x:v>
      </x:c>
    </x:row>
    <x:row r="55" spans="2:18">
      <x:c r="B55" s="1307">
        <x:f t="shared" si="14"/>
        <x:v>29</x:v>
      </x:c>
      <x:c r="D55" s="188" t="s">
        <x:v>495</x:v>
      </x:c>
      <x:c r="E55" s="402">
        <x:v>31</x:v>
      </x:c>
      <x:c r="F55" s="408">
        <x:v>0</x:v>
      </x:c>
      <x:c r="G55" s="408">
        <x:v>214</x:v>
      </x:c>
      <x:c r="H55" s="407">
        <x:f t="shared" si="9"/>
        <x:v>0.5</x:v>
      </x:c>
      <x:c r="I55" s="406"/>
      <x:c r="J55" s="402">
        <x:f>'1E - EDIT Amortization'!$Q$90/12</x:f>
        <x:v>186878.66666666666</x:v>
      </x:c>
      <x:c r="K55" s="400">
        <x:f t="shared" si="10"/>
        <x:v>93439.333333333328</x:v>
      </x:c>
      <x:c r="L55" s="400">
        <x:f t="shared" si="15"/>
        <x:v>-55649573.999999993</x:v>
      </x:c>
      <x:c r="M55" s="406"/>
      <x:c r="N55" s="402">
        <x:v>0</x:v>
      </x:c>
      <x:c r="O55" s="400">
        <x:f t="shared" si="11"/>
        <x:v>0</x:v>
      </x:c>
      <x:c r="P55" s="400">
        <x:f t="shared" si="12"/>
        <x:v>0</x:v>
      </x:c>
      <x:c r="Q55" s="400">
        <x:f t="shared" si="13"/>
        <x:v>0</x:v>
      </x:c>
      <x:c r="R55" s="400">
        <x:f t="shared" si="16"/>
        <x:v>0</x:v>
      </x:c>
    </x:row>
    <x:row r="56" spans="2:18">
      <x:c r="B56" s="1307">
        <x:f t="shared" si="14"/>
        <x:v>30</x:v>
      </x:c>
      <x:c r="D56" s="188" t="s">
        <x:v>160</x:v>
      </x:c>
      <x:c r="E56" s="402">
        <x:v>30</x:v>
      </x:c>
      <x:c r="F56" s="408">
        <x:v>0</x:v>
      </x:c>
      <x:c r="G56" s="408">
        <x:v>214</x:v>
      </x:c>
      <x:c r="H56" s="407">
        <x:f t="shared" si="9"/>
        <x:v>0.5</x:v>
      </x:c>
      <x:c r="I56" s="406"/>
      <x:c r="J56" s="402">
        <x:f>'1E - EDIT Amortization'!$Q$90/12</x:f>
        <x:v>186878.66666666666</x:v>
      </x:c>
      <x:c r="K56" s="400">
        <x:f t="shared" si="10"/>
        <x:v>93439.333333333328</x:v>
      </x:c>
      <x:c r="L56" s="400">
        <x:f t="shared" si="15"/>
        <x:v>-55556134.666666657</x:v>
      </x:c>
      <x:c r="M56" s="406"/>
      <x:c r="N56" s="402">
        <x:v>0</x:v>
      </x:c>
      <x:c r="O56" s="400">
        <x:f t="shared" si="11"/>
        <x:v>0</x:v>
      </x:c>
      <x:c r="P56" s="400">
        <x:f t="shared" si="12"/>
        <x:v>0</x:v>
      </x:c>
      <x:c r="Q56" s="400">
        <x:f t="shared" si="13"/>
        <x:v>0</x:v>
      </x:c>
      <x:c r="R56" s="400">
        <x:f t="shared" si="16"/>
        <x:v>0</x:v>
      </x:c>
    </x:row>
    <x:row r="57" spans="2:18">
      <x:c r="B57" s="1307">
        <x:f t="shared" si="14"/>
        <x:v>31</x:v>
      </x:c>
      <x:c r="D57" s="188" t="s">
        <x:v>161</x:v>
      </x:c>
      <x:c r="E57" s="402">
        <x:v>31</x:v>
      </x:c>
      <x:c r="F57" s="408">
        <x:v>0</x:v>
      </x:c>
      <x:c r="G57" s="408">
        <x:v>214</x:v>
      </x:c>
      <x:c r="H57" s="407">
        <x:f t="shared" si="9"/>
        <x:v>0.5</x:v>
      </x:c>
      <x:c r="I57" s="406"/>
      <x:c r="J57" s="402">
        <x:f>'1E - EDIT Amortization'!$Q$90/12</x:f>
        <x:v>186878.66666666666</x:v>
      </x:c>
      <x:c r="K57" s="400">
        <x:f t="shared" si="10"/>
        <x:v>93439.333333333328</x:v>
      </x:c>
      <x:c r="L57" s="400">
        <x:f t="shared" si="15"/>
        <x:v>-55462695.333333321</x:v>
      </x:c>
      <x:c r="M57" s="406"/>
      <x:c r="N57" s="402">
        <x:v>0</x:v>
      </x:c>
      <x:c r="O57" s="400">
        <x:f t="shared" si="11"/>
        <x:v>0</x:v>
      </x:c>
      <x:c r="P57" s="400">
        <x:f t="shared" si="12"/>
        <x:v>0</x:v>
      </x:c>
      <x:c r="Q57" s="400">
        <x:f t="shared" si="13"/>
        <x:v>0</x:v>
      </x:c>
      <x:c r="R57" s="400">
        <x:f t="shared" si="16"/>
        <x:v>0</x:v>
      </x:c>
    </x:row>
    <x:row r="58" spans="2:18">
      <x:c r="B58" s="1307">
        <x:f t="shared" si="14"/>
        <x:v>32</x:v>
      </x:c>
      <x:c r="D58" s="188" t="s">
        <x:v>162</x:v>
      </x:c>
      <x:c r="E58" s="402">
        <x:v>30</x:v>
      </x:c>
      <x:c r="F58" s="408">
        <x:f t="shared" ref="F58:F63" si="17">F59+E59</x:f>
        <x:v>185</x:v>
      </x:c>
      <x:c r="G58" s="408">
        <x:v>214</x:v>
      </x:c>
      <x:c r="H58" s="407">
        <x:f t="shared" si="9"/>
        <x:v>0.86448598130841126</x:v>
      </x:c>
      <x:c r="I58" s="406"/>
      <x:c r="J58" s="402">
        <x:f>'1E - EDIT Amortization'!$Q$90/12</x:f>
        <x:v>186878.66666666666</x:v>
      </x:c>
      <x:c r="K58" s="400">
        <x:f t="shared" si="10"/>
        <x:v>161553.9875389408</x:v>
      </x:c>
      <x:c r="L58" s="400">
        <x:f t="shared" si="15"/>
        <x:v>-55301141.34579438</x:v>
      </x:c>
      <x:c r="M58" s="406"/>
      <x:c r="N58" s="402">
        <x:v>0</x:v>
      </x:c>
      <x:c r="O58" s="400">
        <x:f t="shared" si="11"/>
        <x:v>0</x:v>
      </x:c>
      <x:c r="P58" s="400">
        <x:f t="shared" si="12"/>
        <x:v>0</x:v>
      </x:c>
      <x:c r="Q58" s="400">
        <x:f t="shared" si="13"/>
        <x:v>0</x:v>
      </x:c>
      <x:c r="R58" s="400">
        <x:f t="shared" si="16"/>
        <x:v>0</x:v>
      </x:c>
    </x:row>
    <x:row r="59" spans="2:18">
      <x:c r="B59" s="1307">
        <x:f t="shared" si="14"/>
        <x:v>33</x:v>
      </x:c>
      <x:c r="D59" s="188" t="s">
        <x:v>476</x:v>
      </x:c>
      <x:c r="E59" s="402">
        <x:v>31</x:v>
      </x:c>
      <x:c r="F59" s="408">
        <x:f t="shared" si="17"/>
        <x:v>154</x:v>
      </x:c>
      <x:c r="G59" s="408">
        <x:v>214</x:v>
      </x:c>
      <x:c r="H59" s="407">
        <x:f t="shared" si="9"/>
        <x:v>0.71962616822429903</x:v>
      </x:c>
      <x:c r="I59" s="406"/>
      <x:c r="J59" s="402">
        <x:f>'1E - EDIT Amortization'!$Q$90/12</x:f>
        <x:v>186878.66666666666</x:v>
      </x:c>
      <x:c r="K59" s="400">
        <x:f t="shared" si="10"/>
        <x:v>134482.77881619937</x:v>
      </x:c>
      <x:c r="L59" s="400">
        <x:f t="shared" si="15"/>
        <x:v>-55166658.566978179</x:v>
      </x:c>
      <x:c r="M59" s="406"/>
      <x:c r="N59" s="402">
        <x:v>0</x:v>
      </x:c>
      <x:c r="O59" s="400">
        <x:f t="shared" si="11"/>
        <x:v>0</x:v>
      </x:c>
      <x:c r="P59" s="400">
        <x:f t="shared" si="12"/>
        <x:v>0</x:v>
      </x:c>
      <x:c r="Q59" s="400">
        <x:f t="shared" si="13"/>
        <x:v>0</x:v>
      </x:c>
      <x:c r="R59" s="400">
        <x:f t="shared" si="16"/>
        <x:v>0</x:v>
      </x:c>
    </x:row>
    <x:row r="60" spans="2:18">
      <x:c r="B60" s="1307">
        <x:f t="shared" si="14"/>
        <x:v>34</x:v>
      </x:c>
      <x:c r="D60" s="188" t="s">
        <x:v>496</x:v>
      </x:c>
      <x:c r="E60" s="402">
        <x:v>31</x:v>
      </x:c>
      <x:c r="F60" s="408">
        <x:f t="shared" si="17"/>
        <x:v>123</x:v>
      </x:c>
      <x:c r="G60" s="408">
        <x:v>214</x:v>
      </x:c>
      <x:c r="H60" s="407">
        <x:f t="shared" si="9"/>
        <x:v>0.57476635514018692</x:v>
      </x:c>
      <x:c r="I60" s="406"/>
      <x:c r="J60" s="402">
        <x:f>'1E - EDIT Amortization'!$Q$90/12</x:f>
        <x:v>186878.66666666666</x:v>
      </x:c>
      <x:c r="K60" s="400">
        <x:f t="shared" si="10"/>
        <x:v>107411.57009345794</x:v>
      </x:c>
      <x:c r="L60" s="400">
        <x:f t="shared" si="15"/>
        <x:v>-55059246.996884719</x:v>
      </x:c>
      <x:c r="M60" s="406"/>
      <x:c r="N60" s="402">
        <x:v>0</x:v>
      </x:c>
      <x:c r="O60" s="400">
        <x:f t="shared" si="11"/>
        <x:v>0</x:v>
      </x:c>
      <x:c r="P60" s="400">
        <x:f t="shared" si="12"/>
        <x:v>0</x:v>
      </x:c>
      <x:c r="Q60" s="400">
        <x:f t="shared" si="13"/>
        <x:v>0</x:v>
      </x:c>
      <x:c r="R60" s="400">
        <x:f t="shared" si="16"/>
        <x:v>0</x:v>
      </x:c>
    </x:row>
    <x:row r="61" spans="2:18">
      <x:c r="B61" s="1307">
        <x:f t="shared" si="14"/>
        <x:v>35</x:v>
      </x:c>
      <x:c r="D61" s="188" t="s">
        <x:v>478</x:v>
      </x:c>
      <x:c r="E61" s="402">
        <x:v>30</x:v>
      </x:c>
      <x:c r="F61" s="408">
        <x:f t="shared" si="17"/>
        <x:v>93</x:v>
      </x:c>
      <x:c r="G61" s="408">
        <x:v>214</x:v>
      </x:c>
      <x:c r="H61" s="407">
        <x:f t="shared" si="9"/>
        <x:v>0.43457943925233644</x:v>
      </x:c>
      <x:c r="I61" s="406"/>
      <x:c r="J61" s="402">
        <x:f>'1E - EDIT Amortization'!$Q$90/12</x:f>
        <x:v>186878.66666666666</x:v>
      </x:c>
      <x:c r="K61" s="400">
        <x:f t="shared" si="10"/>
        <x:v>81213.626168224291</x:v>
      </x:c>
      <x:c r="L61" s="400">
        <x:f t="shared" si="15"/>
        <x:v>-54978033.370716497</x:v>
      </x:c>
      <x:c r="M61" s="406"/>
      <x:c r="N61" s="402">
        <x:v>0</x:v>
      </x:c>
      <x:c r="O61" s="400">
        <x:f t="shared" si="11"/>
        <x:v>0</x:v>
      </x:c>
      <x:c r="P61" s="400">
        <x:f t="shared" si="12"/>
        <x:v>0</x:v>
      </x:c>
      <x:c r="Q61" s="400">
        <x:f t="shared" si="13"/>
        <x:v>0</x:v>
      </x:c>
      <x:c r="R61" s="400">
        <x:f t="shared" si="16"/>
        <x:v>0</x:v>
      </x:c>
    </x:row>
    <x:row r="62" spans="2:18">
      <x:c r="B62" s="1307">
        <x:f t="shared" si="14"/>
        <x:v>36</x:v>
      </x:c>
      <x:c r="D62" s="188" t="s">
        <x:v>479</x:v>
      </x:c>
      <x:c r="E62" s="402">
        <x:v>31</x:v>
      </x:c>
      <x:c r="F62" s="408">
        <x:f t="shared" si="17"/>
        <x:v>62</x:v>
      </x:c>
      <x:c r="G62" s="408">
        <x:v>214</x:v>
      </x:c>
      <x:c r="H62" s="407">
        <x:f t="shared" si="9"/>
        <x:v>0.28971962616822428</x:v>
      </x:c>
      <x:c r="I62" s="406"/>
      <x:c r="J62" s="402">
        <x:f>'1E - EDIT Amortization'!$Q$90/12</x:f>
        <x:v>186878.66666666666</x:v>
      </x:c>
      <x:c r="K62" s="400">
        <x:f t="shared" si="10"/>
        <x:v>54142.417445482861</x:v>
      </x:c>
      <x:c r="L62" s="400">
        <x:f t="shared" si="15"/>
        <x:v>-54923890.953271016</x:v>
      </x:c>
      <x:c r="M62" s="406"/>
      <x:c r="N62" s="402">
        <x:v>0</x:v>
      </x:c>
      <x:c r="O62" s="400">
        <x:f t="shared" si="11"/>
        <x:v>0</x:v>
      </x:c>
      <x:c r="P62" s="400">
        <x:f t="shared" si="12"/>
        <x:v>0</x:v>
      </x:c>
      <x:c r="Q62" s="400">
        <x:f t="shared" si="13"/>
        <x:v>0</x:v>
      </x:c>
      <x:c r="R62" s="400">
        <x:f t="shared" si="16"/>
        <x:v>0</x:v>
      </x:c>
    </x:row>
    <x:row r="63" spans="2:18">
      <x:c r="B63" s="1307">
        <x:f t="shared" si="14"/>
        <x:v>37</x:v>
      </x:c>
      <x:c r="D63" s="188" t="s">
        <x:v>480</x:v>
      </x:c>
      <x:c r="E63" s="402">
        <x:v>30</x:v>
      </x:c>
      <x:c r="F63" s="408">
        <x:f t="shared" si="17"/>
        <x:v>32</x:v>
      </x:c>
      <x:c r="G63" s="408">
        <x:v>214</x:v>
      </x:c>
      <x:c r="H63" s="407">
        <x:f t="shared" si="9"/>
        <x:v>0.14953271028037382</x:v>
      </x:c>
      <x:c r="I63" s="406"/>
      <x:c r="J63" s="402">
        <x:f>'1E - EDIT Amortization'!$Q$90/12</x:f>
        <x:v>186878.66666666666</x:v>
      </x:c>
      <x:c r="K63" s="400">
        <x:f t="shared" si="10"/>
        <x:v>27944.473520249219</x:v>
      </x:c>
      <x:c r="L63" s="400">
        <x:f t="shared" si="15"/>
        <x:v>-54895946.479750767</x:v>
      </x:c>
      <x:c r="M63" s="406"/>
      <x:c r="N63" s="402">
        <x:v>0</x:v>
      </x:c>
      <x:c r="O63" s="400">
        <x:f t="shared" si="11"/>
        <x:v>0</x:v>
      </x:c>
      <x:c r="P63" s="400">
        <x:f t="shared" si="12"/>
        <x:v>0</x:v>
      </x:c>
      <x:c r="Q63" s="400">
        <x:f t="shared" si="13"/>
        <x:v>0</x:v>
      </x:c>
      <x:c r="R63" s="400">
        <x:f t="shared" si="16"/>
        <x:v>0</x:v>
      </x:c>
    </x:row>
    <x:row r="64" spans="2:18">
      <x:c r="B64" s="1307">
        <x:f t="shared" si="14"/>
        <x:v>38</x:v>
      </x:c>
      <x:c r="D64" s="189" t="s">
        <x:v>684</x:v>
      </x:c>
      <x:c r="E64" s="402">
        <x:v>31</x:v>
      </x:c>
      <x:c r="F64" s="408">
        <x:v>1</x:v>
      </x:c>
      <x:c r="G64" s="408">
        <x:v>214</x:v>
      </x:c>
      <x:c r="H64" s="407">
        <x:f t="shared" si="9"/>
        <x:v>4.6728971962616819E-3</x:v>
      </x:c>
      <x:c r="I64" s="406"/>
      <x:c r="J64" s="402">
        <x:f>'1E - EDIT Amortization'!$Q$90/12</x:f>
        <x:v>186878.66666666666</x:v>
      </x:c>
      <x:c r="K64" s="400">
        <x:f t="shared" si="10"/>
        <x:v>873.2647975077881</x:v>
      </x:c>
      <x:c r="L64" s="400">
        <x:f t="shared" si="15"/>
        <x:v>-54895073.214953259</x:v>
      </x:c>
      <x:c r="M64" s="406"/>
      <x:c r="N64" s="402">
        <x:v>0</x:v>
      </x:c>
      <x:c r="O64" s="400">
        <x:f t="shared" si="11"/>
        <x:v>0</x:v>
      </x:c>
      <x:c r="P64" s="400">
        <x:f t="shared" si="12"/>
        <x:v>0</x:v>
      </x:c>
      <x:c r="Q64" s="400">
        <x:f t="shared" si="13"/>
        <x:v>0</x:v>
      </x:c>
      <x:c r="R64" s="400">
        <x:f t="shared" si="16"/>
        <x:v>0</x:v>
      </x:c>
    </x:row>
    <x:row r="65" spans="2:18">
      <x:c r="B65" s="1307">
        <x:f t="shared" si="14"/>
        <x:v>39</x:v>
      </x:c>
      <x:c r="D65" s="190" t="str">
        <x:f>"Total (Sum of Lines "&amp;B53&amp;" - "&amp;B64&amp;")"</x:f>
        <x:v>Total (Sum of Lines 27 - 38)</x:v>
      </x:c>
      <x:c r="E65" s="405">
        <x:f>SUM(E53:E64)</x:f>
        <x:v>365</x:v>
      </x:c>
      <x:c r="F65" s="191"/>
      <x:c r="G65" s="191"/>
      <x:c r="H65" s="192"/>
      <x:c r="I65" s="403"/>
      <x:c r="J65" s="405">
        <x:f>SUM(J53:J64)</x:f>
        <x:v>2242544.0000000005</x:v>
      </x:c>
      <x:c r="K65" s="405">
        <x:f>SUM(K53:K64)</x:f>
        <x:v>1034818.7850467289</x:v>
      </x:c>
      <x:c r="L65" s="405"/>
      <x:c r="M65" s="403"/>
      <x:c r="N65" s="405">
        <x:f>SUM(N53:N64)</x:f>
        <x:v>0</x:v>
      </x:c>
      <x:c r="O65" s="405">
        <x:f>SUM(O53:O64)</x:f>
        <x:v>0</x:v>
      </x:c>
      <x:c r="P65" s="405">
        <x:f>SUM(P53:P64)</x:f>
        <x:v>0</x:v>
      </x:c>
      <x:c r="Q65" s="405">
        <x:f>SUM(Q53:Q64)</x:f>
        <x:v>0</x:v>
      </x:c>
      <x:c r="R65" s="404"/>
    </x:row>
    <x:row r="66" spans="2:18">
      <x:c r="D66" s="193"/>
      <x:c r="E66" s="193"/>
      <x:c r="F66" s="193"/>
      <x:c r="G66" s="193"/>
      <x:c r="H66" s="194"/>
      <x:c r="I66" s="194"/>
      <x:c r="K66" s="195"/>
      <x:c r="L66" s="194"/>
      <x:c r="M66" s="194"/>
      <x:c r="N66" s="203"/>
      <x:c r="O66" s="195"/>
      <x:c r="P66" s="195"/>
      <x:c r="Q66" s="195"/>
      <x:c r="R66" s="194"/>
    </x:row>
    <x:row r="67" spans="2:18" ht="15" customHeight="1">
      <x:c r="B67" s="1307">
        <x:f>B65+1</x:f>
        <x:v>40</x:v>
      </x:c>
      <x:c r="D67" s="167" t="s">
        <x:v>1211</x:v>
      </x:c>
      <x:c r="I67" s="194"/>
      <x:c r="J67" s="402" t="str">
        <x:f>$J$14</x:f>
        <x:v>12/31/2024 (Actuals)</x:v>
      </x:c>
      <x:c r="L67" s="402">
        <x:f>'1E - EDIT Amortization'!O18+'1E - EDIT Amortization'!O27</x:f>
        <x:v>0</x:v>
      </x:c>
      <x:c r="M67" s="196"/>
      <x:c r="N67" s="402">
        <x:f>$N$14</x:f>
        <x:v>0</x:v>
      </x:c>
      <x:c r="R67" s="402">
        <x:f>'1E - EDIT Amortization'!O18+'1E - EDIT Amortization'!O27</x:f>
        <x:v>0</x:v>
      </x:c>
    </x:row>
    <x:row r="68" spans="2:18">
      <x:c r="B68" s="1307">
        <x:f>B67+1</x:f>
        <x:v>41</x:v>
      </x:c>
      <x:c r="D68" s="167" t="s">
        <x:v>1212</x:v>
      </x:c>
      <x:c r="I68" s="194"/>
      <x:c r="J68" s="197" t="s">
        <x:v>588</x:v>
      </x:c>
      <x:c r="L68" s="198">
        <x:v>0</x:v>
      </x:c>
      <x:c r="M68" s="199"/>
      <x:c r="N68" s="197" t="s">
        <x:v>588</x:v>
      </x:c>
      <x:c r="R68" s="198">
        <x:v>0</x:v>
      </x:c>
    </x:row>
    <x:row r="69" spans="2:18">
      <x:c r="B69" s="1307">
        <x:f>B68+1</x:f>
        <x:v>42</x:v>
      </x:c>
      <x:c r="D69" s="167" t="s">
        <x:v>1213</x:v>
      </x:c>
      <x:c r="I69" s="194"/>
      <x:c r="J69" s="190" t="s">
        <x:v>1905</x:v>
      </x:c>
      <x:c r="L69" s="401">
        <x:f>L67+L68</x:f>
        <x:v>0</x:v>
      </x:c>
      <x:c r="M69" s="194"/>
      <x:c r="N69" s="190" t="str">
        <x:f>"(Col. "&amp;R46&amp;", Line "&amp;B67&amp;" + Line "&amp;B68&amp;")"</x:f>
        <x:v>(Col. (M), Line 40 + Line 41)</x:v>
      </x:c>
      <x:c r="R69" s="401">
        <x:f>R67+R68</x:f>
        <x:v>0</x:v>
      </x:c>
    </x:row>
    <x:row r="70" spans="2:18">
      <x:c r="I70" s="194"/>
      <x:c r="L70" s="401"/>
      <x:c r="M70" s="194"/>
      <x:c r="R70" s="401"/>
    </x:row>
    <x:row r="71" spans="2:18">
      <x:c r="B71" s="1307">
        <x:f>B69+1</x:f>
        <x:v>43</x:v>
      </x:c>
      <x:c r="D71" s="167" t="s">
        <x:v>1214</x:v>
      </x:c>
      <x:c r="I71" s="194"/>
      <x:c r="J71" s="402" t="str">
        <x:f>$J$16</x:f>
        <x:v>12/31/2025 (Projected)</x:v>
      </x:c>
      <x:c r="L71" s="402">
        <x:f>'1E - EDIT Amortization'!S18+'1E - EDIT Amortization'!S27</x:f>
        <x:v>0</x:v>
      </x:c>
      <x:c r="M71" s="196"/>
      <x:c r="N71" s="402">
        <x:f>$N$16</x:f>
        <x:v>0</x:v>
      </x:c>
      <x:c r="R71" s="402">
        <x:f>'1E - EDIT Amortization'!S18+'1E - EDIT Amortization'!S27</x:f>
        <x:v>0</x:v>
      </x:c>
    </x:row>
    <x:row r="72" spans="2:18">
      <x:c r="B72" s="1307">
        <x:f>B71+1</x:f>
        <x:v>44</x:v>
      </x:c>
      <x:c r="D72" s="167" t="s">
        <x:v>1215</x:v>
      </x:c>
      <x:c r="I72" s="194"/>
      <x:c r="J72" s="197" t="s">
        <x:v>588</x:v>
      </x:c>
      <x:c r="L72" s="198">
        <x:v>0</x:v>
      </x:c>
      <x:c r="M72" s="194"/>
      <x:c r="N72" s="197" t="s">
        <x:v>588</x:v>
      </x:c>
      <x:c r="R72" s="198">
        <x:v>0</x:v>
      </x:c>
    </x:row>
    <x:row r="73" spans="2:18">
      <x:c r="B73" s="1307">
        <x:f>B72+1</x:f>
        <x:v>45</x:v>
      </x:c>
      <x:c r="D73" s="167" t="s">
        <x:v>1216</x:v>
      </x:c>
      <x:c r="I73" s="194"/>
      <x:c r="J73" s="190" t="str">
        <x:f>"(Col. "&amp;L46&amp;", Line "&amp;B71&amp;" + Line "&amp;B72&amp;")"</x:f>
        <x:v>(Col. (H), Line 43 + Line 44)</x:v>
      </x:c>
      <x:c r="L73" s="401">
        <x:f>L71+L72</x:f>
        <x:v>0</x:v>
      </x:c>
      <x:c r="M73" s="194"/>
      <x:c r="N73" s="190" t="str">
        <x:f>"(Col. "&amp;R46&amp;", Line "&amp;B71&amp;" + Line "&amp;B72&amp;")"</x:f>
        <x:v>(Col. (M), Line 43 + Line 44)</x:v>
      </x:c>
      <x:c r="R73" s="401">
        <x:f>R71+R72</x:f>
        <x:v>0</x:v>
      </x:c>
    </x:row>
    <x:row r="74" spans="2:18">
      <x:c r="I74" s="194"/>
      <x:c r="L74" s="401"/>
      <x:c r="M74" s="194"/>
      <x:c r="R74" s="401"/>
    </x:row>
    <x:row r="75" spans="2:18">
      <x:c r="B75" s="1307">
        <x:f>B73+1</x:f>
        <x:v>46</x:v>
      </x:c>
      <x:c r="D75" s="167" t="s">
        <x:v>915</x:v>
      </x:c>
      <x:c r="I75" s="194"/>
      <x:c r="J75" s="190" t="str">
        <x:f>"([Col. "&amp;L46&amp;", Line "&amp;B69&amp;" + Line "&amp;B73&amp;"] / 2)"</x:f>
        <x:v>([Col. (H), Line 42 + Line 45] / 2)</x:v>
      </x:c>
      <x:c r="L75" s="400">
        <x:f>(L69+L73)/2</x:f>
        <x:v>0</x:v>
      </x:c>
      <x:c r="M75" s="194"/>
      <x:c r="N75" s="190" t="str">
        <x:f>"([Col. "&amp;R46&amp;", Line "&amp;B69&amp;" + Line "&amp;B73&amp;"] / 2)"</x:f>
        <x:v>([Col. (M), Line 42 + Line 45] / 2)</x:v>
      </x:c>
      <x:c r="R75" s="400">
        <x:f>(R69+R73)/2</x:f>
        <x:v>0</x:v>
      </x:c>
    </x:row>
    <x:row r="76" spans="2:18">
      <x:c r="B76" s="1307">
        <x:f>B75+1</x:f>
        <x:v>47</x:v>
      </x:c>
      <x:c r="D76" s="285" t="s">
        <x:v>1217</x:v>
      </x:c>
      <x:c r="E76" s="193"/>
      <x:c r="F76" s="193"/>
      <x:c r="G76" s="193"/>
      <x:c r="H76" s="194"/>
      <x:c r="I76" s="194"/>
      <x:c r="J76" s="190" t="str">
        <x:f>"(Col. "&amp;L46&amp;", Line "&amp;B64&amp;" )"</x:f>
        <x:v>(Col. (H), Line 38 )</x:v>
      </x:c>
      <x:c r="K76" s="195"/>
      <x:c r="L76" s="400">
        <x:f>L64</x:f>
        <x:v>-54895073.214953259</x:v>
      </x:c>
      <x:c r="M76" s="194"/>
      <x:c r="N76" s="190" t="str">
        <x:f>"(Col. "&amp;R46&amp;", Line "&amp;B64&amp;" )"</x:f>
        <x:v>(Col. (M), Line 38 )</x:v>
      </x:c>
      <x:c r="R76" s="400">
        <x:f>R64</x:f>
        <x:v>0</x:v>
      </x:c>
    </x:row>
    <x:row r="77" spans="2:18" ht="13.5" thickBot="1">
      <x:c r="B77" s="1307">
        <x:f>B76+1</x:f>
        <x:v>48</x:v>
      </x:c>
      <x:c r="D77" s="200" t="s">
        <x:v>1220</x:v>
      </x:c>
      <x:c r="E77" s="193"/>
      <x:c r="F77" s="193"/>
      <x:c r="G77" s="193"/>
      <x:c r="H77" s="194"/>
      <x:c r="I77" s="194"/>
      <x:c r="J77" s="190" t="str">
        <x:f>"(Col. "&amp;L46&amp;", Line "&amp;B75&amp;" + Line "&amp;B76&amp;")"</x:f>
        <x:v>(Col. (H), Line 46 + Line 47)</x:v>
      </x:c>
      <x:c r="K77" s="195"/>
      <x:c r="L77" s="399">
        <x:f>L75+L76</x:f>
        <x:v>-54895073.214953259</x:v>
      </x:c>
      <x:c r="M77" s="194"/>
      <x:c r="N77" s="190" t="str">
        <x:f>"(Col. "&amp;R46&amp;", Line "&amp;B75&amp;" + Line "&amp;B76&amp;")"</x:f>
        <x:v>(Col. (M), Line 46 + Line 47)</x:v>
      </x:c>
      <x:c r="R77" s="399">
        <x:f>R75+R76</x:f>
        <x:v>0</x:v>
      </x:c>
    </x:row>
    <x:row r="78" spans="2:18">
      <x:c r="D78" s="180"/>
    </x:row>
    <x:row r="79" spans="2:18">
      <x:c r="D79" s="180" t="s">
        <x:v>1221</x:v>
      </x:c>
      <x:c r="J79" s="1599"/>
      <x:c r="K79" s="1599"/>
      <x:c r="L79" s="1599"/>
      <x:c r="N79" s="1599"/>
      <x:c r="O79" s="1599"/>
      <x:c r="P79" s="1599"/>
      <x:c r="Q79" s="1599"/>
      <x:c r="R79" s="1599"/>
    </x:row>
    <x:row r="80" spans="2:18">
      <x:c r="D80" s="1591" t="s">
        <x:v>835</x:v>
      </x:c>
      <x:c r="E80" s="1592"/>
      <x:c r="F80" s="1592"/>
      <x:c r="G80" s="1592"/>
      <x:c r="H80" s="1593"/>
      <x:c r="I80" s="184"/>
      <x:c r="J80" s="1594" t="s">
        <x:v>1208</x:v>
      </x:c>
      <x:c r="K80" s="1595"/>
      <x:c r="L80" s="1596"/>
      <x:c r="M80" s="184"/>
      <x:c r="N80" s="1594" t="s">
        <x:v>1209</x:v>
      </x:c>
      <x:c r="O80" s="1595"/>
      <x:c r="P80" s="1595"/>
      <x:c r="Q80" s="1595"/>
      <x:c r="R80" s="1596"/>
    </x:row>
    <x:row r="81" spans="2:18">
      <x:c r="D81" s="185" t="s">
        <x:v>163</x:v>
      </x:c>
      <x:c r="E81" s="185" t="s">
        <x:v>164</x:v>
      </x:c>
      <x:c r="F81" s="185" t="s">
        <x:v>1154</x:v>
      </x:c>
      <x:c r="G81" s="185" t="s">
        <x:v>1155</x:v>
      </x:c>
      <x:c r="H81" s="185" t="s">
        <x:v>1156</x:v>
      </x:c>
      <x:c r="I81" s="184"/>
      <x:c r="J81" s="185" t="s">
        <x:v>1157</x:v>
      </x:c>
      <x:c r="K81" s="185" t="s">
        <x:v>1158</x:v>
      </x:c>
      <x:c r="L81" s="185" t="s">
        <x:v>1159</x:v>
      </x:c>
      <x:c r="M81" s="184"/>
      <x:c r="N81" s="185" t="s">
        <x:v>1160</x:v>
      </x:c>
      <x:c r="O81" s="185" t="s">
        <x:v>1161</x:v>
      </x:c>
      <x:c r="P81" s="185" t="s">
        <x:v>1162</x:v>
      </x:c>
      <x:c r="Q81" s="185" t="s">
        <x:v>1163</x:v>
      </x:c>
      <x:c r="R81" s="185" t="s">
        <x:v>1164</x:v>
      </x:c>
    </x:row>
    <x:row r="82" spans="2:18" ht="51">
      <x:c r="B82" s="186" t="s">
        <x:v>523</x:v>
      </x:c>
      <x:c r="D82" s="187" t="s">
        <x:v>158</x:v>
      </x:c>
      <x:c r="E82" s="187" t="s">
        <x:v>836</x:v>
      </x:c>
      <x:c r="F82" s="187" t="s">
        <x:v>837</x:v>
      </x:c>
      <x:c r="G82" s="187" t="s">
        <x:v>838</x:v>
      </x:c>
      <x:c r="H82" s="187" t="s">
        <x:v>1165</x:v>
      </x:c>
      <x:c r="I82" s="397"/>
      <x:c r="J82" s="187" t="s">
        <x:v>839</x:v>
      </x:c>
      <x:c r="K82" s="187" t="s">
        <x:v>1166</x:v>
      </x:c>
      <x:c r="L82" s="187" t="s">
        <x:v>1167</x:v>
      </x:c>
      <x:c r="M82" s="397"/>
      <x:c r="N82" s="187" t="s">
        <x:v>918</x:v>
      </x:c>
      <x:c r="O82" s="187" t="s">
        <x:v>1168</x:v>
      </x:c>
      <x:c r="P82" s="187" t="s">
        <x:v>1169</x:v>
      </x:c>
      <x:c r="Q82" s="187" t="s">
        <x:v>1170</x:v>
      </x:c>
      <x:c r="R82" s="187" t="s">
        <x:v>1171</x:v>
      </x:c>
    </x:row>
    <x:row r="83" spans="2:18">
      <x:c r="E83" s="397"/>
      <x:c r="F83" s="397"/>
      <x:c r="G83" s="397"/>
      <x:c r="H83" s="397"/>
      <x:c r="I83" s="397"/>
      <x:c r="J83" s="397"/>
      <x:c r="K83" s="397"/>
      <x:c r="L83" s="397"/>
      <x:c r="M83" s="397"/>
      <x:c r="N83" s="397"/>
      <x:c r="O83" s="397"/>
      <x:c r="P83" s="397"/>
      <x:c r="Q83" s="397"/>
      <x:c r="R83" s="397"/>
    </x:row>
    <x:row r="84" spans="2:18">
      <x:c r="B84" s="1307">
        <x:f>B77+1</x:f>
        <x:v>49</x:v>
      </x:c>
      <x:c r="D84" s="167" t="s">
        <x:v>917</x:v>
      </x:c>
      <x:c r="E84" s="397"/>
      <x:c r="F84" s="397"/>
      <x:c r="G84" s="397"/>
      <x:c r="H84" s="397"/>
      <x:c r="I84" s="397"/>
      <x:c r="J84" s="402" t="str">
        <x:f>$J$14</x:f>
        <x:v>12/31/2024 (Actuals)</x:v>
      </x:c>
      <x:c r="K84" s="397"/>
      <x:c r="L84" s="402">
        <x:f>'1E - EDIT Amortization'!O91</x:f>
        <x:v>0</x:v>
      </x:c>
      <x:c r="M84" s="397"/>
      <x:c r="N84" s="402">
        <x:f>$N$14</x:f>
        <x:v>0</x:v>
      </x:c>
      <x:c r="O84" s="397"/>
      <x:c r="P84" s="397"/>
      <x:c r="Q84" s="397"/>
      <x:c r="R84" s="402">
        <x:v>0</x:v>
      </x:c>
    </x:row>
    <x:row r="85" spans="2:18">
      <x:c r="E85" s="397"/>
      <x:c r="F85" s="397"/>
      <x:c r="G85" s="397"/>
      <x:c r="H85" s="397"/>
      <x:c r="I85" s="397"/>
      <x:c r="J85" s="397"/>
      <x:c r="K85" s="397"/>
      <x:c r="L85" s="397"/>
      <x:c r="M85" s="397"/>
      <x:c r="N85" s="397"/>
      <x:c r="O85" s="397"/>
      <x:c r="P85" s="397"/>
      <x:c r="Q85" s="397"/>
      <x:c r="R85" s="397"/>
    </x:row>
    <x:row r="86" spans="2:18">
      <x:c r="B86" s="1307">
        <x:f>B84+1</x:f>
        <x:v>50</x:v>
      </x:c>
      <x:c r="D86" s="167" t="s">
        <x:v>1526</x:v>
      </x:c>
      <x:c r="E86" s="397"/>
      <x:c r="F86" s="397"/>
      <x:c r="G86" s="397"/>
      <x:c r="H86" s="397"/>
      <x:c r="I86" s="397"/>
      <x:c r="J86" s="402" t="str">
        <x:f>$J$16</x:f>
        <x:v>12/31/2025 (Projected)</x:v>
      </x:c>
      <x:c r="K86" s="397"/>
      <x:c r="L86" s="397"/>
      <x:c r="M86" s="397"/>
      <x:c r="N86" s="402">
        <x:f>$N$16</x:f>
        <x:v>0</x:v>
      </x:c>
      <x:c r="O86" s="397"/>
      <x:c r="P86" s="397"/>
      <x:c r="Q86" s="397"/>
      <x:c r="R86" s="397"/>
    </x:row>
    <x:row r="87" spans="2:18">
      <x:c r="E87" s="397"/>
      <x:c r="F87" s="397"/>
      <x:c r="G87" s="397"/>
      <x:c r="H87" s="397"/>
      <x:c r="I87" s="397"/>
      <x:c r="J87" s="397"/>
      <x:c r="K87" s="397"/>
      <x:c r="L87" s="397"/>
      <x:c r="M87" s="397"/>
      <x:c r="N87" s="397"/>
      <x:c r="O87" s="397"/>
      <x:c r="P87" s="397"/>
      <x:c r="Q87" s="397"/>
      <x:c r="R87" s="397"/>
    </x:row>
    <x:row r="88" spans="2:18">
      <x:c r="B88" s="1307">
        <x:f>B86+1</x:f>
        <x:v>51</x:v>
      </x:c>
      <x:c r="D88" s="188" t="s">
        <x:v>473</x:v>
      </x:c>
      <x:c r="E88" s="402">
        <x:v>31</x:v>
      </x:c>
      <x:c r="F88" s="408">
        <x:v>0</x:v>
      </x:c>
      <x:c r="G88" s="408">
        <x:v>214</x:v>
      </x:c>
      <x:c r="H88" s="407">
        <x:f t="shared" ref="H88:H99" si="18">IF(F88=0,0.5,F88/G88)</x:f>
        <x:v>0.5</x:v>
      </x:c>
      <x:c r="I88" s="406"/>
      <x:c r="J88" s="402">
        <x:f>'1E - EDIT Amortization'!$Q$91/12</x:f>
        <x:v>0</x:v>
      </x:c>
      <x:c r="K88" s="400">
        <x:f t="shared" ref="K88:K99" si="19">+J88*H88</x:f>
        <x:v>0</x:v>
      </x:c>
      <x:c r="L88" s="400">
        <x:f>+K88</x:f>
        <x:v>0</x:v>
      </x:c>
      <x:c r="M88" s="406"/>
      <x:c r="N88" s="402">
        <x:v>0</x:v>
      </x:c>
      <x:c r="O88" s="400">
        <x:f t="shared" ref="O88:O99" si="20">IF($D$249="True-Up Adjustment",N88-J88,0)</x:f>
        <x:v>0</x:v>
      </x:c>
      <x:c r="P88" s="400">
        <x:f t="shared" ref="P88:P99" si="21">IF($D$249="True-Up Adjustment",IF(AND(J88&gt;=0,N88&gt;=0),IF(O88&gt;=0,K88+O88,N88/J88*K88),IF(AND(J88&lt;0,N88&lt;0),IF(O88&lt;0,K88+O88,N88/J88*K88),0)),0)</x:f>
        <x:v>0</x:v>
      </x:c>
      <x:c r="Q88" s="400">
        <x:f t="shared" ref="Q88:Q99" si="22">IF(AND(J88&gt;=0,N88&lt;0),N88,IF(AND(J88&lt;0,N88&gt;=0),N88,0))</x:f>
        <x:v>0</x:v>
      </x:c>
      <x:c r="R88" s="400">
        <x:f>P88+Q88+R84</x:f>
        <x:v>0</x:v>
      </x:c>
    </x:row>
    <x:row r="89" spans="2:18">
      <x:c r="B89" s="1307">
        <x:f t="shared" ref="B89:B100" si="23">+B88+1</x:f>
        <x:v>52</x:v>
      </x:c>
      <x:c r="D89" s="188" t="s">
        <x:v>474</x:v>
      </x:c>
      <x:c r="E89" s="402">
        <x:v>28</x:v>
      </x:c>
      <x:c r="F89" s="408">
        <x:v>0</x:v>
      </x:c>
      <x:c r="G89" s="408">
        <x:v>214</x:v>
      </x:c>
      <x:c r="H89" s="407">
        <x:f t="shared" si="18"/>
        <x:v>0.5</x:v>
      </x:c>
      <x:c r="I89" s="406"/>
      <x:c r="J89" s="402">
        <x:f>'1E - EDIT Amortization'!$Q$91/12</x:f>
        <x:v>0</x:v>
      </x:c>
      <x:c r="K89" s="400">
        <x:f t="shared" si="19"/>
        <x:v>0</x:v>
      </x:c>
      <x:c r="L89" s="400">
        <x:f t="shared" ref="L89:L99" si="24">+K89+L88</x:f>
        <x:v>0</x:v>
      </x:c>
      <x:c r="M89" s="406"/>
      <x:c r="N89" s="402">
        <x:v>0</x:v>
      </x:c>
      <x:c r="O89" s="400">
        <x:f t="shared" si="20"/>
        <x:v>0</x:v>
      </x:c>
      <x:c r="P89" s="400">
        <x:f t="shared" si="21"/>
        <x:v>0</x:v>
      </x:c>
      <x:c r="Q89" s="400">
        <x:f t="shared" si="22"/>
        <x:v>0</x:v>
      </x:c>
      <x:c r="R89" s="400">
        <x:f t="shared" ref="R89:R99" si="25">R88+P89+Q89</x:f>
        <x:v>0</x:v>
      </x:c>
    </x:row>
    <x:row r="90" spans="2:18">
      <x:c r="B90" s="1307">
        <x:f t="shared" si="23"/>
        <x:v>53</x:v>
      </x:c>
      <x:c r="D90" s="188" t="s">
        <x:v>495</x:v>
      </x:c>
      <x:c r="E90" s="402">
        <x:v>31</x:v>
      </x:c>
      <x:c r="F90" s="408">
        <x:v>0</x:v>
      </x:c>
      <x:c r="G90" s="408">
        <x:v>214</x:v>
      </x:c>
      <x:c r="H90" s="407">
        <x:f t="shared" si="18"/>
        <x:v>0.5</x:v>
      </x:c>
      <x:c r="I90" s="406"/>
      <x:c r="J90" s="402">
        <x:f>'1E - EDIT Amortization'!$Q$91/12</x:f>
        <x:v>0</x:v>
      </x:c>
      <x:c r="K90" s="400">
        <x:f t="shared" si="19"/>
        <x:v>0</x:v>
      </x:c>
      <x:c r="L90" s="400">
        <x:f t="shared" si="24"/>
        <x:v>0</x:v>
      </x:c>
      <x:c r="M90" s="406"/>
      <x:c r="N90" s="402">
        <x:v>0</x:v>
      </x:c>
      <x:c r="O90" s="400">
        <x:f t="shared" si="20"/>
        <x:v>0</x:v>
      </x:c>
      <x:c r="P90" s="400">
        <x:f t="shared" si="21"/>
        <x:v>0</x:v>
      </x:c>
      <x:c r="Q90" s="400">
        <x:f t="shared" si="22"/>
        <x:v>0</x:v>
      </x:c>
      <x:c r="R90" s="400">
        <x:f t="shared" si="25"/>
        <x:v>0</x:v>
      </x:c>
    </x:row>
    <x:row r="91" spans="2:18">
      <x:c r="B91" s="1307">
        <x:f t="shared" si="23"/>
        <x:v>54</x:v>
      </x:c>
      <x:c r="D91" s="188" t="s">
        <x:v>160</x:v>
      </x:c>
      <x:c r="E91" s="402">
        <x:v>30</x:v>
      </x:c>
      <x:c r="F91" s="408">
        <x:v>0</x:v>
      </x:c>
      <x:c r="G91" s="408">
        <x:v>214</x:v>
      </x:c>
      <x:c r="H91" s="407">
        <x:f t="shared" si="18"/>
        <x:v>0.5</x:v>
      </x:c>
      <x:c r="I91" s="406"/>
      <x:c r="J91" s="402">
        <x:f>'1E - EDIT Amortization'!$Q$91/12</x:f>
        <x:v>0</x:v>
      </x:c>
      <x:c r="K91" s="400">
        <x:f t="shared" si="19"/>
        <x:v>0</x:v>
      </x:c>
      <x:c r="L91" s="400">
        <x:f t="shared" si="24"/>
        <x:v>0</x:v>
      </x:c>
      <x:c r="M91" s="406"/>
      <x:c r="N91" s="402">
        <x:v>0</x:v>
      </x:c>
      <x:c r="O91" s="400">
        <x:f t="shared" si="20"/>
        <x:v>0</x:v>
      </x:c>
      <x:c r="P91" s="400">
        <x:f t="shared" si="21"/>
        <x:v>0</x:v>
      </x:c>
      <x:c r="Q91" s="400">
        <x:f t="shared" si="22"/>
        <x:v>0</x:v>
      </x:c>
      <x:c r="R91" s="400">
        <x:f t="shared" si="25"/>
        <x:v>0</x:v>
      </x:c>
    </x:row>
    <x:row r="92" spans="2:18">
      <x:c r="B92" s="1307">
        <x:f t="shared" si="23"/>
        <x:v>55</x:v>
      </x:c>
      <x:c r="D92" s="188" t="s">
        <x:v>161</x:v>
      </x:c>
      <x:c r="E92" s="402">
        <x:v>31</x:v>
      </x:c>
      <x:c r="F92" s="408">
        <x:v>0</x:v>
      </x:c>
      <x:c r="G92" s="408">
        <x:v>214</x:v>
      </x:c>
      <x:c r="H92" s="407">
        <x:f t="shared" si="18"/>
        <x:v>0.5</x:v>
      </x:c>
      <x:c r="I92" s="406"/>
      <x:c r="J92" s="402">
        <x:f>'1E - EDIT Amortization'!$Q$91/12</x:f>
        <x:v>0</x:v>
      </x:c>
      <x:c r="K92" s="400">
        <x:f t="shared" si="19"/>
        <x:v>0</x:v>
      </x:c>
      <x:c r="L92" s="400">
        <x:f t="shared" si="24"/>
        <x:v>0</x:v>
      </x:c>
      <x:c r="M92" s="406"/>
      <x:c r="N92" s="402">
        <x:v>0</x:v>
      </x:c>
      <x:c r="O92" s="400">
        <x:f t="shared" si="20"/>
        <x:v>0</x:v>
      </x:c>
      <x:c r="P92" s="400">
        <x:f t="shared" si="21"/>
        <x:v>0</x:v>
      </x:c>
      <x:c r="Q92" s="400">
        <x:f t="shared" si="22"/>
        <x:v>0</x:v>
      </x:c>
      <x:c r="R92" s="400">
        <x:f t="shared" si="25"/>
        <x:v>0</x:v>
      </x:c>
    </x:row>
    <x:row r="93" spans="2:18">
      <x:c r="B93" s="1307">
        <x:f t="shared" si="23"/>
        <x:v>56</x:v>
      </x:c>
      <x:c r="D93" s="188" t="s">
        <x:v>162</x:v>
      </x:c>
      <x:c r="E93" s="402">
        <x:v>30</x:v>
      </x:c>
      <x:c r="F93" s="408">
        <x:f t="shared" ref="F93:F98" si="26">F94+E94</x:f>
        <x:v>185</x:v>
      </x:c>
      <x:c r="G93" s="408">
        <x:v>214</x:v>
      </x:c>
      <x:c r="H93" s="407">
        <x:f t="shared" si="18"/>
        <x:v>0.86448598130841126</x:v>
      </x:c>
      <x:c r="I93" s="406"/>
      <x:c r="J93" s="402">
        <x:f>'1E - EDIT Amortization'!$Q$91/12</x:f>
        <x:v>0</x:v>
      </x:c>
      <x:c r="K93" s="400">
        <x:f t="shared" si="19"/>
        <x:v>0</x:v>
      </x:c>
      <x:c r="L93" s="400">
        <x:f t="shared" si="24"/>
        <x:v>0</x:v>
      </x:c>
      <x:c r="M93" s="406"/>
      <x:c r="N93" s="402">
        <x:v>0</x:v>
      </x:c>
      <x:c r="O93" s="400">
        <x:f t="shared" si="20"/>
        <x:v>0</x:v>
      </x:c>
      <x:c r="P93" s="400">
        <x:f t="shared" si="21"/>
        <x:v>0</x:v>
      </x:c>
      <x:c r="Q93" s="400">
        <x:f t="shared" si="22"/>
        <x:v>0</x:v>
      </x:c>
      <x:c r="R93" s="400">
        <x:f t="shared" si="25"/>
        <x:v>0</x:v>
      </x:c>
    </x:row>
    <x:row r="94" spans="2:18">
      <x:c r="B94" s="1307">
        <x:f t="shared" si="23"/>
        <x:v>57</x:v>
      </x:c>
      <x:c r="D94" s="188" t="s">
        <x:v>476</x:v>
      </x:c>
      <x:c r="E94" s="402">
        <x:v>31</x:v>
      </x:c>
      <x:c r="F94" s="408">
        <x:f t="shared" si="26"/>
        <x:v>154</x:v>
      </x:c>
      <x:c r="G94" s="408">
        <x:v>214</x:v>
      </x:c>
      <x:c r="H94" s="407">
        <x:f t="shared" si="18"/>
        <x:v>0.71962616822429903</x:v>
      </x:c>
      <x:c r="I94" s="406"/>
      <x:c r="J94" s="402">
        <x:f>'1E - EDIT Amortization'!$Q$91/12</x:f>
        <x:v>0</x:v>
      </x:c>
      <x:c r="K94" s="400">
        <x:f t="shared" si="19"/>
        <x:v>0</x:v>
      </x:c>
      <x:c r="L94" s="400">
        <x:f t="shared" si="24"/>
        <x:v>0</x:v>
      </x:c>
      <x:c r="M94" s="406"/>
      <x:c r="N94" s="402">
        <x:v>0</x:v>
      </x:c>
      <x:c r="O94" s="400">
        <x:f t="shared" si="20"/>
        <x:v>0</x:v>
      </x:c>
      <x:c r="P94" s="400">
        <x:f t="shared" si="21"/>
        <x:v>0</x:v>
      </x:c>
      <x:c r="Q94" s="400">
        <x:f t="shared" si="22"/>
        <x:v>0</x:v>
      </x:c>
      <x:c r="R94" s="400">
        <x:f t="shared" si="25"/>
        <x:v>0</x:v>
      </x:c>
    </x:row>
    <x:row r="95" spans="2:18">
      <x:c r="B95" s="1307">
        <x:f t="shared" si="23"/>
        <x:v>58</x:v>
      </x:c>
      <x:c r="D95" s="188" t="s">
        <x:v>496</x:v>
      </x:c>
      <x:c r="E95" s="402">
        <x:v>31</x:v>
      </x:c>
      <x:c r="F95" s="408">
        <x:f t="shared" si="26"/>
        <x:v>123</x:v>
      </x:c>
      <x:c r="G95" s="408">
        <x:v>214</x:v>
      </x:c>
      <x:c r="H95" s="407">
        <x:f t="shared" si="18"/>
        <x:v>0.57476635514018692</x:v>
      </x:c>
      <x:c r="I95" s="406"/>
      <x:c r="J95" s="402">
        <x:f>'1E - EDIT Amortization'!$Q$91/12</x:f>
        <x:v>0</x:v>
      </x:c>
      <x:c r="K95" s="400">
        <x:f t="shared" si="19"/>
        <x:v>0</x:v>
      </x:c>
      <x:c r="L95" s="400">
        <x:f t="shared" si="24"/>
        <x:v>0</x:v>
      </x:c>
      <x:c r="M95" s="406"/>
      <x:c r="N95" s="402">
        <x:v>0</x:v>
      </x:c>
      <x:c r="O95" s="400">
        <x:f t="shared" si="20"/>
        <x:v>0</x:v>
      </x:c>
      <x:c r="P95" s="400">
        <x:f t="shared" si="21"/>
        <x:v>0</x:v>
      </x:c>
      <x:c r="Q95" s="400">
        <x:f t="shared" si="22"/>
        <x:v>0</x:v>
      </x:c>
      <x:c r="R95" s="400">
        <x:f t="shared" si="25"/>
        <x:v>0</x:v>
      </x:c>
    </x:row>
    <x:row r="96" spans="2:18">
      <x:c r="B96" s="1307">
        <x:f t="shared" si="23"/>
        <x:v>59</x:v>
      </x:c>
      <x:c r="D96" s="188" t="s">
        <x:v>478</x:v>
      </x:c>
      <x:c r="E96" s="402">
        <x:v>30</x:v>
      </x:c>
      <x:c r="F96" s="408">
        <x:f t="shared" si="26"/>
        <x:v>93</x:v>
      </x:c>
      <x:c r="G96" s="408">
        <x:v>214</x:v>
      </x:c>
      <x:c r="H96" s="407">
        <x:f t="shared" si="18"/>
        <x:v>0.43457943925233644</x:v>
      </x:c>
      <x:c r="I96" s="406"/>
      <x:c r="J96" s="402">
        <x:f>'1E - EDIT Amortization'!$Q$91/12</x:f>
        <x:v>0</x:v>
      </x:c>
      <x:c r="K96" s="400">
        <x:f t="shared" si="19"/>
        <x:v>0</x:v>
      </x:c>
      <x:c r="L96" s="400">
        <x:f t="shared" si="24"/>
        <x:v>0</x:v>
      </x:c>
      <x:c r="M96" s="406"/>
      <x:c r="N96" s="402">
        <x:v>0</x:v>
      </x:c>
      <x:c r="O96" s="400">
        <x:f t="shared" si="20"/>
        <x:v>0</x:v>
      </x:c>
      <x:c r="P96" s="400">
        <x:f t="shared" si="21"/>
        <x:v>0</x:v>
      </x:c>
      <x:c r="Q96" s="400">
        <x:f t="shared" si="22"/>
        <x:v>0</x:v>
      </x:c>
      <x:c r="R96" s="400">
        <x:f t="shared" si="25"/>
        <x:v>0</x:v>
      </x:c>
    </x:row>
    <x:row r="97" spans="2:18">
      <x:c r="B97" s="1307">
        <x:f t="shared" si="23"/>
        <x:v>60</x:v>
      </x:c>
      <x:c r="D97" s="188" t="s">
        <x:v>479</x:v>
      </x:c>
      <x:c r="E97" s="402">
        <x:v>31</x:v>
      </x:c>
      <x:c r="F97" s="408">
        <x:f t="shared" si="26"/>
        <x:v>62</x:v>
      </x:c>
      <x:c r="G97" s="408">
        <x:v>214</x:v>
      </x:c>
      <x:c r="H97" s="407">
        <x:f t="shared" si="18"/>
        <x:v>0.28971962616822428</x:v>
      </x:c>
      <x:c r="I97" s="406"/>
      <x:c r="J97" s="402">
        <x:f>'1E - EDIT Amortization'!$Q$91/12</x:f>
        <x:v>0</x:v>
      </x:c>
      <x:c r="K97" s="400">
        <x:f t="shared" si="19"/>
        <x:v>0</x:v>
      </x:c>
      <x:c r="L97" s="400">
        <x:f t="shared" si="24"/>
        <x:v>0</x:v>
      </x:c>
      <x:c r="M97" s="406"/>
      <x:c r="N97" s="402">
        <x:v>0</x:v>
      </x:c>
      <x:c r="O97" s="400">
        <x:f t="shared" si="20"/>
        <x:v>0</x:v>
      </x:c>
      <x:c r="P97" s="400">
        <x:f t="shared" si="21"/>
        <x:v>0</x:v>
      </x:c>
      <x:c r="Q97" s="400">
        <x:f t="shared" si="22"/>
        <x:v>0</x:v>
      </x:c>
      <x:c r="R97" s="400">
        <x:f t="shared" si="25"/>
        <x:v>0</x:v>
      </x:c>
    </x:row>
    <x:row r="98" spans="2:18">
      <x:c r="B98" s="1307">
        <x:f t="shared" si="23"/>
        <x:v>61</x:v>
      </x:c>
      <x:c r="D98" s="188" t="s">
        <x:v>480</x:v>
      </x:c>
      <x:c r="E98" s="402">
        <x:v>30</x:v>
      </x:c>
      <x:c r="F98" s="408">
        <x:f t="shared" si="26"/>
        <x:v>32</x:v>
      </x:c>
      <x:c r="G98" s="408">
        <x:v>214</x:v>
      </x:c>
      <x:c r="H98" s="407">
        <x:f t="shared" si="18"/>
        <x:v>0.14953271028037382</x:v>
      </x:c>
      <x:c r="I98" s="406"/>
      <x:c r="J98" s="402">
        <x:f>'1E - EDIT Amortization'!$Q$91/12</x:f>
        <x:v>0</x:v>
      </x:c>
      <x:c r="K98" s="400">
        <x:f t="shared" si="19"/>
        <x:v>0</x:v>
      </x:c>
      <x:c r="L98" s="400">
        <x:f t="shared" si="24"/>
        <x:v>0</x:v>
      </x:c>
      <x:c r="M98" s="406"/>
      <x:c r="N98" s="402">
        <x:v>0</x:v>
      </x:c>
      <x:c r="O98" s="400">
        <x:f t="shared" si="20"/>
        <x:v>0</x:v>
      </x:c>
      <x:c r="P98" s="400">
        <x:f t="shared" si="21"/>
        <x:v>0</x:v>
      </x:c>
      <x:c r="Q98" s="400">
        <x:f t="shared" si="22"/>
        <x:v>0</x:v>
      </x:c>
      <x:c r="R98" s="400">
        <x:f t="shared" si="25"/>
        <x:v>0</x:v>
      </x:c>
    </x:row>
    <x:row r="99" spans="2:18">
      <x:c r="B99" s="1307">
        <x:f t="shared" si="23"/>
        <x:v>62</x:v>
      </x:c>
      <x:c r="D99" s="189" t="s">
        <x:v>684</x:v>
      </x:c>
      <x:c r="E99" s="402">
        <x:v>31</x:v>
      </x:c>
      <x:c r="F99" s="408">
        <x:v>1</x:v>
      </x:c>
      <x:c r="G99" s="408">
        <x:v>214</x:v>
      </x:c>
      <x:c r="H99" s="407">
        <x:f t="shared" si="18"/>
        <x:v>4.6728971962616819E-3</x:v>
      </x:c>
      <x:c r="I99" s="406"/>
      <x:c r="J99" s="402">
        <x:f>'1E - EDIT Amortization'!$Q$91/12</x:f>
        <x:v>0</x:v>
      </x:c>
      <x:c r="K99" s="400">
        <x:f t="shared" si="19"/>
        <x:v>0</x:v>
      </x:c>
      <x:c r="L99" s="400">
        <x:f t="shared" si="24"/>
        <x:v>0</x:v>
      </x:c>
      <x:c r="M99" s="406"/>
      <x:c r="N99" s="402">
        <x:v>0</x:v>
      </x:c>
      <x:c r="O99" s="400">
        <x:f t="shared" si="20"/>
        <x:v>0</x:v>
      </x:c>
      <x:c r="P99" s="400">
        <x:f t="shared" si="21"/>
        <x:v>0</x:v>
      </x:c>
      <x:c r="Q99" s="400">
        <x:f t="shared" si="22"/>
        <x:v>0</x:v>
      </x:c>
      <x:c r="R99" s="400">
        <x:f t="shared" si="25"/>
        <x:v>0</x:v>
      </x:c>
    </x:row>
    <x:row r="100" spans="2:18">
      <x:c r="B100" s="1307">
        <x:f t="shared" si="23"/>
        <x:v>63</x:v>
      </x:c>
      <x:c r="D100" s="190" t="str">
        <x:f>"Total (Sum of Lines "&amp;B88&amp;" - "&amp;B99&amp;")"</x:f>
        <x:v>Total (Sum of Lines 51 - 62)</x:v>
      </x:c>
      <x:c r="E100" s="405">
        <x:f>SUM(E88:E99)</x:f>
        <x:v>365</x:v>
      </x:c>
      <x:c r="F100" s="191"/>
      <x:c r="G100" s="191"/>
      <x:c r="H100" s="192"/>
      <x:c r="I100" s="403"/>
      <x:c r="J100" s="405">
        <x:f>SUM(J88:J99)</x:f>
        <x:v>0</x:v>
      </x:c>
      <x:c r="K100" s="405">
        <x:f>SUM(K88:K99)</x:f>
        <x:v>0</x:v>
      </x:c>
      <x:c r="L100" s="404"/>
      <x:c r="M100" s="403"/>
      <x:c r="N100" s="405">
        <x:f>SUM(N88:N99)</x:f>
        <x:v>0</x:v>
      </x:c>
      <x:c r="O100" s="405">
        <x:f>SUM(O88:O99)</x:f>
        <x:v>0</x:v>
      </x:c>
      <x:c r="P100" s="405">
        <x:f>SUM(P88:P99)</x:f>
        <x:v>0</x:v>
      </x:c>
      <x:c r="Q100" s="405">
        <x:f>SUM(Q88:Q99)</x:f>
        <x:v>0</x:v>
      </x:c>
      <x:c r="R100" s="404"/>
    </x:row>
    <x:row r="101" spans="2:18">
      <x:c r="D101" s="193"/>
      <x:c r="E101" s="193"/>
      <x:c r="F101" s="193"/>
      <x:c r="G101" s="193"/>
      <x:c r="H101" s="194"/>
      <x:c r="I101" s="194"/>
      <x:c r="K101" s="195"/>
      <x:c r="L101" s="194"/>
      <x:c r="M101" s="194"/>
      <x:c r="N101" s="203"/>
      <x:c r="O101" s="195"/>
      <x:c r="P101" s="195"/>
      <x:c r="Q101" s="195"/>
      <x:c r="R101" s="194"/>
    </x:row>
    <x:row r="102" spans="2:18">
      <x:c r="B102" s="1307">
        <x:f>B100+1</x:f>
        <x:v>64</x:v>
      </x:c>
      <x:c r="D102" s="167" t="s">
        <x:v>1211</x:v>
      </x:c>
      <x:c r="I102" s="194"/>
      <x:c r="J102" s="402" t="str">
        <x:f>$J$14</x:f>
        <x:v>12/31/2024 (Actuals)</x:v>
      </x:c>
      <x:c r="L102" s="402">
        <x:f>'1E - EDIT Amortization'!O73+'1E - EDIT Amortization'!O82</x:f>
        <x:v>0</x:v>
      </x:c>
      <x:c r="M102" s="196"/>
      <x:c r="N102" s="402">
        <x:f>$N$14</x:f>
        <x:v>0</x:v>
      </x:c>
      <x:c r="R102" s="402">
        <x:f>'1E - EDIT Amortization'!O73+'1E - EDIT Amortization'!O82</x:f>
        <x:v>0</x:v>
      </x:c>
    </x:row>
    <x:row r="103" spans="2:18">
      <x:c r="B103" s="1307">
        <x:f>B102+1</x:f>
        <x:v>65</x:v>
      </x:c>
      <x:c r="D103" s="167" t="s">
        <x:v>1212</x:v>
      </x:c>
      <x:c r="I103" s="194"/>
      <x:c r="J103" s="197" t="s">
        <x:v>588</x:v>
      </x:c>
      <x:c r="L103" s="198">
        <x:v>0</x:v>
      </x:c>
      <x:c r="M103" s="199"/>
      <x:c r="N103" s="197" t="s">
        <x:v>588</x:v>
      </x:c>
      <x:c r="R103" s="198">
        <x:v>0</x:v>
      </x:c>
    </x:row>
    <x:row r="104" spans="2:18">
      <x:c r="B104" s="1307">
        <x:f>B103+1</x:f>
        <x:v>66</x:v>
      </x:c>
      <x:c r="D104" s="167" t="s">
        <x:v>1213</x:v>
      </x:c>
      <x:c r="I104" s="194"/>
      <x:c r="J104" s="190" t="str">
        <x:f>"(Col. "&amp;L81&amp;", Line "&amp;B102&amp;" + Line "&amp;B103&amp;")"</x:f>
        <x:v>(Col. (H), Line 64 + Line 65)</x:v>
      </x:c>
      <x:c r="L104" s="401">
        <x:f>L102+L103</x:f>
        <x:v>0</x:v>
      </x:c>
      <x:c r="M104" s="194"/>
      <x:c r="N104" s="190" t="str">
        <x:f>"(Col. "&amp;R81&amp;", Line "&amp;B102&amp;" + Line "&amp;B103&amp;")"</x:f>
        <x:v>(Col. (M), Line 64 + Line 65)</x:v>
      </x:c>
      <x:c r="R104" s="401">
        <x:f>R102+R103</x:f>
        <x:v>0</x:v>
      </x:c>
    </x:row>
    <x:row r="105" spans="2:18">
      <x:c r="I105" s="194"/>
      <x:c r="L105" s="401"/>
      <x:c r="M105" s="194"/>
      <x:c r="R105" s="401"/>
    </x:row>
    <x:row r="106" spans="2:18">
      <x:c r="B106" s="1307">
        <x:f>B104+1</x:f>
        <x:v>67</x:v>
      </x:c>
      <x:c r="D106" s="167" t="s">
        <x:v>1214</x:v>
      </x:c>
      <x:c r="I106" s="194"/>
      <x:c r="J106" s="402" t="str">
        <x:f>$J$16</x:f>
        <x:v>12/31/2025 (Projected)</x:v>
      </x:c>
      <x:c r="L106" s="402">
        <x:f>'1E - EDIT Amortization'!S73+'1E - EDIT Amortization'!S82</x:f>
        <x:v>0</x:v>
      </x:c>
      <x:c r="M106" s="196"/>
      <x:c r="N106" s="402">
        <x:f>$N$16</x:f>
        <x:v>0</x:v>
      </x:c>
      <x:c r="R106" s="402">
        <x:v>0</x:v>
      </x:c>
    </x:row>
    <x:row r="107" spans="2:18">
      <x:c r="B107" s="1307">
        <x:f>B106+1</x:f>
        <x:v>68</x:v>
      </x:c>
      <x:c r="D107" s="167" t="s">
        <x:v>1215</x:v>
      </x:c>
      <x:c r="I107" s="194"/>
      <x:c r="J107" s="197" t="s">
        <x:v>588</x:v>
      </x:c>
      <x:c r="L107" s="198">
        <x:v>0</x:v>
      </x:c>
      <x:c r="M107" s="194"/>
      <x:c r="N107" s="197" t="s">
        <x:v>588</x:v>
      </x:c>
      <x:c r="R107" s="198">
        <x:v>0</x:v>
      </x:c>
    </x:row>
    <x:row r="108" spans="2:18">
      <x:c r="B108" s="1307">
        <x:f>B107+1</x:f>
        <x:v>69</x:v>
      </x:c>
      <x:c r="D108" s="167" t="s">
        <x:v>1216</x:v>
      </x:c>
      <x:c r="I108" s="194"/>
      <x:c r="J108" s="190" t="str">
        <x:f>"(Col. "&amp;L81&amp;", Line "&amp;B106&amp;" + Line "&amp;B107&amp;")"</x:f>
        <x:v>(Col. (H), Line 67 + Line 68)</x:v>
      </x:c>
      <x:c r="L108" s="401">
        <x:f>L106+L107</x:f>
        <x:v>0</x:v>
      </x:c>
      <x:c r="M108" s="194"/>
      <x:c r="N108" s="190" t="str">
        <x:f>"(Col. "&amp;R81&amp;", Line "&amp;B106&amp;" + Line "&amp;B107&amp;")"</x:f>
        <x:v>(Col. (M), Line 67 + Line 68)</x:v>
      </x:c>
      <x:c r="R108" s="401">
        <x:f>R106+R107</x:f>
        <x:v>0</x:v>
      </x:c>
    </x:row>
    <x:row r="109" spans="2:18">
      <x:c r="I109" s="194"/>
      <x:c r="L109" s="401"/>
      <x:c r="M109" s="194"/>
      <x:c r="R109" s="401"/>
    </x:row>
    <x:row r="110" spans="2:18">
      <x:c r="B110" s="1307">
        <x:f>B108+1</x:f>
        <x:v>70</x:v>
      </x:c>
      <x:c r="D110" s="167" t="s">
        <x:v>915</x:v>
      </x:c>
      <x:c r="I110" s="194"/>
      <x:c r="J110" s="190" t="str">
        <x:f>"([Col. "&amp;L81&amp;", Line "&amp;B104&amp;" + Line "&amp;B108&amp;"] / 2)"</x:f>
        <x:v>([Col. (H), Line 66 + Line 69] / 2)</x:v>
      </x:c>
      <x:c r="L110" s="400">
        <x:f>(L104+L108)/2</x:f>
        <x:v>0</x:v>
      </x:c>
      <x:c r="M110" s="194"/>
      <x:c r="N110" s="190" t="str">
        <x:f>"([Col. "&amp;R81&amp;", Line "&amp;B104&amp;" + Line "&amp;B108&amp;"] / 2)"</x:f>
        <x:v>([Col. (M), Line 66 + Line 69] / 2)</x:v>
      </x:c>
      <x:c r="R110" s="400">
        <x:f>(R104+R108)/2</x:f>
        <x:v>0</x:v>
      </x:c>
    </x:row>
    <x:row r="111" spans="2:18">
      <x:c r="B111" s="1307">
        <x:f>B110+1</x:f>
        <x:v>71</x:v>
      </x:c>
      <x:c r="D111" s="285" t="s">
        <x:v>1217</x:v>
      </x:c>
      <x:c r="E111" s="193"/>
      <x:c r="F111" s="193"/>
      <x:c r="G111" s="193"/>
      <x:c r="H111" s="194"/>
      <x:c r="I111" s="194"/>
      <x:c r="J111" s="190" t="str">
        <x:f>"(Col. "&amp;L81&amp;", Line "&amp;B99&amp;" )"</x:f>
        <x:v>(Col. (H), Line 62 )</x:v>
      </x:c>
      <x:c r="K111" s="195"/>
      <x:c r="L111" s="400">
        <x:f>L99</x:f>
        <x:v>0</x:v>
      </x:c>
      <x:c r="M111" s="194"/>
      <x:c r="N111" s="190" t="str">
        <x:f>"(Col. "&amp;R81&amp;", Line "&amp;B99&amp;" )"</x:f>
        <x:v>(Col. (M), Line 62 )</x:v>
      </x:c>
      <x:c r="R111" s="400">
        <x:f>R99</x:f>
        <x:v>0</x:v>
      </x:c>
    </x:row>
    <x:row r="112" spans="2:18" ht="13.5" thickBot="1">
      <x:c r="B112" s="1307">
        <x:f>B111+1</x:f>
        <x:v>72</x:v>
      </x:c>
      <x:c r="D112" s="200" t="s">
        <x:v>1222</x:v>
      </x:c>
      <x:c r="E112" s="193"/>
      <x:c r="F112" s="193"/>
      <x:c r="G112" s="193"/>
      <x:c r="H112" s="194"/>
      <x:c r="I112" s="194"/>
      <x:c r="J112" s="190" t="str">
        <x:f>"(Col. "&amp;L81&amp;", Line "&amp;B110&amp;" + Line "&amp;B111&amp;")"</x:f>
        <x:v>(Col. (H), Line 70 + Line 71)</x:v>
      </x:c>
      <x:c r="K112" s="195"/>
      <x:c r="L112" s="399">
        <x:f>L110+L111</x:f>
        <x:v>0</x:v>
      </x:c>
      <x:c r="M112" s="194"/>
      <x:c r="N112" s="190" t="str">
        <x:f>"(Col. "&amp;R81&amp;", Line "&amp;B110&amp;" + Line "&amp;B111&amp;")"</x:f>
        <x:v>(Col. (M), Line 70 + Line 71)</x:v>
      </x:c>
      <x:c r="R112" s="399">
        <x:f>R110+R111</x:f>
        <x:v>0</x:v>
      </x:c>
    </x:row>
    <x:row r="113" spans="2:18">
      <x:c r="D113" s="193"/>
      <x:c r="E113" s="193"/>
      <x:c r="F113" s="193"/>
      <x:c r="G113" s="193"/>
      <x:c r="H113" s="194"/>
      <x:c r="I113" s="194"/>
      <x:c r="K113" s="195"/>
      <x:c r="L113" s="194"/>
      <x:c r="M113" s="194"/>
      <x:c r="O113" s="195"/>
      <x:c r="P113" s="195"/>
      <x:c r="Q113" s="195"/>
      <x:c r="R113" s="194"/>
    </x:row>
    <x:row r="114" spans="2:18">
      <x:c r="D114" s="193"/>
      <x:c r="E114" s="193"/>
      <x:c r="F114" s="193" t="s">
        <x:v>83</x:v>
      </x:c>
      <x:c r="G114" s="193"/>
      <x:c r="H114" s="194"/>
      <x:c r="I114" s="194"/>
      <x:c r="K114" s="195"/>
      <x:c r="L114" s="194"/>
      <x:c r="M114" s="194"/>
      <x:c r="O114" s="195"/>
      <x:c r="P114" s="195"/>
      <x:c r="Q114" s="195"/>
      <x:c r="R114" s="194"/>
    </x:row>
    <x:row r="115" spans="2:18">
      <x:c r="D115" s="1611" t="s">
        <x:v>1223</x:v>
      </x:c>
      <x:c r="E115" s="1611"/>
      <x:c r="F115" s="1611"/>
      <x:c r="G115" s="1611"/>
      <x:c r="H115" s="1612"/>
      <x:c r="I115" s="194"/>
      <x:c r="J115" s="1612" t="s">
        <x:v>1224</x:v>
      </x:c>
      <x:c r="K115" s="1612"/>
      <x:c r="L115" s="1612"/>
      <x:c r="M115" s="1612"/>
      <x:c r="N115" s="1612"/>
      <x:c r="O115" s="195"/>
      <x:c r="P115" s="195"/>
      <x:c r="Q115" s="195"/>
      <x:c r="R115" s="194"/>
    </x:row>
    <x:row r="116" spans="2:18" ht="12.75" customHeight="1">
      <x:c r="B116" s="1401"/>
      <x:c r="C116" s="395"/>
      <x:c r="D116" s="392" t="s">
        <x:v>163</x:v>
      </x:c>
      <x:c r="E116" s="393"/>
      <x:c r="F116" s="392" t="s">
        <x:v>164</x:v>
      </x:c>
      <x:c r="G116" s="394"/>
      <x:c r="H116" s="391" t="s">
        <x:v>1154</x:v>
      </x:c>
      <x:c r="I116" s="184"/>
      <x:c r="J116" s="392" t="s">
        <x:v>1155</x:v>
      </x:c>
      <x:c r="K116" s="393"/>
      <x:c r="L116" s="392" t="s">
        <x:v>1156</x:v>
      </x:c>
      <x:c r="M116" s="394"/>
      <x:c r="N116" s="391" t="s">
        <x:v>1157</x:v>
      </x:c>
    </x:row>
    <x:row r="117" spans="2:18" s="285" customFormat="1" ht="25.5">
      <x:c r="B117" s="1361" t="s">
        <x:v>523</x:v>
      </x:c>
      <x:c r="C117" s="1363"/>
      <x:c r="D117" s="286" t="s">
        <x:v>1225</x:v>
      </x:c>
      <x:c r="E117" s="287"/>
      <x:c r="F117" s="1411" t="s">
        <x:v>1226</x:v>
      </x:c>
      <x:c r="G117" s="1412"/>
      <x:c r="H117" s="1413" t="s">
        <x:v>1227</x:v>
      </x:c>
      <x:c r="J117" s="289" t="s">
        <x:v>1225</x:v>
      </x:c>
      <x:c r="K117" s="290"/>
      <x:c r="L117" s="1414" t="s">
        <x:v>1226</x:v>
      </x:c>
      <x:c r="M117" s="1415"/>
      <x:c r="N117" s="1413" t="s">
        <x:v>1227</x:v>
      </x:c>
      <x:c r="O117" s="195"/>
      <x:c r="P117" s="195"/>
      <x:c r="Q117" s="195"/>
      <x:c r="R117" s="194"/>
    </x:row>
    <x:row r="118" spans="2:18" ht="5.0999999999999996" customHeight="1">
      <x:c r="E118" s="193"/>
      <x:c r="K118" s="193"/>
      <x:c r="O118" s="195"/>
      <x:c r="P118" s="195"/>
      <x:c r="Q118" s="195"/>
      <x:c r="R118" s="194"/>
    </x:row>
    <x:row r="119" spans="2:18">
      <x:c r="B119" s="1307">
        <x:f>B112+1</x:f>
        <x:v>73</x:v>
      </x:c>
      <x:c r="D119" s="293" t="s">
        <x:v>1228</x:v>
      </x:c>
      <x:c r="F119" s="294" t="str">
        <x:f>"(Col. "&amp;L11&amp;", Line "&amp;B42&amp;")"</x:f>
        <x:v>(Col. (H), Line 24)</x:v>
      </x:c>
      <x:c r="G119" s="297"/>
      <x:c r="H119" s="295">
        <x:f>L42</x:f>
        <x:v>34856925.16355139</x:v>
      </x:c>
      <x:c r="I119" s="297"/>
      <x:c r="J119" s="293" t="s">
        <x:v>1228</x:v>
      </x:c>
      <x:c r="L119" s="294" t="str">
        <x:f>"(Col. "&amp;R11&amp;", Line "&amp;B42&amp;")"</x:f>
        <x:v>(Col. (M), Line 24)</x:v>
      </x:c>
      <x:c r="M119" s="297"/>
      <x:c r="N119" s="295">
        <x:f>R42</x:f>
        <x:v>0</x:v>
      </x:c>
      <x:c r="O119" s="195"/>
      <x:c r="P119" s="195"/>
      <x:c r="Q119" s="195"/>
      <x:c r="R119" s="194"/>
    </x:row>
    <x:row r="120" spans="2:18">
      <x:c r="B120" s="1307">
        <x:f>B119+1</x:f>
        <x:v>74</x:v>
      </x:c>
      <x:c r="D120" s="293" t="s">
        <x:v>1229</x:v>
      </x:c>
      <x:c r="F120" s="294" t="str">
        <x:f>"(Col. "&amp;L46&amp;", Line "&amp;B77&amp;")"</x:f>
        <x:v>(Col. (H), Line 48)</x:v>
      </x:c>
      <x:c r="H120" s="296">
        <x:f>L77</x:f>
        <x:v>-54895073.214953259</x:v>
      </x:c>
      <x:c r="J120" s="293" t="s">
        <x:v>1229</x:v>
      </x:c>
      <x:c r="L120" s="294" t="str">
        <x:f>"(Col. "&amp;R46&amp;", Line "&amp;B77&amp;")"</x:f>
        <x:v>(Col. (M), Line 48)</x:v>
      </x:c>
      <x:c r="N120" s="296">
        <x:f>R77</x:f>
        <x:v>0</x:v>
      </x:c>
      <x:c r="O120" s="195"/>
      <x:c r="P120" s="195"/>
      <x:c r="Q120" s="195"/>
      <x:c r="R120" s="194"/>
    </x:row>
    <x:row r="121" spans="2:18">
      <x:c r="B121" s="1307">
        <x:f>B120+1</x:f>
        <x:v>75</x:v>
      </x:c>
      <x:c r="D121" s="293" t="s">
        <x:v>1230</x:v>
      </x:c>
      <x:c r="F121" s="294" t="str">
        <x:f>"(Col. "&amp;L81&amp;", Line "&amp;B112&amp;")"</x:f>
        <x:v>(Col. (H), Line 72)</x:v>
      </x:c>
      <x:c r="H121" s="296">
        <x:f>L112</x:f>
        <x:v>0</x:v>
      </x:c>
      <x:c r="J121" s="293" t="s">
        <x:v>1230</x:v>
      </x:c>
      <x:c r="L121" s="294" t="str">
        <x:f>"(Col. "&amp;R81&amp;", Line "&amp;B112&amp;")"</x:f>
        <x:v>(Col. (M), Line 72)</x:v>
      </x:c>
      <x:c r="N121" s="296">
        <x:f>R112</x:f>
        <x:v>0</x:v>
      </x:c>
      <x:c r="O121" s="195"/>
      <x:c r="P121" s="195"/>
      <x:c r="Q121" s="195"/>
      <x:c r="R121" s="194"/>
    </x:row>
    <x:row r="122" spans="2:18" ht="5.0999999999999996" customHeight="1">
      <x:c r="D122" s="193"/>
      <x:c r="E122" s="193"/>
      <x:c r="J122" s="193"/>
      <x:c r="K122" s="193"/>
      <x:c r="O122" s="195"/>
      <x:c r="P122" s="195"/>
      <x:c r="Q122" s="195"/>
      <x:c r="R122" s="194"/>
    </x:row>
    <x:row r="123" spans="2:18">
      <x:c r="B123" s="1307">
        <x:f>B121+1</x:f>
        <x:v>76</x:v>
      </x:c>
      <x:c r="D123" s="5" t="s">
        <x:v>1079</x:v>
      </x:c>
      <x:c r="E123" s="193"/>
      <x:c r="F123" s="294" t="s">
        <x:v>1390</x:v>
      </x:c>
      <x:c r="G123" s="297"/>
      <x:c r="H123" s="298">
        <x:f>SUM(H119:H122)</x:f>
        <x:v>-20038148.051401868</x:v>
      </x:c>
      <x:c r="I123" s="297"/>
      <x:c r="J123" s="5" t="s">
        <x:v>1079</x:v>
      </x:c>
      <x:c r="K123" s="193"/>
      <x:c r="L123" s="299" t="s">
        <x:v>1390</x:v>
      </x:c>
      <x:c r="M123" s="297"/>
      <x:c r="N123" s="298">
        <x:f>SUM(N119:N122)</x:f>
        <x:v>0</x:v>
      </x:c>
      <x:c r="O123" s="195"/>
      <x:c r="P123" s="195"/>
      <x:c r="Q123" s="195"/>
      <x:c r="R123" s="194"/>
    </x:row>
    <x:row r="124" spans="2:18">
      <x:c r="D124" s="193"/>
      <x:c r="E124" s="193"/>
      <x:c r="F124" s="193"/>
      <x:c r="G124" s="193"/>
      <x:c r="H124" s="193"/>
      <x:c r="I124" s="194"/>
      <x:c r="J124" s="195"/>
      <x:c r="K124" s="195"/>
      <x:c r="L124" s="194"/>
      <x:c r="M124" s="194"/>
      <x:c r="O124" s="195"/>
      <x:c r="P124" s="195"/>
      <x:c r="Q124" s="195"/>
      <x:c r="R124" s="194"/>
    </x:row>
    <x:row r="125" spans="2:18">
      <x:c r="D125" s="193"/>
      <x:c r="E125" s="193"/>
      <x:c r="F125" s="193"/>
      <x:c r="G125" s="193"/>
      <x:c r="H125" s="194"/>
      <x:c r="I125" s="194"/>
      <x:c r="K125" s="195"/>
      <x:c r="L125" s="194"/>
      <x:c r="M125" s="194"/>
      <x:c r="O125" s="195"/>
      <x:c r="P125" s="195"/>
      <x:c r="Q125" s="195"/>
      <x:c r="R125" s="194"/>
    </x:row>
    <x:row r="126" spans="2:18" ht="15.75" customHeight="1">
      <x:c r="B126" s="1610" t="s">
        <x:v>1231</x:v>
      </x:c>
      <x:c r="C126" s="1610"/>
      <x:c r="D126" s="1610"/>
      <x:c r="E126" s="1610"/>
      <x:c r="F126" s="1610"/>
      <x:c r="G126" s="1610"/>
      <x:c r="H126" s="1610"/>
      <x:c r="I126" s="1610"/>
      <x:c r="J126" s="1610"/>
      <x:c r="K126" s="1610"/>
      <x:c r="L126" s="1610"/>
      <x:c r="M126" s="1610"/>
      <x:c r="N126" s="1610"/>
      <x:c r="O126" s="1610"/>
      <x:c r="P126" s="1610"/>
      <x:c r="Q126" s="1610"/>
      <x:c r="R126" s="1610"/>
    </x:row>
    <x:row r="127" spans="2:18">
      <x:c r="D127" s="180"/>
    </x:row>
    <x:row r="128" spans="2:18">
      <x:c r="D128" s="180" t="s">
        <x:v>1207</x:v>
      </x:c>
      <x:c r="J128" s="1599"/>
      <x:c r="K128" s="1599"/>
      <x:c r="L128" s="1599"/>
      <x:c r="N128" s="1599"/>
      <x:c r="O128" s="1599"/>
      <x:c r="P128" s="1599"/>
      <x:c r="Q128" s="1599"/>
      <x:c r="R128" s="1599"/>
    </x:row>
    <x:row r="129" spans="2:18">
      <x:c r="D129" s="1591" t="s">
        <x:v>835</x:v>
      </x:c>
      <x:c r="E129" s="1592"/>
      <x:c r="F129" s="1592"/>
      <x:c r="G129" s="1592"/>
      <x:c r="H129" s="1593"/>
      <x:c r="I129" s="184"/>
      <x:c r="J129" s="1594" t="s">
        <x:v>1208</x:v>
      </x:c>
      <x:c r="K129" s="1595"/>
      <x:c r="L129" s="1596"/>
      <x:c r="M129" s="184"/>
      <x:c r="N129" s="1594" t="s">
        <x:v>1209</x:v>
      </x:c>
      <x:c r="O129" s="1595"/>
      <x:c r="P129" s="1595"/>
      <x:c r="Q129" s="1595"/>
      <x:c r="R129" s="1596"/>
    </x:row>
    <x:row r="130" spans="2:18">
      <x:c r="D130" s="185" t="s">
        <x:v>163</x:v>
      </x:c>
      <x:c r="E130" s="185" t="s">
        <x:v>164</x:v>
      </x:c>
      <x:c r="F130" s="185" t="s">
        <x:v>1154</x:v>
      </x:c>
      <x:c r="G130" s="185" t="s">
        <x:v>1155</x:v>
      </x:c>
      <x:c r="H130" s="185" t="s">
        <x:v>1156</x:v>
      </x:c>
      <x:c r="I130" s="184"/>
      <x:c r="J130" s="185" t="s">
        <x:v>1157</x:v>
      </x:c>
      <x:c r="K130" s="185" t="s">
        <x:v>1158</x:v>
      </x:c>
      <x:c r="L130" s="185" t="s">
        <x:v>1159</x:v>
      </x:c>
      <x:c r="M130" s="184"/>
      <x:c r="N130" s="185" t="s">
        <x:v>1160</x:v>
      </x:c>
      <x:c r="O130" s="185" t="s">
        <x:v>1161</x:v>
      </x:c>
      <x:c r="P130" s="185" t="s">
        <x:v>1162</x:v>
      </x:c>
      <x:c r="Q130" s="185" t="s">
        <x:v>1163</x:v>
      </x:c>
      <x:c r="R130" s="185" t="s">
        <x:v>1164</x:v>
      </x:c>
    </x:row>
    <x:row r="131" spans="2:18" ht="63" customHeight="1">
      <x:c r="B131" s="186" t="s">
        <x:v>523</x:v>
      </x:c>
      <x:c r="D131" s="187" t="s">
        <x:v>158</x:v>
      </x:c>
      <x:c r="E131" s="187" t="s">
        <x:v>836</x:v>
      </x:c>
      <x:c r="F131" s="187" t="s">
        <x:v>920</x:v>
      </x:c>
      <x:c r="G131" s="187" t="s">
        <x:v>919</x:v>
      </x:c>
      <x:c r="H131" s="187" t="s">
        <x:v>1165</x:v>
      </x:c>
      <x:c r="I131" s="397"/>
      <x:c r="J131" s="187" t="s">
        <x:v>839</x:v>
      </x:c>
      <x:c r="K131" s="187" t="s">
        <x:v>1166</x:v>
      </x:c>
      <x:c r="L131" s="187" t="s">
        <x:v>1167</x:v>
      </x:c>
      <x:c r="M131" s="397"/>
      <x:c r="N131" s="187" t="s">
        <x:v>918</x:v>
      </x:c>
      <x:c r="O131" s="187" t="s">
        <x:v>1168</x:v>
      </x:c>
      <x:c r="P131" s="187" t="s">
        <x:v>1169</x:v>
      </x:c>
      <x:c r="Q131" s="187" t="s">
        <x:v>1170</x:v>
      </x:c>
      <x:c r="R131" s="187" t="s">
        <x:v>1171</x:v>
      </x:c>
    </x:row>
    <x:row r="132" spans="2:18">
      <x:c r="E132" s="397"/>
      <x:c r="F132" s="397"/>
      <x:c r="G132" s="397"/>
      <x:c r="H132" s="397"/>
      <x:c r="I132" s="397"/>
      <x:c r="J132" s="397"/>
      <x:c r="K132" s="397"/>
      <x:c r="L132" s="397"/>
      <x:c r="M132" s="397"/>
      <x:c r="N132" s="397"/>
      <x:c r="O132" s="397"/>
      <x:c r="P132" s="397"/>
      <x:c r="Q132" s="397"/>
      <x:c r="R132" s="397"/>
    </x:row>
    <x:row r="133" spans="2:18">
      <x:c r="B133" s="1307">
        <x:f>B123+1</x:f>
        <x:v>77</x:v>
      </x:c>
      <x:c r="D133" s="167" t="s">
        <x:v>1210</x:v>
      </x:c>
      <x:c r="E133" s="397"/>
      <x:c r="F133" s="397"/>
      <x:c r="G133" s="397"/>
      <x:c r="H133" s="397"/>
      <x:c r="I133" s="397"/>
      <x:c r="J133" s="402" t="str">
        <x:f>$J$14</x:f>
        <x:v>12/31/2024 (Actuals)</x:v>
      </x:c>
      <x:c r="K133" s="397"/>
      <x:c r="L133" s="402">
        <x:f>'1E - EDIT Amortization'!O192</x:f>
        <x:v>0</x:v>
      </x:c>
      <x:c r="M133" s="397"/>
      <x:c r="N133" s="402">
        <x:f>$N$14</x:f>
        <x:v>0</x:v>
      </x:c>
      <x:c r="O133" s="397"/>
      <x:c r="P133" s="397"/>
      <x:c r="Q133" s="397"/>
      <x:c r="R133" s="402">
        <x:v>0</x:v>
      </x:c>
    </x:row>
    <x:row r="134" spans="2:18">
      <x:c r="E134" s="397"/>
      <x:c r="F134" s="397"/>
      <x:c r="G134" s="397"/>
      <x:c r="H134" s="397"/>
      <x:c r="I134" s="397"/>
      <x:c r="J134" s="397"/>
      <x:c r="K134" s="397"/>
      <x:c r="L134" s="397"/>
      <x:c r="M134" s="397"/>
      <x:c r="N134" s="397"/>
      <x:c r="O134" s="397"/>
      <x:c r="P134" s="397"/>
      <x:c r="Q134" s="397"/>
      <x:c r="R134" s="397"/>
    </x:row>
    <x:row r="135" spans="2:18">
      <x:c r="B135" s="1307">
        <x:f>B133+1</x:f>
        <x:v>78</x:v>
      </x:c>
      <x:c r="D135" s="167" t="s">
        <x:v>1526</x:v>
      </x:c>
      <x:c r="E135" s="397"/>
      <x:c r="F135" s="397"/>
      <x:c r="G135" s="397"/>
      <x:c r="H135" s="397"/>
      <x:c r="I135" s="397"/>
      <x:c r="J135" s="402" t="str">
        <x:f>$J$16</x:f>
        <x:v>12/31/2025 (Projected)</x:v>
      </x:c>
      <x:c r="K135" s="397"/>
      <x:c r="L135" s="397"/>
      <x:c r="M135" s="397"/>
      <x:c r="N135" s="402">
        <x:f>$N$16</x:f>
        <x:v>0</x:v>
      </x:c>
      <x:c r="O135" s="397"/>
      <x:c r="P135" s="397"/>
      <x:c r="Q135" s="397"/>
      <x:c r="R135" s="397"/>
    </x:row>
    <x:row r="136" spans="2:18">
      <x:c r="E136" s="397"/>
      <x:c r="F136" s="397"/>
      <x:c r="G136" s="397"/>
      <x:c r="H136" s="397"/>
      <x:c r="I136" s="397"/>
      <x:c r="J136" s="397"/>
      <x:c r="K136" s="397"/>
      <x:c r="L136" s="397"/>
      <x:c r="M136" s="397"/>
      <x:c r="N136" s="397"/>
      <x:c r="O136" s="397"/>
      <x:c r="P136" s="397"/>
      <x:c r="Q136" s="397"/>
      <x:c r="R136" s="397"/>
    </x:row>
    <x:row r="137" spans="2:18">
      <x:c r="B137" s="1307">
        <x:f>B135+1</x:f>
        <x:v>79</x:v>
      </x:c>
      <x:c r="D137" s="188" t="s">
        <x:v>473</x:v>
      </x:c>
      <x:c r="E137" s="402">
        <x:v>31</x:v>
      </x:c>
      <x:c r="F137" s="408">
        <x:v>0</x:v>
      </x:c>
      <x:c r="G137" s="408">
        <x:v>214</x:v>
      </x:c>
      <x:c r="H137" s="407">
        <x:f t="shared" ref="H137:H148" si="27">IF(F137=0,0.5,F137/G137)</x:f>
        <x:v>0.5</x:v>
      </x:c>
      <x:c r="I137" s="406"/>
      <x:c r="J137" s="402">
        <x:f>'1E - EDIT Amortization'!$Q$192/12</x:f>
        <x:v>0</x:v>
      </x:c>
      <x:c r="K137" s="400">
        <x:f t="shared" ref="K137:K148" si="28">+J137*H137</x:f>
        <x:v>0</x:v>
      </x:c>
      <x:c r="L137" s="400">
        <x:f>+K137+L133</x:f>
        <x:v>0</x:v>
      </x:c>
      <x:c r="M137" s="406"/>
      <x:c r="N137" s="402">
        <x:v>0</x:v>
      </x:c>
      <x:c r="O137" s="400">
        <x:f t="shared" ref="O137:O148" si="29">IF($D$249="True-Up Adjustment",N137-J137,0)</x:f>
        <x:v>0</x:v>
      </x:c>
      <x:c r="P137" s="400">
        <x:f t="shared" ref="P137:P148" si="30">IF($D$249="True-Up Adjustment",IF(AND(J137&gt;=0,N137&gt;=0),IF(O137&gt;=0,K137+O137,N137/J137*K137),IF(AND(J137&lt;0,N137&lt;0),IF(O137&lt;0,K137+O137,N137/J137*K137),0)),0)</x:f>
        <x:v>0</x:v>
      </x:c>
      <x:c r="Q137" s="400">
        <x:f t="shared" ref="Q137:Q148" si="31">IF(AND(J137&gt;=0,N137&lt;0),N137,IF(AND(J137&lt;0,N137&gt;=0),N137,0))</x:f>
        <x:v>0</x:v>
      </x:c>
      <x:c r="R137" s="400">
        <x:f>P137+Q137+R133</x:f>
        <x:v>0</x:v>
      </x:c>
    </x:row>
    <x:row r="138" spans="2:18">
      <x:c r="B138" s="1307">
        <x:f t="shared" ref="B138:B149" si="32">+B137+1</x:f>
        <x:v>80</x:v>
      </x:c>
      <x:c r="D138" s="188" t="s">
        <x:v>474</x:v>
      </x:c>
      <x:c r="E138" s="402">
        <x:v>28</x:v>
      </x:c>
      <x:c r="F138" s="408">
        <x:v>0</x:v>
      </x:c>
      <x:c r="G138" s="408">
        <x:v>214</x:v>
      </x:c>
      <x:c r="H138" s="407">
        <x:f t="shared" si="27"/>
        <x:v>0.5</x:v>
      </x:c>
      <x:c r="I138" s="406"/>
      <x:c r="J138" s="402">
        <x:f>'1E - EDIT Amortization'!$Q$192/12</x:f>
        <x:v>0</x:v>
      </x:c>
      <x:c r="K138" s="400">
        <x:f t="shared" si="28"/>
        <x:v>0</x:v>
      </x:c>
      <x:c r="L138" s="400">
        <x:f t="shared" ref="L138:L148" si="33">+K138+L137</x:f>
        <x:v>0</x:v>
      </x:c>
      <x:c r="M138" s="406"/>
      <x:c r="N138" s="402">
        <x:v>0</x:v>
      </x:c>
      <x:c r="O138" s="400">
        <x:f t="shared" si="29"/>
        <x:v>0</x:v>
      </x:c>
      <x:c r="P138" s="400">
        <x:f t="shared" si="30"/>
        <x:v>0</x:v>
      </x:c>
      <x:c r="Q138" s="400">
        <x:f t="shared" si="31"/>
        <x:v>0</x:v>
      </x:c>
      <x:c r="R138" s="400">
        <x:f t="shared" ref="R138:R148" si="34">R137+P138+Q138</x:f>
        <x:v>0</x:v>
      </x:c>
    </x:row>
    <x:row r="139" spans="2:18">
      <x:c r="B139" s="1307">
        <x:f t="shared" si="32"/>
        <x:v>81</x:v>
      </x:c>
      <x:c r="D139" s="188" t="s">
        <x:v>495</x:v>
      </x:c>
      <x:c r="E139" s="402">
        <x:v>31</x:v>
      </x:c>
      <x:c r="F139" s="408">
        <x:v>0</x:v>
      </x:c>
      <x:c r="G139" s="408">
        <x:v>214</x:v>
      </x:c>
      <x:c r="H139" s="407">
        <x:f t="shared" si="27"/>
        <x:v>0.5</x:v>
      </x:c>
      <x:c r="I139" s="406"/>
      <x:c r="J139" s="402">
        <x:f>'1E - EDIT Amortization'!$Q$192/12</x:f>
        <x:v>0</x:v>
      </x:c>
      <x:c r="K139" s="400">
        <x:f t="shared" si="28"/>
        <x:v>0</x:v>
      </x:c>
      <x:c r="L139" s="400">
        <x:f t="shared" si="33"/>
        <x:v>0</x:v>
      </x:c>
      <x:c r="M139" s="406"/>
      <x:c r="N139" s="402">
        <x:v>0</x:v>
      </x:c>
      <x:c r="O139" s="400">
        <x:f t="shared" si="29"/>
        <x:v>0</x:v>
      </x:c>
      <x:c r="P139" s="400">
        <x:f t="shared" si="30"/>
        <x:v>0</x:v>
      </x:c>
      <x:c r="Q139" s="400">
        <x:f t="shared" si="31"/>
        <x:v>0</x:v>
      </x:c>
      <x:c r="R139" s="400">
        <x:f t="shared" si="34"/>
        <x:v>0</x:v>
      </x:c>
    </x:row>
    <x:row r="140" spans="2:18">
      <x:c r="B140" s="1307">
        <x:f t="shared" si="32"/>
        <x:v>82</x:v>
      </x:c>
      <x:c r="D140" s="188" t="s">
        <x:v>160</x:v>
      </x:c>
      <x:c r="E140" s="402">
        <x:v>30</x:v>
      </x:c>
      <x:c r="F140" s="408">
        <x:v>0</x:v>
      </x:c>
      <x:c r="G140" s="408">
        <x:v>214</x:v>
      </x:c>
      <x:c r="H140" s="407">
        <x:f t="shared" si="27"/>
        <x:v>0.5</x:v>
      </x:c>
      <x:c r="I140" s="406"/>
      <x:c r="J140" s="402">
        <x:f>'1E - EDIT Amortization'!$Q$192/12</x:f>
        <x:v>0</x:v>
      </x:c>
      <x:c r="K140" s="400">
        <x:f t="shared" si="28"/>
        <x:v>0</x:v>
      </x:c>
      <x:c r="L140" s="400">
        <x:f t="shared" si="33"/>
        <x:v>0</x:v>
      </x:c>
      <x:c r="M140" s="406"/>
      <x:c r="N140" s="402">
        <x:v>0</x:v>
      </x:c>
      <x:c r="O140" s="400">
        <x:f t="shared" si="29"/>
        <x:v>0</x:v>
      </x:c>
      <x:c r="P140" s="400">
        <x:f t="shared" si="30"/>
        <x:v>0</x:v>
      </x:c>
      <x:c r="Q140" s="400">
        <x:f t="shared" si="31"/>
        <x:v>0</x:v>
      </x:c>
      <x:c r="R140" s="400">
        <x:f t="shared" si="34"/>
        <x:v>0</x:v>
      </x:c>
    </x:row>
    <x:row r="141" spans="2:18">
      <x:c r="B141" s="1307">
        <x:f t="shared" si="32"/>
        <x:v>83</x:v>
      </x:c>
      <x:c r="D141" s="188" t="s">
        <x:v>161</x:v>
      </x:c>
      <x:c r="E141" s="402">
        <x:v>31</x:v>
      </x:c>
      <x:c r="F141" s="408">
        <x:v>0</x:v>
      </x:c>
      <x:c r="G141" s="408">
        <x:v>214</x:v>
      </x:c>
      <x:c r="H141" s="407">
        <x:f t="shared" si="27"/>
        <x:v>0.5</x:v>
      </x:c>
      <x:c r="I141" s="406"/>
      <x:c r="J141" s="402">
        <x:f>'1E - EDIT Amortization'!$Q$192/12</x:f>
        <x:v>0</x:v>
      </x:c>
      <x:c r="K141" s="400">
        <x:f t="shared" si="28"/>
        <x:v>0</x:v>
      </x:c>
      <x:c r="L141" s="400">
        <x:f t="shared" si="33"/>
        <x:v>0</x:v>
      </x:c>
      <x:c r="M141" s="406"/>
      <x:c r="N141" s="402">
        <x:v>0</x:v>
      </x:c>
      <x:c r="O141" s="400">
        <x:f t="shared" si="29"/>
        <x:v>0</x:v>
      </x:c>
      <x:c r="P141" s="400">
        <x:f t="shared" si="30"/>
        <x:v>0</x:v>
      </x:c>
      <x:c r="Q141" s="400">
        <x:f t="shared" si="31"/>
        <x:v>0</x:v>
      </x:c>
      <x:c r="R141" s="400">
        <x:f t="shared" si="34"/>
        <x:v>0</x:v>
      </x:c>
    </x:row>
    <x:row r="142" spans="2:18">
      <x:c r="B142" s="1307">
        <x:f t="shared" si="32"/>
        <x:v>84</x:v>
      </x:c>
      <x:c r="D142" s="188" t="s">
        <x:v>162</x:v>
      </x:c>
      <x:c r="E142" s="402">
        <x:v>30</x:v>
      </x:c>
      <x:c r="F142" s="408">
        <x:f t="shared" ref="F142:F147" si="35">F143+E143</x:f>
        <x:v>185</x:v>
      </x:c>
      <x:c r="G142" s="408">
        <x:v>214</x:v>
      </x:c>
      <x:c r="H142" s="407">
        <x:f t="shared" si="27"/>
        <x:v>0.86448598130841126</x:v>
      </x:c>
      <x:c r="I142" s="406"/>
      <x:c r="J142" s="402">
        <x:f>'1E - EDIT Amortization'!$Q$192/12</x:f>
        <x:v>0</x:v>
      </x:c>
      <x:c r="K142" s="400">
        <x:f t="shared" si="28"/>
        <x:v>0</x:v>
      </x:c>
      <x:c r="L142" s="400">
        <x:f t="shared" si="33"/>
        <x:v>0</x:v>
      </x:c>
      <x:c r="M142" s="406"/>
      <x:c r="N142" s="402">
        <x:v>0</x:v>
      </x:c>
      <x:c r="O142" s="400">
        <x:f t="shared" si="29"/>
        <x:v>0</x:v>
      </x:c>
      <x:c r="P142" s="400">
        <x:f t="shared" si="30"/>
        <x:v>0</x:v>
      </x:c>
      <x:c r="Q142" s="400">
        <x:f t="shared" si="31"/>
        <x:v>0</x:v>
      </x:c>
      <x:c r="R142" s="400">
        <x:f t="shared" si="34"/>
        <x:v>0</x:v>
      </x:c>
    </x:row>
    <x:row r="143" spans="2:18">
      <x:c r="B143" s="1307">
        <x:f t="shared" si="32"/>
        <x:v>85</x:v>
      </x:c>
      <x:c r="D143" s="188" t="s">
        <x:v>476</x:v>
      </x:c>
      <x:c r="E143" s="402">
        <x:v>31</x:v>
      </x:c>
      <x:c r="F143" s="408">
        <x:f t="shared" si="35"/>
        <x:v>154</x:v>
      </x:c>
      <x:c r="G143" s="408">
        <x:v>214</x:v>
      </x:c>
      <x:c r="H143" s="407">
        <x:f t="shared" si="27"/>
        <x:v>0.71962616822429903</x:v>
      </x:c>
      <x:c r="I143" s="406"/>
      <x:c r="J143" s="402">
        <x:f>'1E - EDIT Amortization'!$Q$192/12</x:f>
        <x:v>0</x:v>
      </x:c>
      <x:c r="K143" s="400">
        <x:f t="shared" si="28"/>
        <x:v>0</x:v>
      </x:c>
      <x:c r="L143" s="400">
        <x:f t="shared" si="33"/>
        <x:v>0</x:v>
      </x:c>
      <x:c r="M143" s="406"/>
      <x:c r="N143" s="402">
        <x:v>0</x:v>
      </x:c>
      <x:c r="O143" s="400">
        <x:f t="shared" si="29"/>
        <x:v>0</x:v>
      </x:c>
      <x:c r="P143" s="400">
        <x:f t="shared" si="30"/>
        <x:v>0</x:v>
      </x:c>
      <x:c r="Q143" s="400">
        <x:f t="shared" si="31"/>
        <x:v>0</x:v>
      </x:c>
      <x:c r="R143" s="400">
        <x:f t="shared" si="34"/>
        <x:v>0</x:v>
      </x:c>
    </x:row>
    <x:row r="144" spans="2:18">
      <x:c r="B144" s="1307">
        <x:f t="shared" si="32"/>
        <x:v>86</x:v>
      </x:c>
      <x:c r="D144" s="188" t="s">
        <x:v>496</x:v>
      </x:c>
      <x:c r="E144" s="402">
        <x:v>31</x:v>
      </x:c>
      <x:c r="F144" s="408">
        <x:f t="shared" si="35"/>
        <x:v>123</x:v>
      </x:c>
      <x:c r="G144" s="408">
        <x:v>214</x:v>
      </x:c>
      <x:c r="H144" s="407">
        <x:f t="shared" si="27"/>
        <x:v>0.57476635514018692</x:v>
      </x:c>
      <x:c r="I144" s="406"/>
      <x:c r="J144" s="402">
        <x:f>'1E - EDIT Amortization'!$Q$192/12</x:f>
        <x:v>0</x:v>
      </x:c>
      <x:c r="K144" s="400">
        <x:f t="shared" si="28"/>
        <x:v>0</x:v>
      </x:c>
      <x:c r="L144" s="400">
        <x:f t="shared" si="33"/>
        <x:v>0</x:v>
      </x:c>
      <x:c r="M144" s="406"/>
      <x:c r="N144" s="402">
        <x:v>0</x:v>
      </x:c>
      <x:c r="O144" s="400">
        <x:f t="shared" si="29"/>
        <x:v>0</x:v>
      </x:c>
      <x:c r="P144" s="400">
        <x:f t="shared" si="30"/>
        <x:v>0</x:v>
      </x:c>
      <x:c r="Q144" s="400">
        <x:f t="shared" si="31"/>
        <x:v>0</x:v>
      </x:c>
      <x:c r="R144" s="400">
        <x:f t="shared" si="34"/>
        <x:v>0</x:v>
      </x:c>
    </x:row>
    <x:row r="145" spans="2:18">
      <x:c r="B145" s="1307">
        <x:f t="shared" si="32"/>
        <x:v>87</x:v>
      </x:c>
      <x:c r="D145" s="188" t="s">
        <x:v>478</x:v>
      </x:c>
      <x:c r="E145" s="402">
        <x:v>30</x:v>
      </x:c>
      <x:c r="F145" s="408">
        <x:f t="shared" si="35"/>
        <x:v>93</x:v>
      </x:c>
      <x:c r="G145" s="408">
        <x:v>214</x:v>
      </x:c>
      <x:c r="H145" s="407">
        <x:f t="shared" si="27"/>
        <x:v>0.43457943925233644</x:v>
      </x:c>
      <x:c r="I145" s="406"/>
      <x:c r="J145" s="402">
        <x:f>'1E - EDIT Amortization'!$Q$192/12</x:f>
        <x:v>0</x:v>
      </x:c>
      <x:c r="K145" s="400">
        <x:f t="shared" si="28"/>
        <x:v>0</x:v>
      </x:c>
      <x:c r="L145" s="400">
        <x:f t="shared" si="33"/>
        <x:v>0</x:v>
      </x:c>
      <x:c r="M145" s="406"/>
      <x:c r="N145" s="402">
        <x:v>0</x:v>
      </x:c>
      <x:c r="O145" s="400">
        <x:f t="shared" si="29"/>
        <x:v>0</x:v>
      </x:c>
      <x:c r="P145" s="400">
        <x:f t="shared" si="30"/>
        <x:v>0</x:v>
      </x:c>
      <x:c r="Q145" s="400">
        <x:f t="shared" si="31"/>
        <x:v>0</x:v>
      </x:c>
      <x:c r="R145" s="400">
        <x:f t="shared" si="34"/>
        <x:v>0</x:v>
      </x:c>
    </x:row>
    <x:row r="146" spans="2:18">
      <x:c r="B146" s="1307">
        <x:f t="shared" si="32"/>
        <x:v>88</x:v>
      </x:c>
      <x:c r="D146" s="188" t="s">
        <x:v>479</x:v>
      </x:c>
      <x:c r="E146" s="402">
        <x:v>31</x:v>
      </x:c>
      <x:c r="F146" s="408">
        <x:f t="shared" si="35"/>
        <x:v>62</x:v>
      </x:c>
      <x:c r="G146" s="408">
        <x:v>214</x:v>
      </x:c>
      <x:c r="H146" s="407">
        <x:f t="shared" si="27"/>
        <x:v>0.28971962616822428</x:v>
      </x:c>
      <x:c r="I146" s="406"/>
      <x:c r="J146" s="402">
        <x:f>'1E - EDIT Amortization'!$Q$192/12</x:f>
        <x:v>0</x:v>
      </x:c>
      <x:c r="K146" s="400">
        <x:f t="shared" si="28"/>
        <x:v>0</x:v>
      </x:c>
      <x:c r="L146" s="400">
        <x:f t="shared" si="33"/>
        <x:v>0</x:v>
      </x:c>
      <x:c r="M146" s="406"/>
      <x:c r="N146" s="402">
        <x:v>0</x:v>
      </x:c>
      <x:c r="O146" s="400">
        <x:f t="shared" si="29"/>
        <x:v>0</x:v>
      </x:c>
      <x:c r="P146" s="400">
        <x:f t="shared" si="30"/>
        <x:v>0</x:v>
      </x:c>
      <x:c r="Q146" s="400">
        <x:f t="shared" si="31"/>
        <x:v>0</x:v>
      </x:c>
      <x:c r="R146" s="400">
        <x:f t="shared" si="34"/>
        <x:v>0</x:v>
      </x:c>
    </x:row>
    <x:row r="147" spans="2:18">
      <x:c r="B147" s="1307">
        <x:f t="shared" si="32"/>
        <x:v>89</x:v>
      </x:c>
      <x:c r="D147" s="188" t="s">
        <x:v>480</x:v>
      </x:c>
      <x:c r="E147" s="402">
        <x:v>30</x:v>
      </x:c>
      <x:c r="F147" s="408">
        <x:f t="shared" si="35"/>
        <x:v>32</x:v>
      </x:c>
      <x:c r="G147" s="408">
        <x:v>214</x:v>
      </x:c>
      <x:c r="H147" s="407">
        <x:f t="shared" si="27"/>
        <x:v>0.14953271028037382</x:v>
      </x:c>
      <x:c r="I147" s="406"/>
      <x:c r="J147" s="402">
        <x:f>'1E - EDIT Amortization'!$Q$192/12</x:f>
        <x:v>0</x:v>
      </x:c>
      <x:c r="K147" s="400">
        <x:f t="shared" si="28"/>
        <x:v>0</x:v>
      </x:c>
      <x:c r="L147" s="400">
        <x:f t="shared" si="33"/>
        <x:v>0</x:v>
      </x:c>
      <x:c r="M147" s="406"/>
      <x:c r="N147" s="402">
        <x:v>0</x:v>
      </x:c>
      <x:c r="O147" s="400">
        <x:f t="shared" si="29"/>
        <x:v>0</x:v>
      </x:c>
      <x:c r="P147" s="400">
        <x:f t="shared" si="30"/>
        <x:v>0</x:v>
      </x:c>
      <x:c r="Q147" s="400">
        <x:f t="shared" si="31"/>
        <x:v>0</x:v>
      </x:c>
      <x:c r="R147" s="400">
        <x:f t="shared" si="34"/>
        <x:v>0</x:v>
      </x:c>
    </x:row>
    <x:row r="148" spans="2:18">
      <x:c r="B148" s="1307">
        <x:f t="shared" si="32"/>
        <x:v>90</x:v>
      </x:c>
      <x:c r="D148" s="189" t="s">
        <x:v>684</x:v>
      </x:c>
      <x:c r="E148" s="402">
        <x:v>31</x:v>
      </x:c>
      <x:c r="F148" s="408">
        <x:v>1</x:v>
      </x:c>
      <x:c r="G148" s="408">
        <x:v>214</x:v>
      </x:c>
      <x:c r="H148" s="407">
        <x:f t="shared" si="27"/>
        <x:v>4.6728971962616819E-3</x:v>
      </x:c>
      <x:c r="I148" s="406"/>
      <x:c r="J148" s="402">
        <x:f>'1E - EDIT Amortization'!$Q$192/12</x:f>
        <x:v>0</x:v>
      </x:c>
      <x:c r="K148" s="400">
        <x:f t="shared" si="28"/>
        <x:v>0</x:v>
      </x:c>
      <x:c r="L148" s="400">
        <x:f t="shared" si="33"/>
        <x:v>0</x:v>
      </x:c>
      <x:c r="M148" s="406"/>
      <x:c r="N148" s="402">
        <x:v>0</x:v>
      </x:c>
      <x:c r="O148" s="400">
        <x:f t="shared" si="29"/>
        <x:v>0</x:v>
      </x:c>
      <x:c r="P148" s="400">
        <x:f t="shared" si="30"/>
        <x:v>0</x:v>
      </x:c>
      <x:c r="Q148" s="400">
        <x:f t="shared" si="31"/>
        <x:v>0</x:v>
      </x:c>
      <x:c r="R148" s="400">
        <x:f t="shared" si="34"/>
        <x:v>0</x:v>
      </x:c>
    </x:row>
    <x:row r="149" spans="2:18">
      <x:c r="B149" s="1307">
        <x:f t="shared" si="32"/>
        <x:v>91</x:v>
      </x:c>
      <x:c r="D149" s="190" t="str">
        <x:f>"Total (Sum of Lines "&amp;B137&amp;" - "&amp;B148&amp;")"</x:f>
        <x:v>Total (Sum of Lines 79 - 90)</x:v>
      </x:c>
      <x:c r="E149" s="405">
        <x:f>SUM(E137:E148)</x:f>
        <x:v>365</x:v>
      </x:c>
      <x:c r="F149" s="191"/>
      <x:c r="G149" s="191"/>
      <x:c r="H149" s="192"/>
      <x:c r="I149" s="403"/>
      <x:c r="J149" s="405">
        <x:f>SUM(J137:J148)</x:f>
        <x:v>0</x:v>
      </x:c>
      <x:c r="K149" s="405">
        <x:f>SUM(K137:K148)</x:f>
        <x:v>0</x:v>
      </x:c>
      <x:c r="L149" s="404"/>
      <x:c r="M149" s="403"/>
      <x:c r="N149" s="405">
        <x:f>SUM(N137:N148)</x:f>
        <x:v>0</x:v>
      </x:c>
      <x:c r="O149" s="405">
        <x:f>SUM(O137:O148)</x:f>
        <x:v>0</x:v>
      </x:c>
      <x:c r="P149" s="405">
        <x:f>SUM(P137:P148)</x:f>
        <x:v>0</x:v>
      </x:c>
      <x:c r="Q149" s="405">
        <x:f>SUM(Q137:Q148)</x:f>
        <x:v>0</x:v>
      </x:c>
      <x:c r="R149" s="404"/>
    </x:row>
    <x:row r="150" spans="2:18">
      <x:c r="D150" s="193"/>
      <x:c r="E150" s="193"/>
      <x:c r="F150" s="193"/>
      <x:c r="G150" s="193"/>
      <x:c r="H150" s="194"/>
      <x:c r="I150" s="194"/>
      <x:c r="K150" s="195"/>
      <x:c r="L150" s="194"/>
      <x:c r="M150" s="194"/>
      <x:c r="O150" s="195"/>
      <x:c r="P150" s="195"/>
      <x:c r="Q150" s="195"/>
      <x:c r="R150" s="194"/>
    </x:row>
    <x:row r="151" spans="2:18">
      <x:c r="B151" s="1307">
        <x:f>B149+1</x:f>
        <x:v>92</x:v>
      </x:c>
      <x:c r="D151" s="167" t="s">
        <x:v>1211</x:v>
      </x:c>
      <x:c r="I151" s="194"/>
      <x:c r="J151" s="402" t="str">
        <x:f>$J$14</x:f>
        <x:v>12/31/2024 (Actuals)</x:v>
      </x:c>
      <x:c r="L151" s="402">
        <x:f>'1E - EDIT Amortization'!O174+'1E - EDIT Amortization'!O183</x:f>
        <x:v>0</x:v>
      </x:c>
      <x:c r="M151" s="196"/>
      <x:c r="N151" s="402">
        <x:f>$N$14</x:f>
        <x:v>0</x:v>
      </x:c>
      <x:c r="R151" s="402">
        <x:v>0</x:v>
      </x:c>
    </x:row>
    <x:row r="152" spans="2:18">
      <x:c r="B152" s="1307">
        <x:f>B151+1</x:f>
        <x:v>93</x:v>
      </x:c>
      <x:c r="D152" s="167" t="s">
        <x:v>1212</x:v>
      </x:c>
      <x:c r="I152" s="194"/>
      <x:c r="J152" s="197" t="s">
        <x:v>588</x:v>
      </x:c>
      <x:c r="L152" s="198">
        <x:v>0</x:v>
      </x:c>
      <x:c r="M152" s="199"/>
      <x:c r="N152" s="197" t="s">
        <x:v>588</x:v>
      </x:c>
      <x:c r="R152" s="198">
        <x:v>0</x:v>
      </x:c>
    </x:row>
    <x:row r="153" spans="2:18">
      <x:c r="B153" s="1307">
        <x:f>B152+1</x:f>
        <x:v>94</x:v>
      </x:c>
      <x:c r="D153" s="167" t="s">
        <x:v>1213</x:v>
      </x:c>
      <x:c r="I153" s="194"/>
      <x:c r="J153" s="190" t="str">
        <x:f>"(Col. "&amp;L130&amp;", Line "&amp;B151&amp;" + Line "&amp;B152&amp;")"</x:f>
        <x:v>(Col. (H), Line 92 + Line 93)</x:v>
      </x:c>
      <x:c r="L153" s="401">
        <x:f>L151+L152</x:f>
        <x:v>0</x:v>
      </x:c>
      <x:c r="M153" s="194"/>
      <x:c r="N153" s="190" t="str">
        <x:f>"(Col. "&amp;R130&amp;", Line "&amp;B151&amp;" + Line "&amp;B152&amp;")"</x:f>
        <x:v>(Col. (M), Line 92 + Line 93)</x:v>
      </x:c>
      <x:c r="R153" s="401">
        <x:f>R151+R152</x:f>
        <x:v>0</x:v>
      </x:c>
    </x:row>
    <x:row r="154" spans="2:18">
      <x:c r="I154" s="194"/>
      <x:c r="L154" s="401"/>
      <x:c r="M154" s="194"/>
      <x:c r="R154" s="401"/>
    </x:row>
    <x:row r="155" spans="2:18">
      <x:c r="B155" s="1307">
        <x:f>B153+1</x:f>
        <x:v>95</x:v>
      </x:c>
      <x:c r="D155" s="167" t="s">
        <x:v>1214</x:v>
      </x:c>
      <x:c r="I155" s="194"/>
      <x:c r="J155" s="402" t="str">
        <x:f>$J$16</x:f>
        <x:v>12/31/2025 (Projected)</x:v>
      </x:c>
      <x:c r="L155" s="402">
        <x:f>'1E - EDIT Amortization'!S174+'1E - EDIT Amortization'!S183</x:f>
        <x:v>0</x:v>
      </x:c>
      <x:c r="M155" s="196"/>
      <x:c r="N155" s="402">
        <x:f>$N$16</x:f>
        <x:v>0</x:v>
      </x:c>
      <x:c r="R155" s="402">
        <x:v>0</x:v>
      </x:c>
    </x:row>
    <x:row r="156" spans="2:18">
      <x:c r="B156" s="1307">
        <x:f>B155+1</x:f>
        <x:v>96</x:v>
      </x:c>
      <x:c r="D156" s="167" t="s">
        <x:v>1215</x:v>
      </x:c>
      <x:c r="I156" s="194"/>
      <x:c r="J156" s="197" t="s">
        <x:v>588</x:v>
      </x:c>
      <x:c r="L156" s="198">
        <x:v>0</x:v>
      </x:c>
      <x:c r="M156" s="194"/>
      <x:c r="N156" s="197" t="s">
        <x:v>588</x:v>
      </x:c>
      <x:c r="R156" s="198">
        <x:v>0</x:v>
      </x:c>
    </x:row>
    <x:row r="157" spans="2:18">
      <x:c r="B157" s="1307">
        <x:f>B156+1</x:f>
        <x:v>97</x:v>
      </x:c>
      <x:c r="D157" s="167" t="s">
        <x:v>1216</x:v>
      </x:c>
      <x:c r="G157" s="190"/>
      <x:c r="I157" s="194"/>
      <x:c r="J157" s="190" t="str">
        <x:f>"(Col. "&amp;L130&amp;", Line "&amp;B155&amp;" + Line "&amp;B156&amp;")"</x:f>
        <x:v>(Col. (H), Line 95 + Line 96)</x:v>
      </x:c>
      <x:c r="L157" s="401">
        <x:f>L155+L156</x:f>
        <x:v>0</x:v>
      </x:c>
      <x:c r="M157" s="194"/>
      <x:c r="N157" s="190" t="str">
        <x:f>"(Col. "&amp;R130&amp;", Line "&amp;B155&amp;" + Line "&amp;B156&amp;")"</x:f>
        <x:v>(Col. (M), Line 95 + Line 96)</x:v>
      </x:c>
      <x:c r="R157" s="401">
        <x:f>R155+R156</x:f>
        <x:v>0</x:v>
      </x:c>
    </x:row>
    <x:row r="158" spans="2:18">
      <x:c r="I158" s="194"/>
      <x:c r="L158" s="401"/>
      <x:c r="M158" s="194"/>
      <x:c r="R158" s="401"/>
    </x:row>
    <x:row r="159" spans="2:18">
      <x:c r="B159" s="1307">
        <x:f>B157+1</x:f>
        <x:v>98</x:v>
      </x:c>
      <x:c r="D159" s="167" t="s">
        <x:v>915</x:v>
      </x:c>
      <x:c r="I159" s="194"/>
      <x:c r="J159" s="190" t="str">
        <x:f>"([Col. "&amp;L130&amp;", Line "&amp;B153&amp;" + Line "&amp;B157&amp;"] / 2)"</x:f>
        <x:v>([Col. (H), Line 94 + Line 97] / 2)</x:v>
      </x:c>
      <x:c r="L159" s="400">
        <x:f>(L153+L157)/2</x:f>
        <x:v>0</x:v>
      </x:c>
      <x:c r="M159" s="194"/>
      <x:c r="N159" s="190" t="str">
        <x:f>"([Col. "&amp;R130&amp;", Line "&amp;B153&amp;" + Line "&amp;B157&amp;"] / 2)"</x:f>
        <x:v>([Col. (M), Line 94 + Line 97] / 2)</x:v>
      </x:c>
      <x:c r="R159" s="400">
        <x:f>(R153+R157)/2</x:f>
        <x:v>0</x:v>
      </x:c>
    </x:row>
    <x:row r="160" spans="2:18">
      <x:c r="B160" s="1307">
        <x:f>B159+1</x:f>
        <x:v>99</x:v>
      </x:c>
      <x:c r="D160" s="285" t="s">
        <x:v>1217</x:v>
      </x:c>
      <x:c r="E160" s="193"/>
      <x:c r="F160" s="193"/>
      <x:c r="G160" s="193"/>
      <x:c r="H160" s="194"/>
      <x:c r="I160" s="194"/>
      <x:c r="J160" s="190" t="str">
        <x:f>"(Col. "&amp;L130&amp;", Line "&amp;B148&amp;" )"</x:f>
        <x:v>(Col. (H), Line 90 )</x:v>
      </x:c>
      <x:c r="K160" s="195"/>
      <x:c r="L160" s="400">
        <x:f>L148</x:f>
        <x:v>0</x:v>
      </x:c>
      <x:c r="M160" s="194"/>
      <x:c r="N160" s="190" t="str">
        <x:f>"(Col. "&amp;R130&amp;", Line "&amp;B148&amp;" )"</x:f>
        <x:v>(Col. (M), Line 90 )</x:v>
      </x:c>
      <x:c r="R160" s="400">
        <x:f>R148</x:f>
        <x:v>0</x:v>
      </x:c>
    </x:row>
    <x:row r="161" spans="2:18" ht="13.5" thickBot="1">
      <x:c r="B161" s="1307">
        <x:f>B160+1</x:f>
        <x:v>100</x:v>
      </x:c>
      <x:c r="D161" s="200" t="s">
        <x:v>1218</x:v>
      </x:c>
      <x:c r="E161" s="193"/>
      <x:c r="F161" s="193"/>
      <x:c r="G161" s="193"/>
      <x:c r="H161" s="194"/>
      <x:c r="I161" s="194"/>
      <x:c r="J161" s="190" t="str">
        <x:f>"(Col. "&amp;L130&amp;", Line "&amp;B159&amp;" + Line "&amp;B160&amp;")"</x:f>
        <x:v>(Col. (H), Line 98 + Line 99)</x:v>
      </x:c>
      <x:c r="K161" s="195"/>
      <x:c r="L161" s="399">
        <x:f>L159+L160</x:f>
        <x:v>0</x:v>
      </x:c>
      <x:c r="M161" s="194"/>
      <x:c r="N161" s="190" t="str">
        <x:f>"(Col. "&amp;R130&amp;", Line "&amp;B159&amp;" + Line "&amp;B160&amp;")"</x:f>
        <x:v>(Col. (M), Line 98 + Line 99)</x:v>
      </x:c>
      <x:c r="R161" s="399">
        <x:f>R159+R160</x:f>
        <x:v>0</x:v>
      </x:c>
    </x:row>
    <x:row r="162" spans="2:18">
      <x:c r="I162" s="194"/>
      <x:c r="L162" s="400"/>
      <x:c r="M162" s="194"/>
      <x:c r="R162" s="400"/>
    </x:row>
    <x:row r="163" spans="2:18">
      <x:c r="D163" s="180" t="s">
        <x:v>1219</x:v>
      </x:c>
      <x:c r="J163" s="201"/>
      <x:c r="K163" s="202"/>
      <x:c r="L163" s="202"/>
      <x:c r="N163" s="202"/>
      <x:c r="O163" s="202"/>
      <x:c r="P163" s="202"/>
      <x:c r="Q163" s="202"/>
      <x:c r="R163" s="202"/>
    </x:row>
    <x:row r="164" spans="2:18">
      <x:c r="D164" s="1591" t="s">
        <x:v>835</x:v>
      </x:c>
      <x:c r="E164" s="1592"/>
      <x:c r="F164" s="1592"/>
      <x:c r="G164" s="1592"/>
      <x:c r="H164" s="1593"/>
      <x:c r="I164" s="184"/>
      <x:c r="J164" s="1594" t="s">
        <x:v>1208</x:v>
      </x:c>
      <x:c r="K164" s="1595"/>
      <x:c r="L164" s="1596"/>
      <x:c r="M164" s="184"/>
      <x:c r="N164" s="1594" t="s">
        <x:v>1209</x:v>
      </x:c>
      <x:c r="O164" s="1595"/>
      <x:c r="P164" s="1595"/>
      <x:c r="Q164" s="1595"/>
      <x:c r="R164" s="1596"/>
    </x:row>
    <x:row r="165" spans="2:18">
      <x:c r="D165" s="185" t="s">
        <x:v>163</x:v>
      </x:c>
      <x:c r="E165" s="185" t="s">
        <x:v>164</x:v>
      </x:c>
      <x:c r="F165" s="185" t="s">
        <x:v>1154</x:v>
      </x:c>
      <x:c r="G165" s="185" t="s">
        <x:v>1155</x:v>
      </x:c>
      <x:c r="H165" s="185" t="s">
        <x:v>1156</x:v>
      </x:c>
      <x:c r="I165" s="184"/>
      <x:c r="J165" s="185" t="s">
        <x:v>1157</x:v>
      </x:c>
      <x:c r="K165" s="185" t="s">
        <x:v>1158</x:v>
      </x:c>
      <x:c r="L165" s="185" t="s">
        <x:v>1159</x:v>
      </x:c>
      <x:c r="M165" s="184"/>
      <x:c r="N165" s="185" t="s">
        <x:v>1160</x:v>
      </x:c>
      <x:c r="O165" s="185" t="s">
        <x:v>1161</x:v>
      </x:c>
      <x:c r="P165" s="185" t="s">
        <x:v>1162</x:v>
      </x:c>
      <x:c r="Q165" s="185" t="s">
        <x:v>1163</x:v>
      </x:c>
      <x:c r="R165" s="185" t="s">
        <x:v>1164</x:v>
      </x:c>
    </x:row>
    <x:row r="166" spans="2:18" ht="51">
      <x:c r="B166" s="186" t="s">
        <x:v>523</x:v>
      </x:c>
      <x:c r="D166" s="187" t="s">
        <x:v>158</x:v>
      </x:c>
      <x:c r="E166" s="187" t="s">
        <x:v>836</x:v>
      </x:c>
      <x:c r="F166" s="187" t="s">
        <x:v>837</x:v>
      </x:c>
      <x:c r="G166" s="187" t="s">
        <x:v>838</x:v>
      </x:c>
      <x:c r="H166" s="187" t="s">
        <x:v>1165</x:v>
      </x:c>
      <x:c r="I166" s="397"/>
      <x:c r="J166" s="187" t="s">
        <x:v>839</x:v>
      </x:c>
      <x:c r="K166" s="187" t="s">
        <x:v>1166</x:v>
      </x:c>
      <x:c r="L166" s="187" t="s">
        <x:v>1167</x:v>
      </x:c>
      <x:c r="M166" s="397"/>
      <x:c r="N166" s="187" t="s">
        <x:v>918</x:v>
      </x:c>
      <x:c r="O166" s="187" t="s">
        <x:v>1168</x:v>
      </x:c>
      <x:c r="P166" s="187" t="s">
        <x:v>1169</x:v>
      </x:c>
      <x:c r="Q166" s="187" t="s">
        <x:v>1170</x:v>
      </x:c>
      <x:c r="R166" s="187" t="s">
        <x:v>1171</x:v>
      </x:c>
    </x:row>
    <x:row r="167" spans="2:18">
      <x:c r="E167" s="397"/>
      <x:c r="F167" s="397"/>
      <x:c r="G167" s="397"/>
      <x:c r="H167" s="397"/>
      <x:c r="I167" s="397"/>
      <x:c r="J167" s="397"/>
      <x:c r="K167" s="397"/>
      <x:c r="L167" s="397"/>
      <x:c r="M167" s="397"/>
      <x:c r="N167" s="397"/>
      <x:c r="O167" s="397"/>
      <x:c r="P167" s="397"/>
      <x:c r="Q167" s="397"/>
      <x:c r="R167" s="397"/>
    </x:row>
    <x:row r="168" spans="2:18">
      <x:c r="B168" s="1307">
        <x:f>B161+1</x:f>
        <x:v>101</x:v>
      </x:c>
      <x:c r="D168" s="167" t="s">
        <x:v>1210</x:v>
      </x:c>
      <x:c r="E168" s="397"/>
      <x:c r="F168" s="397"/>
      <x:c r="G168" s="397"/>
      <x:c r="H168" s="397"/>
      <x:c r="I168" s="397"/>
      <x:c r="J168" s="402" t="str">
        <x:f>$J$14</x:f>
        <x:v>12/31/2024 (Actuals)</x:v>
      </x:c>
      <x:c r="K168" s="397"/>
      <x:c r="L168" s="402">
        <x:f>'1E - EDIT Amortization'!O194</x:f>
        <x:v>0</x:v>
      </x:c>
      <x:c r="M168" s="397"/>
      <x:c r="N168" s="402">
        <x:f>$N$14</x:f>
        <x:v>0</x:v>
      </x:c>
      <x:c r="O168" s="397"/>
      <x:c r="P168" s="397"/>
      <x:c r="Q168" s="397"/>
      <x:c r="R168" s="402">
        <x:v>0</x:v>
      </x:c>
    </x:row>
    <x:row r="169" spans="2:18">
      <x:c r="E169" s="397"/>
      <x:c r="F169" s="397"/>
      <x:c r="G169" s="397"/>
      <x:c r="H169" s="397"/>
      <x:c r="I169" s="397"/>
      <x:c r="J169" s="397"/>
      <x:c r="K169" s="397"/>
      <x:c r="L169" s="397"/>
      <x:c r="M169" s="397"/>
      <x:c r="N169" s="397"/>
      <x:c r="O169" s="397"/>
      <x:c r="P169" s="397"/>
      <x:c r="Q169" s="397"/>
      <x:c r="R169" s="397"/>
    </x:row>
    <x:row r="170" spans="2:18">
      <x:c r="B170" s="1307">
        <x:f>B168+1</x:f>
        <x:v>102</x:v>
      </x:c>
      <x:c r="D170" s="167" t="s">
        <x:v>1526</x:v>
      </x:c>
      <x:c r="E170" s="397"/>
      <x:c r="F170" s="397"/>
      <x:c r="G170" s="397"/>
      <x:c r="H170" s="397"/>
      <x:c r="I170" s="397"/>
      <x:c r="J170" s="402" t="str">
        <x:f>$J$16</x:f>
        <x:v>12/31/2025 (Projected)</x:v>
      </x:c>
      <x:c r="K170" s="397"/>
      <x:c r="L170" s="397"/>
      <x:c r="M170" s="397"/>
      <x:c r="N170" s="402">
        <x:f>$N$16</x:f>
        <x:v>0</x:v>
      </x:c>
      <x:c r="O170" s="397"/>
      <x:c r="P170" s="397"/>
      <x:c r="Q170" s="397"/>
      <x:c r="R170" s="397"/>
    </x:row>
    <x:row r="171" spans="2:18">
      <x:c r="E171" s="397"/>
      <x:c r="F171" s="397"/>
      <x:c r="G171" s="397"/>
      <x:c r="H171" s="397"/>
      <x:c r="I171" s="397"/>
      <x:c r="J171" s="397"/>
      <x:c r="K171" s="397"/>
      <x:c r="L171" s="397"/>
      <x:c r="M171" s="397"/>
      <x:c r="N171" s="397"/>
      <x:c r="O171" s="397"/>
      <x:c r="P171" s="397"/>
      <x:c r="Q171" s="397"/>
      <x:c r="R171" s="397"/>
    </x:row>
    <x:row r="172" spans="2:18">
      <x:c r="B172" s="1307">
        <x:f>B170+1</x:f>
        <x:v>103</x:v>
      </x:c>
      <x:c r="D172" s="188" t="s">
        <x:v>473</x:v>
      </x:c>
      <x:c r="E172" s="402">
        <x:v>31</x:v>
      </x:c>
      <x:c r="F172" s="408">
        <x:v>0</x:v>
      </x:c>
      <x:c r="G172" s="408">
        <x:v>214</x:v>
      </x:c>
      <x:c r="H172" s="407">
        <x:f t="shared" ref="H172:H183" si="36">IF(F172=0,0.5,F172/G172)</x:f>
        <x:v>0.5</x:v>
      </x:c>
      <x:c r="I172" s="406"/>
      <x:c r="J172" s="402">
        <x:f>'1E - EDIT Amortization'!$Q$194/12</x:f>
        <x:v>0</x:v>
      </x:c>
      <x:c r="K172" s="400">
        <x:f t="shared" ref="K172:K183" si="37">+J172*H172</x:f>
        <x:v>0</x:v>
      </x:c>
      <x:c r="L172" s="400">
        <x:f>+K172+L168</x:f>
        <x:v>0</x:v>
      </x:c>
      <x:c r="M172" s="406"/>
      <x:c r="N172" s="402">
        <x:v>0</x:v>
      </x:c>
      <x:c r="O172" s="400">
        <x:f t="shared" ref="O172:O183" si="38">IF($D$249="True-Up Adjustment",N172-J172,0)</x:f>
        <x:v>0</x:v>
      </x:c>
      <x:c r="P172" s="400">
        <x:f t="shared" ref="P172:P183" si="39">IF($D$249="True-Up Adjustment",IF(AND(J172&gt;=0,N172&gt;=0),IF(O172&gt;=0,K172+O172,N172/J172*K172),IF(AND(J172&lt;0,N172&lt;0),IF(O172&lt;0,K172+O172,N172/J172*K172),0)),0)</x:f>
        <x:v>0</x:v>
      </x:c>
      <x:c r="Q172" s="400">
        <x:f t="shared" ref="Q172:Q183" si="40">IF(AND(J172&gt;=0,N172&lt;0),N172,IF(AND(J172&lt;0,N172&gt;=0),N172,0))</x:f>
        <x:v>0</x:v>
      </x:c>
      <x:c r="R172" s="400">
        <x:f>R168+P172+Q172</x:f>
        <x:v>0</x:v>
      </x:c>
    </x:row>
    <x:row r="173" spans="2:18">
      <x:c r="B173" s="1307">
        <x:f t="shared" ref="B173:B184" si="41">+B172+1</x:f>
        <x:v>104</x:v>
      </x:c>
      <x:c r="D173" s="188" t="s">
        <x:v>474</x:v>
      </x:c>
      <x:c r="E173" s="402">
        <x:v>28</x:v>
      </x:c>
      <x:c r="F173" s="408">
        <x:v>0</x:v>
      </x:c>
      <x:c r="G173" s="408">
        <x:v>214</x:v>
      </x:c>
      <x:c r="H173" s="407">
        <x:f t="shared" si="36"/>
        <x:v>0.5</x:v>
      </x:c>
      <x:c r="I173" s="406"/>
      <x:c r="J173" s="402">
        <x:f>'1E - EDIT Amortization'!$Q$194/12</x:f>
        <x:v>0</x:v>
      </x:c>
      <x:c r="K173" s="400">
        <x:f t="shared" si="37"/>
        <x:v>0</x:v>
      </x:c>
      <x:c r="L173" s="400">
        <x:f t="shared" ref="L173:L183" si="42">+K173+L172</x:f>
        <x:v>0</x:v>
      </x:c>
      <x:c r="M173" s="406"/>
      <x:c r="N173" s="402">
        <x:v>0</x:v>
      </x:c>
      <x:c r="O173" s="400">
        <x:f t="shared" si="38"/>
        <x:v>0</x:v>
      </x:c>
      <x:c r="P173" s="400">
        <x:f t="shared" si="39"/>
        <x:v>0</x:v>
      </x:c>
      <x:c r="Q173" s="400">
        <x:f t="shared" si="40"/>
        <x:v>0</x:v>
      </x:c>
      <x:c r="R173" s="400">
        <x:f t="shared" ref="R173:R183" si="43">R172+P173+Q173</x:f>
        <x:v>0</x:v>
      </x:c>
    </x:row>
    <x:row r="174" spans="2:18">
      <x:c r="B174" s="1307">
        <x:f t="shared" si="41"/>
        <x:v>105</x:v>
      </x:c>
      <x:c r="D174" s="188" t="s">
        <x:v>495</x:v>
      </x:c>
      <x:c r="E174" s="402">
        <x:v>31</x:v>
      </x:c>
      <x:c r="F174" s="408">
        <x:v>0</x:v>
      </x:c>
      <x:c r="G174" s="408">
        <x:v>214</x:v>
      </x:c>
      <x:c r="H174" s="407">
        <x:f t="shared" si="36"/>
        <x:v>0.5</x:v>
      </x:c>
      <x:c r="I174" s="406"/>
      <x:c r="J174" s="402">
        <x:f>'1E - EDIT Amortization'!$Q$194/12</x:f>
        <x:v>0</x:v>
      </x:c>
      <x:c r="K174" s="400">
        <x:f t="shared" si="37"/>
        <x:v>0</x:v>
      </x:c>
      <x:c r="L174" s="400">
        <x:f t="shared" si="42"/>
        <x:v>0</x:v>
      </x:c>
      <x:c r="M174" s="406"/>
      <x:c r="N174" s="402">
        <x:v>0</x:v>
      </x:c>
      <x:c r="O174" s="400">
        <x:f t="shared" si="38"/>
        <x:v>0</x:v>
      </x:c>
      <x:c r="P174" s="400">
        <x:f t="shared" si="39"/>
        <x:v>0</x:v>
      </x:c>
      <x:c r="Q174" s="400">
        <x:f t="shared" si="40"/>
        <x:v>0</x:v>
      </x:c>
      <x:c r="R174" s="400">
        <x:f t="shared" si="43"/>
        <x:v>0</x:v>
      </x:c>
    </x:row>
    <x:row r="175" spans="2:18">
      <x:c r="B175" s="1307">
        <x:f t="shared" si="41"/>
        <x:v>106</x:v>
      </x:c>
      <x:c r="D175" s="188" t="s">
        <x:v>160</x:v>
      </x:c>
      <x:c r="E175" s="402">
        <x:v>30</x:v>
      </x:c>
      <x:c r="F175" s="408">
        <x:v>0</x:v>
      </x:c>
      <x:c r="G175" s="408">
        <x:v>214</x:v>
      </x:c>
      <x:c r="H175" s="407">
        <x:f t="shared" si="36"/>
        <x:v>0.5</x:v>
      </x:c>
      <x:c r="I175" s="406"/>
      <x:c r="J175" s="402">
        <x:f>'1E - EDIT Amortization'!$Q$194/12</x:f>
        <x:v>0</x:v>
      </x:c>
      <x:c r="K175" s="400">
        <x:f t="shared" si="37"/>
        <x:v>0</x:v>
      </x:c>
      <x:c r="L175" s="400">
        <x:f t="shared" si="42"/>
        <x:v>0</x:v>
      </x:c>
      <x:c r="M175" s="406"/>
      <x:c r="N175" s="402">
        <x:v>0</x:v>
      </x:c>
      <x:c r="O175" s="400">
        <x:f t="shared" si="38"/>
        <x:v>0</x:v>
      </x:c>
      <x:c r="P175" s="400">
        <x:f t="shared" si="39"/>
        <x:v>0</x:v>
      </x:c>
      <x:c r="Q175" s="400">
        <x:f t="shared" si="40"/>
        <x:v>0</x:v>
      </x:c>
      <x:c r="R175" s="400">
        <x:f t="shared" si="43"/>
        <x:v>0</x:v>
      </x:c>
    </x:row>
    <x:row r="176" spans="2:18">
      <x:c r="B176" s="1307">
        <x:f t="shared" si="41"/>
        <x:v>107</x:v>
      </x:c>
      <x:c r="D176" s="188" t="s">
        <x:v>161</x:v>
      </x:c>
      <x:c r="E176" s="402">
        <x:v>31</x:v>
      </x:c>
      <x:c r="F176" s="408">
        <x:v>0</x:v>
      </x:c>
      <x:c r="G176" s="408">
        <x:v>214</x:v>
      </x:c>
      <x:c r="H176" s="407">
        <x:f t="shared" si="36"/>
        <x:v>0.5</x:v>
      </x:c>
      <x:c r="I176" s="406"/>
      <x:c r="J176" s="402">
        <x:f>'1E - EDIT Amortization'!$Q$194/12</x:f>
        <x:v>0</x:v>
      </x:c>
      <x:c r="K176" s="400">
        <x:f t="shared" si="37"/>
        <x:v>0</x:v>
      </x:c>
      <x:c r="L176" s="400">
        <x:f t="shared" si="42"/>
        <x:v>0</x:v>
      </x:c>
      <x:c r="M176" s="406"/>
      <x:c r="N176" s="402">
        <x:v>0</x:v>
      </x:c>
      <x:c r="O176" s="400">
        <x:f t="shared" si="38"/>
        <x:v>0</x:v>
      </x:c>
      <x:c r="P176" s="400">
        <x:f t="shared" si="39"/>
        <x:v>0</x:v>
      </x:c>
      <x:c r="Q176" s="400">
        <x:f t="shared" si="40"/>
        <x:v>0</x:v>
      </x:c>
      <x:c r="R176" s="400">
        <x:f t="shared" si="43"/>
        <x:v>0</x:v>
      </x:c>
    </x:row>
    <x:row r="177" spans="2:18">
      <x:c r="B177" s="1307">
        <x:f t="shared" si="41"/>
        <x:v>108</x:v>
      </x:c>
      <x:c r="D177" s="188" t="s">
        <x:v>162</x:v>
      </x:c>
      <x:c r="E177" s="402">
        <x:v>30</x:v>
      </x:c>
      <x:c r="F177" s="408">
        <x:f t="shared" ref="F177:F182" si="44">F178+E178</x:f>
        <x:v>185</x:v>
      </x:c>
      <x:c r="G177" s="408">
        <x:v>214</x:v>
      </x:c>
      <x:c r="H177" s="407">
        <x:f t="shared" si="36"/>
        <x:v>0.86448598130841126</x:v>
      </x:c>
      <x:c r="I177" s="406"/>
      <x:c r="J177" s="402">
        <x:f>'1E - EDIT Amortization'!$Q$194/12</x:f>
        <x:v>0</x:v>
      </x:c>
      <x:c r="K177" s="400">
        <x:f t="shared" si="37"/>
        <x:v>0</x:v>
      </x:c>
      <x:c r="L177" s="400">
        <x:f t="shared" si="42"/>
        <x:v>0</x:v>
      </x:c>
      <x:c r="M177" s="406"/>
      <x:c r="N177" s="402">
        <x:v>0</x:v>
      </x:c>
      <x:c r="O177" s="400">
        <x:f t="shared" si="38"/>
        <x:v>0</x:v>
      </x:c>
      <x:c r="P177" s="400">
        <x:f t="shared" si="39"/>
        <x:v>0</x:v>
      </x:c>
      <x:c r="Q177" s="400">
        <x:f t="shared" si="40"/>
        <x:v>0</x:v>
      </x:c>
      <x:c r="R177" s="400">
        <x:f t="shared" si="43"/>
        <x:v>0</x:v>
      </x:c>
    </x:row>
    <x:row r="178" spans="2:18">
      <x:c r="B178" s="1307">
        <x:f t="shared" si="41"/>
        <x:v>109</x:v>
      </x:c>
      <x:c r="D178" s="188" t="s">
        <x:v>476</x:v>
      </x:c>
      <x:c r="E178" s="402">
        <x:v>31</x:v>
      </x:c>
      <x:c r="F178" s="408">
        <x:f t="shared" si="44"/>
        <x:v>154</x:v>
      </x:c>
      <x:c r="G178" s="408">
        <x:v>214</x:v>
      </x:c>
      <x:c r="H178" s="407">
        <x:f t="shared" si="36"/>
        <x:v>0.71962616822429903</x:v>
      </x:c>
      <x:c r="I178" s="406"/>
      <x:c r="J178" s="402">
        <x:f>'1E - EDIT Amortization'!$Q$194/12</x:f>
        <x:v>0</x:v>
      </x:c>
      <x:c r="K178" s="400">
        <x:f t="shared" si="37"/>
        <x:v>0</x:v>
      </x:c>
      <x:c r="L178" s="400">
        <x:f t="shared" si="42"/>
        <x:v>0</x:v>
      </x:c>
      <x:c r="M178" s="406"/>
      <x:c r="N178" s="402">
        <x:v>0</x:v>
      </x:c>
      <x:c r="O178" s="400">
        <x:f t="shared" si="38"/>
        <x:v>0</x:v>
      </x:c>
      <x:c r="P178" s="400">
        <x:f t="shared" si="39"/>
        <x:v>0</x:v>
      </x:c>
      <x:c r="Q178" s="400">
        <x:f t="shared" si="40"/>
        <x:v>0</x:v>
      </x:c>
      <x:c r="R178" s="400">
        <x:f t="shared" si="43"/>
        <x:v>0</x:v>
      </x:c>
    </x:row>
    <x:row r="179" spans="2:18">
      <x:c r="B179" s="1307">
        <x:f t="shared" si="41"/>
        <x:v>110</x:v>
      </x:c>
      <x:c r="D179" s="188" t="s">
        <x:v>496</x:v>
      </x:c>
      <x:c r="E179" s="402">
        <x:v>31</x:v>
      </x:c>
      <x:c r="F179" s="408">
        <x:f t="shared" si="44"/>
        <x:v>123</x:v>
      </x:c>
      <x:c r="G179" s="408">
        <x:v>214</x:v>
      </x:c>
      <x:c r="H179" s="407">
        <x:f t="shared" si="36"/>
        <x:v>0.57476635514018692</x:v>
      </x:c>
      <x:c r="I179" s="406"/>
      <x:c r="J179" s="402">
        <x:f>'1E - EDIT Amortization'!$Q$194/12</x:f>
        <x:v>0</x:v>
      </x:c>
      <x:c r="K179" s="400">
        <x:f t="shared" si="37"/>
        <x:v>0</x:v>
      </x:c>
      <x:c r="L179" s="400">
        <x:f t="shared" si="42"/>
        <x:v>0</x:v>
      </x:c>
      <x:c r="M179" s="406"/>
      <x:c r="N179" s="402">
        <x:v>0</x:v>
      </x:c>
      <x:c r="O179" s="400">
        <x:f t="shared" si="38"/>
        <x:v>0</x:v>
      </x:c>
      <x:c r="P179" s="400">
        <x:f t="shared" si="39"/>
        <x:v>0</x:v>
      </x:c>
      <x:c r="Q179" s="400">
        <x:f t="shared" si="40"/>
        <x:v>0</x:v>
      </x:c>
      <x:c r="R179" s="400">
        <x:f t="shared" si="43"/>
        <x:v>0</x:v>
      </x:c>
    </x:row>
    <x:row r="180" spans="2:18">
      <x:c r="B180" s="1307">
        <x:f t="shared" si="41"/>
        <x:v>111</x:v>
      </x:c>
      <x:c r="D180" s="188" t="s">
        <x:v>478</x:v>
      </x:c>
      <x:c r="E180" s="402">
        <x:v>30</x:v>
      </x:c>
      <x:c r="F180" s="408">
        <x:f t="shared" si="44"/>
        <x:v>93</x:v>
      </x:c>
      <x:c r="G180" s="408">
        <x:v>214</x:v>
      </x:c>
      <x:c r="H180" s="407">
        <x:f t="shared" si="36"/>
        <x:v>0.43457943925233644</x:v>
      </x:c>
      <x:c r="I180" s="406"/>
      <x:c r="J180" s="402">
        <x:f>'1E - EDIT Amortization'!$Q$194/12</x:f>
        <x:v>0</x:v>
      </x:c>
      <x:c r="K180" s="400">
        <x:f t="shared" si="37"/>
        <x:v>0</x:v>
      </x:c>
      <x:c r="L180" s="400">
        <x:f t="shared" si="42"/>
        <x:v>0</x:v>
      </x:c>
      <x:c r="M180" s="406"/>
      <x:c r="N180" s="402">
        <x:v>0</x:v>
      </x:c>
      <x:c r="O180" s="400">
        <x:f t="shared" si="38"/>
        <x:v>0</x:v>
      </x:c>
      <x:c r="P180" s="400">
        <x:f t="shared" si="39"/>
        <x:v>0</x:v>
      </x:c>
      <x:c r="Q180" s="400">
        <x:f t="shared" si="40"/>
        <x:v>0</x:v>
      </x:c>
      <x:c r="R180" s="400">
        <x:f t="shared" si="43"/>
        <x:v>0</x:v>
      </x:c>
    </x:row>
    <x:row r="181" spans="2:18">
      <x:c r="B181" s="1307">
        <x:f t="shared" si="41"/>
        <x:v>112</x:v>
      </x:c>
      <x:c r="D181" s="188" t="s">
        <x:v>479</x:v>
      </x:c>
      <x:c r="E181" s="402">
        <x:v>31</x:v>
      </x:c>
      <x:c r="F181" s="408">
        <x:f t="shared" si="44"/>
        <x:v>62</x:v>
      </x:c>
      <x:c r="G181" s="408">
        <x:v>214</x:v>
      </x:c>
      <x:c r="H181" s="407">
        <x:f t="shared" si="36"/>
        <x:v>0.28971962616822428</x:v>
      </x:c>
      <x:c r="I181" s="406"/>
      <x:c r="J181" s="402">
        <x:f>'1E - EDIT Amortization'!$Q$194/12</x:f>
        <x:v>0</x:v>
      </x:c>
      <x:c r="K181" s="400">
        <x:f t="shared" si="37"/>
        <x:v>0</x:v>
      </x:c>
      <x:c r="L181" s="400">
        <x:f t="shared" si="42"/>
        <x:v>0</x:v>
      </x:c>
      <x:c r="M181" s="406"/>
      <x:c r="N181" s="402">
        <x:v>0</x:v>
      </x:c>
      <x:c r="O181" s="400">
        <x:f t="shared" si="38"/>
        <x:v>0</x:v>
      </x:c>
      <x:c r="P181" s="400">
        <x:f t="shared" si="39"/>
        <x:v>0</x:v>
      </x:c>
      <x:c r="Q181" s="400">
        <x:f t="shared" si="40"/>
        <x:v>0</x:v>
      </x:c>
      <x:c r="R181" s="400">
        <x:f t="shared" si="43"/>
        <x:v>0</x:v>
      </x:c>
    </x:row>
    <x:row r="182" spans="2:18">
      <x:c r="B182" s="1307">
        <x:f t="shared" si="41"/>
        <x:v>113</x:v>
      </x:c>
      <x:c r="D182" s="188" t="s">
        <x:v>480</x:v>
      </x:c>
      <x:c r="E182" s="402">
        <x:v>30</x:v>
      </x:c>
      <x:c r="F182" s="408">
        <x:f t="shared" si="44"/>
        <x:v>32</x:v>
      </x:c>
      <x:c r="G182" s="408">
        <x:v>214</x:v>
      </x:c>
      <x:c r="H182" s="407">
        <x:f t="shared" si="36"/>
        <x:v>0.14953271028037382</x:v>
      </x:c>
      <x:c r="I182" s="406"/>
      <x:c r="J182" s="402">
        <x:f>'1E - EDIT Amortization'!$Q$194/12</x:f>
        <x:v>0</x:v>
      </x:c>
      <x:c r="K182" s="400">
        <x:f t="shared" si="37"/>
        <x:v>0</x:v>
      </x:c>
      <x:c r="L182" s="400">
        <x:f t="shared" si="42"/>
        <x:v>0</x:v>
      </x:c>
      <x:c r="M182" s="406"/>
      <x:c r="N182" s="402">
        <x:v>0</x:v>
      </x:c>
      <x:c r="O182" s="400">
        <x:f t="shared" si="38"/>
        <x:v>0</x:v>
      </x:c>
      <x:c r="P182" s="400">
        <x:f t="shared" si="39"/>
        <x:v>0</x:v>
      </x:c>
      <x:c r="Q182" s="400">
        <x:f t="shared" si="40"/>
        <x:v>0</x:v>
      </x:c>
      <x:c r="R182" s="400">
        <x:f t="shared" si="43"/>
        <x:v>0</x:v>
      </x:c>
    </x:row>
    <x:row r="183" spans="2:18">
      <x:c r="B183" s="1307">
        <x:f t="shared" si="41"/>
        <x:v>114</x:v>
      </x:c>
      <x:c r="D183" s="189" t="s">
        <x:v>684</x:v>
      </x:c>
      <x:c r="E183" s="402">
        <x:v>31</x:v>
      </x:c>
      <x:c r="F183" s="408">
        <x:v>1</x:v>
      </x:c>
      <x:c r="G183" s="408">
        <x:v>214</x:v>
      </x:c>
      <x:c r="H183" s="407">
        <x:f t="shared" si="36"/>
        <x:v>4.6728971962616819E-3</x:v>
      </x:c>
      <x:c r="I183" s="406"/>
      <x:c r="J183" s="402">
        <x:f>'1E - EDIT Amortization'!$Q$194/12</x:f>
        <x:v>0</x:v>
      </x:c>
      <x:c r="K183" s="400">
        <x:f t="shared" si="37"/>
        <x:v>0</x:v>
      </x:c>
      <x:c r="L183" s="400">
        <x:f t="shared" si="42"/>
        <x:v>0</x:v>
      </x:c>
      <x:c r="M183" s="406"/>
      <x:c r="N183" s="402">
        <x:v>0</x:v>
      </x:c>
      <x:c r="O183" s="400">
        <x:f t="shared" si="38"/>
        <x:v>0</x:v>
      </x:c>
      <x:c r="P183" s="400">
        <x:f t="shared" si="39"/>
        <x:v>0</x:v>
      </x:c>
      <x:c r="Q183" s="400">
        <x:f t="shared" si="40"/>
        <x:v>0</x:v>
      </x:c>
      <x:c r="R183" s="400">
        <x:f t="shared" si="43"/>
        <x:v>0</x:v>
      </x:c>
    </x:row>
    <x:row r="184" spans="2:18">
      <x:c r="B184" s="1307">
        <x:f t="shared" si="41"/>
        <x:v>115</x:v>
      </x:c>
      <x:c r="D184" s="190" t="str">
        <x:f>"Total (Sum of Lines "&amp;B172&amp;" - "&amp;B183&amp;")"</x:f>
        <x:v>Total (Sum of Lines 103 - 114)</x:v>
      </x:c>
      <x:c r="E184" s="405">
        <x:f>SUM(E172:E183)</x:f>
        <x:v>365</x:v>
      </x:c>
      <x:c r="F184" s="191"/>
      <x:c r="G184" s="191"/>
      <x:c r="H184" s="192"/>
      <x:c r="I184" s="403"/>
      <x:c r="J184" s="405">
        <x:f>SUM(J172:J183)</x:f>
        <x:v>0</x:v>
      </x:c>
      <x:c r="K184" s="405">
        <x:f>SUM(K172:K183)</x:f>
        <x:v>0</x:v>
      </x:c>
      <x:c r="L184" s="405"/>
      <x:c r="M184" s="403"/>
      <x:c r="N184" s="405">
        <x:f>SUM(N172:N183)</x:f>
        <x:v>0</x:v>
      </x:c>
      <x:c r="O184" s="405">
        <x:f>SUM(O172:O183)</x:f>
        <x:v>0</x:v>
      </x:c>
      <x:c r="P184" s="405">
        <x:f>SUM(P172:P183)</x:f>
        <x:v>0</x:v>
      </x:c>
      <x:c r="Q184" s="405">
        <x:f>SUM(Q172:Q183)</x:f>
        <x:v>0</x:v>
      </x:c>
      <x:c r="R184" s="404"/>
    </x:row>
    <x:row r="185" spans="2:18">
      <x:c r="D185" s="193"/>
      <x:c r="E185" s="193"/>
      <x:c r="F185" s="193"/>
      <x:c r="G185" s="193"/>
      <x:c r="H185" s="194"/>
      <x:c r="I185" s="194"/>
      <x:c r="K185" s="195"/>
      <x:c r="L185" s="194"/>
      <x:c r="M185" s="194"/>
      <x:c r="N185" s="203"/>
      <x:c r="O185" s="195"/>
      <x:c r="P185" s="195"/>
      <x:c r="Q185" s="195"/>
      <x:c r="R185" s="194"/>
    </x:row>
    <x:row r="186" spans="2:18" ht="15" customHeight="1">
      <x:c r="B186" s="1307">
        <x:f>B184+1</x:f>
        <x:v>116</x:v>
      </x:c>
      <x:c r="D186" s="167" t="s">
        <x:v>1211</x:v>
      </x:c>
      <x:c r="I186" s="194"/>
      <x:c r="J186" s="402" t="str">
        <x:f>$J$14</x:f>
        <x:v>12/31/2024 (Actuals)</x:v>
      </x:c>
      <x:c r="L186" s="402">
        <x:f>'1E - EDIT Amortization'!O176+'1E - EDIT Amortization'!O185</x:f>
        <x:v>0</x:v>
      </x:c>
      <x:c r="M186" s="196"/>
      <x:c r="N186" s="402">
        <x:f>$N$14</x:f>
        <x:v>0</x:v>
      </x:c>
      <x:c r="R186" s="402">
        <x:v>0</x:v>
      </x:c>
    </x:row>
    <x:row r="187" spans="2:18">
      <x:c r="B187" s="1307">
        <x:f>B186+1</x:f>
        <x:v>117</x:v>
      </x:c>
      <x:c r="D187" s="167" t="s">
        <x:v>1212</x:v>
      </x:c>
      <x:c r="I187" s="194"/>
      <x:c r="J187" s="197" t="s">
        <x:v>588</x:v>
      </x:c>
      <x:c r="L187" s="198">
        <x:v>0</x:v>
      </x:c>
      <x:c r="M187" s="199"/>
      <x:c r="N187" s="197" t="s">
        <x:v>588</x:v>
      </x:c>
      <x:c r="R187" s="198">
        <x:v>0</x:v>
      </x:c>
    </x:row>
    <x:row r="188" spans="2:18">
      <x:c r="B188" s="1307">
        <x:f>B187+1</x:f>
        <x:v>118</x:v>
      </x:c>
      <x:c r="D188" s="167" t="s">
        <x:v>1213</x:v>
      </x:c>
      <x:c r="I188" s="194"/>
      <x:c r="J188" s="190" t="str">
        <x:f>"(Col. "&amp;L165&amp;", Line "&amp;B186&amp;" + Line "&amp;B187&amp;")"</x:f>
        <x:v>(Col. (H), Line 116 + Line 117)</x:v>
      </x:c>
      <x:c r="L188" s="401">
        <x:f>L186+L187</x:f>
        <x:v>0</x:v>
      </x:c>
      <x:c r="M188" s="194"/>
      <x:c r="N188" s="190" t="str">
        <x:f>"(Col. "&amp;R165&amp;", Line "&amp;B186&amp;" + Line "&amp;B187&amp;")"</x:f>
        <x:v>(Col. (M), Line 116 + Line 117)</x:v>
      </x:c>
      <x:c r="R188" s="401">
        <x:f>R186+R187</x:f>
        <x:v>0</x:v>
      </x:c>
    </x:row>
    <x:row r="189" spans="2:18">
      <x:c r="I189" s="194"/>
      <x:c r="L189" s="401"/>
      <x:c r="M189" s="194"/>
      <x:c r="R189" s="401"/>
    </x:row>
    <x:row r="190" spans="2:18">
      <x:c r="B190" s="1307">
        <x:f>B188+1</x:f>
        <x:v>119</x:v>
      </x:c>
      <x:c r="D190" s="167" t="s">
        <x:v>1214</x:v>
      </x:c>
      <x:c r="I190" s="194"/>
      <x:c r="J190" s="402" t="str">
        <x:f>$J$16</x:f>
        <x:v>12/31/2025 (Projected)</x:v>
      </x:c>
      <x:c r="L190" s="402">
        <x:f>'1E - EDIT Amortization'!S176+'1E - EDIT Amortization'!S185</x:f>
        <x:v>0</x:v>
      </x:c>
      <x:c r="M190" s="196"/>
      <x:c r="N190" s="402">
        <x:f>$N$16</x:f>
        <x:v>0</x:v>
      </x:c>
      <x:c r="R190" s="402">
        <x:v>0</x:v>
      </x:c>
    </x:row>
    <x:row r="191" spans="2:18">
      <x:c r="B191" s="1307">
        <x:f>B190+1</x:f>
        <x:v>120</x:v>
      </x:c>
      <x:c r="D191" s="167" t="s">
        <x:v>1215</x:v>
      </x:c>
      <x:c r="I191" s="194"/>
      <x:c r="J191" s="197" t="s">
        <x:v>588</x:v>
      </x:c>
      <x:c r="L191" s="198">
        <x:v>0</x:v>
      </x:c>
      <x:c r="M191" s="194"/>
      <x:c r="N191" s="197" t="s">
        <x:v>588</x:v>
      </x:c>
      <x:c r="R191" s="198">
        <x:v>0</x:v>
      </x:c>
    </x:row>
    <x:row r="192" spans="2:18">
      <x:c r="B192" s="1307">
        <x:f>B191+1</x:f>
        <x:v>121</x:v>
      </x:c>
      <x:c r="D192" s="167" t="s">
        <x:v>1216</x:v>
      </x:c>
      <x:c r="I192" s="194"/>
      <x:c r="J192" s="190" t="str">
        <x:f>"(Col. "&amp;L165&amp;", Line "&amp;B190&amp;" + Line "&amp;B191&amp;")"</x:f>
        <x:v>(Col. (H), Line 119 + Line 120)</x:v>
      </x:c>
      <x:c r="L192" s="401">
        <x:f>L190+L191</x:f>
        <x:v>0</x:v>
      </x:c>
      <x:c r="M192" s="194"/>
      <x:c r="N192" s="190" t="str">
        <x:f>"(Col. "&amp;R165&amp;", Line "&amp;B190&amp;" + Line "&amp;B191&amp;")"</x:f>
        <x:v>(Col. (M), Line 119 + Line 120)</x:v>
      </x:c>
      <x:c r="R192" s="401">
        <x:f>R190+R191</x:f>
        <x:v>0</x:v>
      </x:c>
    </x:row>
    <x:row r="193" spans="2:18">
      <x:c r="I193" s="194"/>
      <x:c r="L193" s="401"/>
      <x:c r="M193" s="194"/>
      <x:c r="R193" s="401"/>
    </x:row>
    <x:row r="194" spans="2:18">
      <x:c r="B194" s="1307">
        <x:f>B192+1</x:f>
        <x:v>122</x:v>
      </x:c>
      <x:c r="D194" s="167" t="s">
        <x:v>915</x:v>
      </x:c>
      <x:c r="I194" s="194"/>
      <x:c r="J194" s="190" t="str">
        <x:f>"([Col. "&amp;L165&amp;", Line "&amp;B188&amp;" + Line "&amp;B192&amp;"] / 2)"</x:f>
        <x:v>([Col. (H), Line 118 + Line 121] / 2)</x:v>
      </x:c>
      <x:c r="L194" s="400">
        <x:f>(L188+L192)/2</x:f>
        <x:v>0</x:v>
      </x:c>
      <x:c r="M194" s="194"/>
      <x:c r="N194" s="190" t="str">
        <x:f>"([Col. "&amp;R165&amp;", Line "&amp;B188&amp;" + Line "&amp;B192&amp;"] / 2)"</x:f>
        <x:v>([Col. (M), Line 118 + Line 121] / 2)</x:v>
      </x:c>
      <x:c r="R194" s="400">
        <x:f>(R188+R192)/2</x:f>
        <x:v>0</x:v>
      </x:c>
    </x:row>
    <x:row r="195" spans="2:18">
      <x:c r="B195" s="1307">
        <x:f>B194+1</x:f>
        <x:v>123</x:v>
      </x:c>
      <x:c r="D195" s="285" t="s">
        <x:v>1217</x:v>
      </x:c>
      <x:c r="E195" s="193"/>
      <x:c r="F195" s="193"/>
      <x:c r="G195" s="193"/>
      <x:c r="H195" s="194"/>
      <x:c r="I195" s="194"/>
      <x:c r="J195" s="190" t="str">
        <x:f>"(Col. "&amp;L165&amp;", Line "&amp;B183&amp;" )"</x:f>
        <x:v>(Col. (H), Line 114 )</x:v>
      </x:c>
      <x:c r="K195" s="195"/>
      <x:c r="L195" s="400">
        <x:f>L183</x:f>
        <x:v>0</x:v>
      </x:c>
      <x:c r="M195" s="194"/>
      <x:c r="N195" s="190" t="str">
        <x:f>"(Col. "&amp;R165&amp;", Line "&amp;B183&amp;" )"</x:f>
        <x:v>(Col. (M), Line 114 )</x:v>
      </x:c>
      <x:c r="R195" s="400">
        <x:f>R183</x:f>
        <x:v>0</x:v>
      </x:c>
    </x:row>
    <x:row r="196" spans="2:18" ht="13.5" thickBot="1">
      <x:c r="B196" s="1307">
        <x:f>B195+1</x:f>
        <x:v>124</x:v>
      </x:c>
      <x:c r="D196" s="200" t="s">
        <x:v>1220</x:v>
      </x:c>
      <x:c r="E196" s="193"/>
      <x:c r="F196" s="193"/>
      <x:c r="G196" s="193"/>
      <x:c r="H196" s="194"/>
      <x:c r="I196" s="194"/>
      <x:c r="J196" s="190" t="str">
        <x:f>"(Col. "&amp;L165&amp;", Line "&amp;B194&amp;" + Line "&amp;B195&amp;")"</x:f>
        <x:v>(Col. (H), Line 122 + Line 123)</x:v>
      </x:c>
      <x:c r="K196" s="195"/>
      <x:c r="L196" s="399">
        <x:f>L194+L195</x:f>
        <x:v>0</x:v>
      </x:c>
      <x:c r="M196" s="194"/>
      <x:c r="N196" s="190" t="str">
        <x:f>"(Col. "&amp;R165&amp;", Line "&amp;B194&amp;" + Line "&amp;B195&amp;")"</x:f>
        <x:v>(Col. (M), Line 122 + Line 123)</x:v>
      </x:c>
      <x:c r="R196" s="399">
        <x:f>R194+R195</x:f>
        <x:v>0</x:v>
      </x:c>
    </x:row>
    <x:row r="197" spans="2:18">
      <x:c r="D197" s="180"/>
    </x:row>
    <x:row r="198" spans="2:18">
      <x:c r="D198" s="180" t="s">
        <x:v>1221</x:v>
      </x:c>
      <x:c r="J198" s="1599"/>
      <x:c r="K198" s="1599"/>
      <x:c r="L198" s="1599"/>
      <x:c r="N198" s="1599"/>
      <x:c r="O198" s="1599"/>
      <x:c r="P198" s="1599"/>
      <x:c r="Q198" s="1599"/>
      <x:c r="R198" s="1599"/>
    </x:row>
    <x:row r="199" spans="2:18">
      <x:c r="D199" s="1591" t="s">
        <x:v>835</x:v>
      </x:c>
      <x:c r="E199" s="1592"/>
      <x:c r="F199" s="1592"/>
      <x:c r="G199" s="1592"/>
      <x:c r="H199" s="1593"/>
      <x:c r="I199" s="184"/>
      <x:c r="J199" s="1594" t="s">
        <x:v>1208</x:v>
      </x:c>
      <x:c r="K199" s="1595"/>
      <x:c r="L199" s="1596"/>
      <x:c r="M199" s="184"/>
      <x:c r="N199" s="1594" t="s">
        <x:v>1209</x:v>
      </x:c>
      <x:c r="O199" s="1595"/>
      <x:c r="P199" s="1595"/>
      <x:c r="Q199" s="1595"/>
      <x:c r="R199" s="1596"/>
    </x:row>
    <x:row r="200" spans="2:18">
      <x:c r="D200" s="185" t="s">
        <x:v>163</x:v>
      </x:c>
      <x:c r="E200" s="185" t="s">
        <x:v>164</x:v>
      </x:c>
      <x:c r="F200" s="185" t="s">
        <x:v>1154</x:v>
      </x:c>
      <x:c r="G200" s="185" t="s">
        <x:v>1155</x:v>
      </x:c>
      <x:c r="H200" s="185" t="s">
        <x:v>1156</x:v>
      </x:c>
      <x:c r="I200" s="184"/>
      <x:c r="J200" s="185" t="s">
        <x:v>1157</x:v>
      </x:c>
      <x:c r="K200" s="185" t="s">
        <x:v>1158</x:v>
      </x:c>
      <x:c r="L200" s="185" t="s">
        <x:v>1159</x:v>
      </x:c>
      <x:c r="M200" s="184"/>
      <x:c r="N200" s="185" t="s">
        <x:v>1160</x:v>
      </x:c>
      <x:c r="O200" s="185" t="s">
        <x:v>1161</x:v>
      </x:c>
      <x:c r="P200" s="185" t="s">
        <x:v>1162</x:v>
      </x:c>
      <x:c r="Q200" s="185" t="s">
        <x:v>1163</x:v>
      </x:c>
      <x:c r="R200" s="185" t="s">
        <x:v>1164</x:v>
      </x:c>
    </x:row>
    <x:row r="201" spans="2:18" ht="51">
      <x:c r="B201" s="186" t="s">
        <x:v>523</x:v>
      </x:c>
      <x:c r="D201" s="187" t="s">
        <x:v>158</x:v>
      </x:c>
      <x:c r="E201" s="187" t="s">
        <x:v>836</x:v>
      </x:c>
      <x:c r="F201" s="187" t="s">
        <x:v>837</x:v>
      </x:c>
      <x:c r="G201" s="187" t="s">
        <x:v>838</x:v>
      </x:c>
      <x:c r="H201" s="187" t="s">
        <x:v>1165</x:v>
      </x:c>
      <x:c r="I201" s="397"/>
      <x:c r="J201" s="187" t="s">
        <x:v>839</x:v>
      </x:c>
      <x:c r="K201" s="187" t="s">
        <x:v>1166</x:v>
      </x:c>
      <x:c r="L201" s="187" t="s">
        <x:v>1167</x:v>
      </x:c>
      <x:c r="M201" s="397"/>
      <x:c r="N201" s="187" t="s">
        <x:v>918</x:v>
      </x:c>
      <x:c r="O201" s="187" t="s">
        <x:v>1168</x:v>
      </x:c>
      <x:c r="P201" s="187" t="s">
        <x:v>1169</x:v>
      </x:c>
      <x:c r="Q201" s="187" t="s">
        <x:v>1170</x:v>
      </x:c>
      <x:c r="R201" s="187" t="s">
        <x:v>1171</x:v>
      </x:c>
    </x:row>
    <x:row r="202" spans="2:18">
      <x:c r="E202" s="397"/>
      <x:c r="F202" s="397"/>
      <x:c r="G202" s="397"/>
      <x:c r="H202" s="397"/>
      <x:c r="I202" s="397"/>
      <x:c r="J202" s="397"/>
      <x:c r="K202" s="397"/>
      <x:c r="L202" s="397"/>
      <x:c r="M202" s="397"/>
      <x:c r="N202" s="397"/>
      <x:c r="O202" s="397"/>
      <x:c r="P202" s="397"/>
      <x:c r="Q202" s="397"/>
      <x:c r="R202" s="397"/>
    </x:row>
    <x:row r="203" spans="2:18">
      <x:c r="B203" s="1307">
        <x:f>B196+1</x:f>
        <x:v>125</x:v>
      </x:c>
      <x:c r="D203" s="167" t="s">
        <x:v>917</x:v>
      </x:c>
      <x:c r="E203" s="397"/>
      <x:c r="F203" s="397"/>
      <x:c r="G203" s="397"/>
      <x:c r="H203" s="397"/>
      <x:c r="I203" s="397"/>
      <x:c r="J203" s="402" t="str">
        <x:f>$J$14</x:f>
        <x:v>12/31/2024 (Actuals)</x:v>
      </x:c>
      <x:c r="K203" s="397"/>
      <x:c r="L203" s="402">
        <x:f>'1E - EDIT Amortization'!O195</x:f>
        <x:v>0</x:v>
      </x:c>
      <x:c r="M203" s="397"/>
      <x:c r="N203" s="402">
        <x:f>$N$14</x:f>
        <x:v>0</x:v>
      </x:c>
      <x:c r="O203" s="397"/>
      <x:c r="P203" s="397"/>
      <x:c r="Q203" s="397"/>
      <x:c r="R203" s="402">
        <x:v>0</x:v>
      </x:c>
    </x:row>
    <x:row r="204" spans="2:18">
      <x:c r="E204" s="397"/>
      <x:c r="F204" s="397"/>
      <x:c r="G204" s="397"/>
      <x:c r="H204" s="397"/>
      <x:c r="I204" s="397"/>
      <x:c r="J204" s="397"/>
      <x:c r="K204" s="397"/>
      <x:c r="L204" s="397"/>
      <x:c r="M204" s="397"/>
      <x:c r="N204" s="397"/>
      <x:c r="O204" s="397"/>
      <x:c r="P204" s="397"/>
      <x:c r="Q204" s="397"/>
      <x:c r="R204" s="397"/>
    </x:row>
    <x:row r="205" spans="2:18">
      <x:c r="B205" s="1307">
        <x:f>B203+1</x:f>
        <x:v>126</x:v>
      </x:c>
      <x:c r="D205" s="167" t="s">
        <x:v>1526</x:v>
      </x:c>
      <x:c r="E205" s="397"/>
      <x:c r="F205" s="397"/>
      <x:c r="G205" s="397"/>
      <x:c r="H205" s="397"/>
      <x:c r="I205" s="397"/>
      <x:c r="J205" s="402" t="str">
        <x:f>$J$16</x:f>
        <x:v>12/31/2025 (Projected)</x:v>
      </x:c>
      <x:c r="K205" s="397"/>
      <x:c r="L205" s="397"/>
      <x:c r="M205" s="397"/>
      <x:c r="N205" s="402">
        <x:f>$N$16</x:f>
        <x:v>0</x:v>
      </x:c>
      <x:c r="O205" s="397"/>
      <x:c r="P205" s="397"/>
      <x:c r="Q205" s="397"/>
      <x:c r="R205" s="397"/>
    </x:row>
    <x:row r="206" spans="2:18">
      <x:c r="E206" s="397"/>
      <x:c r="F206" s="397"/>
      <x:c r="G206" s="397"/>
      <x:c r="H206" s="397"/>
      <x:c r="I206" s="397"/>
      <x:c r="J206" s="397"/>
      <x:c r="K206" s="397"/>
      <x:c r="L206" s="397"/>
      <x:c r="M206" s="397"/>
      <x:c r="N206" s="397"/>
      <x:c r="O206" s="397"/>
      <x:c r="P206" s="397"/>
      <x:c r="Q206" s="397"/>
      <x:c r="R206" s="397"/>
    </x:row>
    <x:row r="207" spans="2:18">
      <x:c r="B207" s="1307">
        <x:f>B205+1</x:f>
        <x:v>127</x:v>
      </x:c>
      <x:c r="D207" s="188" t="s">
        <x:v>473</x:v>
      </x:c>
      <x:c r="E207" s="402">
        <x:v>31</x:v>
      </x:c>
      <x:c r="F207" s="408">
        <x:v>0</x:v>
      </x:c>
      <x:c r="G207" s="408">
        <x:v>214</x:v>
      </x:c>
      <x:c r="H207" s="407">
        <x:f t="shared" ref="H207:H218" si="45">IF(F207=0,0.5,F207/G207)</x:f>
        <x:v>0.5</x:v>
      </x:c>
      <x:c r="I207" s="406"/>
      <x:c r="J207" s="402">
        <x:f>'1E - EDIT Amortization'!$Q$195/12</x:f>
        <x:v>0</x:v>
      </x:c>
      <x:c r="K207" s="400">
        <x:f t="shared" ref="K207:K218" si="46">+J207*H207</x:f>
        <x:v>0</x:v>
      </x:c>
      <x:c r="L207" s="400">
        <x:f>+K207</x:f>
        <x:v>0</x:v>
      </x:c>
      <x:c r="M207" s="406"/>
      <x:c r="N207" s="402">
        <x:v>0</x:v>
      </x:c>
      <x:c r="O207" s="400">
        <x:f t="shared" ref="O207:O218" si="47">IF($D$249="True-Up Adjustment",N207-J207,0)</x:f>
        <x:v>0</x:v>
      </x:c>
      <x:c r="P207" s="400">
        <x:f t="shared" ref="P207:P218" si="48">IF($D$249="True-Up Adjustment",IF(AND(J207&gt;=0,N207&gt;=0),IF(O207&gt;=0,K207+O207,N207/J207*K207),IF(AND(J207&lt;0,N207&lt;0),IF(O207&lt;0,K207+O207,N207/J207*K207),0)),0)</x:f>
        <x:v>0</x:v>
      </x:c>
      <x:c r="Q207" s="400">
        <x:f t="shared" ref="Q207:Q218" si="49">IF(AND(J207&gt;=0,N207&lt;0),N207,IF(AND(J207&lt;0,N207&gt;=0),N207,0))</x:f>
        <x:v>0</x:v>
      </x:c>
      <x:c r="R207" s="400">
        <x:f>P207+Q207+R203</x:f>
        <x:v>0</x:v>
      </x:c>
    </x:row>
    <x:row r="208" spans="2:18">
      <x:c r="B208" s="1307">
        <x:f t="shared" ref="B208:B219" si="50">+B207+1</x:f>
        <x:v>128</x:v>
      </x:c>
      <x:c r="D208" s="188" t="s">
        <x:v>474</x:v>
      </x:c>
      <x:c r="E208" s="402">
        <x:v>28</x:v>
      </x:c>
      <x:c r="F208" s="408">
        <x:v>0</x:v>
      </x:c>
      <x:c r="G208" s="408">
        <x:v>214</x:v>
      </x:c>
      <x:c r="H208" s="407">
        <x:f t="shared" si="45"/>
        <x:v>0.5</x:v>
      </x:c>
      <x:c r="I208" s="406"/>
      <x:c r="J208" s="402">
        <x:f>'1E - EDIT Amortization'!$Q$195/12</x:f>
        <x:v>0</x:v>
      </x:c>
      <x:c r="K208" s="400">
        <x:f t="shared" si="46"/>
        <x:v>0</x:v>
      </x:c>
      <x:c r="L208" s="400">
        <x:f t="shared" ref="L208:L218" si="51">+K208+L207</x:f>
        <x:v>0</x:v>
      </x:c>
      <x:c r="M208" s="406"/>
      <x:c r="N208" s="402">
        <x:v>0</x:v>
      </x:c>
      <x:c r="O208" s="400">
        <x:f t="shared" si="47"/>
        <x:v>0</x:v>
      </x:c>
      <x:c r="P208" s="400">
        <x:f t="shared" si="48"/>
        <x:v>0</x:v>
      </x:c>
      <x:c r="Q208" s="400">
        <x:f t="shared" si="49"/>
        <x:v>0</x:v>
      </x:c>
      <x:c r="R208" s="400">
        <x:f t="shared" ref="R208:R218" si="52">R207+P208+Q208</x:f>
        <x:v>0</x:v>
      </x:c>
    </x:row>
    <x:row r="209" spans="2:18">
      <x:c r="B209" s="1307">
        <x:f t="shared" si="50"/>
        <x:v>129</x:v>
      </x:c>
      <x:c r="D209" s="188" t="s">
        <x:v>495</x:v>
      </x:c>
      <x:c r="E209" s="402">
        <x:v>31</x:v>
      </x:c>
      <x:c r="F209" s="408">
        <x:v>0</x:v>
      </x:c>
      <x:c r="G209" s="408">
        <x:v>214</x:v>
      </x:c>
      <x:c r="H209" s="407">
        <x:f t="shared" si="45"/>
        <x:v>0.5</x:v>
      </x:c>
      <x:c r="I209" s="406"/>
      <x:c r="J209" s="402">
        <x:f>'1E - EDIT Amortization'!$Q$195/12</x:f>
        <x:v>0</x:v>
      </x:c>
      <x:c r="K209" s="400">
        <x:f t="shared" si="46"/>
        <x:v>0</x:v>
      </x:c>
      <x:c r="L209" s="400">
        <x:f t="shared" si="51"/>
        <x:v>0</x:v>
      </x:c>
      <x:c r="M209" s="406"/>
      <x:c r="N209" s="402">
        <x:v>0</x:v>
      </x:c>
      <x:c r="O209" s="400">
        <x:f t="shared" si="47"/>
        <x:v>0</x:v>
      </x:c>
      <x:c r="P209" s="400">
        <x:f t="shared" si="48"/>
        <x:v>0</x:v>
      </x:c>
      <x:c r="Q209" s="400">
        <x:f t="shared" si="49"/>
        <x:v>0</x:v>
      </x:c>
      <x:c r="R209" s="400">
        <x:f t="shared" si="52"/>
        <x:v>0</x:v>
      </x:c>
    </x:row>
    <x:row r="210" spans="2:18">
      <x:c r="B210" s="1307">
        <x:f t="shared" si="50"/>
        <x:v>130</x:v>
      </x:c>
      <x:c r="D210" s="188" t="s">
        <x:v>160</x:v>
      </x:c>
      <x:c r="E210" s="402">
        <x:v>30</x:v>
      </x:c>
      <x:c r="F210" s="408">
        <x:v>0</x:v>
      </x:c>
      <x:c r="G210" s="408">
        <x:v>214</x:v>
      </x:c>
      <x:c r="H210" s="407">
        <x:f t="shared" si="45"/>
        <x:v>0.5</x:v>
      </x:c>
      <x:c r="I210" s="406"/>
      <x:c r="J210" s="402">
        <x:f>'1E - EDIT Amortization'!$Q$195/12</x:f>
        <x:v>0</x:v>
      </x:c>
      <x:c r="K210" s="400">
        <x:f t="shared" si="46"/>
        <x:v>0</x:v>
      </x:c>
      <x:c r="L210" s="400">
        <x:f t="shared" si="51"/>
        <x:v>0</x:v>
      </x:c>
      <x:c r="M210" s="406"/>
      <x:c r="N210" s="402">
        <x:v>0</x:v>
      </x:c>
      <x:c r="O210" s="400">
        <x:f t="shared" si="47"/>
        <x:v>0</x:v>
      </x:c>
      <x:c r="P210" s="400">
        <x:f t="shared" si="48"/>
        <x:v>0</x:v>
      </x:c>
      <x:c r="Q210" s="400">
        <x:f t="shared" si="49"/>
        <x:v>0</x:v>
      </x:c>
      <x:c r="R210" s="400">
        <x:f t="shared" si="52"/>
        <x:v>0</x:v>
      </x:c>
    </x:row>
    <x:row r="211" spans="2:18">
      <x:c r="B211" s="1307">
        <x:f t="shared" si="50"/>
        <x:v>131</x:v>
      </x:c>
      <x:c r="D211" s="188" t="s">
        <x:v>161</x:v>
      </x:c>
      <x:c r="E211" s="402">
        <x:v>31</x:v>
      </x:c>
      <x:c r="F211" s="408">
        <x:v>0</x:v>
      </x:c>
      <x:c r="G211" s="408">
        <x:v>214</x:v>
      </x:c>
      <x:c r="H211" s="407">
        <x:f t="shared" si="45"/>
        <x:v>0.5</x:v>
      </x:c>
      <x:c r="I211" s="406"/>
      <x:c r="J211" s="402">
        <x:f>'1E - EDIT Amortization'!$Q$195/12</x:f>
        <x:v>0</x:v>
      </x:c>
      <x:c r="K211" s="400">
        <x:f t="shared" si="46"/>
        <x:v>0</x:v>
      </x:c>
      <x:c r="L211" s="400">
        <x:f t="shared" si="51"/>
        <x:v>0</x:v>
      </x:c>
      <x:c r="M211" s="406"/>
      <x:c r="N211" s="402">
        <x:v>0</x:v>
      </x:c>
      <x:c r="O211" s="400">
        <x:f t="shared" si="47"/>
        <x:v>0</x:v>
      </x:c>
      <x:c r="P211" s="400">
        <x:f t="shared" si="48"/>
        <x:v>0</x:v>
      </x:c>
      <x:c r="Q211" s="400">
        <x:f t="shared" si="49"/>
        <x:v>0</x:v>
      </x:c>
      <x:c r="R211" s="400">
        <x:f t="shared" si="52"/>
        <x:v>0</x:v>
      </x:c>
    </x:row>
    <x:row r="212" spans="2:18">
      <x:c r="B212" s="1307">
        <x:f t="shared" si="50"/>
        <x:v>132</x:v>
      </x:c>
      <x:c r="D212" s="188" t="s">
        <x:v>162</x:v>
      </x:c>
      <x:c r="E212" s="402">
        <x:v>30</x:v>
      </x:c>
      <x:c r="F212" s="408">
        <x:f t="shared" ref="F212:F217" si="53">F213+E213</x:f>
        <x:v>185</x:v>
      </x:c>
      <x:c r="G212" s="408">
        <x:v>214</x:v>
      </x:c>
      <x:c r="H212" s="407">
        <x:f t="shared" si="45"/>
        <x:v>0.86448598130841126</x:v>
      </x:c>
      <x:c r="I212" s="406"/>
      <x:c r="J212" s="402">
        <x:f>'1E - EDIT Amortization'!$Q$195/12</x:f>
        <x:v>0</x:v>
      </x:c>
      <x:c r="K212" s="400">
        <x:f t="shared" si="46"/>
        <x:v>0</x:v>
      </x:c>
      <x:c r="L212" s="400">
        <x:f t="shared" si="51"/>
        <x:v>0</x:v>
      </x:c>
      <x:c r="M212" s="406"/>
      <x:c r="N212" s="402">
        <x:v>0</x:v>
      </x:c>
      <x:c r="O212" s="400">
        <x:f t="shared" si="47"/>
        <x:v>0</x:v>
      </x:c>
      <x:c r="P212" s="400">
        <x:f t="shared" si="48"/>
        <x:v>0</x:v>
      </x:c>
      <x:c r="Q212" s="400">
        <x:f t="shared" si="49"/>
        <x:v>0</x:v>
      </x:c>
      <x:c r="R212" s="400">
        <x:f t="shared" si="52"/>
        <x:v>0</x:v>
      </x:c>
    </x:row>
    <x:row r="213" spans="2:18">
      <x:c r="B213" s="1307">
        <x:f t="shared" si="50"/>
        <x:v>133</x:v>
      </x:c>
      <x:c r="D213" s="188" t="s">
        <x:v>476</x:v>
      </x:c>
      <x:c r="E213" s="402">
        <x:v>31</x:v>
      </x:c>
      <x:c r="F213" s="408">
        <x:f t="shared" si="53"/>
        <x:v>154</x:v>
      </x:c>
      <x:c r="G213" s="408">
        <x:v>214</x:v>
      </x:c>
      <x:c r="H213" s="407">
        <x:f t="shared" si="45"/>
        <x:v>0.71962616822429903</x:v>
      </x:c>
      <x:c r="I213" s="406"/>
      <x:c r="J213" s="402">
        <x:f>'1E - EDIT Amortization'!$Q$195/12</x:f>
        <x:v>0</x:v>
      </x:c>
      <x:c r="K213" s="400">
        <x:f t="shared" si="46"/>
        <x:v>0</x:v>
      </x:c>
      <x:c r="L213" s="400">
        <x:f t="shared" si="51"/>
        <x:v>0</x:v>
      </x:c>
      <x:c r="M213" s="406"/>
      <x:c r="N213" s="402">
        <x:v>0</x:v>
      </x:c>
      <x:c r="O213" s="400">
        <x:f t="shared" si="47"/>
        <x:v>0</x:v>
      </x:c>
      <x:c r="P213" s="400">
        <x:f t="shared" si="48"/>
        <x:v>0</x:v>
      </x:c>
      <x:c r="Q213" s="400">
        <x:f t="shared" si="49"/>
        <x:v>0</x:v>
      </x:c>
      <x:c r="R213" s="400">
        <x:f t="shared" si="52"/>
        <x:v>0</x:v>
      </x:c>
    </x:row>
    <x:row r="214" spans="2:18">
      <x:c r="B214" s="1307">
        <x:f t="shared" si="50"/>
        <x:v>134</x:v>
      </x:c>
      <x:c r="D214" s="188" t="s">
        <x:v>496</x:v>
      </x:c>
      <x:c r="E214" s="402">
        <x:v>31</x:v>
      </x:c>
      <x:c r="F214" s="408">
        <x:f t="shared" si="53"/>
        <x:v>123</x:v>
      </x:c>
      <x:c r="G214" s="408">
        <x:v>214</x:v>
      </x:c>
      <x:c r="H214" s="407">
        <x:f t="shared" si="45"/>
        <x:v>0.57476635514018692</x:v>
      </x:c>
      <x:c r="I214" s="406"/>
      <x:c r="J214" s="402">
        <x:f>'1E - EDIT Amortization'!$Q$195/12</x:f>
        <x:v>0</x:v>
      </x:c>
      <x:c r="K214" s="400">
        <x:f t="shared" si="46"/>
        <x:v>0</x:v>
      </x:c>
      <x:c r="L214" s="400">
        <x:f t="shared" si="51"/>
        <x:v>0</x:v>
      </x:c>
      <x:c r="M214" s="406"/>
      <x:c r="N214" s="402">
        <x:v>0</x:v>
      </x:c>
      <x:c r="O214" s="400">
        <x:f t="shared" si="47"/>
        <x:v>0</x:v>
      </x:c>
      <x:c r="P214" s="400">
        <x:f t="shared" si="48"/>
        <x:v>0</x:v>
      </x:c>
      <x:c r="Q214" s="400">
        <x:f t="shared" si="49"/>
        <x:v>0</x:v>
      </x:c>
      <x:c r="R214" s="400">
        <x:f t="shared" si="52"/>
        <x:v>0</x:v>
      </x:c>
    </x:row>
    <x:row r="215" spans="2:18">
      <x:c r="B215" s="1307">
        <x:f t="shared" si="50"/>
        <x:v>135</x:v>
      </x:c>
      <x:c r="D215" s="188" t="s">
        <x:v>478</x:v>
      </x:c>
      <x:c r="E215" s="402">
        <x:v>30</x:v>
      </x:c>
      <x:c r="F215" s="408">
        <x:f t="shared" si="53"/>
        <x:v>93</x:v>
      </x:c>
      <x:c r="G215" s="408">
        <x:v>214</x:v>
      </x:c>
      <x:c r="H215" s="407">
        <x:f t="shared" si="45"/>
        <x:v>0.43457943925233644</x:v>
      </x:c>
      <x:c r="I215" s="406"/>
      <x:c r="J215" s="402">
        <x:f>'1E - EDIT Amortization'!$Q$195/12</x:f>
        <x:v>0</x:v>
      </x:c>
      <x:c r="K215" s="400">
        <x:f t="shared" si="46"/>
        <x:v>0</x:v>
      </x:c>
      <x:c r="L215" s="400">
        <x:f t="shared" si="51"/>
        <x:v>0</x:v>
      </x:c>
      <x:c r="M215" s="406"/>
      <x:c r="N215" s="402">
        <x:v>0</x:v>
      </x:c>
      <x:c r="O215" s="400">
        <x:f t="shared" si="47"/>
        <x:v>0</x:v>
      </x:c>
      <x:c r="P215" s="400">
        <x:f t="shared" si="48"/>
        <x:v>0</x:v>
      </x:c>
      <x:c r="Q215" s="400">
        <x:f t="shared" si="49"/>
        <x:v>0</x:v>
      </x:c>
      <x:c r="R215" s="400">
        <x:f t="shared" si="52"/>
        <x:v>0</x:v>
      </x:c>
    </x:row>
    <x:row r="216" spans="2:18">
      <x:c r="B216" s="1307">
        <x:f t="shared" si="50"/>
        <x:v>136</x:v>
      </x:c>
      <x:c r="D216" s="188" t="s">
        <x:v>479</x:v>
      </x:c>
      <x:c r="E216" s="402">
        <x:v>31</x:v>
      </x:c>
      <x:c r="F216" s="408">
        <x:f t="shared" si="53"/>
        <x:v>62</x:v>
      </x:c>
      <x:c r="G216" s="408">
        <x:v>214</x:v>
      </x:c>
      <x:c r="H216" s="407">
        <x:f t="shared" si="45"/>
        <x:v>0.28971962616822428</x:v>
      </x:c>
      <x:c r="I216" s="406"/>
      <x:c r="J216" s="402">
        <x:f>'1E - EDIT Amortization'!$Q$195/12</x:f>
        <x:v>0</x:v>
      </x:c>
      <x:c r="K216" s="400">
        <x:f t="shared" si="46"/>
        <x:v>0</x:v>
      </x:c>
      <x:c r="L216" s="400">
        <x:f t="shared" si="51"/>
        <x:v>0</x:v>
      </x:c>
      <x:c r="M216" s="406"/>
      <x:c r="N216" s="402">
        <x:v>0</x:v>
      </x:c>
      <x:c r="O216" s="400">
        <x:f t="shared" si="47"/>
        <x:v>0</x:v>
      </x:c>
      <x:c r="P216" s="400">
        <x:f t="shared" si="48"/>
        <x:v>0</x:v>
      </x:c>
      <x:c r="Q216" s="400">
        <x:f t="shared" si="49"/>
        <x:v>0</x:v>
      </x:c>
      <x:c r="R216" s="400">
        <x:f t="shared" si="52"/>
        <x:v>0</x:v>
      </x:c>
    </x:row>
    <x:row r="217" spans="2:18">
      <x:c r="B217" s="1307">
        <x:f t="shared" si="50"/>
        <x:v>137</x:v>
      </x:c>
      <x:c r="D217" s="188" t="s">
        <x:v>480</x:v>
      </x:c>
      <x:c r="E217" s="402">
        <x:v>30</x:v>
      </x:c>
      <x:c r="F217" s="408">
        <x:f t="shared" si="53"/>
        <x:v>32</x:v>
      </x:c>
      <x:c r="G217" s="408">
        <x:v>214</x:v>
      </x:c>
      <x:c r="H217" s="407">
        <x:f t="shared" si="45"/>
        <x:v>0.14953271028037382</x:v>
      </x:c>
      <x:c r="I217" s="406"/>
      <x:c r="J217" s="402">
        <x:f>'1E - EDIT Amortization'!$Q$195/12</x:f>
        <x:v>0</x:v>
      </x:c>
      <x:c r="K217" s="400">
        <x:f t="shared" si="46"/>
        <x:v>0</x:v>
      </x:c>
      <x:c r="L217" s="400">
        <x:f t="shared" si="51"/>
        <x:v>0</x:v>
      </x:c>
      <x:c r="M217" s="406"/>
      <x:c r="N217" s="402">
        <x:v>0</x:v>
      </x:c>
      <x:c r="O217" s="400">
        <x:f t="shared" si="47"/>
        <x:v>0</x:v>
      </x:c>
      <x:c r="P217" s="400">
        <x:f t="shared" si="48"/>
        <x:v>0</x:v>
      </x:c>
      <x:c r="Q217" s="400">
        <x:f t="shared" si="49"/>
        <x:v>0</x:v>
      </x:c>
      <x:c r="R217" s="400">
        <x:f t="shared" si="52"/>
        <x:v>0</x:v>
      </x:c>
    </x:row>
    <x:row r="218" spans="2:18">
      <x:c r="B218" s="1307">
        <x:f t="shared" si="50"/>
        <x:v>138</x:v>
      </x:c>
      <x:c r="D218" s="189" t="s">
        <x:v>684</x:v>
      </x:c>
      <x:c r="E218" s="402">
        <x:v>31</x:v>
      </x:c>
      <x:c r="F218" s="408">
        <x:v>1</x:v>
      </x:c>
      <x:c r="G218" s="408">
        <x:v>214</x:v>
      </x:c>
      <x:c r="H218" s="407">
        <x:f t="shared" si="45"/>
        <x:v>4.6728971962616819E-3</x:v>
      </x:c>
      <x:c r="I218" s="406"/>
      <x:c r="J218" s="402">
        <x:f>'1E - EDIT Amortization'!$Q$195/12</x:f>
        <x:v>0</x:v>
      </x:c>
      <x:c r="K218" s="400">
        <x:f t="shared" si="46"/>
        <x:v>0</x:v>
      </x:c>
      <x:c r="L218" s="400">
        <x:f t="shared" si="51"/>
        <x:v>0</x:v>
      </x:c>
      <x:c r="M218" s="406"/>
      <x:c r="N218" s="402">
        <x:v>0</x:v>
      </x:c>
      <x:c r="O218" s="400">
        <x:f t="shared" si="47"/>
        <x:v>0</x:v>
      </x:c>
      <x:c r="P218" s="400">
        <x:f t="shared" si="48"/>
        <x:v>0</x:v>
      </x:c>
      <x:c r="Q218" s="400">
        <x:f t="shared" si="49"/>
        <x:v>0</x:v>
      </x:c>
      <x:c r="R218" s="400">
        <x:f t="shared" si="52"/>
        <x:v>0</x:v>
      </x:c>
    </x:row>
    <x:row r="219" spans="2:18">
      <x:c r="B219" s="1307">
        <x:f t="shared" si="50"/>
        <x:v>139</x:v>
      </x:c>
      <x:c r="D219" s="190" t="str">
        <x:f>"Total (Sum of Lines "&amp;B207&amp;" - "&amp;B218&amp;")"</x:f>
        <x:v>Total (Sum of Lines 127 - 138)</x:v>
      </x:c>
      <x:c r="E219" s="405">
        <x:f>SUM(E207:E218)</x:f>
        <x:v>365</x:v>
      </x:c>
      <x:c r="F219" s="191"/>
      <x:c r="G219" s="191"/>
      <x:c r="H219" s="192"/>
      <x:c r="I219" s="403"/>
      <x:c r="J219" s="405">
        <x:f>SUM(J207:J218)</x:f>
        <x:v>0</x:v>
      </x:c>
      <x:c r="K219" s="405">
        <x:f>SUM(K207:K218)</x:f>
        <x:v>0</x:v>
      </x:c>
      <x:c r="L219" s="404"/>
      <x:c r="M219" s="403"/>
      <x:c r="N219" s="405">
        <x:f>SUM(N207:N218)</x:f>
        <x:v>0</x:v>
      </x:c>
      <x:c r="O219" s="405">
        <x:f>SUM(O207:O218)</x:f>
        <x:v>0</x:v>
      </x:c>
      <x:c r="P219" s="405">
        <x:f>SUM(P207:P218)</x:f>
        <x:v>0</x:v>
      </x:c>
      <x:c r="Q219" s="405">
        <x:f>SUM(Q207:Q218)</x:f>
        <x:v>0</x:v>
      </x:c>
      <x:c r="R219" s="404"/>
    </x:row>
    <x:row r="220" spans="2:18">
      <x:c r="D220" s="193"/>
      <x:c r="E220" s="193"/>
      <x:c r="F220" s="193"/>
      <x:c r="G220" s="193"/>
      <x:c r="H220" s="194"/>
      <x:c r="I220" s="194"/>
      <x:c r="K220" s="195"/>
      <x:c r="L220" s="194"/>
      <x:c r="M220" s="194"/>
      <x:c r="N220" s="203"/>
      <x:c r="O220" s="195"/>
      <x:c r="P220" s="195"/>
      <x:c r="Q220" s="195"/>
      <x:c r="R220" s="194"/>
    </x:row>
    <x:row r="221" spans="2:18">
      <x:c r="B221" s="1307">
        <x:f>B219+1</x:f>
        <x:v>140</x:v>
      </x:c>
      <x:c r="D221" s="167" t="s">
        <x:v>1211</x:v>
      </x:c>
      <x:c r="I221" s="194"/>
      <x:c r="J221" s="402" t="str">
        <x:f>$J$14</x:f>
        <x:v>12/31/2024 (Actuals)</x:v>
      </x:c>
      <x:c r="L221" s="402">
        <x:f>'1E - EDIT Amortization'!S177+'1E - EDIT Amortization'!S186</x:f>
        <x:v>0</x:v>
      </x:c>
      <x:c r="M221" s="196"/>
      <x:c r="N221" s="402">
        <x:f>$N$14</x:f>
        <x:v>0</x:v>
      </x:c>
      <x:c r="R221" s="402">
        <x:v>0</x:v>
      </x:c>
    </x:row>
    <x:row r="222" spans="2:18">
      <x:c r="B222" s="1307">
        <x:f>B221+1</x:f>
        <x:v>141</x:v>
      </x:c>
      <x:c r="D222" s="167" t="s">
        <x:v>1212</x:v>
      </x:c>
      <x:c r="I222" s="194"/>
      <x:c r="J222" s="197" t="s">
        <x:v>588</x:v>
      </x:c>
      <x:c r="L222" s="198">
        <x:v>0</x:v>
      </x:c>
      <x:c r="M222" s="199"/>
      <x:c r="N222" s="197" t="s">
        <x:v>588</x:v>
      </x:c>
      <x:c r="R222" s="198">
        <x:v>0</x:v>
      </x:c>
    </x:row>
    <x:row r="223" spans="2:18">
      <x:c r="B223" s="1307">
        <x:f>B222+1</x:f>
        <x:v>142</x:v>
      </x:c>
      <x:c r="D223" s="167" t="s">
        <x:v>1213</x:v>
      </x:c>
      <x:c r="I223" s="194"/>
      <x:c r="J223" s="190" t="str">
        <x:f>"(Col. "&amp;L200&amp;", Line "&amp;B221&amp;" + Line "&amp;B222&amp;")"</x:f>
        <x:v>(Col. (H), Line 140 + Line 141)</x:v>
      </x:c>
      <x:c r="L223" s="401">
        <x:f>L221+L222</x:f>
        <x:v>0</x:v>
      </x:c>
      <x:c r="M223" s="194"/>
      <x:c r="N223" s="190" t="str">
        <x:f>"(Col. "&amp;R200&amp;", Line "&amp;B221&amp;" + Line "&amp;B222&amp;")"</x:f>
        <x:v>(Col. (M), Line 140 + Line 141)</x:v>
      </x:c>
      <x:c r="R223" s="401">
        <x:f>R221+R222</x:f>
        <x:v>0</x:v>
      </x:c>
    </x:row>
    <x:row r="224" spans="2:18">
      <x:c r="I224" s="194"/>
      <x:c r="L224" s="401"/>
      <x:c r="M224" s="194"/>
      <x:c r="R224" s="401"/>
    </x:row>
    <x:row r="225" spans="2:18">
      <x:c r="B225" s="1307">
        <x:f>B223+1</x:f>
        <x:v>143</x:v>
      </x:c>
      <x:c r="D225" s="167" t="s">
        <x:v>1214</x:v>
      </x:c>
      <x:c r="I225" s="194"/>
      <x:c r="J225" s="402" t="str">
        <x:f>$J$16</x:f>
        <x:v>12/31/2025 (Projected)</x:v>
      </x:c>
      <x:c r="L225" s="402">
        <x:f>'1E - EDIT Amortization'!S177+'1E - EDIT Amortization'!S186</x:f>
        <x:v>0</x:v>
      </x:c>
      <x:c r="M225" s="196"/>
      <x:c r="N225" s="402">
        <x:f>$N$16</x:f>
        <x:v>0</x:v>
      </x:c>
      <x:c r="R225" s="402">
        <x:v>0</x:v>
      </x:c>
    </x:row>
    <x:row r="226" spans="2:18">
      <x:c r="B226" s="1307">
        <x:f>B225+1</x:f>
        <x:v>144</x:v>
      </x:c>
      <x:c r="D226" s="167" t="s">
        <x:v>1215</x:v>
      </x:c>
      <x:c r="I226" s="194"/>
      <x:c r="J226" s="197" t="s">
        <x:v>588</x:v>
      </x:c>
      <x:c r="L226" s="198">
        <x:v>0</x:v>
      </x:c>
      <x:c r="M226" s="194"/>
      <x:c r="N226" s="197" t="s">
        <x:v>588</x:v>
      </x:c>
      <x:c r="R226" s="198">
        <x:v>0</x:v>
      </x:c>
    </x:row>
    <x:row r="227" spans="2:18">
      <x:c r="B227" s="1307">
        <x:f>B226+1</x:f>
        <x:v>145</x:v>
      </x:c>
      <x:c r="D227" s="167" t="s">
        <x:v>1216</x:v>
      </x:c>
      <x:c r="I227" s="194"/>
      <x:c r="J227" s="190" t="str">
        <x:f>"(Col. "&amp;L200&amp;", Line "&amp;B225&amp;" + Line "&amp;B226&amp;")"</x:f>
        <x:v>(Col. (H), Line 143 + Line 144)</x:v>
      </x:c>
      <x:c r="L227" s="401">
        <x:f>L225+L226</x:f>
        <x:v>0</x:v>
      </x:c>
      <x:c r="M227" s="194"/>
      <x:c r="N227" s="190" t="str">
        <x:f>"(Col. "&amp;R200&amp;", Line "&amp;B225&amp;" + Line "&amp;B226&amp;")"</x:f>
        <x:v>(Col. (M), Line 143 + Line 144)</x:v>
      </x:c>
      <x:c r="R227" s="401">
        <x:f>R225+R226</x:f>
        <x:v>0</x:v>
      </x:c>
    </x:row>
    <x:row r="228" spans="2:18">
      <x:c r="I228" s="194"/>
      <x:c r="L228" s="401"/>
      <x:c r="M228" s="194"/>
      <x:c r="R228" s="401"/>
    </x:row>
    <x:row r="229" spans="2:18">
      <x:c r="B229" s="1307">
        <x:f>B227+1</x:f>
        <x:v>146</x:v>
      </x:c>
      <x:c r="D229" s="167" t="s">
        <x:v>915</x:v>
      </x:c>
      <x:c r="I229" s="194"/>
      <x:c r="J229" s="190" t="str">
        <x:f>"([Col. "&amp;L200&amp;", Line "&amp;B223&amp;" + Line "&amp;B227&amp;"] / 2)"</x:f>
        <x:v>([Col. (H), Line 142 + Line 145] / 2)</x:v>
      </x:c>
      <x:c r="L229" s="400">
        <x:f>(L223+L227)/2</x:f>
        <x:v>0</x:v>
      </x:c>
      <x:c r="M229" s="194"/>
      <x:c r="N229" s="190" t="str">
        <x:f>"([Col. "&amp;R200&amp;", Line "&amp;B223&amp;" + Line "&amp;B227&amp;"] / 2)"</x:f>
        <x:v>([Col. (M), Line 142 + Line 145] / 2)</x:v>
      </x:c>
      <x:c r="R229" s="400">
        <x:f>(R223+R227)/2</x:f>
        <x:v>0</x:v>
      </x:c>
    </x:row>
    <x:row r="230" spans="2:18">
      <x:c r="B230" s="1307">
        <x:f>B229+1</x:f>
        <x:v>147</x:v>
      </x:c>
      <x:c r="D230" s="285" t="s">
        <x:v>1217</x:v>
      </x:c>
      <x:c r="E230" s="193"/>
      <x:c r="F230" s="193"/>
      <x:c r="G230" s="193"/>
      <x:c r="H230" s="194"/>
      <x:c r="I230" s="194"/>
      <x:c r="J230" s="190" t="str">
        <x:f>"(Col. "&amp;L200&amp;", Line "&amp;B218&amp;" )"</x:f>
        <x:v>(Col. (H), Line 138 )</x:v>
      </x:c>
      <x:c r="K230" s="195"/>
      <x:c r="L230" s="400">
        <x:f>L218</x:f>
        <x:v>0</x:v>
      </x:c>
      <x:c r="M230" s="194"/>
      <x:c r="N230" s="190" t="str">
        <x:f>"(Col. "&amp;R200&amp;", Line "&amp;B218&amp;" )"</x:f>
        <x:v>(Col. (M), Line 138 )</x:v>
      </x:c>
      <x:c r="R230" s="400">
        <x:f>R218</x:f>
        <x:v>0</x:v>
      </x:c>
    </x:row>
    <x:row r="231" spans="2:18" ht="13.5" thickBot="1">
      <x:c r="B231" s="1307">
        <x:f>B230+1</x:f>
        <x:v>148</x:v>
      </x:c>
      <x:c r="D231" s="200" t="s">
        <x:v>1222</x:v>
      </x:c>
      <x:c r="E231" s="193"/>
      <x:c r="F231" s="193"/>
      <x:c r="G231" s="193"/>
      <x:c r="H231" s="194"/>
      <x:c r="I231" s="194"/>
      <x:c r="J231" s="190" t="str">
        <x:f>"(Col. "&amp;L200&amp;", Line "&amp;B229&amp;" + Line "&amp;B230&amp;")"</x:f>
        <x:v>(Col. (H), Line 146 + Line 147)</x:v>
      </x:c>
      <x:c r="K231" s="195"/>
      <x:c r="L231" s="399">
        <x:f>L229+L230</x:f>
        <x:v>0</x:v>
      </x:c>
      <x:c r="M231" s="194"/>
      <x:c r="N231" s="190" t="str">
        <x:f>"(Col. "&amp;R200&amp;", Line "&amp;B229&amp;" + Line "&amp;B230&amp;")"</x:f>
        <x:v>(Col. (M), Line 146 + Line 147)</x:v>
      </x:c>
      <x:c r="R231" s="399">
        <x:f>R229+R230</x:f>
        <x:v>0</x:v>
      </x:c>
    </x:row>
    <x:row r="232" spans="2:18">
      <x:c r="D232" s="193"/>
      <x:c r="E232" s="193"/>
      <x:c r="F232" s="193"/>
      <x:c r="G232" s="193"/>
      <x:c r="H232" s="194"/>
      <x:c r="I232" s="194"/>
      <x:c r="K232" s="195"/>
      <x:c r="L232" s="194"/>
      <x:c r="M232" s="194"/>
      <x:c r="O232" s="195"/>
      <x:c r="P232" s="195"/>
      <x:c r="Q232" s="195"/>
      <x:c r="R232" s="194"/>
    </x:row>
    <x:row r="233" spans="2:18">
      <x:c r="D233" s="193"/>
      <x:c r="E233" s="193"/>
      <x:c r="F233" s="193" t="s">
        <x:v>83</x:v>
      </x:c>
      <x:c r="G233" s="193"/>
      <x:c r="H233" s="194"/>
      <x:c r="I233" s="194"/>
      <x:c r="K233" s="195"/>
      <x:c r="L233" s="194"/>
      <x:c r="M233" s="194"/>
      <x:c r="O233" s="195"/>
      <x:c r="P233" s="195"/>
      <x:c r="Q233" s="195"/>
      <x:c r="R233" s="194"/>
    </x:row>
    <x:row r="234" spans="2:18">
      <x:c r="D234" s="1612" t="s">
        <x:v>1232</x:v>
      </x:c>
      <x:c r="E234" s="1612"/>
      <x:c r="F234" s="1612"/>
      <x:c r="G234" s="1612"/>
      <x:c r="H234" s="1612"/>
      <x:c r="I234" s="194"/>
      <x:c r="J234" s="1612" t="s">
        <x:v>1233</x:v>
      </x:c>
      <x:c r="K234" s="1612"/>
      <x:c r="L234" s="1612"/>
      <x:c r="M234" s="1612"/>
      <x:c r="N234" s="1612"/>
      <x:c r="O234" s="195"/>
      <x:c r="P234" s="195"/>
      <x:c r="Q234" s="195"/>
      <x:c r="R234" s="194"/>
    </x:row>
    <x:row r="235" spans="2:18" ht="12.75" customHeight="1">
      <x:c r="B235" s="200"/>
      <x:c r="C235" s="395"/>
      <x:c r="D235" s="392" t="s">
        <x:v>163</x:v>
      </x:c>
      <x:c r="E235" s="393"/>
      <x:c r="F235" s="392" t="s">
        <x:v>164</x:v>
      </x:c>
      <x:c r="G235" s="394"/>
      <x:c r="H235" s="391" t="s">
        <x:v>1154</x:v>
      </x:c>
      <x:c r="I235" s="184"/>
      <x:c r="J235" s="392" t="s">
        <x:v>1155</x:v>
      </x:c>
      <x:c r="K235" s="393"/>
      <x:c r="L235" s="392" t="s">
        <x:v>1156</x:v>
      </x:c>
      <x:c r="M235" s="394"/>
      <x:c r="N235" s="391" t="s">
        <x:v>1157</x:v>
      </x:c>
    </x:row>
    <x:row r="236" spans="2:18" ht="25.5">
      <x:c r="B236" s="1361" t="s">
        <x:v>523</x:v>
      </x:c>
      <x:c r="C236" s="395"/>
      <x:c r="D236" s="289" t="s">
        <x:v>1225</x:v>
      </x:c>
      <x:c r="E236" s="290"/>
      <x:c r="F236" s="291" t="s">
        <x:v>1226</x:v>
      </x:c>
      <x:c r="G236" s="292"/>
      <x:c r="H236" s="288" t="s">
        <x:v>1234</x:v>
      </x:c>
      <x:c r="J236" s="289" t="s">
        <x:v>1225</x:v>
      </x:c>
      <x:c r="K236" s="290"/>
      <x:c r="L236" s="291" t="s">
        <x:v>1226</x:v>
      </x:c>
      <x:c r="M236" s="292"/>
      <x:c r="N236" s="288" t="s">
        <x:v>1227</x:v>
      </x:c>
      <x:c r="O236" s="195"/>
      <x:c r="P236" s="195"/>
      <x:c r="Q236" s="195"/>
      <x:c r="R236" s="194"/>
    </x:row>
    <x:row r="237" spans="2:18" ht="5.0999999999999996" customHeight="1">
      <x:c r="E237" s="193"/>
      <x:c r="K237" s="193"/>
      <x:c r="O237" s="195"/>
      <x:c r="P237" s="195"/>
      <x:c r="Q237" s="195"/>
      <x:c r="R237" s="194"/>
    </x:row>
    <x:row r="238" spans="2:18">
      <x:c r="B238" s="1307">
        <x:f>B231+1</x:f>
        <x:v>149</x:v>
      </x:c>
      <x:c r="D238" s="293" t="s">
        <x:v>1228</x:v>
      </x:c>
      <x:c r="F238" s="294" t="str">
        <x:f>"(Col. "&amp;L130&amp;", Line "&amp;B161&amp;")"</x:f>
        <x:v>(Col. (H), Line 100)</x:v>
      </x:c>
      <x:c r="G238" s="297"/>
      <x:c r="H238" s="295">
        <x:f>L161</x:f>
        <x:v>0</x:v>
      </x:c>
      <x:c r="I238" s="297"/>
      <x:c r="J238" s="293" t="s">
        <x:v>1228</x:v>
      </x:c>
      <x:c r="L238" s="294" t="str">
        <x:f>"(Col. "&amp;R130&amp;", Line "&amp;B161&amp;")"</x:f>
        <x:v>(Col. (M), Line 100)</x:v>
      </x:c>
      <x:c r="M238" s="297"/>
      <x:c r="N238" s="295">
        <x:f>R161</x:f>
        <x:v>0</x:v>
      </x:c>
      <x:c r="O238" s="195"/>
      <x:c r="P238" s="195"/>
      <x:c r="Q238" s="195"/>
      <x:c r="R238" s="194"/>
    </x:row>
    <x:row r="239" spans="2:18">
      <x:c r="B239" s="1307">
        <x:f>B238+1</x:f>
        <x:v>150</x:v>
      </x:c>
      <x:c r="D239" s="293" t="s">
        <x:v>1229</x:v>
      </x:c>
      <x:c r="F239" s="294" t="str">
        <x:f>"(Col. "&amp;L165&amp;", Line "&amp;B196&amp;")"</x:f>
        <x:v>(Col. (H), Line 124)</x:v>
      </x:c>
      <x:c r="H239" s="296">
        <x:f>L196</x:f>
        <x:v>0</x:v>
      </x:c>
      <x:c r="J239" s="293" t="s">
        <x:v>1229</x:v>
      </x:c>
      <x:c r="L239" s="294" t="str">
        <x:f>"(Col. "&amp;R165&amp;", Line "&amp;B196&amp;")"</x:f>
        <x:v>(Col. (M), Line 124)</x:v>
      </x:c>
      <x:c r="N239" s="296">
        <x:f>R196</x:f>
        <x:v>0</x:v>
      </x:c>
      <x:c r="O239" s="195"/>
      <x:c r="P239" s="195"/>
      <x:c r="Q239" s="195"/>
      <x:c r="R239" s="194"/>
    </x:row>
    <x:row r="240" spans="2:18">
      <x:c r="B240" s="1307">
        <x:f>B239+1</x:f>
        <x:v>151</x:v>
      </x:c>
      <x:c r="D240" s="293" t="s">
        <x:v>1230</x:v>
      </x:c>
      <x:c r="F240" s="294" t="str">
        <x:f>"(Col. "&amp;L200&amp;", Line "&amp;B231&amp;")"</x:f>
        <x:v>(Col. (H), Line 148)</x:v>
      </x:c>
      <x:c r="H240" s="296">
        <x:f>L231</x:f>
        <x:v>0</x:v>
      </x:c>
      <x:c r="J240" s="293" t="s">
        <x:v>1230</x:v>
      </x:c>
      <x:c r="L240" s="294" t="str">
        <x:f>"(Col. "&amp;R200&amp;", Line "&amp;B231&amp;")"</x:f>
        <x:v>(Col. (M), Line 148)</x:v>
      </x:c>
      <x:c r="N240" s="296">
        <x:f>R231</x:f>
        <x:v>0</x:v>
      </x:c>
      <x:c r="O240" s="195"/>
      <x:c r="P240" s="195"/>
      <x:c r="Q240" s="195"/>
      <x:c r="R240" s="194"/>
    </x:row>
    <x:row r="241" spans="1:18" ht="5.0999999999999996" customHeight="1">
      <x:c r="D241" s="193"/>
      <x:c r="E241" s="193"/>
      <x:c r="J241" s="193"/>
      <x:c r="K241" s="193"/>
      <x:c r="O241" s="195"/>
      <x:c r="P241" s="195"/>
      <x:c r="Q241" s="195"/>
      <x:c r="R241" s="194"/>
    </x:row>
    <x:row r="242" spans="1:18">
      <x:c r="B242" s="1307">
        <x:f>B240+1</x:f>
        <x:v>152</x:v>
      </x:c>
      <x:c r="D242" s="5" t="s">
        <x:v>1081</x:v>
      </x:c>
      <x:c r="E242" s="193"/>
      <x:c r="F242" s="294" t="s">
        <x:v>1391</x:v>
      </x:c>
      <x:c r="G242" s="297"/>
      <x:c r="H242" s="298">
        <x:f>SUM(H238:H241)</x:f>
        <x:v>0</x:v>
      </x:c>
      <x:c r="I242" s="297"/>
      <x:c r="J242" s="5" t="s">
        <x:v>1081</x:v>
      </x:c>
      <x:c r="K242" s="193"/>
      <x:c r="L242" s="299" t="s">
        <x:v>1391</x:v>
      </x:c>
      <x:c r="M242" s="297"/>
      <x:c r="N242" s="298">
        <x:f>SUM(N238:N241)</x:f>
        <x:v>0</x:v>
      </x:c>
      <x:c r="O242" s="195"/>
      <x:c r="P242" s="195"/>
      <x:c r="Q242" s="195"/>
      <x:c r="R242" s="194"/>
    </x:row>
    <x:row r="243" spans="1:18">
      <x:c r="D243" s="193"/>
      <x:c r="E243" s="193"/>
      <x:c r="F243" s="193"/>
      <x:c r="G243" s="193"/>
      <x:c r="H243" s="194"/>
      <x:c r="I243" s="194"/>
      <x:c r="K243" s="195"/>
      <x:c r="L243" s="194"/>
      <x:c r="M243" s="194"/>
      <x:c r="O243" s="195"/>
      <x:c r="P243" s="195"/>
      <x:c r="Q243" s="195"/>
      <x:c r="R243" s="194"/>
    </x:row>
    <x:row r="244" spans="1:18">
      <x:c r="A244" s="204"/>
      <x:c r="B244" s="205" t="s">
        <x:v>1135</x:v>
      </x:c>
      <x:c r="C244" s="204"/>
      <x:c r="D244" s="204"/>
      <x:c r="E244" s="204"/>
      <x:c r="F244" s="204"/>
      <x:c r="G244" s="204"/>
      <x:c r="H244" s="204"/>
      <x:c r="I244" s="204"/>
      <x:c r="J244" s="204"/>
      <x:c r="K244" s="204"/>
      <x:c r="L244" s="204"/>
      <x:c r="M244" s="204"/>
      <x:c r="N244" s="204"/>
      <x:c r="O244" s="204"/>
      <x:c r="P244" s="204"/>
      <x:c r="Q244" s="204"/>
      <x:c r="R244" s="204"/>
    </x:row>
    <x:row r="246" spans="1:18">
      <x:c r="B246" s="1600" t="s">
        <x:v>1184</x:v>
      </x:c>
      <x:c r="C246" s="1600"/>
      <x:c r="D246" s="1600"/>
      <x:c r="E246" s="1600"/>
      <x:c r="F246" s="1600"/>
      <x:c r="G246" s="1600"/>
      <x:c r="H246" s="1600"/>
      <x:c r="I246" s="1600"/>
      <x:c r="J246" s="1600"/>
      <x:c r="K246" s="1600"/>
      <x:c r="L246" s="1600"/>
      <x:c r="M246" s="194"/>
      <x:c r="O246" s="195"/>
      <x:c r="P246" s="195"/>
      <x:c r="Q246" s="195"/>
      <x:c r="R246" s="194"/>
    </x:row>
    <x:row r="247" spans="1:18">
      <x:c r="B247" s="1600"/>
      <x:c r="C247" s="1600"/>
      <x:c r="D247" s="1600"/>
      <x:c r="E247" s="1600"/>
      <x:c r="F247" s="1600"/>
      <x:c r="G247" s="1600"/>
      <x:c r="H247" s="1600"/>
      <x:c r="I247" s="1600"/>
      <x:c r="J247" s="1600"/>
      <x:c r="K247" s="1600"/>
      <x:c r="L247" s="1600"/>
      <x:c r="M247" s="194"/>
      <x:c r="O247" s="195"/>
      <x:c r="P247" s="195"/>
      <x:c r="Q247" s="195"/>
      <x:c r="R247" s="194"/>
    </x:row>
    <x:row r="248" spans="1:18">
      <x:c r="D248" s="193"/>
      <x:c r="E248" s="193"/>
      <x:c r="F248" s="193"/>
      <x:c r="G248" s="193"/>
      <x:c r="H248" s="194"/>
      <x:c r="I248" s="194"/>
      <x:c r="K248" s="195"/>
      <x:c r="L248" s="194"/>
      <x:c r="M248" s="194"/>
      <x:c r="O248" s="195"/>
      <x:c r="P248" s="195"/>
      <x:c r="Q248" s="195"/>
      <x:c r="R248" s="194"/>
    </x:row>
    <x:row r="249" spans="1:18">
      <x:c r="B249" s="181" t="s">
        <x:v>1185</x:v>
      </x:c>
      <x:c r="D249" s="206" t="str">
        <x:f>'1A - ADIT Summary'!D187</x:f>
        <x:v>Projected Activity</x:v>
      </x:c>
      <x:c r="E249" s="207" t="str">
        <x:f>IF(D249="Projected Activity","Check",IF(D249="True-Up Adjustment","Check","Error"))</x:f>
        <x:v>Check</x:v>
      </x:c>
      <x:c r="F249" s="193"/>
      <x:c r="G249" s="193"/>
      <x:c r="H249" s="194"/>
      <x:c r="I249" s="194"/>
      <x:c r="K249" s="195"/>
      <x:c r="L249" s="194" t="s">
        <x:v>83</x:v>
      </x:c>
      <x:c r="M249" s="194"/>
      <x:c r="O249" s="195"/>
      <x:c r="P249" s="195"/>
      <x:c r="Q249" s="195"/>
      <x:c r="R249" s="194"/>
    </x:row>
    <x:row r="250" spans="1:18">
      <x:c r="D250" s="193"/>
      <x:c r="E250" s="193"/>
      <x:c r="F250" s="193"/>
      <x:c r="G250" s="193"/>
      <x:c r="H250" s="194"/>
      <x:c r="I250" s="194"/>
      <x:c r="K250" s="195"/>
      <x:c r="L250" s="194"/>
      <x:c r="M250" s="194"/>
      <x:c r="O250" s="195"/>
      <x:c r="P250" s="195"/>
      <x:c r="Q250" s="195"/>
      <x:c r="R250" s="194"/>
    </x:row>
    <x:row r="251" spans="1:18">
      <x:c r="B251" s="1602" t="s">
        <x:v>1186</x:v>
      </x:c>
      <x:c r="C251" s="1602"/>
      <x:c r="D251" s="1602"/>
      <x:c r="E251" s="1602"/>
      <x:c r="F251" s="1602"/>
      <x:c r="G251" s="1602"/>
      <x:c r="H251" s="1602"/>
      <x:c r="I251" s="1602"/>
      <x:c r="J251" s="1602"/>
      <x:c r="K251" s="1602"/>
      <x:c r="L251" s="1602"/>
      <x:c r="M251" s="194"/>
      <x:c r="O251" s="195"/>
      <x:c r="P251" s="195"/>
      <x:c r="Q251" s="195"/>
      <x:c r="R251" s="194"/>
    </x:row>
    <x:row r="252" spans="1:18">
      <x:c r="D252" s="193"/>
      <x:c r="E252" s="193"/>
      <x:c r="F252" s="193"/>
      <x:c r="G252" s="193"/>
      <x:c r="H252" s="194"/>
      <x:c r="I252" s="194"/>
      <x:c r="K252" s="195"/>
      <x:c r="L252" s="194"/>
      <x:c r="M252" s="194"/>
      <x:c r="O252" s="195"/>
      <x:c r="P252" s="195"/>
      <x:c r="Q252" s="195"/>
      <x:c r="R252" s="194"/>
    </x:row>
    <x:row r="253" spans="1:18">
      <x:c r="A253" s="204"/>
      <x:c r="B253" s="205" t="s">
        <x:v>848</x:v>
      </x:c>
      <x:c r="C253" s="204"/>
      <x:c r="D253" s="204"/>
      <x:c r="E253" s="204"/>
      <x:c r="F253" s="204"/>
      <x:c r="G253" s="204"/>
      <x:c r="H253" s="204"/>
      <x:c r="I253" s="204"/>
      <x:c r="J253" s="204"/>
      <x:c r="K253" s="204"/>
      <x:c r="L253" s="204"/>
      <x:c r="M253" s="204"/>
      <x:c r="N253" s="204"/>
      <x:c r="O253" s="204"/>
      <x:c r="P253" s="204"/>
      <x:c r="Q253" s="204"/>
      <x:c r="R253" s="204"/>
    </x:row>
    <x:row r="255" spans="1:18" ht="15.75" customHeight="1">
      <x:c r="A255" s="180"/>
      <x:c r="B255" s="1437" t="s">
        <x:v>9</x:v>
      </x:c>
      <x:c r="C255" s="1600" t="s">
        <x:v>1235</x:v>
      </x:c>
      <x:c r="D255" s="1600"/>
      <x:c r="E255" s="1600"/>
      <x:c r="F255" s="1600"/>
      <x:c r="G255" s="1600"/>
      <x:c r="H255" s="1600"/>
      <x:c r="I255" s="1600"/>
      <x:c r="J255" s="1600"/>
      <x:c r="K255" s="1600"/>
      <x:c r="L255" s="1600"/>
    </x:row>
    <x:row r="256" spans="1:18">
      <x:c r="A256" s="180"/>
      <x:c r="B256" s="1437"/>
      <x:c r="C256" s="1600"/>
      <x:c r="D256" s="1600"/>
      <x:c r="E256" s="1600"/>
      <x:c r="F256" s="1600"/>
      <x:c r="G256" s="1600"/>
      <x:c r="H256" s="1600"/>
      <x:c r="I256" s="1600"/>
      <x:c r="J256" s="1600"/>
      <x:c r="K256" s="1600"/>
      <x:c r="L256" s="1600"/>
    </x:row>
    <x:row r="257" spans="1:12">
      <x:c r="A257" s="180"/>
      <x:c r="B257" s="1437"/>
      <x:c r="C257" s="1600"/>
      <x:c r="D257" s="1600"/>
      <x:c r="E257" s="1600"/>
      <x:c r="F257" s="1600"/>
      <x:c r="G257" s="1600"/>
      <x:c r="H257" s="1600"/>
      <x:c r="I257" s="1600"/>
      <x:c r="J257" s="1600"/>
      <x:c r="K257" s="1600"/>
      <x:c r="L257" s="1600"/>
    </x:row>
    <x:row r="258" spans="1:12">
      <x:c r="A258" s="180"/>
      <x:c r="B258" s="1437"/>
      <x:c r="C258" s="1422"/>
      <x:c r="D258" s="1422"/>
      <x:c r="E258" s="1422"/>
      <x:c r="F258" s="1422"/>
      <x:c r="G258" s="1422"/>
      <x:c r="H258" s="1422"/>
      <x:c r="I258" s="1422"/>
      <x:c r="J258" s="1422"/>
      <x:c r="K258" s="1422"/>
      <x:c r="L258" s="1422"/>
    </x:row>
    <x:row r="259" spans="1:12" ht="15.75" customHeight="1">
      <x:c r="A259" s="180"/>
      <x:c r="B259" s="1437" t="s">
        <x:v>10</x:v>
      </x:c>
      <x:c r="C259" s="1600" t="s">
        <x:v>1236</x:v>
      </x:c>
      <x:c r="D259" s="1600"/>
      <x:c r="E259" s="1600"/>
      <x:c r="F259" s="1600"/>
      <x:c r="G259" s="1600"/>
      <x:c r="H259" s="1600"/>
      <x:c r="I259" s="1600"/>
      <x:c r="J259" s="1600"/>
      <x:c r="K259" s="1600"/>
      <x:c r="L259" s="1600"/>
    </x:row>
    <x:row r="260" spans="1:12">
      <x:c r="A260" s="180"/>
      <x:c r="B260" s="1437"/>
      <x:c r="C260" s="1600"/>
      <x:c r="D260" s="1600"/>
      <x:c r="E260" s="1600"/>
      <x:c r="F260" s="1600"/>
      <x:c r="G260" s="1600"/>
      <x:c r="H260" s="1600"/>
      <x:c r="I260" s="1600"/>
      <x:c r="J260" s="1600"/>
      <x:c r="K260" s="1600"/>
      <x:c r="L260" s="1600"/>
    </x:row>
    <x:row r="261" spans="1:12">
      <x:c r="A261" s="180"/>
      <x:c r="B261" s="1437"/>
      <x:c r="C261" s="1600"/>
      <x:c r="D261" s="1600"/>
      <x:c r="E261" s="1600"/>
      <x:c r="F261" s="1600"/>
      <x:c r="G261" s="1600"/>
      <x:c r="H261" s="1600"/>
      <x:c r="I261" s="1600"/>
      <x:c r="J261" s="1600"/>
      <x:c r="K261" s="1600"/>
      <x:c r="L261" s="1600"/>
    </x:row>
    <x:row r="262" spans="1:12">
      <x:c r="A262" s="180"/>
      <x:c r="B262" s="1437"/>
      <x:c r="C262" s="1600"/>
      <x:c r="D262" s="1600"/>
      <x:c r="E262" s="1600"/>
      <x:c r="F262" s="1600"/>
      <x:c r="G262" s="1600"/>
      <x:c r="H262" s="1600"/>
      <x:c r="I262" s="1600"/>
      <x:c r="J262" s="1600"/>
      <x:c r="K262" s="1600"/>
      <x:c r="L262" s="1600"/>
    </x:row>
    <x:row r="263" spans="1:12">
      <x:c r="A263" s="180"/>
      <x:c r="B263" s="1437"/>
      <x:c r="C263" s="1600"/>
      <x:c r="D263" s="1600"/>
      <x:c r="E263" s="1600"/>
      <x:c r="F263" s="1600"/>
      <x:c r="G263" s="1600"/>
      <x:c r="H263" s="1600"/>
      <x:c r="I263" s="1600"/>
      <x:c r="J263" s="1600"/>
      <x:c r="K263" s="1600"/>
      <x:c r="L263" s="1600"/>
    </x:row>
    <x:row r="264" spans="1:12">
      <x:c r="A264" s="180"/>
      <x:c r="B264" s="1437"/>
      <x:c r="C264" s="1600"/>
      <x:c r="D264" s="1600"/>
      <x:c r="E264" s="1600"/>
      <x:c r="F264" s="1600"/>
      <x:c r="G264" s="1600"/>
      <x:c r="H264" s="1600"/>
      <x:c r="I264" s="1600"/>
      <x:c r="J264" s="1600"/>
      <x:c r="K264" s="1600"/>
      <x:c r="L264" s="1600"/>
    </x:row>
    <x:row r="265" spans="1:12">
      <x:c r="A265" s="180"/>
      <x:c r="B265" s="1437"/>
      <x:c r="C265" s="1600"/>
      <x:c r="D265" s="1600"/>
      <x:c r="E265" s="1600"/>
      <x:c r="F265" s="1600"/>
      <x:c r="G265" s="1600"/>
      <x:c r="H265" s="1600"/>
      <x:c r="I265" s="1600"/>
      <x:c r="J265" s="1600"/>
      <x:c r="K265" s="1600"/>
      <x:c r="L265" s="1600"/>
    </x:row>
    <x:row r="266" spans="1:12">
      <x:c r="B266" s="1404"/>
      <x:c r="C266" s="1600"/>
      <x:c r="D266" s="1600"/>
      <x:c r="E266" s="1600"/>
      <x:c r="F266" s="1600"/>
      <x:c r="G266" s="1600"/>
      <x:c r="H266" s="1600"/>
      <x:c r="I266" s="1600"/>
      <x:c r="J266" s="1600"/>
      <x:c r="K266" s="1600"/>
      <x:c r="L266" s="1600"/>
    </x:row>
    <x:row r="267" spans="1:12">
      <x:c r="B267" s="1404"/>
      <x:c r="C267" s="1422"/>
      <x:c r="D267" s="1422"/>
      <x:c r="E267" s="1422"/>
      <x:c r="F267" s="1422"/>
      <x:c r="G267" s="1422"/>
      <x:c r="H267" s="1422"/>
      <x:c r="I267" s="1422"/>
      <x:c r="J267" s="1422"/>
      <x:c r="K267" s="1422"/>
      <x:c r="L267" s="1422"/>
    </x:row>
    <x:row r="268" spans="1:12" ht="15.75" customHeight="1">
      <x:c r="A268" s="180"/>
      <x:c r="B268" s="1437" t="s">
        <x:v>11</x:v>
      </x:c>
      <x:c r="C268" s="1601" t="s">
        <x:v>2172</x:v>
      </x:c>
      <x:c r="D268" s="1600"/>
      <x:c r="E268" s="1600"/>
      <x:c r="F268" s="1600"/>
      <x:c r="G268" s="1600"/>
      <x:c r="H268" s="1600"/>
      <x:c r="I268" s="1600"/>
      <x:c r="J268" s="1600"/>
      <x:c r="K268" s="1600"/>
      <x:c r="L268" s="1600"/>
    </x:row>
    <x:row r="269" spans="1:12">
      <x:c r="A269" s="180"/>
      <x:c r="B269" s="1437"/>
      <x:c r="C269" s="1600"/>
      <x:c r="D269" s="1600"/>
      <x:c r="E269" s="1600"/>
      <x:c r="F269" s="1600"/>
      <x:c r="G269" s="1600"/>
      <x:c r="H269" s="1600"/>
      <x:c r="I269" s="1600"/>
      <x:c r="J269" s="1600"/>
      <x:c r="K269" s="1600"/>
      <x:c r="L269" s="1600"/>
    </x:row>
    <x:row r="270" spans="1:12">
      <x:c r="A270" s="180"/>
      <x:c r="B270" s="1437"/>
      <x:c r="C270" s="1600"/>
      <x:c r="D270" s="1600"/>
      <x:c r="E270" s="1600"/>
      <x:c r="F270" s="1600"/>
      <x:c r="G270" s="1600"/>
      <x:c r="H270" s="1600"/>
      <x:c r="I270" s="1600"/>
      <x:c r="J270" s="1600"/>
      <x:c r="K270" s="1600"/>
      <x:c r="L270" s="1600"/>
    </x:row>
    <x:row r="271" spans="1:12">
      <x:c r="A271" s="180"/>
      <x:c r="B271" s="1437"/>
      <x:c r="C271" s="1422"/>
      <x:c r="D271" s="1422"/>
      <x:c r="E271" s="1422"/>
      <x:c r="F271" s="1422"/>
      <x:c r="G271" s="1422"/>
      <x:c r="H271" s="1422"/>
      <x:c r="I271" s="1422"/>
      <x:c r="J271" s="1422"/>
      <x:c r="K271" s="1422"/>
      <x:c r="L271" s="1422"/>
    </x:row>
    <x:row r="272" spans="1:12">
      <x:c r="A272" s="180"/>
      <x:c r="B272" s="1437" t="s">
        <x:v>14</x:v>
      </x:c>
      <x:c r="C272" s="1600" t="s">
        <x:v>1237</x:v>
      </x:c>
      <x:c r="D272" s="1600"/>
      <x:c r="E272" s="1600"/>
      <x:c r="F272" s="1600"/>
      <x:c r="G272" s="1600"/>
      <x:c r="H272" s="1600"/>
      <x:c r="I272" s="1600"/>
      <x:c r="J272" s="1600"/>
      <x:c r="K272" s="1600"/>
      <x:c r="L272" s="1600"/>
    </x:row>
    <x:row r="273" spans="1:12" ht="15.75" customHeight="1">
      <x:c r="B273" s="1404"/>
      <x:c r="C273" s="1600"/>
      <x:c r="D273" s="1600"/>
      <x:c r="E273" s="1600"/>
      <x:c r="F273" s="1600"/>
      <x:c r="G273" s="1600"/>
      <x:c r="H273" s="1600"/>
      <x:c r="I273" s="1600"/>
      <x:c r="J273" s="1600"/>
      <x:c r="K273" s="1600"/>
      <x:c r="L273" s="1600"/>
    </x:row>
    <x:row r="274" spans="1:12" ht="15.75" customHeight="1">
      <x:c r="B274" s="1404"/>
      <x:c r="C274" s="1422"/>
      <x:c r="D274" s="1422"/>
      <x:c r="E274" s="1422"/>
      <x:c r="F274" s="1422"/>
      <x:c r="G274" s="1422"/>
      <x:c r="H274" s="1422"/>
      <x:c r="I274" s="1422"/>
      <x:c r="J274" s="1422"/>
      <x:c r="K274" s="1422"/>
      <x:c r="L274" s="1422"/>
    </x:row>
    <x:row r="275" spans="1:12" ht="15.75" customHeight="1">
      <x:c r="A275" s="180"/>
      <x:c r="B275" s="1437" t="s">
        <x:v>133</x:v>
      </x:c>
      <x:c r="C275" s="1601" t="s">
        <x:v>2171</x:v>
      </x:c>
      <x:c r="D275" s="1600"/>
      <x:c r="E275" s="1600"/>
      <x:c r="F275" s="1600"/>
      <x:c r="G275" s="1600"/>
      <x:c r="H275" s="1600"/>
      <x:c r="I275" s="1600"/>
      <x:c r="J275" s="1600"/>
      <x:c r="K275" s="1600"/>
      <x:c r="L275" s="1600"/>
    </x:row>
    <x:row r="276" spans="1:12" ht="15.75" customHeight="1">
      <x:c r="B276" s="1404"/>
      <x:c r="C276" s="1422"/>
      <x:c r="D276" s="1422"/>
      <x:c r="E276" s="1422"/>
      <x:c r="F276" s="1422"/>
      <x:c r="G276" s="1422"/>
      <x:c r="H276" s="1422"/>
      <x:c r="I276" s="1422"/>
      <x:c r="J276" s="1422"/>
      <x:c r="K276" s="1422"/>
      <x:c r="L276" s="1422"/>
    </x:row>
    <x:row r="277" spans="1:12">
      <x:c r="A277" s="180"/>
      <x:c r="B277" s="1437" t="s">
        <x:v>134</x:v>
      </x:c>
      <x:c r="C277" s="1600" t="s">
        <x:v>1504</x:v>
      </x:c>
      <x:c r="D277" s="1600"/>
      <x:c r="E277" s="1600"/>
      <x:c r="F277" s="1600"/>
      <x:c r="G277" s="1600"/>
      <x:c r="H277" s="1600"/>
      <x:c r="I277" s="1600"/>
      <x:c r="J277" s="1600"/>
      <x:c r="K277" s="1600"/>
      <x:c r="L277" s="1600"/>
    </x:row>
    <x:row r="278" spans="1:12">
      <x:c r="C278" s="1179"/>
      <x:c r="D278" s="1179"/>
      <x:c r="E278" s="1179"/>
      <x:c r="F278" s="1179"/>
      <x:c r="G278" s="1179"/>
      <x:c r="H278" s="1179"/>
      <x:c r="I278" s="1179"/>
      <x:c r="J278" s="1179"/>
      <x:c r="K278" s="1179"/>
      <x:c r="L278" s="1179"/>
    </x:row>
  </x:sheetData>
  <x:mergeCells count="43">
    <x:mergeCell ref="C268:L270"/>
    <x:mergeCell ref="C255:L257"/>
    <x:mergeCell ref="C277:L277"/>
    <x:mergeCell ref="D164:H164"/>
    <x:mergeCell ref="J164:L164"/>
    <x:mergeCell ref="D234:H234"/>
    <x:mergeCell ref="J234:N234"/>
    <x:mergeCell ref="C272:L273"/>
    <x:mergeCell ref="C275:L275"/>
    <x:mergeCell ref="B246:L247"/>
    <x:mergeCell ref="B251:L251"/>
    <x:mergeCell ref="C259:L266"/>
    <x:mergeCell ref="N164:R164"/>
    <x:mergeCell ref="J198:L198"/>
    <x:mergeCell ref="N198:R198"/>
    <x:mergeCell ref="D199:H199"/>
    <x:mergeCell ref="J199:L199"/>
    <x:mergeCell ref="N199:R199"/>
    <x:mergeCell ref="B126:R126"/>
    <x:mergeCell ref="D129:H129"/>
    <x:mergeCell ref="J129:L129"/>
    <x:mergeCell ref="N129:R129"/>
    <x:mergeCell ref="J128:L128"/>
    <x:mergeCell ref="N128:R128"/>
    <x:mergeCell ref="D115:H115"/>
    <x:mergeCell ref="J115:N115"/>
    <x:mergeCell ref="D10:H10"/>
    <x:mergeCell ref="J10:L10"/>
    <x:mergeCell ref="N10:R10"/>
    <x:mergeCell ref="D45:H45"/>
    <x:mergeCell ref="J45:L45"/>
    <x:mergeCell ref="N45:R45"/>
    <x:mergeCell ref="J79:L79"/>
    <x:mergeCell ref="N79:R79"/>
    <x:mergeCell ref="D80:H80"/>
    <x:mergeCell ref="J80:L80"/>
    <x:mergeCell ref="N80:R80"/>
    <x:mergeCell ref="A1:R1"/>
    <x:mergeCell ref="A2:R2"/>
    <x:mergeCell ref="A3:R3"/>
    <x:mergeCell ref="B7:R7"/>
    <x:mergeCell ref="J9:L9"/>
    <x:mergeCell ref="N9:R9"/>
  </x:mergeCells>
  <x:printOptions horizontalCentered="1"/>
  <x:pageMargins left="0.2" right="0.2" top="0.5" bottom="0.5" header="0.3" footer="0.3"/>
  <x:pageSetup scale="43" fitToHeight="0" orientation="landscape" r:id="rId1"/>
  <x:rowBreaks count="3" manualBreakCount="3">
    <x:brk id="77" max="17" man="1"/>
    <x:brk id="161" max="17" man="1"/>
    <x:brk id="242"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5EC8111-0D98-42AF-A67E-EAC270CE38DD}" mc:Ignorable="x14ac xr xr2 xr3">
  <x:sheetPr>
    <x:pageSetUpPr fitToPage="1"/>
  </x:sheetPr>
  <x:dimension ref="A1:T272"/>
  <x:sheetViews>
    <x:sheetView zoomScaleNormal="100" zoomScaleSheetLayoutView="100" workbookViewId="0">
      <x:pane xSplit="2" ySplit="3" topLeftCell="C4" activePane="bottomRight" state="frozen"/>
      <x:selection activeCell="J35" sqref="J35:Q35"/>
      <x:selection pane="topRight" activeCell="J35" sqref="J35:Q35"/>
      <x:selection pane="bottomLeft" activeCell="J35" sqref="J35:Q35"/>
      <x:selection pane="bottomRight" activeCell="J35" sqref="J35:Q35"/>
    </x:sheetView>
  </x:sheetViews>
  <x:sheetFormatPr defaultColWidth="9.140625" defaultRowHeight="12.75"/>
  <x:cols>
    <x:col min="1" max="1" width="2.5703125" style="1324" customWidth="1"/>
    <x:col min="2" max="2" width="4.5703125" style="167" customWidth="1"/>
    <x:col min="3" max="3" width="9.42578125" style="167" customWidth="1"/>
    <x:col min="4" max="4" width="2.7109375" style="167" customWidth="1"/>
    <x:col min="5" max="5" width="46.85546875" style="167" bestFit="1" customWidth="1"/>
    <x:col min="6" max="6" width="2.7109375" style="167" customWidth="1"/>
    <x:col min="7" max="7" width="19.140625" style="167" bestFit="1" customWidth="1"/>
    <x:col min="8" max="8" width="2.7109375" style="167" customWidth="1"/>
    <x:col min="9" max="9" width="21.7109375" style="167" customWidth="1"/>
    <x:col min="10" max="10" width="2.7109375" style="167" customWidth="1"/>
    <x:col min="11" max="11" width="19.140625" style="167" bestFit="1" customWidth="1"/>
    <x:col min="12" max="12" width="2.7109375" style="167" customWidth="1"/>
    <x:col min="13" max="13" width="18.5703125" style="167" bestFit="1" customWidth="1"/>
    <x:col min="14" max="14" width="5.7109375" style="167" customWidth="1"/>
    <x:col min="15" max="15" width="19.140625" style="167" bestFit="1" customWidth="1"/>
    <x:col min="16" max="16" width="2.7109375" style="167" customWidth="1"/>
    <x:col min="17" max="17" width="17.42578125" style="167" customWidth="1"/>
    <x:col min="18" max="18" width="2.7109375" style="167" customWidth="1"/>
    <x:col min="19" max="19" width="19" style="167" customWidth="1"/>
    <x:col min="20" max="20" width="15.28515625" style="167" customWidth="1"/>
    <x:col min="21" max="21" width="15.140625" style="167" customWidth="1"/>
    <x:col min="22" max="16384" width="9.140625" style="167"/>
  </x:cols>
  <x:sheetData>
    <x:row r="1" spans="1:20" s="1129" customFormat="1" ht="18">
      <x:c r="A1" s="1597" t="s">
        <x:v>1380</x:v>
      </x:c>
      <x:c r="B1" s="1597"/>
      <x:c r="C1" s="1597"/>
      <x:c r="D1" s="1597"/>
      <x:c r="E1" s="1597"/>
      <x:c r="F1" s="1597"/>
      <x:c r="G1" s="1597"/>
      <x:c r="H1" s="1597"/>
      <x:c r="I1" s="1597"/>
      <x:c r="J1" s="1597"/>
      <x:c r="K1" s="1597"/>
      <x:c r="L1" s="1597"/>
      <x:c r="M1" s="1597"/>
      <x:c r="N1" s="1597"/>
      <x:c r="O1" s="1597"/>
      <x:c r="P1" s="1597"/>
      <x:c r="Q1" s="1597"/>
      <x:c r="R1" s="1597"/>
      <x:c r="S1" s="1597"/>
    </x:row>
    <x:row r="2" spans="1:20" s="156" customFormat="1" ht="15.75">
      <x:c r="A2" s="1598" t="s">
        <x:v>1238</x:v>
      </x:c>
      <x:c r="B2" s="1598"/>
      <x:c r="C2" s="1598"/>
      <x:c r="D2" s="1598"/>
      <x:c r="E2" s="1598"/>
      <x:c r="F2" s="1598"/>
      <x:c r="G2" s="1598"/>
      <x:c r="H2" s="1598"/>
      <x:c r="I2" s="1598"/>
      <x:c r="J2" s="1598"/>
      <x:c r="K2" s="1598"/>
      <x:c r="L2" s="1598"/>
      <x:c r="M2" s="1598"/>
      <x:c r="N2" s="1598"/>
      <x:c r="O2" s="1598"/>
      <x:c r="P2" s="1598"/>
      <x:c r="Q2" s="1598"/>
      <x:c r="R2" s="1598"/>
      <x:c r="S2" s="1598"/>
    </x:row>
    <x:row r="3" spans="1:20" s="156" customFormat="1" ht="15.75">
      <x:c r="A3" s="1598" t="s">
        <x:v>1239</x:v>
      </x:c>
      <x:c r="B3" s="1598"/>
      <x:c r="C3" s="1598"/>
      <x:c r="D3" s="1598"/>
      <x:c r="E3" s="1598"/>
      <x:c r="F3" s="1598"/>
      <x:c r="G3" s="1598"/>
      <x:c r="H3" s="1598"/>
      <x:c r="I3" s="1598"/>
      <x:c r="J3" s="1598"/>
      <x:c r="K3" s="1598"/>
      <x:c r="L3" s="1598"/>
      <x:c r="M3" s="1598"/>
      <x:c r="N3" s="1598"/>
      <x:c r="O3" s="1598"/>
      <x:c r="P3" s="1598"/>
      <x:c r="Q3" s="1598"/>
      <x:c r="R3" s="1598"/>
      <x:c r="S3" s="1598"/>
    </x:row>
    <x:row r="4" spans="1:20" ht="15">
      <x:c r="A4" s="1326"/>
      <x:c r="G4" s="300"/>
      <x:c r="H4" s="300"/>
      <x:c r="I4" s="300"/>
      <x:c r="Q4" s="300"/>
    </x:row>
    <x:row r="5" spans="1:20" ht="15">
      <x:c r="A5" s="1326"/>
      <x:c r="G5" s="300"/>
      <x:c r="H5" s="300"/>
      <x:c r="I5" s="300"/>
      <x:c r="Q5" s="300"/>
    </x:row>
    <x:row r="6" spans="1:20" ht="15.75" customHeight="1">
      <x:c r="C6" s="1610" t="s">
        <x:v>1206</x:v>
      </x:c>
      <x:c r="D6" s="1610"/>
      <x:c r="E6" s="1610"/>
      <x:c r="F6" s="1610"/>
      <x:c r="G6" s="1610"/>
      <x:c r="H6" s="1610"/>
      <x:c r="I6" s="1610"/>
      <x:c r="J6" s="1610"/>
      <x:c r="K6" s="1610"/>
      <x:c r="L6" s="1610"/>
      <x:c r="M6" s="1610"/>
      <x:c r="N6" s="1610"/>
      <x:c r="O6" s="1610"/>
      <x:c r="P6" s="1610"/>
      <x:c r="Q6" s="1610"/>
      <x:c r="R6" s="1610"/>
      <x:c r="S6" s="1610"/>
    </x:row>
    <x:row r="8" spans="1:20" ht="15.75" customHeight="1">
      <x:c r="C8" s="1613" t="s">
        <x:v>1240</x:v>
      </x:c>
      <x:c r="D8" s="1614"/>
      <x:c r="E8" s="1614"/>
      <x:c r="F8" s="1614"/>
      <x:c r="G8" s="1614"/>
      <x:c r="H8" s="1614"/>
      <x:c r="I8" s="1614"/>
      <x:c r="J8" s="1614"/>
      <x:c r="K8" s="1614"/>
      <x:c r="L8" s="1614"/>
      <x:c r="M8" s="1614"/>
      <x:c r="N8" s="1614"/>
      <x:c r="O8" s="1614"/>
      <x:c r="P8" s="1614"/>
      <x:c r="Q8" s="1614"/>
      <x:c r="R8" s="1614"/>
      <x:c r="S8" s="1615"/>
    </x:row>
    <x:row r="10" spans="1:20">
      <x:c r="E10" s="181" t="s">
        <x:v>163</x:v>
      </x:c>
      <x:c r="F10" s="181"/>
      <x:c r="G10" s="181" t="s">
        <x:v>164</x:v>
      </x:c>
      <x:c r="H10" s="181"/>
      <x:c r="I10" s="181" t="s">
        <x:v>1023</x:v>
      </x:c>
      <x:c r="J10" s="181"/>
      <x:c r="K10" s="181" t="s">
        <x:v>1155</x:v>
      </x:c>
      <x:c r="L10" s="181"/>
      <x:c r="M10" s="181" t="s">
        <x:v>1241</x:v>
      </x:c>
      <x:c r="N10" s="181"/>
      <x:c r="O10" s="181" t="s">
        <x:v>1157</x:v>
      </x:c>
      <x:c r="P10" s="181"/>
      <x:c r="Q10" s="181" t="s">
        <x:v>1158</x:v>
      </x:c>
      <x:c r="R10" s="181"/>
      <x:c r="S10" s="181" t="s">
        <x:v>1159</x:v>
      </x:c>
    </x:row>
    <x:row r="11" spans="1:20" ht="25.5" customHeight="1">
      <x:c r="C11" s="1616" t="s">
        <x:v>523</x:v>
      </x:c>
      <x:c r="D11" s="395"/>
      <x:c r="E11" s="1618" t="s">
        <x:v>1225</x:v>
      </x:c>
      <x:c r="G11" s="1620" t="s">
        <x:v>244</x:v>
      </x:c>
      <x:c r="H11" s="1302"/>
      <x:c r="I11" s="1620" t="s">
        <x:v>2114</x:v>
      </x:c>
      <x:c r="K11" s="1620" t="s">
        <x:v>1242</x:v>
      </x:c>
      <x:c r="M11" s="301" t="s">
        <x:v>1243</x:v>
      </x:c>
      <x:c r="O11" s="1332" t="s">
        <x:v>1913</x:v>
      </x:c>
      <x:c r="Q11" s="1622" t="s">
        <x:v>1244</x:v>
      </x:c>
      <x:c r="S11" s="1332" t="s">
        <x:v>2122</x:v>
      </x:c>
    </x:row>
    <x:row r="12" spans="1:20" ht="25.5">
      <x:c r="C12" s="1617"/>
      <x:c r="D12" s="395"/>
      <x:c r="E12" s="1619"/>
      <x:c r="F12" s="302"/>
      <x:c r="G12" s="1621"/>
      <x:c r="H12" s="1304"/>
      <x:c r="I12" s="1621"/>
      <x:c r="J12" s="302"/>
      <x:c r="K12" s="1621"/>
      <x:c r="L12" s="302"/>
      <x:c r="M12" s="303" t="s">
        <x:v>1245</x:v>
      </x:c>
      <x:c r="O12" s="398" t="s">
        <x:v>1246</x:v>
      </x:c>
      <x:c r="Q12" s="1623"/>
      <x:c r="S12" s="398" t="s">
        <x:v>1247</x:v>
      </x:c>
    </x:row>
    <x:row r="13" spans="1:20" ht="5.0999999999999996" customHeight="1"/>
    <x:row r="14" spans="1:20">
      <x:c r="A14" s="1327"/>
      <x:c r="B14" s="304"/>
      <x:c r="C14" s="183">
        <x:v>1</x:v>
      </x:c>
      <x:c r="D14" s="304"/>
      <x:c r="E14" s="305" t="s">
        <x:v>1248</x:v>
      </x:c>
      <x:c r="F14" s="304"/>
      <x:c r="G14" s="306"/>
      <x:c r="H14" s="306"/>
      <x:c r="I14" s="306"/>
      <x:c r="J14" s="304"/>
      <x:c r="K14" s="306"/>
      <x:c r="L14" s="304"/>
      <x:c r="M14" s="307"/>
      <x:c r="O14" s="297"/>
      <x:c r="Q14" s="308"/>
      <x:c r="S14" s="304"/>
    </x:row>
    <x:row r="15" spans="1:20" ht="5.0999999999999996" customHeight="1"/>
    <x:row r="16" spans="1:20">
      <x:c r="C16" s="183">
        <x:f>C14+1</x:f>
        <x:v>2</x:v>
      </x:c>
      <x:c r="E16" s="293" t="s">
        <x:v>1228</x:v>
      </x:c>
      <x:c r="G16" s="414" t="s">
        <x:v>743</x:v>
      </x:c>
      <x:c r="H16" s="414"/>
      <x:c r="I16" s="1303">
        <x:v>411.1</x:v>
      </x:c>
      <x:c r="K16" s="306" t="s">
        <x:v>1249</x:v>
      </x:c>
      <x:c r="M16" s="295">
        <x:f>SUMIFS('1F - ADIT Remeasurement'!$AF$11:$AF$175,'1F - ADIT Remeasurement'!$E$11:$E$175,"Unprotected Non-Property",'1F - ADIT Remeasurement'!$AH$11:$AH$175,"190")</x:f>
        <x:v>-2276084.4922092138</x:v>
      </x:c>
      <x:c r="N16" s="297"/>
      <x:c r="O16" s="295">
        <x:v>0</x:v>
      </x:c>
      <x:c r="P16" s="297"/>
      <x:c r="Q16" s="295">
        <x:v>0</x:v>
      </x:c>
      <x:c r="R16" s="297"/>
      <x:c r="S16" s="295">
        <x:f>O16+Q16</x:f>
        <x:v>0</x:v>
      </x:c>
      <x:c r="T16" s="203"/>
    </x:row>
    <x:row r="17" spans="1:20">
      <x:c r="C17" s="183">
        <x:f>C16+1</x:f>
        <x:v>3</x:v>
      </x:c>
      <x:c r="E17" s="293" t="s">
        <x:v>1250</x:v>
      </x:c>
      <x:c r="G17" s="414" t="s">
        <x:v>743</x:v>
      </x:c>
      <x:c r="H17" s="414"/>
      <x:c r="I17" s="1303">
        <x:v>411.1</x:v>
      </x:c>
      <x:c r="K17" s="306" t="s">
        <x:v>1249</x:v>
      </x:c>
      <x:c r="M17" s="309">
        <x:f>SUMIFS('1F - ADIT Remeasurement'!$AF$11:$AF$175,'1F - ADIT Remeasurement'!$E$11:$E$175,"Unprotected Non-Property",'1F - ADIT Remeasurement'!$AH$11:$AH$175,"281")</x:f>
        <x:v>0</x:v>
      </x:c>
      <x:c r="N17" s="424"/>
      <x:c r="O17" s="309">
        <x:v>0</x:v>
      </x:c>
      <x:c r="P17" s="424"/>
      <x:c r="Q17" s="309">
        <x:f>-M17/4</x:f>
        <x:v>0</x:v>
      </x:c>
      <x:c r="R17" s="424"/>
      <x:c r="S17" s="309">
        <x:f>O17+Q17</x:f>
        <x:v>0</x:v>
      </x:c>
    </x:row>
    <x:row r="18" spans="1:20">
      <x:c r="C18" s="183">
        <x:f>C17+1</x:f>
        <x:v>4</x:v>
      </x:c>
      <x:c r="E18" s="293" t="s">
        <x:v>1229</x:v>
      </x:c>
      <x:c r="G18" s="414" t="s">
        <x:v>743</x:v>
      </x:c>
      <x:c r="H18" s="414"/>
      <x:c r="I18" s="1303">
        <x:v>411.1</x:v>
      </x:c>
      <x:c r="K18" s="306" t="s">
        <x:v>1249</x:v>
      </x:c>
      <x:c r="M18" s="309">
        <x:f>SUMIFS('1F - ADIT Remeasurement'!$AF$11:$AF$175,'1F - ADIT Remeasurement'!$E$11:$E$175,"Unprotected Non-Property",'1F - ADIT Remeasurement'!$AH$11:$AH$175,"282")</x:f>
        <x:v>0</x:v>
      </x:c>
      <x:c r="N18" s="424"/>
      <x:c r="O18" s="309">
        <x:v>0</x:v>
      </x:c>
      <x:c r="P18" s="424"/>
      <x:c r="Q18" s="309">
        <x:f>-M18/4</x:f>
        <x:v>0</x:v>
      </x:c>
      <x:c r="R18" s="424"/>
      <x:c r="S18" s="309">
        <x:f>O18+Q18</x:f>
        <x:v>0</x:v>
      </x:c>
    </x:row>
    <x:row r="19" spans="1:20">
      <x:c r="C19" s="183">
        <x:f>C18+1</x:f>
        <x:v>5</x:v>
      </x:c>
      <x:c r="E19" s="293" t="s">
        <x:v>1230</x:v>
      </x:c>
      <x:c r="G19" s="414" t="s">
        <x:v>743</x:v>
      </x:c>
      <x:c r="H19" s="414"/>
      <x:c r="I19" s="1303">
        <x:v>411.1</x:v>
      </x:c>
      <x:c r="K19" s="306" t="s">
        <x:v>1249</x:v>
      </x:c>
      <x:c r="M19" s="309">
        <x:f>SUMIFS('1F - ADIT Remeasurement'!$AF$11:$AF$175,'1F - ADIT Remeasurement'!$E$11:$E$175,"Unprotected Non-Property",'1F - ADIT Remeasurement'!$AH$11:$AH$175,"283")</x:f>
        <x:v>-2583952.3407537979</x:v>
      </x:c>
      <x:c r="N19" s="424"/>
      <x:c r="O19" s="309">
        <x:v>0</x:v>
      </x:c>
      <x:c r="P19" s="424"/>
      <x:c r="Q19" s="309">
        <x:v>0</x:v>
      </x:c>
      <x:c r="R19" s="424"/>
      <x:c r="S19" s="309">
        <x:f>O19+Q19</x:f>
        <x:v>0</x:v>
      </x:c>
      <x:c r="T19" s="203"/>
    </x:row>
    <x:row r="20" spans="1:20" ht="5.0999999999999996" customHeight="1">
      <x:c r="M20" s="310"/>
      <x:c r="O20" s="310"/>
      <x:c r="Q20" s="310"/>
      <x:c r="S20" s="310"/>
    </x:row>
    <x:row r="21" spans="1:20">
      <x:c r="C21" s="183">
        <x:f>C19+1</x:f>
        <x:v>6</x:v>
      </x:c>
      <x:c r="E21" s="180" t="s">
        <x:v>1251</x:v>
      </x:c>
      <x:c r="M21" s="297">
        <x:f>SUM(M15:M20)</x:f>
        <x:v>-4860036.8329630122</x:v>
      </x:c>
      <x:c r="N21" s="297"/>
      <x:c r="O21" s="297">
        <x:f>SUM(O15:O20)</x:f>
        <x:v>0</x:v>
      </x:c>
      <x:c r="P21" s="297"/>
      <x:c r="Q21" s="297">
        <x:f>SUM(Q15:Q20)</x:f>
        <x:v>0</x:v>
      </x:c>
      <x:c r="R21" s="297"/>
      <x:c r="S21" s="297">
        <x:f>SUM(S15:S20)</x:f>
        <x:v>0</x:v>
      </x:c>
    </x:row>
    <x:row r="22" spans="1:20">
      <x:c r="C22" s="183"/>
    </x:row>
    <x:row r="23" spans="1:20">
      <x:c r="A23" s="1327"/>
      <x:c r="B23" s="304"/>
      <x:c r="C23" s="183">
        <x:f>C21+1</x:f>
        <x:v>7</x:v>
      </x:c>
      <x:c r="D23" s="304"/>
      <x:c r="E23" s="305" t="s">
        <x:v>1252</x:v>
      </x:c>
      <x:c r="F23" s="304"/>
      <x:c r="G23" s="306"/>
      <x:c r="H23" s="306"/>
      <x:c r="I23" s="306"/>
      <x:c r="J23" s="304"/>
      <x:c r="K23" s="306"/>
      <x:c r="L23" s="304"/>
      <x:c r="M23" s="307"/>
      <x:c r="O23" s="297"/>
      <x:c r="Q23" s="308"/>
      <x:c r="S23" s="304"/>
    </x:row>
    <x:row r="24" spans="1:20" ht="5.0999999999999996" customHeight="1"/>
    <x:row r="25" spans="1:20">
      <x:c r="C25" s="183">
        <x:f>C23+1</x:f>
        <x:v>8</x:v>
      </x:c>
      <x:c r="E25" s="293" t="s">
        <x:v>1228</x:v>
      </x:c>
      <x:c r="G25" s="414" t="s">
        <x:v>743</x:v>
      </x:c>
      <x:c r="H25" s="414"/>
      <x:c r="I25" s="1303">
        <x:v>411.1</x:v>
      </x:c>
      <x:c r="K25" s="306" t="s">
        <x:v>1253</x:v>
      </x:c>
      <x:c r="M25" s="295">
        <x:f>SUMIFS('1F - ADIT Remeasurement'!$AF$11:$AF$175,'1F - ADIT Remeasurement'!$E$11:$E$175,"Unprotected Property",'1F - ADIT Remeasurement'!$AH$11:$AH$175,"190")</x:f>
        <x:v>0</x:v>
      </x:c>
      <x:c r="N25" s="297"/>
      <x:c r="O25" s="295">
        <x:v>0</x:v>
      </x:c>
      <x:c r="P25" s="297"/>
      <x:c r="Q25" s="295">
        <x:f>-M25/5</x:f>
        <x:v>0</x:v>
      </x:c>
      <x:c r="R25" s="297"/>
      <x:c r="S25" s="295">
        <x:f>O25+Q25</x:f>
        <x:v>0</x:v>
      </x:c>
    </x:row>
    <x:row r="26" spans="1:20">
      <x:c r="C26" s="183">
        <x:f>C25+1</x:f>
        <x:v>9</x:v>
      </x:c>
      <x:c r="E26" s="293" t="s">
        <x:v>1250</x:v>
      </x:c>
      <x:c r="G26" s="414" t="s">
        <x:v>743</x:v>
      </x:c>
      <x:c r="H26" s="414"/>
      <x:c r="I26" s="1303">
        <x:v>411.1</x:v>
      </x:c>
      <x:c r="K26" s="306" t="s">
        <x:v>1253</x:v>
      </x:c>
      <x:c r="M26" s="309">
        <x:f>SUMIFS('1F - ADIT Remeasurement'!$AF$11:$AF$175,'1F - ADIT Remeasurement'!$E$11:$E$175,"Unprotected Property",'1F - ADIT Remeasurement'!$AH$11:$AH$175,"281")</x:f>
        <x:v>0</x:v>
      </x:c>
      <x:c r="N26" s="424"/>
      <x:c r="O26" s="309">
        <x:v>0</x:v>
      </x:c>
      <x:c r="P26" s="424"/>
      <x:c r="Q26" s="309">
        <x:f>-M26/5</x:f>
        <x:v>0</x:v>
      </x:c>
      <x:c r="R26" s="424"/>
      <x:c r="S26" s="309">
        <x:f>O26+Q26</x:f>
        <x:v>0</x:v>
      </x:c>
    </x:row>
    <x:row r="27" spans="1:20">
      <x:c r="C27" s="183">
        <x:f>C26+1</x:f>
        <x:v>10</x:v>
      </x:c>
      <x:c r="E27" s="293" t="s">
        <x:v>1229</x:v>
      </x:c>
      <x:c r="G27" s="414" t="s">
        <x:v>743</x:v>
      </x:c>
      <x:c r="H27" s="414"/>
      <x:c r="I27" s="1303">
        <x:v>411.1</x:v>
      </x:c>
      <x:c r="K27" s="306" t="s">
        <x:v>1253</x:v>
      </x:c>
      <x:c r="M27" s="309">
        <x:f>SUMIFS('1F - ADIT Remeasurement'!$AF$11:$AF$175,'1F - ADIT Remeasurement'!$E$11:$E$175,"Unprotected Property",'1F - ADIT Remeasurement'!$AH$11:$AH$175,"282")</x:f>
        <x:v>-46442704.063265227</x:v>
      </x:c>
      <x:c r="N27" s="424"/>
      <x:c r="O27" s="309">
        <x:v>0</x:v>
      </x:c>
      <x:c r="P27" s="424"/>
      <x:c r="Q27" s="309">
        <x:v>0</x:v>
      </x:c>
      <x:c r="R27" s="424"/>
      <x:c r="S27" s="309">
        <x:f>O27+Q27</x:f>
        <x:v>0</x:v>
      </x:c>
      <x:c r="T27" s="203"/>
    </x:row>
    <x:row r="28" spans="1:20">
      <x:c r="C28" s="183">
        <x:f>C27+1</x:f>
        <x:v>11</x:v>
      </x:c>
      <x:c r="E28" s="293" t="s">
        <x:v>1230</x:v>
      </x:c>
      <x:c r="G28" s="414" t="s">
        <x:v>743</x:v>
      </x:c>
      <x:c r="H28" s="414"/>
      <x:c r="I28" s="1303">
        <x:v>411.1</x:v>
      </x:c>
      <x:c r="K28" s="306" t="s">
        <x:v>1253</x:v>
      </x:c>
      <x:c r="M28" s="309">
        <x:f>SUMIFS('1F - ADIT Remeasurement'!$AF$11:$AF$175,'1F - ADIT Remeasurement'!$E$11:$E$175,"Unprotected Property",'1F - ADIT Remeasurement'!$AH$11:$AH$175,"283")</x:f>
        <x:v>0</x:v>
      </x:c>
      <x:c r="N28" s="424"/>
      <x:c r="O28" s="309">
        <x:v>0</x:v>
      </x:c>
      <x:c r="P28" s="424"/>
      <x:c r="Q28" s="309">
        <x:f>-M28/5</x:f>
        <x:v>0</x:v>
      </x:c>
      <x:c r="R28" s="424"/>
      <x:c r="S28" s="309">
        <x:f>O28+Q28</x:f>
        <x:v>0</x:v>
      </x:c>
    </x:row>
    <x:row r="29" spans="1:20" ht="5.0999999999999996" customHeight="1">
      <x:c r="M29" s="310"/>
      <x:c r="O29" s="310"/>
      <x:c r="Q29" s="310"/>
      <x:c r="S29" s="310"/>
    </x:row>
    <x:row r="30" spans="1:20">
      <x:c r="C30" s="183">
        <x:f>C28+1</x:f>
        <x:v>12</x:v>
      </x:c>
      <x:c r="E30" s="180" t="s">
        <x:v>1251</x:v>
      </x:c>
      <x:c r="M30" s="297">
        <x:f>SUM(M24:M29)</x:f>
        <x:v>-46442704.063265227</x:v>
      </x:c>
      <x:c r="N30" s="297"/>
      <x:c r="O30" s="297">
        <x:f>SUM(O24:O29)</x:f>
        <x:v>0</x:v>
      </x:c>
      <x:c r="P30" s="297"/>
      <x:c r="Q30" s="297">
        <x:f>SUM(Q24:Q29)</x:f>
        <x:v>0</x:v>
      </x:c>
      <x:c r="R30" s="297"/>
      <x:c r="S30" s="297">
        <x:f>SUM(S24:S29)</x:f>
        <x:v>0</x:v>
      </x:c>
    </x:row>
    <x:row r="32" spans="1:20">
      <x:c r="A32" s="1327"/>
      <x:c r="B32" s="304"/>
      <x:c r="C32" s="183">
        <x:f>C30+1</x:f>
        <x:v>13</x:v>
      </x:c>
      <x:c r="D32" s="304"/>
      <x:c r="E32" s="305" t="s">
        <x:v>1254</x:v>
      </x:c>
      <x:c r="F32" s="304"/>
      <x:c r="G32" s="306"/>
      <x:c r="H32" s="306"/>
      <x:c r="I32" s="306"/>
      <x:c r="J32" s="304"/>
      <x:c r="K32" s="306"/>
      <x:c r="L32" s="304"/>
      <x:c r="M32" s="307"/>
      <x:c r="O32" s="297"/>
      <x:c r="Q32" s="308"/>
      <x:c r="S32" s="304"/>
    </x:row>
    <x:row r="33" spans="3:20" ht="5.0999999999999996" customHeight="1"/>
    <x:row r="34" spans="3:20">
      <x:c r="C34" s="183">
        <x:f>C32+1</x:f>
        <x:v>14</x:v>
      </x:c>
      <x:c r="E34" s="293" t="s">
        <x:v>1228</x:v>
      </x:c>
      <x:c r="G34" s="414" t="s">
        <x:v>743</x:v>
      </x:c>
      <x:c r="H34" s="414"/>
      <x:c r="I34" s="1303">
        <x:v>410.1</x:v>
      </x:c>
      <x:c r="K34" s="306" t="s">
        <x:v>1255</x:v>
      </x:c>
      <x:c r="M34" s="295">
        <x:f>SUMIFS('1F - ADIT Remeasurement'!$AF$11:$AF$175,'1F - ADIT Remeasurement'!$E$11:$E$175,"Protected Property",'1F - ADIT Remeasurement'!$AH$11:$AH$175,"190")</x:f>
        <x:v>36485884.614918277</x:v>
      </x:c>
      <x:c r="N34" s="297"/>
      <x:c r="O34" s="295">
        <x:v>35371265</x:v>
      </x:c>
      <x:c r="P34" s="297"/>
      <x:c r="Q34" s="295">
        <x:v>-1114620</x:v>
      </x:c>
      <x:c r="R34" s="297"/>
      <x:c r="S34" s="295">
        <x:f>O34+Q34</x:f>
        <x:v>34256645</x:v>
      </x:c>
      <x:c r="T34" s="312"/>
    </x:row>
    <x:row r="35" spans="3:20">
      <x:c r="C35" s="183">
        <x:f>C34+1</x:f>
        <x:v>15</x:v>
      </x:c>
      <x:c r="E35" s="293" t="s">
        <x:v>1250</x:v>
      </x:c>
      <x:c r="G35" s="414" t="s">
        <x:v>743</x:v>
      </x:c>
      <x:c r="H35" s="414"/>
      <x:c r="I35" s="1303">
        <x:v>411.1</x:v>
      </x:c>
      <x:c r="K35" s="306" t="s">
        <x:v>1255</x:v>
      </x:c>
      <x:c r="M35" s="309">
        <x:f>SUMIFS('1F - ADIT Remeasurement'!$AF$11:$AF$175,'1F - ADIT Remeasurement'!$E$11:$E$175,"Protected Property",'1F - ADIT Remeasurement'!$AH$11:$AH$175,"281")</x:f>
        <x:v>0</x:v>
      </x:c>
      <x:c r="N35" s="424"/>
      <x:c r="O35" s="309">
        <x:v>0</x:v>
      </x:c>
      <x:c r="P35" s="424"/>
      <x:c r="Q35" s="309">
        <x:v>0</x:v>
      </x:c>
      <x:c r="R35" s="424"/>
      <x:c r="S35" s="309">
        <x:f>O35+Q35</x:f>
        <x:v>0</x:v>
      </x:c>
    </x:row>
    <x:row r="36" spans="3:20">
      <x:c r="C36" s="183">
        <x:f>C35+1</x:f>
        <x:v>16</x:v>
      </x:c>
      <x:c r="E36" s="293" t="s">
        <x:v>1229</x:v>
      </x:c>
      <x:c r="G36" s="414" t="s">
        <x:v>743</x:v>
      </x:c>
      <x:c r="H36" s="414"/>
      <x:c r="I36" s="1303">
        <x:v>411.1</x:v>
      </x:c>
      <x:c r="K36" s="306" t="s">
        <x:v>1255</x:v>
      </x:c>
      <x:c r="M36" s="309">
        <x:f>SUMIFS('1F - ADIT Remeasurement'!$AF$11:$AF$175,'1F - ADIT Remeasurement'!$E$11:$E$175,"Protected Property",'1F - ADIT Remeasurement'!$AH$11:$AH$175,"282")</x:f>
        <x:v>-68077222.677850693</x:v>
      </x:c>
      <x:c r="N36" s="424"/>
      <x:c r="O36" s="309">
        <x:v>-55929892</x:v>
      </x:c>
      <x:c r="P36" s="424"/>
      <x:c r="Q36" s="309">
        <x:v>2242544</x:v>
      </x:c>
      <x:c r="R36" s="424"/>
      <x:c r="S36" s="309">
        <x:f>O36+Q36</x:f>
        <x:v>-53687348</x:v>
      </x:c>
    </x:row>
    <x:row r="37" spans="3:20">
      <x:c r="C37" s="183">
        <x:f>C36+1</x:f>
        <x:v>17</x:v>
      </x:c>
      <x:c r="E37" s="293" t="s">
        <x:v>1230</x:v>
      </x:c>
      <x:c r="G37" s="414" t="s">
        <x:v>743</x:v>
      </x:c>
      <x:c r="H37" s="414"/>
      <x:c r="I37" s="1303">
        <x:v>411.1</x:v>
      </x:c>
      <x:c r="K37" s="306" t="s">
        <x:v>1255</x:v>
      </x:c>
      <x:c r="M37" s="309">
        <x:f>SUMIFS('1F - ADIT Remeasurement'!$AF$11:$AF$175,'1F - ADIT Remeasurement'!$E$11:$E$175,"Protected Property",'1F - ADIT Remeasurement'!$AH$11:$AH$175,"283")</x:f>
        <x:v>0</x:v>
      </x:c>
      <x:c r="N37" s="424"/>
      <x:c r="O37" s="309">
        <x:v>0</x:v>
      </x:c>
      <x:c r="P37" s="424"/>
      <x:c r="Q37" s="309">
        <x:v>0</x:v>
      </x:c>
      <x:c r="R37" s="424"/>
      <x:c r="S37" s="309">
        <x:f>O37+Q37</x:f>
        <x:v>0</x:v>
      </x:c>
    </x:row>
    <x:row r="38" spans="3:20" ht="5.0999999999999996" customHeight="1">
      <x:c r="M38" s="310"/>
      <x:c r="O38" s="310"/>
      <x:c r="Q38" s="310"/>
      <x:c r="S38" s="310"/>
    </x:row>
    <x:row r="39" spans="3:20">
      <x:c r="C39" s="183">
        <x:f>C37+1</x:f>
        <x:v>18</x:v>
      </x:c>
      <x:c r="E39" s="180" t="s">
        <x:v>1251</x:v>
      </x:c>
      <x:c r="M39" s="297">
        <x:f>SUM(M33:M38)</x:f>
        <x:v>-31591338.062932417</x:v>
      </x:c>
      <x:c r="N39" s="297"/>
      <x:c r="O39" s="297">
        <x:f>SUM(O33:O38)</x:f>
        <x:v>-20558627</x:v>
      </x:c>
      <x:c r="P39" s="297"/>
      <x:c r="Q39" s="297">
        <x:f>SUM(Q33:Q38)</x:f>
        <x:v>1127924</x:v>
      </x:c>
      <x:c r="R39" s="297"/>
      <x:c r="S39" s="297">
        <x:f>SUM(S33:S38)</x:f>
        <x:v>-19430703</x:v>
      </x:c>
      <x:c r="T39" s="203"/>
    </x:row>
    <x:row r="41" spans="3:20" ht="13.5" thickBot="1">
      <x:c r="C41" s="183">
        <x:f>C39+1</x:f>
        <x:v>19</x:v>
      </x:c>
      <x:c r="E41" s="180" t="s">
        <x:v>1256</x:v>
      </x:c>
      <x:c r="M41" s="311">
        <x:f>M21+M30+M39</x:f>
        <x:v>-82894078.959160656</x:v>
      </x:c>
      <x:c r="N41" s="297"/>
      <x:c r="O41" s="311">
        <x:f>O21+O30+O39</x:f>
        <x:v>-20558627</x:v>
      </x:c>
      <x:c r="P41" s="297"/>
      <x:c r="Q41" s="311">
        <x:f>Q21+Q30+Q39</x:f>
        <x:v>1127924</x:v>
      </x:c>
      <x:c r="R41" s="297"/>
      <x:c r="S41" s="311">
        <x:f>S21+S30+S39</x:f>
        <x:v>-19430703</x:v>
      </x:c>
      <x:c r="T41" s="312"/>
    </x:row>
    <x:row r="44" spans="3:20" ht="15.75" customHeight="1">
      <x:c r="C44" s="1613" t="s">
        <x:v>1257</x:v>
      </x:c>
      <x:c r="D44" s="1614"/>
      <x:c r="E44" s="1614"/>
      <x:c r="F44" s="1614"/>
      <x:c r="G44" s="1614"/>
      <x:c r="H44" s="1614"/>
      <x:c r="I44" s="1614"/>
      <x:c r="J44" s="1614"/>
      <x:c r="K44" s="1614"/>
      <x:c r="L44" s="1614"/>
      <x:c r="M44" s="1614"/>
      <x:c r="N44" s="1614"/>
      <x:c r="O44" s="1614"/>
      <x:c r="P44" s="1614"/>
      <x:c r="Q44" s="1614"/>
      <x:c r="R44" s="1614"/>
      <x:c r="S44" s="1615"/>
    </x:row>
    <x:row r="46" spans="3:20">
      <x:c r="E46" s="181" t="s">
        <x:v>163</x:v>
      </x:c>
      <x:c r="F46" s="181"/>
      <x:c r="G46" s="181" t="s">
        <x:v>164</x:v>
      </x:c>
      <x:c r="H46" s="181"/>
      <x:c r="I46" s="181" t="s">
        <x:v>1023</x:v>
      </x:c>
      <x:c r="J46" s="181"/>
      <x:c r="K46" s="181" t="s">
        <x:v>1155</x:v>
      </x:c>
      <x:c r="L46" s="181"/>
      <x:c r="M46" s="181" t="s">
        <x:v>1241</x:v>
      </x:c>
      <x:c r="N46" s="181"/>
      <x:c r="O46" s="181" t="s">
        <x:v>1157</x:v>
      </x:c>
      <x:c r="P46" s="181"/>
      <x:c r="Q46" s="181" t="s">
        <x:v>1158</x:v>
      </x:c>
      <x:c r="R46" s="181"/>
      <x:c r="S46" s="181" t="s">
        <x:v>1159</x:v>
      </x:c>
    </x:row>
    <x:row r="47" spans="3:20" ht="21.75" customHeight="1">
      <x:c r="C47" s="1616" t="s">
        <x:v>523</x:v>
      </x:c>
      <x:c r="D47" s="395"/>
      <x:c r="E47" s="1618" t="s">
        <x:v>1225</x:v>
      </x:c>
      <x:c r="G47" s="1620" t="s">
        <x:v>244</x:v>
      </x:c>
      <x:c r="H47" s="1302"/>
      <x:c r="I47" s="1620" t="s">
        <x:v>2114</x:v>
      </x:c>
      <x:c r="K47" s="1620" t="s">
        <x:v>1242</x:v>
      </x:c>
      <x:c r="M47" s="301" t="s">
        <x:v>1243</x:v>
      </x:c>
      <x:c r="O47" s="1332" t="s">
        <x:v>1913</x:v>
      </x:c>
      <x:c r="Q47" s="1622" t="s">
        <x:v>1244</x:v>
      </x:c>
      <x:c r="S47" s="1332" t="s">
        <x:v>2122</x:v>
      </x:c>
    </x:row>
    <x:row r="48" spans="3:20" ht="25.5">
      <x:c r="C48" s="1617"/>
      <x:c r="D48" s="395"/>
      <x:c r="E48" s="1619"/>
      <x:c r="F48" s="302"/>
      <x:c r="G48" s="1621"/>
      <x:c r="H48" s="1304"/>
      <x:c r="I48" s="1621"/>
      <x:c r="J48" s="302"/>
      <x:c r="K48" s="1621"/>
      <x:c r="L48" s="302"/>
      <x:c r="M48" s="303" t="s">
        <x:v>1245</x:v>
      </x:c>
      <x:c r="O48" s="1331" t="s">
        <x:v>1246</x:v>
      </x:c>
      <x:c r="Q48" s="1623"/>
      <x:c r="S48" s="1331" t="s">
        <x:v>1247</x:v>
      </x:c>
    </x:row>
    <x:row r="49" spans="1:20" ht="5.0999999999999996" customHeight="1"/>
    <x:row r="50" spans="1:20">
      <x:c r="A50" s="1327"/>
      <x:c r="B50" s="304"/>
      <x:c r="C50" s="183">
        <x:f>C41+1</x:f>
        <x:v>20</x:v>
      </x:c>
      <x:c r="D50" s="304"/>
      <x:c r="E50" s="305" t="s">
        <x:v>1254</x:v>
      </x:c>
      <x:c r="F50" s="304"/>
      <x:c r="G50" s="306"/>
      <x:c r="H50" s="306"/>
      <x:c r="I50" s="306"/>
      <x:c r="J50" s="304"/>
      <x:c r="K50" s="306"/>
      <x:c r="L50" s="304"/>
      <x:c r="M50" s="307"/>
      <x:c r="O50" s="297"/>
      <x:c r="Q50" s="308"/>
      <x:c r="S50" s="304"/>
    </x:row>
    <x:row r="51" spans="1:20" ht="5.0999999999999996" customHeight="1"/>
    <x:row r="52" spans="1:20">
      <x:c r="C52" s="183">
        <x:f>C50+1</x:f>
        <x:v>21</x:v>
      </x:c>
      <x:c r="E52" s="293" t="s">
        <x:v>1228</x:v>
      </x:c>
      <x:c r="G52" s="414" t="s">
        <x:v>285</x:v>
      </x:c>
      <x:c r="H52" s="414"/>
      <x:c r="I52" s="1303">
        <x:v>411.1</x:v>
      </x:c>
      <x:c r="K52" s="306" t="s">
        <x:v>1255</x:v>
      </x:c>
      <x:c r="M52" s="295">
        <x:v>0</x:v>
      </x:c>
      <x:c r="N52" s="297"/>
      <x:c r="O52" s="295">
        <x:v>0</x:v>
      </x:c>
      <x:c r="P52" s="297"/>
      <x:c r="Q52" s="295">
        <x:v>0</x:v>
      </x:c>
      <x:c r="R52" s="297"/>
      <x:c r="S52" s="295">
        <x:f>O52+Q52</x:f>
        <x:v>0</x:v>
      </x:c>
    </x:row>
    <x:row r="53" spans="1:20">
      <x:c r="C53" s="183">
        <x:f>C52+1</x:f>
        <x:v>22</x:v>
      </x:c>
      <x:c r="E53" s="293" t="s">
        <x:v>1250</x:v>
      </x:c>
      <x:c r="G53" s="414" t="s">
        <x:v>285</x:v>
      </x:c>
      <x:c r="H53" s="414"/>
      <x:c r="I53" s="1303">
        <x:v>411.1</x:v>
      </x:c>
      <x:c r="K53" s="306" t="s">
        <x:v>1255</x:v>
      </x:c>
      <x:c r="M53" s="309">
        <x:v>0</x:v>
      </x:c>
      <x:c r="N53" s="424"/>
      <x:c r="O53" s="309">
        <x:v>0</x:v>
      </x:c>
      <x:c r="P53" s="424"/>
      <x:c r="Q53" s="309">
        <x:v>0</x:v>
      </x:c>
      <x:c r="R53" s="424"/>
      <x:c r="S53" s="309">
        <x:f>O53+Q53</x:f>
        <x:v>0</x:v>
      </x:c>
    </x:row>
    <x:row r="54" spans="1:20">
      <x:c r="C54" s="183">
        <x:f>C53+1</x:f>
        <x:v>23</x:v>
      </x:c>
      <x:c r="E54" s="293" t="s">
        <x:v>1229</x:v>
      </x:c>
      <x:c r="G54" s="414" t="s">
        <x:v>285</x:v>
      </x:c>
      <x:c r="H54" s="414"/>
      <x:c r="I54" s="1303">
        <x:v>411.1</x:v>
      </x:c>
      <x:c r="K54" s="306" t="s">
        <x:v>1255</x:v>
      </x:c>
      <x:c r="M54" s="309">
        <x:v>83678</x:v>
      </x:c>
      <x:c r="N54" s="424"/>
      <x:c r="O54" s="309">
        <x:v>0</x:v>
      </x:c>
      <x:c r="P54" s="424"/>
      <x:c r="Q54" s="309">
        <x:v>0</x:v>
      </x:c>
      <x:c r="R54" s="424"/>
      <x:c r="S54" s="309">
        <x:f>O54+Q54</x:f>
        <x:v>0</x:v>
      </x:c>
    </x:row>
    <x:row r="55" spans="1:20">
      <x:c r="C55" s="183">
        <x:f>C54+1</x:f>
        <x:v>24</x:v>
      </x:c>
      <x:c r="E55" s="293" t="s">
        <x:v>1230</x:v>
      </x:c>
      <x:c r="G55" s="414" t="s">
        <x:v>285</x:v>
      </x:c>
      <x:c r="H55" s="414"/>
      <x:c r="I55" s="1303">
        <x:v>411.1</x:v>
      </x:c>
      <x:c r="K55" s="306" t="s">
        <x:v>1255</x:v>
      </x:c>
      <x:c r="M55" s="309">
        <x:v>0</x:v>
      </x:c>
      <x:c r="N55" s="424"/>
      <x:c r="O55" s="309">
        <x:v>0</x:v>
      </x:c>
      <x:c r="P55" s="424"/>
      <x:c r="Q55" s="309">
        <x:v>0</x:v>
      </x:c>
      <x:c r="R55" s="424"/>
      <x:c r="S55" s="309">
        <x:f>O55+Q55</x:f>
        <x:v>0</x:v>
      </x:c>
      <x:c r="T55" s="167" t="s">
        <x:v>83</x:v>
      </x:c>
    </x:row>
    <x:row r="56" spans="1:20" ht="5.0999999999999996" customHeight="1">
      <x:c r="M56" s="310"/>
      <x:c r="O56" s="310"/>
      <x:c r="Q56" s="310"/>
      <x:c r="S56" s="310"/>
    </x:row>
    <x:row r="57" spans="1:20">
      <x:c r="C57" s="183">
        <x:f>C55+1</x:f>
        <x:v>25</x:v>
      </x:c>
      <x:c r="E57" s="180" t="s">
        <x:v>1251</x:v>
      </x:c>
      <x:c r="M57" s="297">
        <x:f>SUM(M51:M56)</x:f>
        <x:v>83678</x:v>
      </x:c>
      <x:c r="N57" s="297"/>
      <x:c r="O57" s="297">
        <x:f>SUM(O51:O56)</x:f>
        <x:v>0</x:v>
      </x:c>
      <x:c r="P57" s="297"/>
      <x:c r="Q57" s="297">
        <x:f>SUM(Q51:Q56)</x:f>
        <x:v>0</x:v>
      </x:c>
      <x:c r="R57" s="297"/>
      <x:c r="S57" s="297">
        <x:f>SUM(S51:S56)</x:f>
        <x:v>0</x:v>
      </x:c>
    </x:row>
    <x:row r="59" spans="1:20" ht="13.5" thickBot="1">
      <x:c r="C59" s="183">
        <x:f>C57+1</x:f>
        <x:v>26</x:v>
      </x:c>
      <x:c r="E59" s="180" t="s">
        <x:v>1256</x:v>
      </x:c>
      <x:c r="M59" s="311">
        <x:f>M57</x:f>
        <x:v>83678</x:v>
      </x:c>
      <x:c r="N59" s="297"/>
      <x:c r="O59" s="311">
        <x:f>O57</x:f>
        <x:v>0</x:v>
      </x:c>
      <x:c r="P59" s="297"/>
      <x:c r="Q59" s="311">
        <x:f>Q57</x:f>
        <x:v>0</x:v>
      </x:c>
      <x:c r="R59" s="297"/>
      <x:c r="S59" s="311">
        <x:f>S57</x:f>
        <x:v>0</x:v>
      </x:c>
    </x:row>
    <x:row r="62" spans="1:20" ht="15.75" customHeight="1">
      <x:c r="C62" s="1613" t="s">
        <x:v>1258</x:v>
      </x:c>
      <x:c r="D62" s="1613"/>
      <x:c r="E62" s="1613"/>
      <x:c r="F62" s="1613"/>
      <x:c r="G62" s="1613"/>
      <x:c r="H62" s="1613"/>
      <x:c r="I62" s="1613"/>
      <x:c r="J62" s="1613"/>
      <x:c r="K62" s="1613"/>
      <x:c r="L62" s="1613"/>
      <x:c r="M62" s="1613"/>
      <x:c r="N62" s="1613"/>
      <x:c r="O62" s="1613"/>
      <x:c r="P62" s="1613"/>
      <x:c r="Q62" s="1613"/>
      <x:c r="R62" s="1613"/>
      <x:c r="S62" s="1613"/>
    </x:row>
    <x:row r="64" spans="1:20">
      <x:c r="E64" s="181" t="s">
        <x:v>163</x:v>
      </x:c>
      <x:c r="F64" s="181"/>
      <x:c r="G64" s="181" t="s">
        <x:v>164</x:v>
      </x:c>
      <x:c r="H64" s="181"/>
      <x:c r="I64" s="181" t="s">
        <x:v>1023</x:v>
      </x:c>
      <x:c r="J64" s="181"/>
      <x:c r="K64" s="181" t="s">
        <x:v>1155</x:v>
      </x:c>
      <x:c r="L64" s="181"/>
      <x:c r="M64" s="181" t="s">
        <x:v>1241</x:v>
      </x:c>
      <x:c r="N64" s="181"/>
      <x:c r="O64" s="181" t="s">
        <x:v>1157</x:v>
      </x:c>
      <x:c r="P64" s="181"/>
      <x:c r="Q64" s="181" t="s">
        <x:v>1158</x:v>
      </x:c>
      <x:c r="R64" s="181"/>
      <x:c r="S64" s="181" t="s">
        <x:v>1159</x:v>
      </x:c>
    </x:row>
    <x:row r="65" spans="1:20" ht="15" customHeight="1">
      <x:c r="C65" s="1616" t="s">
        <x:v>523</x:v>
      </x:c>
      <x:c r="D65" s="395"/>
      <x:c r="E65" s="1618" t="s">
        <x:v>1225</x:v>
      </x:c>
      <x:c r="G65" s="1620" t="s">
        <x:v>244</x:v>
      </x:c>
      <x:c r="H65" s="1302"/>
      <x:c r="I65" s="1620" t="s">
        <x:v>2114</x:v>
      </x:c>
      <x:c r="K65" s="1620" t="s">
        <x:v>1242</x:v>
      </x:c>
      <x:c r="M65" s="301" t="s">
        <x:v>1243</x:v>
      </x:c>
      <x:c r="O65" s="1332" t="s">
        <x:v>1913</x:v>
      </x:c>
      <x:c r="Q65" s="1622" t="s">
        <x:v>1244</x:v>
      </x:c>
      <x:c r="S65" s="1332" t="s">
        <x:v>2122</x:v>
      </x:c>
    </x:row>
    <x:row r="66" spans="1:20" ht="34.5" customHeight="1">
      <x:c r="C66" s="1616"/>
      <x:c r="D66" s="395"/>
      <x:c r="E66" s="1619"/>
      <x:c r="F66" s="302"/>
      <x:c r="G66" s="1621"/>
      <x:c r="H66" s="1304"/>
      <x:c r="I66" s="1621"/>
      <x:c r="J66" s="302"/>
      <x:c r="K66" s="1621"/>
      <x:c r="L66" s="302"/>
      <x:c r="M66" s="303" t="s">
        <x:v>1245</x:v>
      </x:c>
      <x:c r="O66" s="1331" t="s">
        <x:v>1246</x:v>
      </x:c>
      <x:c r="Q66" s="1623"/>
      <x:c r="S66" s="1331" t="s">
        <x:v>1247</x:v>
      </x:c>
    </x:row>
    <x:row r="67" spans="1:20" ht="5.0999999999999996" customHeight="1"/>
    <x:row r="68" spans="1:20">
      <x:c r="A68" s="1327"/>
      <x:c r="B68" s="304"/>
      <x:c r="C68" s="183">
        <x:f>C59+1</x:f>
        <x:v>27</x:v>
      </x:c>
      <x:c r="D68" s="304"/>
      <x:c r="E68" s="305" t="s">
        <x:v>1248</x:v>
      </x:c>
      <x:c r="F68" s="304"/>
      <x:c r="G68" s="306"/>
      <x:c r="H68" s="306"/>
      <x:c r="I68" s="306"/>
      <x:c r="J68" s="304"/>
      <x:c r="K68" s="306"/>
      <x:c r="L68" s="304"/>
      <x:c r="M68" s="307"/>
      <x:c r="O68" s="297"/>
      <x:c r="Q68" s="308"/>
      <x:c r="S68" s="304"/>
    </x:row>
    <x:row r="69" spans="1:20" ht="5.0999999999999996" customHeight="1"/>
    <x:row r="70" spans="1:20">
      <x:c r="C70" s="183">
        <x:f>C68+1</x:f>
        <x:v>28</x:v>
      </x:c>
      <x:c r="E70" s="293" t="s">
        <x:v>1228</x:v>
      </x:c>
      <x:c r="G70" s="414"/>
      <x:c r="H70" s="414"/>
      <x:c r="I70" s="1303">
        <x:v>411.1</x:v>
      </x:c>
      <x:c r="K70" s="1303"/>
      <x:c r="M70" s="295">
        <x:f>M16</x:f>
        <x:v>-2276084.4922092138</x:v>
      </x:c>
      <x:c r="N70" s="297"/>
      <x:c r="O70" s="295">
        <x:f>O16</x:f>
        <x:v>0</x:v>
      </x:c>
      <x:c r="P70" s="297"/>
      <x:c r="Q70" s="295">
        <x:f>Q16</x:f>
        <x:v>0</x:v>
      </x:c>
      <x:c r="R70" s="297"/>
      <x:c r="S70" s="295">
        <x:f>O70+Q70</x:f>
        <x:v>0</x:v>
      </x:c>
      <x:c r="T70" s="203"/>
    </x:row>
    <x:row r="71" spans="1:20">
      <x:c r="C71" s="183">
        <x:f>C70+1</x:f>
        <x:v>29</x:v>
      </x:c>
      <x:c r="E71" s="293" t="s">
        <x:v>1250</x:v>
      </x:c>
      <x:c r="G71" s="414"/>
      <x:c r="H71" s="414"/>
      <x:c r="I71" s="1303">
        <x:v>411.1</x:v>
      </x:c>
      <x:c r="K71" s="1303"/>
      <x:c r="M71" s="309">
        <x:f>M17</x:f>
        <x:v>0</x:v>
      </x:c>
      <x:c r="O71" s="309">
        <x:f>O17</x:f>
        <x:v>0</x:v>
      </x:c>
      <x:c r="Q71" s="309">
        <x:f>Q17</x:f>
        <x:v>0</x:v>
      </x:c>
      <x:c r="S71" s="309">
        <x:f>O71+Q71</x:f>
        <x:v>0</x:v>
      </x:c>
    </x:row>
    <x:row r="72" spans="1:20">
      <x:c r="C72" s="183">
        <x:f>C71+1</x:f>
        <x:v>30</x:v>
      </x:c>
      <x:c r="E72" s="293" t="s">
        <x:v>1229</x:v>
      </x:c>
      <x:c r="G72" s="414"/>
      <x:c r="H72" s="414"/>
      <x:c r="I72" s="1303">
        <x:v>411.1</x:v>
      </x:c>
      <x:c r="K72" s="1303"/>
      <x:c r="M72" s="309">
        <x:f>M18</x:f>
        <x:v>0</x:v>
      </x:c>
      <x:c r="O72" s="309">
        <x:f>O18</x:f>
        <x:v>0</x:v>
      </x:c>
      <x:c r="Q72" s="309">
        <x:f>Q18</x:f>
        <x:v>0</x:v>
      </x:c>
      <x:c r="S72" s="309">
        <x:f>O72+Q72</x:f>
        <x:v>0</x:v>
      </x:c>
    </x:row>
    <x:row r="73" spans="1:20">
      <x:c r="C73" s="183">
        <x:f>C72+1</x:f>
        <x:v>31</x:v>
      </x:c>
      <x:c r="E73" s="293" t="s">
        <x:v>1230</x:v>
      </x:c>
      <x:c r="G73" s="414"/>
      <x:c r="H73" s="414"/>
      <x:c r="I73" s="1303">
        <x:v>411.1</x:v>
      </x:c>
      <x:c r="K73" s="1303"/>
      <x:c r="M73" s="309">
        <x:f>M19</x:f>
        <x:v>-2583952.3407537979</x:v>
      </x:c>
      <x:c r="O73" s="309">
        <x:f>O19</x:f>
        <x:v>0</x:v>
      </x:c>
      <x:c r="Q73" s="309">
        <x:f>Q19</x:f>
        <x:v>0</x:v>
      </x:c>
      <x:c r="S73" s="309">
        <x:f>O73+Q73</x:f>
        <x:v>0</x:v>
      </x:c>
      <x:c r="T73" s="203"/>
    </x:row>
    <x:row r="74" spans="1:20" ht="5.0999999999999996" customHeight="1">
      <x:c r="M74" s="310"/>
      <x:c r="O74" s="310"/>
      <x:c r="Q74" s="310"/>
      <x:c r="S74" s="310"/>
    </x:row>
    <x:row r="75" spans="1:20">
      <x:c r="C75" s="183">
        <x:f>C73+1</x:f>
        <x:v>32</x:v>
      </x:c>
      <x:c r="E75" s="180" t="s">
        <x:v>1251</x:v>
      </x:c>
      <x:c r="M75" s="297">
        <x:f>SUM(M69:M74)</x:f>
        <x:v>-4860036.8329630122</x:v>
      </x:c>
      <x:c r="N75" s="297"/>
      <x:c r="O75" s="297">
        <x:f>SUM(O69:O74)</x:f>
        <x:v>0</x:v>
      </x:c>
      <x:c r="P75" s="297"/>
      <x:c r="Q75" s="297">
        <x:f>SUM(Q69:Q74)</x:f>
        <x:v>0</x:v>
      </x:c>
      <x:c r="R75" s="297"/>
      <x:c r="S75" s="297">
        <x:f>SUM(S69:S74)</x:f>
        <x:v>0</x:v>
      </x:c>
    </x:row>
    <x:row r="76" spans="1:20">
      <x:c r="C76" s="183"/>
    </x:row>
    <x:row r="77" spans="1:20">
      <x:c r="A77" s="1327"/>
      <x:c r="B77" s="304"/>
      <x:c r="C77" s="183">
        <x:f>C75+1</x:f>
        <x:v>33</x:v>
      </x:c>
      <x:c r="D77" s="304"/>
      <x:c r="E77" s="305" t="s">
        <x:v>1252</x:v>
      </x:c>
      <x:c r="F77" s="304"/>
      <x:c r="G77" s="306"/>
      <x:c r="H77" s="306"/>
      <x:c r="I77" s="306"/>
      <x:c r="J77" s="304"/>
      <x:c r="K77" s="306"/>
      <x:c r="L77" s="304"/>
      <x:c r="M77" s="307"/>
      <x:c r="O77" s="297"/>
      <x:c r="Q77" s="308"/>
      <x:c r="S77" s="304"/>
    </x:row>
    <x:row r="78" spans="1:20" ht="5.0999999999999996" customHeight="1"/>
    <x:row r="79" spans="1:20">
      <x:c r="C79" s="183">
        <x:f>C77+1</x:f>
        <x:v>34</x:v>
      </x:c>
      <x:c r="E79" s="293" t="s">
        <x:v>1228</x:v>
      </x:c>
      <x:c r="G79" s="414"/>
      <x:c r="H79" s="414"/>
      <x:c r="I79" s="1303">
        <x:v>411.1</x:v>
      </x:c>
      <x:c r="K79" s="306"/>
      <x:c r="M79" s="295">
        <x:f>M25</x:f>
        <x:v>0</x:v>
      </x:c>
      <x:c r="N79" s="297"/>
      <x:c r="O79" s="295">
        <x:f>O25</x:f>
        <x:v>0</x:v>
      </x:c>
      <x:c r="P79" s="297"/>
      <x:c r="Q79" s="295">
        <x:f>Q25</x:f>
        <x:v>0</x:v>
      </x:c>
      <x:c r="R79" s="297"/>
      <x:c r="S79" s="295">
        <x:f>O79+Q79</x:f>
        <x:v>0</x:v>
      </x:c>
    </x:row>
    <x:row r="80" spans="1:20">
      <x:c r="C80" s="183">
        <x:f>C79+1</x:f>
        <x:v>35</x:v>
      </x:c>
      <x:c r="E80" s="293" t="s">
        <x:v>1250</x:v>
      </x:c>
      <x:c r="G80" s="414"/>
      <x:c r="H80" s="414"/>
      <x:c r="I80" s="1303">
        <x:v>411.1</x:v>
      </x:c>
      <x:c r="K80" s="306"/>
      <x:c r="M80" s="309">
        <x:f>M26</x:f>
        <x:v>0</x:v>
      </x:c>
      <x:c r="O80" s="309">
        <x:f>O26</x:f>
        <x:v>0</x:v>
      </x:c>
      <x:c r="Q80" s="309">
        <x:f>Q26</x:f>
        <x:v>0</x:v>
      </x:c>
      <x:c r="S80" s="309">
        <x:f>O80+Q80</x:f>
        <x:v>0</x:v>
      </x:c>
    </x:row>
    <x:row r="81" spans="1:20">
      <x:c r="C81" s="183">
        <x:f>C80+1</x:f>
        <x:v>36</x:v>
      </x:c>
      <x:c r="E81" s="293" t="s">
        <x:v>1229</x:v>
      </x:c>
      <x:c r="G81" s="414"/>
      <x:c r="H81" s="414"/>
      <x:c r="I81" s="1303">
        <x:v>411.1</x:v>
      </x:c>
      <x:c r="K81" s="306"/>
      <x:c r="M81" s="309">
        <x:f>M27</x:f>
        <x:v>-46442704.063265227</x:v>
      </x:c>
      <x:c r="O81" s="309">
        <x:f>O27</x:f>
        <x:v>0</x:v>
      </x:c>
      <x:c r="Q81" s="309">
        <x:f>Q27</x:f>
        <x:v>0</x:v>
      </x:c>
      <x:c r="S81" s="309">
        <x:f>O81+Q81</x:f>
        <x:v>0</x:v>
      </x:c>
      <x:c r="T81" s="203"/>
    </x:row>
    <x:row r="82" spans="1:20">
      <x:c r="C82" s="183">
        <x:f>C81+1</x:f>
        <x:v>37</x:v>
      </x:c>
      <x:c r="E82" s="293" t="s">
        <x:v>1230</x:v>
      </x:c>
      <x:c r="G82" s="414"/>
      <x:c r="H82" s="414"/>
      <x:c r="I82" s="1303">
        <x:v>411.1</x:v>
      </x:c>
      <x:c r="K82" s="306"/>
      <x:c r="M82" s="309">
        <x:f>M28</x:f>
        <x:v>0</x:v>
      </x:c>
      <x:c r="O82" s="309">
        <x:f>O28</x:f>
        <x:v>0</x:v>
      </x:c>
      <x:c r="Q82" s="309">
        <x:f>Q28</x:f>
        <x:v>0</x:v>
      </x:c>
      <x:c r="S82" s="309">
        <x:f>O82+Q82</x:f>
        <x:v>0</x:v>
      </x:c>
    </x:row>
    <x:row r="83" spans="1:20" ht="5.0999999999999996" customHeight="1">
      <x:c r="M83" s="310"/>
      <x:c r="O83" s="310"/>
      <x:c r="Q83" s="310"/>
      <x:c r="S83" s="310"/>
    </x:row>
    <x:row r="84" spans="1:20">
      <x:c r="C84" s="183">
        <x:f>C82+1</x:f>
        <x:v>38</x:v>
      </x:c>
      <x:c r="E84" s="180" t="s">
        <x:v>1251</x:v>
      </x:c>
      <x:c r="M84" s="297">
        <x:f>SUM(M78:M83)</x:f>
        <x:v>-46442704.063265227</x:v>
      </x:c>
      <x:c r="N84" s="297"/>
      <x:c r="O84" s="297">
        <x:f>SUM(O78:O83)</x:f>
        <x:v>0</x:v>
      </x:c>
      <x:c r="P84" s="297"/>
      <x:c r="Q84" s="297">
        <x:f>SUM(Q78:Q83)</x:f>
        <x:v>0</x:v>
      </x:c>
      <x:c r="R84" s="297"/>
      <x:c r="S84" s="297">
        <x:f>SUM(S78:S83)</x:f>
        <x:v>0</x:v>
      </x:c>
    </x:row>
    <x:row r="86" spans="1:20">
      <x:c r="A86" s="1327"/>
      <x:c r="B86" s="304"/>
      <x:c r="C86" s="183">
        <x:f>C84+1</x:f>
        <x:v>39</x:v>
      </x:c>
      <x:c r="D86" s="304"/>
      <x:c r="E86" s="305" t="s">
        <x:v>1254</x:v>
      </x:c>
      <x:c r="F86" s="304"/>
      <x:c r="G86" s="306"/>
      <x:c r="H86" s="306"/>
      <x:c r="I86" s="306"/>
      <x:c r="J86" s="304"/>
      <x:c r="K86" s="306"/>
      <x:c r="L86" s="304"/>
      <x:c r="M86" s="307"/>
      <x:c r="O86" s="297"/>
      <x:c r="Q86" s="308"/>
      <x:c r="S86" s="304"/>
    </x:row>
    <x:row r="87" spans="1:20" ht="5.0999999999999996" customHeight="1"/>
    <x:row r="88" spans="1:20">
      <x:c r="C88" s="183">
        <x:f>C86+1</x:f>
        <x:v>40</x:v>
      </x:c>
      <x:c r="E88" s="293" t="s">
        <x:v>1228</x:v>
      </x:c>
      <x:c r="G88" s="414"/>
      <x:c r="H88" s="414"/>
      <x:c r="I88" s="1303">
        <x:v>410.1</x:v>
      </x:c>
      <x:c r="K88" s="306"/>
      <x:c r="M88" s="295">
        <x:f>M34+M52</x:f>
        <x:v>36485884.614918277</x:v>
      </x:c>
      <x:c r="O88" s="295">
        <x:f>O34+O52</x:f>
        <x:v>35371265</x:v>
      </x:c>
      <x:c r="Q88" s="295">
        <x:f>Q34+Q52</x:f>
        <x:v>-1114620</x:v>
      </x:c>
      <x:c r="S88" s="295">
        <x:f>O88+Q88</x:f>
        <x:v>34256645</x:v>
      </x:c>
    </x:row>
    <x:row r="89" spans="1:20">
      <x:c r="C89" s="183">
        <x:f>C88+1</x:f>
        <x:v>41</x:v>
      </x:c>
      <x:c r="E89" s="293" t="s">
        <x:v>1250</x:v>
      </x:c>
      <x:c r="G89" s="414"/>
      <x:c r="H89" s="414"/>
      <x:c r="I89" s="1303">
        <x:v>411.1</x:v>
      </x:c>
      <x:c r="K89" s="306"/>
      <x:c r="M89" s="309">
        <x:f>M35+M53</x:f>
        <x:v>0</x:v>
      </x:c>
      <x:c r="O89" s="309">
        <x:f>O35+O53</x:f>
        <x:v>0</x:v>
      </x:c>
      <x:c r="Q89" s="309">
        <x:f>Q35+Q53</x:f>
        <x:v>0</x:v>
      </x:c>
      <x:c r="S89" s="309">
        <x:f>O89+Q89</x:f>
        <x:v>0</x:v>
      </x:c>
    </x:row>
    <x:row r="90" spans="1:20">
      <x:c r="C90" s="183">
        <x:f>C89+1</x:f>
        <x:v>42</x:v>
      </x:c>
      <x:c r="E90" s="293" t="s">
        <x:v>1229</x:v>
      </x:c>
      <x:c r="G90" s="414"/>
      <x:c r="H90" s="414"/>
      <x:c r="I90" s="1303">
        <x:v>411.1</x:v>
      </x:c>
      <x:c r="K90" s="306"/>
      <x:c r="M90" s="309">
        <x:f>M36+M54</x:f>
        <x:v>-67993544.677850693</x:v>
      </x:c>
      <x:c r="O90" s="309">
        <x:f>O36+O54</x:f>
        <x:v>-55929892</x:v>
      </x:c>
      <x:c r="Q90" s="309">
        <x:f>Q36+Q54</x:f>
        <x:v>2242544</x:v>
      </x:c>
      <x:c r="S90" s="309">
        <x:f>O90+Q90</x:f>
        <x:v>-53687348</x:v>
      </x:c>
    </x:row>
    <x:row r="91" spans="1:20">
      <x:c r="C91" s="183">
        <x:f>C90+1</x:f>
        <x:v>43</x:v>
      </x:c>
      <x:c r="E91" s="293" t="s">
        <x:v>1230</x:v>
      </x:c>
      <x:c r="G91" s="414"/>
      <x:c r="H91" s="414"/>
      <x:c r="I91" s="1303">
        <x:v>411.1</x:v>
      </x:c>
      <x:c r="K91" s="306"/>
      <x:c r="M91" s="309">
        <x:f>M37+M55</x:f>
        <x:v>0</x:v>
      </x:c>
      <x:c r="O91" s="309">
        <x:f>O37+O55</x:f>
        <x:v>0</x:v>
      </x:c>
      <x:c r="Q91" s="309">
        <x:f>Q37+Q55</x:f>
        <x:v>0</x:v>
      </x:c>
      <x:c r="S91" s="309">
        <x:f>O91+Q91</x:f>
        <x:v>0</x:v>
      </x:c>
    </x:row>
    <x:row r="92" spans="1:20" ht="5.0999999999999996" customHeight="1">
      <x:c r="M92" s="310"/>
      <x:c r="O92" s="310"/>
      <x:c r="Q92" s="310"/>
      <x:c r="S92" s="310"/>
    </x:row>
    <x:row r="93" spans="1:20">
      <x:c r="C93" s="183">
        <x:f>C91+1</x:f>
        <x:v>44</x:v>
      </x:c>
      <x:c r="E93" s="180" t="s">
        <x:v>1251</x:v>
      </x:c>
      <x:c r="M93" s="297">
        <x:f>SUM(M87:M92)</x:f>
        <x:v>-31507660.062932417</x:v>
      </x:c>
      <x:c r="N93" s="297"/>
      <x:c r="O93" s="297">
        <x:f>SUM(O87:O92)</x:f>
        <x:v>-20558627</x:v>
      </x:c>
      <x:c r="P93" s="297"/>
      <x:c r="Q93" s="297">
        <x:f>SUM(Q87:Q92)</x:f>
        <x:v>1127924</x:v>
      </x:c>
      <x:c r="R93" s="297"/>
      <x:c r="S93" s="297">
        <x:f>SUM(S87:S92)</x:f>
        <x:v>-19430703</x:v>
      </x:c>
      <x:c r="T93" s="203"/>
    </x:row>
    <x:row r="95" spans="1:20" ht="13.5" thickBot="1">
      <x:c r="C95" s="183">
        <x:f>C93+1</x:f>
        <x:v>45</x:v>
      </x:c>
      <x:c r="E95" s="180" t="s">
        <x:v>1256</x:v>
      </x:c>
      <x:c r="M95" s="311">
        <x:f>M75+M84+M93</x:f>
        <x:v>-82810400.959160656</x:v>
      </x:c>
      <x:c r="N95" s="297"/>
      <x:c r="O95" s="311">
        <x:f>O75+O84+O93</x:f>
        <x:v>-20558627</x:v>
      </x:c>
      <x:c r="P95" s="297"/>
      <x:c r="Q95" s="311">
        <x:f>Q75+Q84+Q93</x:f>
        <x:v>1127924</x:v>
      </x:c>
      <x:c r="R95" s="297"/>
      <x:c r="S95" s="311">
        <x:f>S75+S84+S93</x:f>
        <x:v>-19430703</x:v>
      </x:c>
      <x:c r="T95" s="312"/>
    </x:row>
    <x:row r="96" spans="1:20">
      <x:c r="C96" s="183"/>
      <x:c r="E96" s="180"/>
      <x:c r="M96" s="313"/>
      <x:c r="N96" s="297"/>
      <x:c r="O96" s="313"/>
      <x:c r="P96" s="297"/>
      <x:c r="Q96" s="313"/>
      <x:c r="R96" s="297"/>
      <x:c r="S96" s="313"/>
      <x:c r="T96" s="312"/>
    </x:row>
    <x:row r="97" spans="3:20">
      <x:c r="C97" s="183"/>
      <x:c r="E97" s="180"/>
      <x:c r="M97" s="415"/>
      <x:c r="N97" s="415"/>
      <x:c r="O97" s="415"/>
      <x:c r="P97" s="415"/>
      <x:c r="Q97" s="415"/>
      <x:c r="R97" s="415"/>
      <x:c r="S97" s="415"/>
      <x:c r="T97" s="312"/>
    </x:row>
    <x:row r="98" spans="3:20" ht="15.75" customHeight="1">
      <x:c r="C98" s="1613" t="s">
        <x:v>1258</x:v>
      </x:c>
      <x:c r="D98" s="1614"/>
      <x:c r="E98" s="1614"/>
      <x:c r="F98" s="1614"/>
      <x:c r="G98" s="1614"/>
      <x:c r="H98" s="1614"/>
      <x:c r="I98" s="1614"/>
      <x:c r="J98" s="1614"/>
      <x:c r="K98" s="1614"/>
      <x:c r="L98" s="1614"/>
      <x:c r="M98" s="1614"/>
      <x:c r="N98" s="1614"/>
      <x:c r="O98" s="1614"/>
      <x:c r="P98" s="1614"/>
      <x:c r="Q98" s="1614"/>
      <x:c r="R98" s="1614"/>
      <x:c r="S98" s="1615"/>
    </x:row>
    <x:row r="100" spans="3:20">
      <x:c r="E100" s="181" t="s">
        <x:v>163</x:v>
      </x:c>
      <x:c r="F100" s="181"/>
      <x:c r="G100" s="181" t="s">
        <x:v>164</x:v>
      </x:c>
      <x:c r="H100" s="181"/>
      <x:c r="I100" s="181" t="s">
        <x:v>1023</x:v>
      </x:c>
      <x:c r="J100" s="181"/>
      <x:c r="K100" s="181" t="s">
        <x:v>1155</x:v>
      </x:c>
      <x:c r="L100" s="181"/>
      <x:c r="M100" s="181" t="s">
        <x:v>1241</x:v>
      </x:c>
      <x:c r="N100" s="181"/>
      <x:c r="O100" s="181" t="s">
        <x:v>1157</x:v>
      </x:c>
      <x:c r="P100" s="181"/>
      <x:c r="Q100" s="181" t="s">
        <x:v>1158</x:v>
      </x:c>
      <x:c r="R100" s="181"/>
      <x:c r="S100" s="181" t="s">
        <x:v>1159</x:v>
      </x:c>
    </x:row>
    <x:row r="101" spans="3:20" ht="15" customHeight="1">
      <x:c r="C101" s="1616" t="s">
        <x:v>523</x:v>
      </x:c>
      <x:c r="D101" s="395"/>
      <x:c r="E101" s="1618" t="s">
        <x:v>1225</x:v>
      </x:c>
      <x:c r="G101" s="1620" t="s">
        <x:v>244</x:v>
      </x:c>
      <x:c r="H101" s="1302"/>
      <x:c r="I101" s="1620" t="s">
        <x:v>2114</x:v>
      </x:c>
      <x:c r="K101" s="1620" t="s">
        <x:v>1242</x:v>
      </x:c>
      <x:c r="M101" s="301" t="s">
        <x:v>1243</x:v>
      </x:c>
      <x:c r="O101" s="1332" t="s">
        <x:v>1913</x:v>
      </x:c>
      <x:c r="Q101" s="1622" t="s">
        <x:v>1244</x:v>
      </x:c>
      <x:c r="S101" s="1332" t="s">
        <x:v>2122</x:v>
      </x:c>
    </x:row>
    <x:row r="102" spans="3:20" ht="32.25" customHeight="1">
      <x:c r="C102" s="1617"/>
      <x:c r="D102" s="395"/>
      <x:c r="E102" s="1619"/>
      <x:c r="F102" s="302"/>
      <x:c r="G102" s="1621"/>
      <x:c r="H102" s="1304"/>
      <x:c r="I102" s="1621"/>
      <x:c r="J102" s="302"/>
      <x:c r="K102" s="1621"/>
      <x:c r="L102" s="302"/>
      <x:c r="M102" s="303" t="s">
        <x:v>1245</x:v>
      </x:c>
      <x:c r="O102" s="1331" t="s">
        <x:v>1246</x:v>
      </x:c>
      <x:c r="Q102" s="1623"/>
      <x:c r="S102" s="1331" t="s">
        <x:v>1247</x:v>
      </x:c>
    </x:row>
    <x:row r="103" spans="3:20" ht="5.0999999999999996" customHeight="1"/>
    <x:row r="104" spans="3:20">
      <x:c r="C104" s="183">
        <x:f>C95+1</x:f>
        <x:v>46</x:v>
      </x:c>
      <x:c r="E104" s="293" t="s">
        <x:v>1228</x:v>
      </x:c>
      <x:c r="I104" s="1303">
        <x:v>411.1</x:v>
      </x:c>
      <x:c r="M104" s="295">
        <x:f>M70+M79+M88</x:f>
        <x:v>34209800.122709066</x:v>
      </x:c>
      <x:c r="N104" s="297"/>
      <x:c r="O104" s="295">
        <x:f>O16+O25+O34+O52</x:f>
        <x:v>35371265</x:v>
      </x:c>
      <x:c r="P104" s="297"/>
      <x:c r="Q104" s="295">
        <x:f>Q16+Q25+Q34+Q52</x:f>
        <x:v>-1114620</x:v>
      </x:c>
      <x:c r="R104" s="297"/>
      <x:c r="S104" s="295">
        <x:f>O104+Q104</x:f>
        <x:v>34256645</x:v>
      </x:c>
    </x:row>
    <x:row r="105" spans="3:20">
      <x:c r="C105" s="183">
        <x:f>C104+1</x:f>
        <x:v>47</x:v>
      </x:c>
      <x:c r="E105" s="293" t="s">
        <x:v>1250</x:v>
      </x:c>
      <x:c r="I105" s="1303">
        <x:v>411.1</x:v>
      </x:c>
      <x:c r="M105" s="309">
        <x:f>M71+M80+M89</x:f>
        <x:v>0</x:v>
      </x:c>
      <x:c r="O105" s="296">
        <x:f>O17+O26+O35+O53</x:f>
        <x:v>0</x:v>
      </x:c>
      <x:c r="Q105" s="296">
        <x:f>Q17+Q26+Q35+Q53</x:f>
        <x:v>0</x:v>
      </x:c>
      <x:c r="S105" s="309">
        <x:f>O105+Q105</x:f>
        <x:v>0</x:v>
      </x:c>
    </x:row>
    <x:row r="106" spans="3:20">
      <x:c r="C106" s="183">
        <x:f>C105+1</x:f>
        <x:v>48</x:v>
      </x:c>
      <x:c r="E106" s="293" t="s">
        <x:v>1229</x:v>
      </x:c>
      <x:c r="I106" s="1303">
        <x:v>411.1</x:v>
      </x:c>
      <x:c r="M106" s="309">
        <x:f>M72+M81+M90</x:f>
        <x:v>-114436248.74111593</x:v>
      </x:c>
      <x:c r="O106" s="296">
        <x:f>O18+O27+O36+O54</x:f>
        <x:v>-55929892</x:v>
      </x:c>
      <x:c r="Q106" s="296">
        <x:f>Q18+Q27+Q36+Q54</x:f>
        <x:v>2242544</x:v>
      </x:c>
      <x:c r="S106" s="309">
        <x:f>O106+Q106</x:f>
        <x:v>-53687348</x:v>
      </x:c>
    </x:row>
    <x:row r="107" spans="3:20">
      <x:c r="C107" s="183">
        <x:f>C106+1</x:f>
        <x:v>49</x:v>
      </x:c>
      <x:c r="E107" s="293" t="s">
        <x:v>1230</x:v>
      </x:c>
      <x:c r="I107" s="1303">
        <x:v>411.1</x:v>
      </x:c>
      <x:c r="M107" s="309">
        <x:f>M73+M82+M91</x:f>
        <x:v>-2583952.3407537979</x:v>
      </x:c>
      <x:c r="O107" s="296">
        <x:f>O19+O28+O37+O55</x:f>
        <x:v>0</x:v>
      </x:c>
      <x:c r="Q107" s="296">
        <x:f>Q19+Q28+Q37+Q55</x:f>
        <x:v>0</x:v>
      </x:c>
      <x:c r="S107" s="309">
        <x:f>O107+Q107</x:f>
        <x:v>0</x:v>
      </x:c>
    </x:row>
    <x:row r="108" spans="3:20" ht="5.0999999999999996" customHeight="1">
      <x:c r="S108" s="310"/>
    </x:row>
    <x:row r="109" spans="3:20">
      <x:c r="C109" s="183">
        <x:f>C107+1</x:f>
        <x:v>50</x:v>
      </x:c>
      <x:c r="E109" s="180" t="s">
        <x:v>1256</x:v>
      </x:c>
      <x:c r="G109" s="167" t="s">
        <x:v>2115</x:v>
      </x:c>
      <x:c r="M109" s="314">
        <x:f>SUM(M104:M108)</x:f>
        <x:v>-82810400.959160656</x:v>
      </x:c>
      <x:c r="N109" s="297"/>
      <x:c r="O109" s="314">
        <x:f>SUM(O104:O108)</x:f>
        <x:v>-20558627</x:v>
      </x:c>
      <x:c r="P109" s="297"/>
      <x:c r="Q109" s="314">
        <x:f>SUM(Q104:Q108)</x:f>
        <x:v>1127924</x:v>
      </x:c>
      <x:c r="R109" s="297"/>
      <x:c r="S109" s="314">
        <x:f>SUM(S104:S108)</x:f>
        <x:v>-19430703</x:v>
      </x:c>
    </x:row>
    <x:row r="110" spans="3:20" ht="5.0999999999999996" customHeight="1"/>
    <x:row r="111" spans="3:20">
      <x:c r="C111" s="183">
        <x:f>C109+1</x:f>
        <x:v>51</x:v>
      </x:c>
      <x:c r="E111" s="293" t="s">
        <x:v>1111</x:v>
      </x:c>
      <x:c r="G111" s="167" t="s">
        <x:v>1392</x:v>
      </x:c>
      <x:c r="M111" s="315">
        <x:f>'ATT H-3D'!$H$262</x:f>
        <x:v>1.3834128795739087</x:v>
      </x:c>
      <x:c r="O111" s="315">
        <x:f>'ATT H-3D'!$H$262</x:f>
        <x:v>1.3834128795739087</x:v>
      </x:c>
      <x:c r="Q111" s="315">
        <x:f>'ATT H-3D'!$H$262</x:f>
        <x:v>1.3834128795739087</x:v>
      </x:c>
      <x:c r="S111" s="315">
        <x:f>'ATT H-3D'!$H$262</x:f>
        <x:v>1.3834128795739087</x:v>
      </x:c>
    </x:row>
    <x:row r="112" spans="3:20" ht="5.0999999999999996" customHeight="1"/>
    <x:row r="113" spans="3:19" ht="13.5" thickBot="1">
      <x:c r="C113" s="183">
        <x:f>C111+1</x:f>
        <x:v>52</x:v>
      </x:c>
      <x:c r="E113" s="180" t="s">
        <x:v>1259</x:v>
      </x:c>
      <x:c r="M113" s="316">
        <x:f>M109*M111</x:f>
        <x:v>-114560975.24958241</x:v>
      </x:c>
      <x:c r="N113" s="297"/>
      <x:c r="O113" s="316">
        <x:f>O109*O111</x:f>
        <x:v>-28441069.378155906</x:v>
      </x:c>
      <x:c r="P113" s="297"/>
      <x:c r="Q113" s="316">
        <x:f>Q109*Q111</x:f>
        <x:v>1560384.5887805214</x:v>
      </x:c>
      <x:c r="R113" s="297"/>
      <x:c r="S113" s="316">
        <x:f>S109*S111</x:f>
        <x:v>-26880684.789375387</x:v>
      </x:c>
    </x:row>
    <x:row r="114" spans="3:19" ht="13.5" thickTop="1"/>
    <x:row r="116" spans="3:19" ht="15.75" customHeight="1">
      <x:c r="C116" s="1613" t="s">
        <x:v>1260</x:v>
      </x:c>
      <x:c r="D116" s="1614"/>
      <x:c r="E116" s="1614"/>
      <x:c r="F116" s="1614"/>
      <x:c r="G116" s="1614"/>
      <x:c r="H116" s="1614"/>
      <x:c r="I116" s="1614"/>
      <x:c r="J116" s="1614"/>
      <x:c r="K116" s="1614"/>
      <x:c r="L116" s="1614"/>
      <x:c r="M116" s="1614"/>
      <x:c r="N116" s="1614"/>
      <x:c r="O116" s="1614"/>
      <x:c r="P116" s="1614"/>
      <x:c r="Q116" s="1614"/>
      <x:c r="R116" s="1614"/>
      <x:c r="S116" s="1615"/>
    </x:row>
    <x:row r="118" spans="3:19">
      <x:c r="E118" s="181" t="s">
        <x:v>163</x:v>
      </x:c>
      <x:c r="F118" s="181"/>
      <x:c r="G118" s="181" t="s">
        <x:v>164</x:v>
      </x:c>
      <x:c r="H118" s="181"/>
      <x:c r="I118" s="181" t="s">
        <x:v>1023</x:v>
      </x:c>
      <x:c r="J118" s="181"/>
      <x:c r="K118" s="181" t="s">
        <x:v>1155</x:v>
      </x:c>
      <x:c r="L118" s="181"/>
      <x:c r="M118" s="181" t="s">
        <x:v>1241</x:v>
      </x:c>
      <x:c r="N118" s="181"/>
      <x:c r="O118" s="181" t="s">
        <x:v>1157</x:v>
      </x:c>
      <x:c r="P118" s="181"/>
      <x:c r="Q118" s="181" t="s">
        <x:v>1158</x:v>
      </x:c>
      <x:c r="R118" s="181"/>
      <x:c r="S118" s="181" t="s">
        <x:v>1159</x:v>
      </x:c>
    </x:row>
    <x:row r="119" spans="3:19" ht="12.75" customHeight="1">
      <x:c r="C119" s="1625" t="s">
        <x:v>523</x:v>
      </x:c>
      <x:c r="E119" s="1626" t="s">
        <x:v>1261</x:v>
      </x:c>
      <x:c r="G119" s="1628" t="s">
        <x:v>244</x:v>
      </x:c>
      <x:c r="H119" s="1628"/>
      <x:c r="I119" s="1628"/>
      <x:c r="J119" s="1628"/>
      <x:c r="K119" s="1628"/>
      <x:c r="M119" s="301"/>
      <x:c r="O119" s="1332" t="s">
        <x:v>1913</x:v>
      </x:c>
      <x:c r="Q119" s="1622" t="s">
        <x:v>1244</x:v>
      </x:c>
      <x:c r="S119" s="1332" t="s">
        <x:v>2122</x:v>
      </x:c>
    </x:row>
    <x:row r="120" spans="3:19" ht="25.5">
      <x:c r="C120" s="1599"/>
      <x:c r="E120" s="1627"/>
      <x:c r="G120" s="1629"/>
      <x:c r="H120" s="1629"/>
      <x:c r="I120" s="1629"/>
      <x:c r="J120" s="1629"/>
      <x:c r="K120" s="1629"/>
      <x:c r="L120" s="302"/>
      <x:c r="M120" s="303" t="s">
        <x:v>1245</x:v>
      </x:c>
      <x:c r="O120" s="1331" t="s">
        <x:v>1246</x:v>
      </x:c>
      <x:c r="Q120" s="1623"/>
      <x:c r="S120" s="1331" t="s">
        <x:v>1247</x:v>
      </x:c>
    </x:row>
    <x:row r="121" spans="3:19" ht="5.0999999999999996" customHeight="1"/>
    <x:row r="122" spans="3:19">
      <x:c r="C122" s="183">
        <x:f>C113+1</x:f>
        <x:v>53</x:v>
      </x:c>
      <x:c r="E122" s="293" t="s">
        <x:v>1262</x:v>
      </x:c>
      <x:c r="M122" s="295">
        <x:v>0</x:v>
      </x:c>
      <x:c r="N122" s="297"/>
      <x:c r="O122" s="295">
        <x:v>0</x:v>
      </x:c>
      <x:c r="P122" s="297"/>
      <x:c r="Q122" s="295">
        <x:v>0</x:v>
      </x:c>
      <x:c r="R122" s="297"/>
      <x:c r="S122" s="295">
        <x:f>O122+Q122</x:f>
        <x:v>0</x:v>
      </x:c>
    </x:row>
    <x:row r="123" spans="3:19">
      <x:c r="C123" s="183">
        <x:f>C122+1</x:f>
        <x:v>54</x:v>
      </x:c>
      <x:c r="E123" s="293" t="s">
        <x:v>1263</x:v>
      </x:c>
      <x:c r="M123" s="296">
        <x:f>M113</x:f>
        <x:v>-114560975.24958241</x:v>
      </x:c>
      <x:c r="O123" s="296">
        <x:f>O113</x:f>
        <x:v>-28441069.378155906</x:v>
      </x:c>
      <x:c r="Q123" s="296">
        <x:f>Q113</x:f>
        <x:v>1560384.5887805214</x:v>
      </x:c>
      <x:c r="S123" s="309">
        <x:f>O123+Q123</x:f>
        <x:v>-26880684.789375383</x:v>
      </x:c>
    </x:row>
    <x:row r="124" spans="3:19" ht="5.0999999999999996" customHeight="1">
      <x:c r="M124" s="310"/>
      <x:c r="O124" s="310"/>
      <x:c r="Q124" s="310"/>
      <x:c r="S124" s="310"/>
    </x:row>
    <x:row r="125" spans="3:19">
      <x:c r="C125" s="183">
        <x:f>C123+1</x:f>
        <x:v>55</x:v>
      </x:c>
      <x:c r="E125" s="180" t="s">
        <x:v>1264</x:v>
      </x:c>
      <x:c r="M125" s="297">
        <x:f>SUM(M122:M124)</x:f>
        <x:v>-114560975.24958241</x:v>
      </x:c>
      <x:c r="N125" s="297"/>
      <x:c r="O125" s="297">
        <x:f>SUM(O122:O124)</x:f>
        <x:v>-28441069.378155906</x:v>
      </x:c>
      <x:c r="P125" s="297"/>
      <x:c r="Q125" s="297">
        <x:f>SUM(Q122:Q124)</x:f>
        <x:v>1560384.5887805214</x:v>
      </x:c>
      <x:c r="R125" s="297"/>
      <x:c r="S125" s="297">
        <x:f>SUM(S122:S124)</x:f>
        <x:v>-26880684.789375383</x:v>
      </x:c>
    </x:row>
    <x:row r="128" spans="3:19" ht="15.75" customHeight="1">
      <x:c r="C128" s="1610" t="s">
        <x:v>1231</x:v>
      </x:c>
      <x:c r="D128" s="1610"/>
      <x:c r="E128" s="1610"/>
      <x:c r="F128" s="1610"/>
      <x:c r="G128" s="1610"/>
      <x:c r="H128" s="1610"/>
      <x:c r="I128" s="1610"/>
      <x:c r="J128" s="1610"/>
      <x:c r="K128" s="1610"/>
      <x:c r="L128" s="1610"/>
      <x:c r="M128" s="1610"/>
      <x:c r="N128" s="1610"/>
      <x:c r="O128" s="1610"/>
      <x:c r="P128" s="1610"/>
      <x:c r="Q128" s="1610"/>
      <x:c r="R128" s="1610"/>
      <x:c r="S128" s="1610"/>
    </x:row>
    <x:row r="129" spans="1:19" ht="5.25" customHeight="1"/>
    <x:row r="130" spans="1:19" ht="15.75" customHeight="1">
      <x:c r="C130" s="1613" t="s">
        <x:v>1381</x:v>
      </x:c>
      <x:c r="D130" s="1614"/>
      <x:c r="E130" s="1614"/>
      <x:c r="F130" s="1614"/>
      <x:c r="G130" s="1614"/>
      <x:c r="H130" s="1614"/>
      <x:c r="I130" s="1614"/>
      <x:c r="J130" s="1614"/>
      <x:c r="K130" s="1614"/>
      <x:c r="L130" s="1614"/>
      <x:c r="M130" s="1614"/>
      <x:c r="N130" s="1614"/>
      <x:c r="O130" s="1614"/>
      <x:c r="P130" s="1614"/>
      <x:c r="Q130" s="1614"/>
      <x:c r="R130" s="1614"/>
      <x:c r="S130" s="1615"/>
    </x:row>
    <x:row r="131" spans="1:19" ht="6.75" customHeight="1"/>
    <x:row r="132" spans="1:19">
      <x:c r="E132" s="181" t="s">
        <x:v>163</x:v>
      </x:c>
      <x:c r="F132" s="181"/>
      <x:c r="G132" s="181" t="s">
        <x:v>164</x:v>
      </x:c>
      <x:c r="H132" s="181"/>
      <x:c r="I132" s="181" t="s">
        <x:v>1023</x:v>
      </x:c>
      <x:c r="J132" s="181"/>
      <x:c r="K132" s="181" t="s">
        <x:v>1155</x:v>
      </x:c>
      <x:c r="L132" s="181"/>
      <x:c r="M132" s="181" t="s">
        <x:v>1241</x:v>
      </x:c>
      <x:c r="N132" s="181"/>
      <x:c r="O132" s="181" t="s">
        <x:v>1157</x:v>
      </x:c>
      <x:c r="P132" s="181"/>
      <x:c r="Q132" s="181" t="s">
        <x:v>1158</x:v>
      </x:c>
      <x:c r="R132" s="181"/>
      <x:c r="S132" s="181" t="s">
        <x:v>1159</x:v>
      </x:c>
    </x:row>
    <x:row r="133" spans="1:19" ht="15" customHeight="1">
      <x:c r="C133" s="1616" t="s">
        <x:v>523</x:v>
      </x:c>
      <x:c r="D133" s="395"/>
      <x:c r="E133" s="1618" t="s">
        <x:v>1225</x:v>
      </x:c>
      <x:c r="G133" s="1620" t="s">
        <x:v>244</x:v>
      </x:c>
      <x:c r="H133" s="1302"/>
      <x:c r="I133" s="1620" t="s">
        <x:v>2114</x:v>
      </x:c>
      <x:c r="K133" s="1620" t="s">
        <x:v>1242</x:v>
      </x:c>
      <x:c r="M133" s="301"/>
      <x:c r="O133" s="1332" t="s">
        <x:v>1913</x:v>
      </x:c>
      <x:c r="Q133" s="1622" t="s">
        <x:v>1244</x:v>
      </x:c>
      <x:c r="S133" s="1332" t="s">
        <x:v>2122</x:v>
      </x:c>
    </x:row>
    <x:row r="134" spans="1:19" ht="25.5">
      <x:c r="C134" s="1617"/>
      <x:c r="D134" s="395"/>
      <x:c r="E134" s="1619"/>
      <x:c r="F134" s="302"/>
      <x:c r="G134" s="1621"/>
      <x:c r="H134" s="1304"/>
      <x:c r="I134" s="1621"/>
      <x:c r="J134" s="302"/>
      <x:c r="K134" s="1621"/>
      <x:c r="L134" s="302"/>
      <x:c r="M134" s="303" t="s">
        <x:v>1245</x:v>
      </x:c>
      <x:c r="O134" s="1331" t="s">
        <x:v>1246</x:v>
      </x:c>
      <x:c r="Q134" s="1623"/>
      <x:c r="S134" s="1331" t="s">
        <x:v>1247</x:v>
      </x:c>
    </x:row>
    <x:row r="135" spans="1:19" ht="5.0999999999999996" customHeight="1"/>
    <x:row r="136" spans="1:19">
      <x:c r="A136" s="1327"/>
      <x:c r="B136" s="304"/>
      <x:c r="C136" s="183">
        <x:f>C125+1</x:f>
        <x:v>56</x:v>
      </x:c>
      <x:c r="D136" s="304"/>
      <x:c r="E136" s="305" t="s">
        <x:v>1248</x:v>
      </x:c>
      <x:c r="F136" s="304"/>
      <x:c r="G136" s="306"/>
      <x:c r="H136" s="306"/>
      <x:c r="I136" s="306"/>
      <x:c r="J136" s="304"/>
      <x:c r="K136" s="306"/>
      <x:c r="L136" s="304"/>
      <x:c r="M136" s="307"/>
      <x:c r="O136" s="297"/>
      <x:c r="Q136" s="308"/>
      <x:c r="S136" s="304"/>
    </x:row>
    <x:row r="137" spans="1:19" ht="5.0999999999999996" customHeight="1">
      <x:c r="C137" s="183"/>
    </x:row>
    <x:row r="138" spans="1:19">
      <x:c r="C138" s="183">
        <x:f>C136+1</x:f>
        <x:v>57</x:v>
      </x:c>
      <x:c r="E138" s="293" t="s">
        <x:v>1228</x:v>
      </x:c>
      <x:c r="G138" s="414" t="s">
        <x:v>64</x:v>
      </x:c>
      <x:c r="H138" s="414"/>
      <x:c r="I138" s="1303">
        <x:v>411.1</x:v>
      </x:c>
      <x:c r="K138" s="306" t="s">
        <x:v>1249</x:v>
      </x:c>
      <x:c r="M138" s="295">
        <x:v>0</x:v>
      </x:c>
      <x:c r="N138" s="297"/>
      <x:c r="O138" s="295">
        <x:v>0</x:v>
      </x:c>
      <x:c r="P138" s="297"/>
      <x:c r="Q138" s="295">
        <x:f>-M138/4</x:f>
        <x:v>0</x:v>
      </x:c>
      <x:c r="R138" s="297"/>
      <x:c r="S138" s="295">
        <x:f>O138+Q138</x:f>
        <x:v>0</x:v>
      </x:c>
    </x:row>
    <x:row r="139" spans="1:19">
      <x:c r="C139" s="183">
        <x:f>C138+1</x:f>
        <x:v>58</x:v>
      </x:c>
      <x:c r="E139" s="293" t="s">
        <x:v>1250</x:v>
      </x:c>
      <x:c r="G139" s="414" t="s">
        <x:v>64</x:v>
      </x:c>
      <x:c r="H139" s="414"/>
      <x:c r="I139" s="1303">
        <x:v>411.1</x:v>
      </x:c>
      <x:c r="K139" s="306" t="s">
        <x:v>1249</x:v>
      </x:c>
      <x:c r="M139" s="309">
        <x:v>0</x:v>
      </x:c>
      <x:c r="N139" s="424"/>
      <x:c r="O139" s="309">
        <x:v>0</x:v>
      </x:c>
      <x:c r="P139" s="424"/>
      <x:c r="Q139" s="309">
        <x:f>-M139/4</x:f>
        <x:v>0</x:v>
      </x:c>
      <x:c r="R139" s="424"/>
      <x:c r="S139" s="309">
        <x:f>O139+Q139</x:f>
        <x:v>0</x:v>
      </x:c>
    </x:row>
    <x:row r="140" spans="1:19">
      <x:c r="C140" s="183">
        <x:f>C139+1</x:f>
        <x:v>59</x:v>
      </x:c>
      <x:c r="E140" s="293" t="s">
        <x:v>1229</x:v>
      </x:c>
      <x:c r="G140" s="414" t="s">
        <x:v>64</x:v>
      </x:c>
      <x:c r="H140" s="414"/>
      <x:c r="I140" s="1303">
        <x:v>411.1</x:v>
      </x:c>
      <x:c r="K140" s="306" t="s">
        <x:v>1249</x:v>
      </x:c>
      <x:c r="M140" s="309">
        <x:v>0</x:v>
      </x:c>
      <x:c r="N140" s="424"/>
      <x:c r="O140" s="309">
        <x:v>0</x:v>
      </x:c>
      <x:c r="P140" s="424"/>
      <x:c r="Q140" s="309">
        <x:f>-M140/4</x:f>
        <x:v>0</x:v>
      </x:c>
      <x:c r="R140" s="424"/>
      <x:c r="S140" s="309">
        <x:f>O140+Q140</x:f>
        <x:v>0</x:v>
      </x:c>
    </x:row>
    <x:row r="141" spans="1:19">
      <x:c r="C141" s="183">
        <x:f>C140+1</x:f>
        <x:v>60</x:v>
      </x:c>
      <x:c r="E141" s="293" t="s">
        <x:v>1230</x:v>
      </x:c>
      <x:c r="G141" s="414" t="s">
        <x:v>64</x:v>
      </x:c>
      <x:c r="H141" s="414"/>
      <x:c r="I141" s="1303">
        <x:v>411.1</x:v>
      </x:c>
      <x:c r="K141" s="306" t="s">
        <x:v>1249</x:v>
      </x:c>
      <x:c r="M141" s="309">
        <x:v>0</x:v>
      </x:c>
      <x:c r="N141" s="424"/>
      <x:c r="O141" s="309">
        <x:v>0</x:v>
      </x:c>
      <x:c r="P141" s="424"/>
      <x:c r="Q141" s="309">
        <x:f>-M141/4</x:f>
        <x:v>0</x:v>
      </x:c>
      <x:c r="R141" s="424"/>
      <x:c r="S141" s="309">
        <x:f>O141+Q141</x:f>
        <x:v>0</x:v>
      </x:c>
    </x:row>
    <x:row r="142" spans="1:19" ht="5.0999999999999996" customHeight="1">
      <x:c r="M142" s="310"/>
      <x:c r="O142" s="310"/>
      <x:c r="Q142" s="310"/>
      <x:c r="S142" s="310"/>
    </x:row>
    <x:row r="143" spans="1:19">
      <x:c r="C143" s="183">
        <x:f>C141+1</x:f>
        <x:v>61</x:v>
      </x:c>
      <x:c r="E143" s="180" t="s">
        <x:v>1251</x:v>
      </x:c>
      <x:c r="M143" s="297">
        <x:f>SUM(M137:M142)</x:f>
        <x:v>0</x:v>
      </x:c>
      <x:c r="N143" s="297"/>
      <x:c r="O143" s="297">
        <x:f>SUM(O137:O142)</x:f>
        <x:v>0</x:v>
      </x:c>
      <x:c r="P143" s="297"/>
      <x:c r="Q143" s="297">
        <x:f>SUM(Q137:Q142)</x:f>
        <x:v>0</x:v>
      </x:c>
      <x:c r="R143" s="297"/>
      <x:c r="S143" s="297">
        <x:f>SUM(S137:S142)</x:f>
        <x:v>0</x:v>
      </x:c>
    </x:row>
    <x:row r="145" spans="1:19">
      <x:c r="A145" s="1327"/>
      <x:c r="B145" s="304"/>
      <x:c r="C145" s="183">
        <x:f>C143+1</x:f>
        <x:v>62</x:v>
      </x:c>
      <x:c r="D145" s="304"/>
      <x:c r="E145" s="305" t="s">
        <x:v>1252</x:v>
      </x:c>
      <x:c r="F145" s="304"/>
      <x:c r="G145" s="306"/>
      <x:c r="H145" s="306"/>
      <x:c r="I145" s="306"/>
      <x:c r="J145" s="304"/>
      <x:c r="K145" s="306"/>
      <x:c r="L145" s="304"/>
      <x:c r="M145" s="307"/>
      <x:c r="O145" s="297"/>
      <x:c r="Q145" s="308"/>
      <x:c r="S145" s="304"/>
    </x:row>
    <x:row r="146" spans="1:19" ht="5.0999999999999996" customHeight="1"/>
    <x:row r="147" spans="1:19">
      <x:c r="C147" s="183">
        <x:f>C145+1</x:f>
        <x:v>63</x:v>
      </x:c>
      <x:c r="E147" s="293" t="s">
        <x:v>1228</x:v>
      </x:c>
      <x:c r="G147" s="414" t="s">
        <x:v>64</x:v>
      </x:c>
      <x:c r="H147" s="414"/>
      <x:c r="I147" s="1303">
        <x:v>411.1</x:v>
      </x:c>
      <x:c r="K147" s="306" t="s">
        <x:v>1253</x:v>
      </x:c>
      <x:c r="M147" s="295">
        <x:v>0</x:v>
      </x:c>
      <x:c r="N147" s="297"/>
      <x:c r="O147" s="295">
        <x:v>0</x:v>
      </x:c>
      <x:c r="P147" s="297"/>
      <x:c r="Q147" s="295">
        <x:f>-M147/4</x:f>
        <x:v>0</x:v>
      </x:c>
      <x:c r="R147" s="297"/>
      <x:c r="S147" s="295">
        <x:f>O147+Q147</x:f>
        <x:v>0</x:v>
      </x:c>
    </x:row>
    <x:row r="148" spans="1:19">
      <x:c r="C148" s="183">
        <x:f>C147+1</x:f>
        <x:v>64</x:v>
      </x:c>
      <x:c r="E148" s="293" t="s">
        <x:v>1250</x:v>
      </x:c>
      <x:c r="G148" s="414" t="s">
        <x:v>64</x:v>
      </x:c>
      <x:c r="H148" s="414"/>
      <x:c r="I148" s="1303">
        <x:v>411.1</x:v>
      </x:c>
      <x:c r="K148" s="306" t="s">
        <x:v>1253</x:v>
      </x:c>
      <x:c r="M148" s="309">
        <x:v>0</x:v>
      </x:c>
      <x:c r="N148" s="424"/>
      <x:c r="O148" s="309">
        <x:v>0</x:v>
      </x:c>
      <x:c r="P148" s="424"/>
      <x:c r="Q148" s="309">
        <x:f>-M148/4</x:f>
        <x:v>0</x:v>
      </x:c>
      <x:c r="R148" s="424"/>
      <x:c r="S148" s="309">
        <x:f>O148+Q148</x:f>
        <x:v>0</x:v>
      </x:c>
    </x:row>
    <x:row r="149" spans="1:19">
      <x:c r="C149" s="183">
        <x:f>C148+1</x:f>
        <x:v>65</x:v>
      </x:c>
      <x:c r="E149" s="293" t="s">
        <x:v>1229</x:v>
      </x:c>
      <x:c r="G149" s="414" t="s">
        <x:v>64</x:v>
      </x:c>
      <x:c r="H149" s="414"/>
      <x:c r="I149" s="1303">
        <x:v>411.1</x:v>
      </x:c>
      <x:c r="K149" s="306" t="s">
        <x:v>1253</x:v>
      </x:c>
      <x:c r="M149" s="309">
        <x:v>0</x:v>
      </x:c>
      <x:c r="N149" s="424"/>
      <x:c r="O149" s="309">
        <x:v>0</x:v>
      </x:c>
      <x:c r="P149" s="424"/>
      <x:c r="Q149" s="309">
        <x:f>-M149/4</x:f>
        <x:v>0</x:v>
      </x:c>
      <x:c r="R149" s="424"/>
      <x:c r="S149" s="309">
        <x:f>O149+Q149</x:f>
        <x:v>0</x:v>
      </x:c>
    </x:row>
    <x:row r="150" spans="1:19">
      <x:c r="C150" s="183">
        <x:f>C149+1</x:f>
        <x:v>66</x:v>
      </x:c>
      <x:c r="E150" s="293" t="s">
        <x:v>1230</x:v>
      </x:c>
      <x:c r="G150" s="414" t="s">
        <x:v>64</x:v>
      </x:c>
      <x:c r="H150" s="414"/>
      <x:c r="I150" s="1303">
        <x:v>411.1</x:v>
      </x:c>
      <x:c r="K150" s="306" t="s">
        <x:v>1253</x:v>
      </x:c>
      <x:c r="M150" s="309">
        <x:v>0</x:v>
      </x:c>
      <x:c r="N150" s="424"/>
      <x:c r="O150" s="309">
        <x:v>0</x:v>
      </x:c>
      <x:c r="P150" s="424"/>
      <x:c r="Q150" s="309">
        <x:f>-M150/4</x:f>
        <x:v>0</x:v>
      </x:c>
      <x:c r="R150" s="424"/>
      <x:c r="S150" s="309">
        <x:f>O150+Q150</x:f>
        <x:v>0</x:v>
      </x:c>
    </x:row>
    <x:row r="151" spans="1:19" ht="5.0999999999999996" customHeight="1">
      <x:c r="M151" s="310"/>
      <x:c r="O151" s="310"/>
      <x:c r="Q151" s="310"/>
      <x:c r="S151" s="310"/>
    </x:row>
    <x:row r="152" spans="1:19">
      <x:c r="C152" s="183">
        <x:f>C150+1</x:f>
        <x:v>67</x:v>
      </x:c>
      <x:c r="E152" s="180" t="s">
        <x:v>1251</x:v>
      </x:c>
      <x:c r="M152" s="297">
        <x:f>SUM(M146:M151)</x:f>
        <x:v>0</x:v>
      </x:c>
      <x:c r="N152" s="297"/>
      <x:c r="O152" s="297">
        <x:f>SUM(O146:O151)</x:f>
        <x:v>0</x:v>
      </x:c>
      <x:c r="P152" s="297"/>
      <x:c r="Q152" s="297">
        <x:f>SUM(Q146:Q151)</x:f>
        <x:v>0</x:v>
      </x:c>
      <x:c r="R152" s="297"/>
      <x:c r="S152" s="297">
        <x:f>SUM(S146:S151)</x:f>
        <x:v>0</x:v>
      </x:c>
    </x:row>
    <x:row r="154" spans="1:19">
      <x:c r="A154" s="1327"/>
      <x:c r="B154" s="304"/>
      <x:c r="C154" s="183">
        <x:f>C152+1</x:f>
        <x:v>68</x:v>
      </x:c>
      <x:c r="D154" s="304"/>
      <x:c r="E154" s="305" t="s">
        <x:v>1254</x:v>
      </x:c>
      <x:c r="F154" s="304"/>
      <x:c r="G154" s="306"/>
      <x:c r="H154" s="306"/>
      <x:c r="I154" s="306"/>
      <x:c r="J154" s="304"/>
      <x:c r="K154" s="306"/>
      <x:c r="L154" s="304"/>
      <x:c r="M154" s="307"/>
      <x:c r="O154" s="297"/>
      <x:c r="Q154" s="308"/>
      <x:c r="S154" s="304"/>
    </x:row>
    <x:row r="155" spans="1:19" ht="5.0999999999999996" customHeight="1"/>
    <x:row r="156" spans="1:19">
      <x:c r="C156" s="183">
        <x:f>C154+1</x:f>
        <x:v>69</x:v>
      </x:c>
      <x:c r="E156" s="293" t="s">
        <x:v>1228</x:v>
      </x:c>
      <x:c r="G156" s="414" t="s">
        <x:v>64</x:v>
      </x:c>
      <x:c r="H156" s="414"/>
      <x:c r="I156" s="1303">
        <x:v>410.1</x:v>
      </x:c>
      <x:c r="K156" s="306" t="s">
        <x:v>1265</x:v>
      </x:c>
      <x:c r="M156" s="295">
        <x:v>0</x:v>
      </x:c>
      <x:c r="N156" s="297"/>
      <x:c r="O156" s="295">
        <x:v>0</x:v>
      </x:c>
      <x:c r="P156" s="297"/>
      <x:c r="Q156" s="295">
        <x:f>-M156/4</x:f>
        <x:v>0</x:v>
      </x:c>
      <x:c r="R156" s="297"/>
      <x:c r="S156" s="295">
        <x:f>O156+Q156</x:f>
        <x:v>0</x:v>
      </x:c>
    </x:row>
    <x:row r="157" spans="1:19">
      <x:c r="C157" s="183">
        <x:f>C156+1</x:f>
        <x:v>70</x:v>
      </x:c>
      <x:c r="E157" s="293" t="s">
        <x:v>1250</x:v>
      </x:c>
      <x:c r="G157" s="414" t="s">
        <x:v>64</x:v>
      </x:c>
      <x:c r="H157" s="414"/>
      <x:c r="I157" s="1303">
        <x:v>411.1</x:v>
      </x:c>
      <x:c r="K157" s="306" t="s">
        <x:v>1265</x:v>
      </x:c>
      <x:c r="M157" s="309">
        <x:v>0</x:v>
      </x:c>
      <x:c r="N157" s="424"/>
      <x:c r="O157" s="309">
        <x:v>0</x:v>
      </x:c>
      <x:c r="P157" s="424"/>
      <x:c r="Q157" s="309">
        <x:f>-M157/4</x:f>
        <x:v>0</x:v>
      </x:c>
      <x:c r="R157" s="424"/>
      <x:c r="S157" s="309">
        <x:f>O157+Q157</x:f>
        <x:v>0</x:v>
      </x:c>
    </x:row>
    <x:row r="158" spans="1:19">
      <x:c r="C158" s="183">
        <x:f>C157+1</x:f>
        <x:v>71</x:v>
      </x:c>
      <x:c r="E158" s="293" t="s">
        <x:v>1229</x:v>
      </x:c>
      <x:c r="G158" s="414" t="s">
        <x:v>64</x:v>
      </x:c>
      <x:c r="H158" s="414"/>
      <x:c r="I158" s="1303">
        <x:v>411.1</x:v>
      </x:c>
      <x:c r="K158" s="306" t="s">
        <x:v>1265</x:v>
      </x:c>
      <x:c r="M158" s="309">
        <x:v>0</x:v>
      </x:c>
      <x:c r="N158" s="424"/>
      <x:c r="O158" s="309">
        <x:v>0</x:v>
      </x:c>
      <x:c r="P158" s="424"/>
      <x:c r="Q158" s="309">
        <x:f>-M158/4</x:f>
        <x:v>0</x:v>
      </x:c>
      <x:c r="R158" s="424"/>
      <x:c r="S158" s="309">
        <x:f>O158+Q158</x:f>
        <x:v>0</x:v>
      </x:c>
    </x:row>
    <x:row r="159" spans="1:19">
      <x:c r="C159" s="183">
        <x:f>C158+1</x:f>
        <x:v>72</x:v>
      </x:c>
      <x:c r="E159" s="293" t="s">
        <x:v>1230</x:v>
      </x:c>
      <x:c r="G159" s="414" t="s">
        <x:v>64</x:v>
      </x:c>
      <x:c r="H159" s="414"/>
      <x:c r="I159" s="1303">
        <x:v>411.1</x:v>
      </x:c>
      <x:c r="K159" s="306" t="s">
        <x:v>1265</x:v>
      </x:c>
      <x:c r="M159" s="309">
        <x:v>0</x:v>
      </x:c>
      <x:c r="N159" s="424"/>
      <x:c r="O159" s="309">
        <x:v>0</x:v>
      </x:c>
      <x:c r="P159" s="424"/>
      <x:c r="Q159" s="309">
        <x:f>-M159/4</x:f>
        <x:v>0</x:v>
      </x:c>
      <x:c r="R159" s="424"/>
      <x:c r="S159" s="309">
        <x:f>O159+Q159</x:f>
        <x:v>0</x:v>
      </x:c>
    </x:row>
    <x:row r="160" spans="1:19" ht="5.0999999999999996" customHeight="1">
      <x:c r="M160" s="310"/>
      <x:c r="O160" s="310"/>
      <x:c r="Q160" s="310"/>
      <x:c r="S160" s="310"/>
    </x:row>
    <x:row r="161" spans="1:20">
      <x:c r="C161" s="183">
        <x:f>C159+1</x:f>
        <x:v>73</x:v>
      </x:c>
      <x:c r="E161" s="180" t="s">
        <x:v>1251</x:v>
      </x:c>
      <x:c r="M161" s="297">
        <x:f>SUM(M155:M160)</x:f>
        <x:v>0</x:v>
      </x:c>
      <x:c r="N161" s="297"/>
      <x:c r="O161" s="297">
        <x:f>SUM(O155:O160)</x:f>
        <x:v>0</x:v>
      </x:c>
      <x:c r="P161" s="297"/>
      <x:c r="Q161" s="297">
        <x:f>SUM(Q155:Q160)</x:f>
        <x:v>0</x:v>
      </x:c>
      <x:c r="R161" s="297"/>
      <x:c r="S161" s="297">
        <x:f>SUM(S155:S160)</x:f>
        <x:v>0</x:v>
      </x:c>
    </x:row>
    <x:row r="163" spans="1:20" ht="13.5" thickBot="1">
      <x:c r="C163" s="183">
        <x:f>C161+1</x:f>
        <x:v>74</x:v>
      </x:c>
      <x:c r="E163" s="180" t="s">
        <x:v>1256</x:v>
      </x:c>
      <x:c r="M163" s="311">
        <x:f>M143+M152+M161</x:f>
        <x:v>0</x:v>
      </x:c>
      <x:c r="N163" s="297"/>
      <x:c r="O163" s="311">
        <x:f>O143+O152+O161</x:f>
        <x:v>0</x:v>
      </x:c>
      <x:c r="P163" s="297"/>
      <x:c r="Q163" s="311">
        <x:f>Q143+Q152+Q161</x:f>
        <x:v>0</x:v>
      </x:c>
      <x:c r="R163" s="297"/>
      <x:c r="S163" s="311">
        <x:f>S143+S152+S161</x:f>
        <x:v>0</x:v>
      </x:c>
    </x:row>
    <x:row r="164" spans="1:20" ht="5.25" customHeight="1"/>
    <x:row r="165" spans="1:20" ht="3.75" customHeight="1"/>
    <x:row r="166" spans="1:20" ht="15.75" customHeight="1">
      <x:c r="C166" s="1613" t="s">
        <x:v>1266</x:v>
      </x:c>
      <x:c r="D166" s="1614"/>
      <x:c r="E166" s="1614"/>
      <x:c r="F166" s="1614"/>
      <x:c r="G166" s="1614"/>
      <x:c r="H166" s="1614"/>
      <x:c r="I166" s="1614"/>
      <x:c r="J166" s="1614"/>
      <x:c r="K166" s="1614"/>
      <x:c r="L166" s="1614"/>
      <x:c r="M166" s="1614"/>
      <x:c r="N166" s="1614"/>
      <x:c r="O166" s="1614"/>
      <x:c r="P166" s="1614"/>
      <x:c r="Q166" s="1614"/>
      <x:c r="R166" s="1614"/>
      <x:c r="S166" s="1615"/>
    </x:row>
    <x:row r="168" spans="1:20">
      <x:c r="E168" s="181" t="s">
        <x:v>163</x:v>
      </x:c>
      <x:c r="F168" s="181"/>
      <x:c r="G168" s="181" t="s">
        <x:v>164</x:v>
      </x:c>
      <x:c r="H168" s="181"/>
      <x:c r="I168" s="181" t="s">
        <x:v>1023</x:v>
      </x:c>
      <x:c r="J168" s="181"/>
      <x:c r="K168" s="181" t="s">
        <x:v>1155</x:v>
      </x:c>
      <x:c r="L168" s="181"/>
      <x:c r="M168" s="181" t="s">
        <x:v>1241</x:v>
      </x:c>
      <x:c r="N168" s="181"/>
      <x:c r="O168" s="181" t="s">
        <x:v>1157</x:v>
      </x:c>
      <x:c r="P168" s="181"/>
      <x:c r="Q168" s="181" t="s">
        <x:v>1158</x:v>
      </x:c>
      <x:c r="R168" s="181"/>
      <x:c r="S168" s="181" t="s">
        <x:v>1159</x:v>
      </x:c>
    </x:row>
    <x:row r="169" spans="1:20" ht="27.75" customHeight="1">
      <x:c r="C169" s="1616" t="s">
        <x:v>523</x:v>
      </x:c>
      <x:c r="D169" s="395"/>
      <x:c r="E169" s="1618" t="s">
        <x:v>1225</x:v>
      </x:c>
      <x:c r="G169" s="1620" t="s">
        <x:v>244</x:v>
      </x:c>
      <x:c r="H169" s="1302"/>
      <x:c r="I169" s="1620" t="s">
        <x:v>2114</x:v>
      </x:c>
      <x:c r="K169" s="1620" t="s">
        <x:v>1242</x:v>
      </x:c>
      <x:c r="M169" s="301"/>
      <x:c r="O169" s="1332" t="s">
        <x:v>1913</x:v>
      </x:c>
      <x:c r="Q169" s="1622" t="s">
        <x:v>1244</x:v>
      </x:c>
      <x:c r="S169" s="1332" t="s">
        <x:v>2122</x:v>
      </x:c>
    </x:row>
    <x:row r="170" spans="1:20" ht="25.5">
      <x:c r="C170" s="1617"/>
      <x:c r="D170" s="395"/>
      <x:c r="E170" s="1619"/>
      <x:c r="F170" s="302"/>
      <x:c r="G170" s="1621"/>
      <x:c r="H170" s="1304"/>
      <x:c r="I170" s="1621"/>
      <x:c r="J170" s="302"/>
      <x:c r="K170" s="1621"/>
      <x:c r="L170" s="302"/>
      <x:c r="M170" s="303" t="s">
        <x:v>1245</x:v>
      </x:c>
      <x:c r="O170" s="1331" t="s">
        <x:v>1246</x:v>
      </x:c>
      <x:c r="Q170" s="1623"/>
      <x:c r="S170" s="1331" t="s">
        <x:v>1247</x:v>
      </x:c>
    </x:row>
    <x:row r="171" spans="1:20" ht="5.0999999999999996" customHeight="1"/>
    <x:row r="172" spans="1:20">
      <x:c r="A172" s="1327"/>
      <x:c r="B172" s="304"/>
      <x:c r="C172" s="183">
        <x:f>C163+1</x:f>
        <x:v>75</x:v>
      </x:c>
      <x:c r="D172" s="304"/>
      <x:c r="E172" s="305" t="s">
        <x:v>1248</x:v>
      </x:c>
      <x:c r="F172" s="304"/>
      <x:c r="G172" s="306"/>
      <x:c r="H172" s="306"/>
      <x:c r="I172" s="306"/>
      <x:c r="J172" s="304"/>
      <x:c r="K172" s="306"/>
      <x:c r="L172" s="304"/>
      <x:c r="M172" s="307"/>
      <x:c r="O172" s="297"/>
      <x:c r="Q172" s="308"/>
      <x:c r="S172" s="304"/>
    </x:row>
    <x:row r="173" spans="1:20" ht="5.0999999999999996" customHeight="1"/>
    <x:row r="174" spans="1:20">
      <x:c r="C174" s="183">
        <x:f>C172+1</x:f>
        <x:v>76</x:v>
      </x:c>
      <x:c r="E174" s="293" t="s">
        <x:v>1228</x:v>
      </x:c>
      <x:c r="G174" s="414"/>
      <x:c r="H174" s="414"/>
      <x:c r="I174" s="1303">
        <x:v>411.1</x:v>
      </x:c>
      <x:c r="K174" s="306"/>
      <x:c r="M174" s="295">
        <x:f>M138</x:f>
        <x:v>0</x:v>
      </x:c>
      <x:c r="N174" s="297"/>
      <x:c r="O174" s="295">
        <x:f>O138</x:f>
        <x:v>0</x:v>
      </x:c>
      <x:c r="P174" s="297"/>
      <x:c r="Q174" s="295">
        <x:f>Q138</x:f>
        <x:v>0</x:v>
      </x:c>
      <x:c r="R174" s="297"/>
      <x:c r="S174" s="295">
        <x:f>O174+Q174</x:f>
        <x:v>0</x:v>
      </x:c>
      <x:c r="T174" s="203"/>
    </x:row>
    <x:row r="175" spans="1:20">
      <x:c r="C175" s="183">
        <x:f>C174+1</x:f>
        <x:v>77</x:v>
      </x:c>
      <x:c r="E175" s="293" t="s">
        <x:v>1250</x:v>
      </x:c>
      <x:c r="G175" s="414"/>
      <x:c r="H175" s="414"/>
      <x:c r="I175" s="1303">
        <x:v>411.1</x:v>
      </x:c>
      <x:c r="K175" s="306"/>
      <x:c r="M175" s="309">
        <x:f>M139</x:f>
        <x:v>0</x:v>
      </x:c>
      <x:c r="N175" s="424"/>
      <x:c r="O175" s="309">
        <x:f>O139</x:f>
        <x:v>0</x:v>
      </x:c>
      <x:c r="P175" s="424"/>
      <x:c r="Q175" s="309">
        <x:f>Q139</x:f>
        <x:v>0</x:v>
      </x:c>
      <x:c r="R175" s="424"/>
      <x:c r="S175" s="309">
        <x:f>O175+Q175</x:f>
        <x:v>0</x:v>
      </x:c>
    </x:row>
    <x:row r="176" spans="1:20">
      <x:c r="C176" s="183">
        <x:f>C175+1</x:f>
        <x:v>78</x:v>
      </x:c>
      <x:c r="E176" s="293" t="s">
        <x:v>1229</x:v>
      </x:c>
      <x:c r="G176" s="414"/>
      <x:c r="H176" s="414"/>
      <x:c r="I176" s="1303">
        <x:v>411.1</x:v>
      </x:c>
      <x:c r="K176" s="306"/>
      <x:c r="M176" s="309">
        <x:f>M140</x:f>
        <x:v>0</x:v>
      </x:c>
      <x:c r="N176" s="424"/>
      <x:c r="O176" s="309">
        <x:f>O140</x:f>
        <x:v>0</x:v>
      </x:c>
      <x:c r="P176" s="424"/>
      <x:c r="Q176" s="309">
        <x:f>Q140</x:f>
        <x:v>0</x:v>
      </x:c>
      <x:c r="R176" s="424"/>
      <x:c r="S176" s="309">
        <x:f>O176+Q176</x:f>
        <x:v>0</x:v>
      </x:c>
    </x:row>
    <x:row r="177" spans="1:20">
      <x:c r="C177" s="183">
        <x:f>C176+1</x:f>
        <x:v>79</x:v>
      </x:c>
      <x:c r="E177" s="293" t="s">
        <x:v>1230</x:v>
      </x:c>
      <x:c r="G177" s="414"/>
      <x:c r="H177" s="414"/>
      <x:c r="I177" s="1303">
        <x:v>411.1</x:v>
      </x:c>
      <x:c r="K177" s="306"/>
      <x:c r="M177" s="309">
        <x:f>M141</x:f>
        <x:v>0</x:v>
      </x:c>
      <x:c r="N177" s="424"/>
      <x:c r="O177" s="309">
        <x:f>O141</x:f>
        <x:v>0</x:v>
      </x:c>
      <x:c r="P177" s="424"/>
      <x:c r="Q177" s="309">
        <x:f>Q141</x:f>
        <x:v>0</x:v>
      </x:c>
      <x:c r="R177" s="424"/>
      <x:c r="S177" s="309">
        <x:f>O177+Q177</x:f>
        <x:v>0</x:v>
      </x:c>
      <x:c r="T177" s="203"/>
    </x:row>
    <x:row r="178" spans="1:20" ht="5.0999999999999996" customHeight="1">
      <x:c r="M178" s="310"/>
      <x:c r="O178" s="310"/>
      <x:c r="Q178" s="310"/>
      <x:c r="S178" s="310"/>
    </x:row>
    <x:row r="179" spans="1:20">
      <x:c r="C179" s="183">
        <x:f>C177+1</x:f>
        <x:v>80</x:v>
      </x:c>
      <x:c r="E179" s="180" t="s">
        <x:v>1251</x:v>
      </x:c>
      <x:c r="M179" s="297">
        <x:f>SUM(M173:M178)</x:f>
        <x:v>0</x:v>
      </x:c>
      <x:c r="N179" s="297"/>
      <x:c r="O179" s="297">
        <x:f>SUM(O173:O178)</x:f>
        <x:v>0</x:v>
      </x:c>
      <x:c r="P179" s="297"/>
      <x:c r="Q179" s="297">
        <x:f>SUM(Q173:Q178)</x:f>
        <x:v>0</x:v>
      </x:c>
      <x:c r="R179" s="297"/>
      <x:c r="S179" s="297">
        <x:f>SUM(S173:S178)</x:f>
        <x:v>0</x:v>
      </x:c>
    </x:row>
    <x:row r="180" spans="1:20" ht="3.75" customHeight="1">
      <x:c r="C180" s="183"/>
    </x:row>
    <x:row r="181" spans="1:20">
      <x:c r="A181" s="1327"/>
      <x:c r="B181" s="304"/>
      <x:c r="C181" s="183">
        <x:f>C179+1</x:f>
        <x:v>81</x:v>
      </x:c>
      <x:c r="D181" s="304"/>
      <x:c r="E181" s="305" t="s">
        <x:v>1252</x:v>
      </x:c>
      <x:c r="F181" s="304"/>
      <x:c r="G181" s="306"/>
      <x:c r="H181" s="306"/>
      <x:c r="I181" s="306"/>
      <x:c r="J181" s="304"/>
      <x:c r="K181" s="306"/>
      <x:c r="L181" s="304"/>
      <x:c r="M181" s="307"/>
      <x:c r="O181" s="297"/>
      <x:c r="Q181" s="308"/>
      <x:c r="S181" s="304"/>
    </x:row>
    <x:row r="182" spans="1:20" ht="5.0999999999999996" customHeight="1"/>
    <x:row r="183" spans="1:20">
      <x:c r="C183" s="183">
        <x:f>C181+1</x:f>
        <x:v>82</x:v>
      </x:c>
      <x:c r="E183" s="293" t="s">
        <x:v>1228</x:v>
      </x:c>
      <x:c r="G183" s="414"/>
      <x:c r="H183" s="414"/>
      <x:c r="I183" s="1303">
        <x:v>411.1</x:v>
      </x:c>
      <x:c r="K183" s="306"/>
      <x:c r="M183" s="295">
        <x:f>M147</x:f>
        <x:v>0</x:v>
      </x:c>
      <x:c r="N183" s="297"/>
      <x:c r="O183" s="295">
        <x:f>O147</x:f>
        <x:v>0</x:v>
      </x:c>
      <x:c r="P183" s="297"/>
      <x:c r="Q183" s="295">
        <x:f>Q147</x:f>
        <x:v>0</x:v>
      </x:c>
      <x:c r="R183" s="297"/>
      <x:c r="S183" s="295">
        <x:f>O183+Q183</x:f>
        <x:v>0</x:v>
      </x:c>
    </x:row>
    <x:row r="184" spans="1:20">
      <x:c r="C184" s="183">
        <x:f>C183+1</x:f>
        <x:v>83</x:v>
      </x:c>
      <x:c r="E184" s="293" t="s">
        <x:v>1250</x:v>
      </x:c>
      <x:c r="G184" s="414"/>
      <x:c r="H184" s="414"/>
      <x:c r="I184" s="1303">
        <x:v>411.1</x:v>
      </x:c>
      <x:c r="K184" s="306"/>
      <x:c r="M184" s="309">
        <x:f>M148</x:f>
        <x:v>0</x:v>
      </x:c>
      <x:c r="N184" s="424"/>
      <x:c r="O184" s="309">
        <x:f>O148</x:f>
        <x:v>0</x:v>
      </x:c>
      <x:c r="P184" s="424"/>
      <x:c r="Q184" s="309">
        <x:f>Q148</x:f>
        <x:v>0</x:v>
      </x:c>
      <x:c r="R184" s="424"/>
      <x:c r="S184" s="309">
        <x:f>O184+Q184</x:f>
        <x:v>0</x:v>
      </x:c>
    </x:row>
    <x:row r="185" spans="1:20">
      <x:c r="C185" s="183">
        <x:f>C184+1</x:f>
        <x:v>84</x:v>
      </x:c>
      <x:c r="E185" s="293" t="s">
        <x:v>1229</x:v>
      </x:c>
      <x:c r="G185" s="414"/>
      <x:c r="H185" s="414"/>
      <x:c r="I185" s="1303">
        <x:v>411.1</x:v>
      </x:c>
      <x:c r="K185" s="306"/>
      <x:c r="M185" s="309">
        <x:f>M149</x:f>
        <x:v>0</x:v>
      </x:c>
      <x:c r="N185" s="424"/>
      <x:c r="O185" s="309">
        <x:f>O149</x:f>
        <x:v>0</x:v>
      </x:c>
      <x:c r="P185" s="424"/>
      <x:c r="Q185" s="309">
        <x:f>Q149</x:f>
        <x:v>0</x:v>
      </x:c>
      <x:c r="R185" s="424"/>
      <x:c r="S185" s="309">
        <x:f>O185+Q185</x:f>
        <x:v>0</x:v>
      </x:c>
      <x:c r="T185" s="203"/>
    </x:row>
    <x:row r="186" spans="1:20">
      <x:c r="C186" s="183">
        <x:f>C185+1</x:f>
        <x:v>85</x:v>
      </x:c>
      <x:c r="E186" s="293" t="s">
        <x:v>1230</x:v>
      </x:c>
      <x:c r="G186" s="414"/>
      <x:c r="H186" s="414"/>
      <x:c r="I186" s="1303">
        <x:v>411.1</x:v>
      </x:c>
      <x:c r="K186" s="306"/>
      <x:c r="M186" s="309">
        <x:f>M150</x:f>
        <x:v>0</x:v>
      </x:c>
      <x:c r="N186" s="424"/>
      <x:c r="O186" s="309">
        <x:f>O150</x:f>
        <x:v>0</x:v>
      </x:c>
      <x:c r="P186" s="424"/>
      <x:c r="Q186" s="309">
        <x:f>Q150</x:f>
        <x:v>0</x:v>
      </x:c>
      <x:c r="R186" s="424"/>
      <x:c r="S186" s="309">
        <x:f>O186+Q186</x:f>
        <x:v>0</x:v>
      </x:c>
    </x:row>
    <x:row r="187" spans="1:20" ht="5.0999999999999996" customHeight="1">
      <x:c r="M187" s="310"/>
      <x:c r="O187" s="310"/>
      <x:c r="Q187" s="310"/>
      <x:c r="S187" s="310"/>
    </x:row>
    <x:row r="188" spans="1:20">
      <x:c r="C188" s="183">
        <x:f>C186+1</x:f>
        <x:v>86</x:v>
      </x:c>
      <x:c r="E188" s="180" t="s">
        <x:v>1251</x:v>
      </x:c>
      <x:c r="M188" s="297">
        <x:f>SUM(M182:M187)</x:f>
        <x:v>0</x:v>
      </x:c>
      <x:c r="N188" s="297"/>
      <x:c r="O188" s="297">
        <x:f>SUM(O182:O187)</x:f>
        <x:v>0</x:v>
      </x:c>
      <x:c r="P188" s="297"/>
      <x:c r="Q188" s="297">
        <x:f>SUM(Q182:Q187)</x:f>
        <x:v>0</x:v>
      </x:c>
      <x:c r="R188" s="297"/>
      <x:c r="S188" s="297">
        <x:f>SUM(S182:S187)</x:f>
        <x:v>0</x:v>
      </x:c>
    </x:row>
    <x:row r="189" spans="1:20" ht="3.75" customHeight="1"/>
    <x:row r="190" spans="1:20">
      <x:c r="A190" s="1327"/>
      <x:c r="B190" s="304"/>
      <x:c r="C190" s="183">
        <x:f>C188+1</x:f>
        <x:v>87</x:v>
      </x:c>
      <x:c r="D190" s="304"/>
      <x:c r="E190" s="305" t="s">
        <x:v>1254</x:v>
      </x:c>
      <x:c r="F190" s="304"/>
      <x:c r="G190" s="306"/>
      <x:c r="H190" s="306"/>
      <x:c r="I190" s="306"/>
      <x:c r="J190" s="304"/>
      <x:c r="K190" s="306"/>
      <x:c r="L190" s="304"/>
      <x:c r="M190" s="307"/>
      <x:c r="O190" s="297"/>
      <x:c r="Q190" s="308"/>
      <x:c r="S190" s="304"/>
    </x:row>
    <x:row r="191" spans="1:20" ht="5.0999999999999996" customHeight="1"/>
    <x:row r="192" spans="1:20">
      <x:c r="C192" s="183">
        <x:f>C190+1</x:f>
        <x:v>88</x:v>
      </x:c>
      <x:c r="E192" s="293" t="s">
        <x:v>1228</x:v>
      </x:c>
      <x:c r="G192" s="414"/>
      <x:c r="H192" s="414"/>
      <x:c r="I192" s="1303">
        <x:v>410.1</x:v>
      </x:c>
      <x:c r="K192" s="306"/>
      <x:c r="M192" s="295">
        <x:f>M156</x:f>
        <x:v>0</x:v>
      </x:c>
      <x:c r="N192" s="297"/>
      <x:c r="O192" s="295">
        <x:f>O156</x:f>
        <x:v>0</x:v>
      </x:c>
      <x:c r="P192" s="297"/>
      <x:c r="Q192" s="295">
        <x:f>Q156</x:f>
        <x:v>0</x:v>
      </x:c>
      <x:c r="R192" s="297"/>
      <x:c r="S192" s="295">
        <x:f>O192+Q192</x:f>
        <x:v>0</x:v>
      </x:c>
    </x:row>
    <x:row r="193" spans="3:20">
      <x:c r="C193" s="183">
        <x:f>C192+1</x:f>
        <x:v>89</x:v>
      </x:c>
      <x:c r="E193" s="293" t="s">
        <x:v>1250</x:v>
      </x:c>
      <x:c r="G193" s="414"/>
      <x:c r="H193" s="414"/>
      <x:c r="I193" s="1303">
        <x:v>411.1</x:v>
      </x:c>
      <x:c r="K193" s="306"/>
      <x:c r="M193" s="309">
        <x:f>M157</x:f>
        <x:v>0</x:v>
      </x:c>
      <x:c r="N193" s="424"/>
      <x:c r="O193" s="309">
        <x:f>O157</x:f>
        <x:v>0</x:v>
      </x:c>
      <x:c r="P193" s="424"/>
      <x:c r="Q193" s="309">
        <x:f>Q157</x:f>
        <x:v>0</x:v>
      </x:c>
      <x:c r="R193" s="424"/>
      <x:c r="S193" s="309">
        <x:f>O193+Q193</x:f>
        <x:v>0</x:v>
      </x:c>
    </x:row>
    <x:row r="194" spans="3:20">
      <x:c r="C194" s="183">
        <x:f>C193+1</x:f>
        <x:v>90</x:v>
      </x:c>
      <x:c r="E194" s="293" t="s">
        <x:v>1229</x:v>
      </x:c>
      <x:c r="G194" s="414"/>
      <x:c r="H194" s="414"/>
      <x:c r="I194" s="1303">
        <x:v>411.1</x:v>
      </x:c>
      <x:c r="K194" s="306"/>
      <x:c r="M194" s="309">
        <x:f>M158</x:f>
        <x:v>0</x:v>
      </x:c>
      <x:c r="N194" s="424"/>
      <x:c r="O194" s="309">
        <x:f>O158</x:f>
        <x:v>0</x:v>
      </x:c>
      <x:c r="P194" s="424"/>
      <x:c r="Q194" s="309">
        <x:f>Q158</x:f>
        <x:v>0</x:v>
      </x:c>
      <x:c r="R194" s="424"/>
      <x:c r="S194" s="309">
        <x:f>O194+Q194</x:f>
        <x:v>0</x:v>
      </x:c>
    </x:row>
    <x:row r="195" spans="3:20">
      <x:c r="C195" s="183">
        <x:f>C194+1</x:f>
        <x:v>91</x:v>
      </x:c>
      <x:c r="E195" s="293" t="s">
        <x:v>1230</x:v>
      </x:c>
      <x:c r="G195" s="414"/>
      <x:c r="H195" s="414"/>
      <x:c r="I195" s="1303">
        <x:v>411.1</x:v>
      </x:c>
      <x:c r="K195" s="306"/>
      <x:c r="M195" s="309">
        <x:f>M159</x:f>
        <x:v>0</x:v>
      </x:c>
      <x:c r="N195" s="424"/>
      <x:c r="O195" s="309">
        <x:f>O159</x:f>
        <x:v>0</x:v>
      </x:c>
      <x:c r="P195" s="424"/>
      <x:c r="Q195" s="309">
        <x:f>Q159</x:f>
        <x:v>0</x:v>
      </x:c>
      <x:c r="R195" s="424"/>
      <x:c r="S195" s="309">
        <x:f>O195+Q195</x:f>
        <x:v>0</x:v>
      </x:c>
    </x:row>
    <x:row r="196" spans="3:20" ht="5.0999999999999996" customHeight="1">
      <x:c r="M196" s="310"/>
      <x:c r="O196" s="310"/>
      <x:c r="Q196" s="310"/>
      <x:c r="S196" s="310"/>
    </x:row>
    <x:row r="197" spans="3:20">
      <x:c r="C197" s="183">
        <x:f>C195+1</x:f>
        <x:v>92</x:v>
      </x:c>
      <x:c r="E197" s="180" t="s">
        <x:v>1251</x:v>
      </x:c>
      <x:c r="M197" s="297">
        <x:f>SUM(M191:M196)</x:f>
        <x:v>0</x:v>
      </x:c>
      <x:c r="N197" s="297"/>
      <x:c r="O197" s="297">
        <x:f>SUM(O191:O196)</x:f>
        <x:v>0</x:v>
      </x:c>
      <x:c r="P197" s="297"/>
      <x:c r="Q197" s="297">
        <x:f>SUM(Q191:Q196)</x:f>
        <x:v>0</x:v>
      </x:c>
      <x:c r="R197" s="297"/>
      <x:c r="S197" s="297">
        <x:f>SUM(S191:S196)</x:f>
        <x:v>0</x:v>
      </x:c>
      <x:c r="T197" s="203"/>
    </x:row>
    <x:row r="198" spans="3:20" ht="3" customHeight="1"/>
    <x:row r="199" spans="3:20" ht="13.5" thickBot="1">
      <x:c r="C199" s="183">
        <x:f>C197+1</x:f>
        <x:v>93</x:v>
      </x:c>
      <x:c r="E199" s="180" t="s">
        <x:v>1256</x:v>
      </x:c>
      <x:c r="M199" s="311">
        <x:f>M179+M188+M197</x:f>
        <x:v>0</x:v>
      </x:c>
      <x:c r="N199" s="297"/>
      <x:c r="O199" s="311">
        <x:f>O179+O188+O197</x:f>
        <x:v>0</x:v>
      </x:c>
      <x:c r="P199" s="297"/>
      <x:c r="Q199" s="311">
        <x:f>Q179+Q188+Q197</x:f>
        <x:v>0</x:v>
      </x:c>
      <x:c r="R199" s="297"/>
      <x:c r="S199" s="311">
        <x:f>S179+S188+S197</x:f>
        <x:v>0</x:v>
      </x:c>
      <x:c r="T199" s="312"/>
    </x:row>
    <x:row r="200" spans="3:20" ht="8.1" customHeight="1">
      <x:c r="C200" s="183"/>
      <x:c r="E200" s="180"/>
      <x:c r="T200" s="312"/>
    </x:row>
    <x:row r="201" spans="3:20">
      <x:c r="C201" s="183"/>
      <x:c r="E201" s="180"/>
      <x:c r="M201" s="313"/>
      <x:c r="N201" s="297"/>
      <x:c r="O201" s="313"/>
      <x:c r="P201" s="297"/>
      <x:c r="Q201" s="313"/>
      <x:c r="R201" s="297"/>
      <x:c r="S201" s="313"/>
      <x:c r="T201" s="312"/>
    </x:row>
    <x:row r="202" spans="3:20" ht="15">
      <x:c r="E202" s="1613" t="s">
        <x:v>1266</x:v>
      </x:c>
      <x:c r="F202" s="1614"/>
      <x:c r="G202" s="1614"/>
      <x:c r="H202" s="1614"/>
      <x:c r="I202" s="1614"/>
      <x:c r="J202" s="1614"/>
      <x:c r="K202" s="1614"/>
      <x:c r="L202" s="1614"/>
      <x:c r="M202" s="1614"/>
      <x:c r="N202" s="1614"/>
      <x:c r="O202" s="1614"/>
      <x:c r="P202" s="1614"/>
      <x:c r="Q202" s="1614"/>
      <x:c r="R202" s="1614"/>
      <x:c r="S202" s="1615"/>
    </x:row>
    <x:row r="204" spans="3:20">
      <x:c r="E204" s="181" t="s">
        <x:v>163</x:v>
      </x:c>
      <x:c r="F204" s="181"/>
      <x:c r="G204" s="181" t="s">
        <x:v>164</x:v>
      </x:c>
      <x:c r="H204" s="181"/>
      <x:c r="I204" s="181" t="s">
        <x:v>1023</x:v>
      </x:c>
      <x:c r="J204" s="181"/>
      <x:c r="K204" s="181" t="s">
        <x:v>1155</x:v>
      </x:c>
      <x:c r="L204" s="181"/>
      <x:c r="M204" s="181" t="s">
        <x:v>1241</x:v>
      </x:c>
      <x:c r="N204" s="181"/>
      <x:c r="O204" s="181" t="s">
        <x:v>1157</x:v>
      </x:c>
      <x:c r="P204" s="181"/>
      <x:c r="Q204" s="181" t="s">
        <x:v>1158</x:v>
      </x:c>
      <x:c r="R204" s="181"/>
      <x:c r="S204" s="181" t="s">
        <x:v>1159</x:v>
      </x:c>
    </x:row>
    <x:row r="205" spans="3:20" ht="23.25" customHeight="1">
      <x:c r="C205" s="1616" t="s">
        <x:v>523</x:v>
      </x:c>
      <x:c r="D205" s="395"/>
      <x:c r="E205" s="1618" t="s">
        <x:v>1225</x:v>
      </x:c>
      <x:c r="G205" s="1620" t="s">
        <x:v>244</x:v>
      </x:c>
      <x:c r="H205" s="1302"/>
      <x:c r="I205" s="1620" t="s">
        <x:v>2114</x:v>
      </x:c>
      <x:c r="K205" s="1620" t="s">
        <x:v>1242</x:v>
      </x:c>
      <x:c r="O205" s="1332" t="s">
        <x:v>1913</x:v>
      </x:c>
      <x:c r="Q205" s="1622" t="s">
        <x:v>1244</x:v>
      </x:c>
      <x:c r="S205" s="1332" t="s">
        <x:v>2122</x:v>
      </x:c>
    </x:row>
    <x:row r="206" spans="3:20" ht="25.5">
      <x:c r="C206" s="1617"/>
      <x:c r="D206" s="395"/>
      <x:c r="E206" s="1619"/>
      <x:c r="F206" s="302"/>
      <x:c r="G206" s="1621"/>
      <x:c r="H206" s="1304"/>
      <x:c r="I206" s="1621"/>
      <x:c r="J206" s="302"/>
      <x:c r="K206" s="1621"/>
      <x:c r="L206" s="302"/>
      <x:c r="M206" s="303" t="s">
        <x:v>1245</x:v>
      </x:c>
      <x:c r="O206" s="1331" t="s">
        <x:v>1246</x:v>
      </x:c>
      <x:c r="Q206" s="1623"/>
      <x:c r="S206" s="1331" t="s">
        <x:v>1247</x:v>
      </x:c>
    </x:row>
    <x:row r="207" spans="3:20" ht="5.0999999999999996" customHeight="1"/>
    <x:row r="208" spans="3:20">
      <x:c r="C208" s="183">
        <x:f>C199+1</x:f>
        <x:v>94</x:v>
      </x:c>
      <x:c r="E208" s="293" t="s">
        <x:v>1228</x:v>
      </x:c>
      <x:c r="I208" s="1439">
        <x:v>410.1</x:v>
      </x:c>
      <x:c r="M208" s="295">
        <x:f>M174+M183+M192</x:f>
        <x:v>0</x:v>
      </x:c>
      <x:c r="N208" s="297"/>
      <x:c r="O208" s="295">
        <x:f>O174+O183+O192</x:f>
        <x:v>0</x:v>
      </x:c>
      <x:c r="P208" s="297"/>
      <x:c r="Q208" s="295">
        <x:f>Q174+Q183+Q192</x:f>
        <x:v>0</x:v>
      </x:c>
      <x:c r="R208" s="297"/>
      <x:c r="S208" s="295">
        <x:f>O208+Q208</x:f>
        <x:v>0</x:v>
      </x:c>
    </x:row>
    <x:row r="209" spans="3:19">
      <x:c r="C209" s="183">
        <x:f>C208+1</x:f>
        <x:v>95</x:v>
      </x:c>
      <x:c r="E209" s="293" t="s">
        <x:v>1250</x:v>
      </x:c>
      <x:c r="I209" s="1439">
        <x:v>411.1</x:v>
      </x:c>
      <x:c r="M209" s="309">
        <x:f>M175+M184+M193</x:f>
        <x:v>0</x:v>
      </x:c>
      <x:c r="N209" s="424"/>
      <x:c r="O209" s="309">
        <x:f>O175+O184+O193</x:f>
        <x:v>0</x:v>
      </x:c>
      <x:c r="P209" s="424"/>
      <x:c r="Q209" s="309">
        <x:f>Q175+Q184+Q193</x:f>
        <x:v>0</x:v>
      </x:c>
      <x:c r="R209" s="424"/>
      <x:c r="S209" s="309">
        <x:f>O209+Q209</x:f>
        <x:v>0</x:v>
      </x:c>
    </x:row>
    <x:row r="210" spans="3:19">
      <x:c r="C210" s="183">
        <x:f>C209+1</x:f>
        <x:v>96</x:v>
      </x:c>
      <x:c r="E210" s="293" t="s">
        <x:v>1229</x:v>
      </x:c>
      <x:c r="I210" s="1439">
        <x:v>411.1</x:v>
      </x:c>
      <x:c r="M210" s="309">
        <x:f>M176+M185+M194</x:f>
        <x:v>0</x:v>
      </x:c>
      <x:c r="N210" s="424"/>
      <x:c r="O210" s="309">
        <x:f>O176+O185+O194</x:f>
        <x:v>0</x:v>
      </x:c>
      <x:c r="P210" s="424"/>
      <x:c r="Q210" s="309">
        <x:f>Q176+Q185+Q194</x:f>
        <x:v>0</x:v>
      </x:c>
      <x:c r="R210" s="424"/>
      <x:c r="S210" s="309">
        <x:f>O210+Q210</x:f>
        <x:v>0</x:v>
      </x:c>
    </x:row>
    <x:row r="211" spans="3:19">
      <x:c r="C211" s="183">
        <x:f>C210+1</x:f>
        <x:v>97</x:v>
      </x:c>
      <x:c r="E211" s="293" t="s">
        <x:v>1230</x:v>
      </x:c>
      <x:c r="I211" s="1439">
        <x:v>411.1</x:v>
      </x:c>
      <x:c r="M211" s="309">
        <x:f>M177+M186+M195</x:f>
        <x:v>0</x:v>
      </x:c>
      <x:c r="N211" s="424"/>
      <x:c r="O211" s="309">
        <x:f>O177+O186+O195</x:f>
        <x:v>0</x:v>
      </x:c>
      <x:c r="P211" s="424"/>
      <x:c r="Q211" s="309">
        <x:f>Q177+Q186+Q195</x:f>
        <x:v>0</x:v>
      </x:c>
      <x:c r="R211" s="424"/>
      <x:c r="S211" s="309">
        <x:f>O211+Q211</x:f>
        <x:v>0</x:v>
      </x:c>
    </x:row>
    <x:row r="212" spans="3:19" ht="5.0999999999999996" customHeight="1">
      <x:c r="I212" s="1324"/>
      <x:c r="S212" s="310"/>
    </x:row>
    <x:row r="213" spans="3:19">
      <x:c r="C213" s="183">
        <x:f>C211+1</x:f>
        <x:v>98</x:v>
      </x:c>
      <x:c r="E213" s="180" t="s">
        <x:v>1256</x:v>
      </x:c>
      <x:c r="M213" s="314">
        <x:f>SUM(M208:M212)</x:f>
        <x:v>0</x:v>
      </x:c>
      <x:c r="N213" s="297"/>
      <x:c r="O213" s="314">
        <x:f>SUM(O208:O212)</x:f>
        <x:v>0</x:v>
      </x:c>
      <x:c r="P213" s="297"/>
      <x:c r="Q213" s="314">
        <x:f>SUM(Q208:Q212)</x:f>
        <x:v>0</x:v>
      </x:c>
      <x:c r="R213" s="297"/>
      <x:c r="S213" s="314">
        <x:f>SUM(S208:S212)</x:f>
        <x:v>0</x:v>
      </x:c>
    </x:row>
    <x:row r="214" spans="3:19" ht="5.0999999999999996" customHeight="1"/>
    <x:row r="215" spans="3:19">
      <x:c r="C215" s="183">
        <x:f>C213+1</x:f>
        <x:v>99</x:v>
      </x:c>
      <x:c r="E215" s="293" t="s">
        <x:v>1111</x:v>
      </x:c>
      <x:c r="G215" s="167" t="s">
        <x:v>1392</x:v>
      </x:c>
      <x:c r="M215" s="315">
        <x:f>'ATT H-3D'!$H$262</x:f>
        <x:v>1.3834128795739087</x:v>
      </x:c>
      <x:c r="O215" s="315">
        <x:f>'ATT H-3D'!$H$262</x:f>
        <x:v>1.3834128795739087</x:v>
      </x:c>
      <x:c r="Q215" s="315">
        <x:f>'ATT H-3D'!$H$262</x:f>
        <x:v>1.3834128795739087</x:v>
      </x:c>
      <x:c r="S215" s="315">
        <x:f>'ATT H-3D'!$H$262</x:f>
        <x:v>1.3834128795739087</x:v>
      </x:c>
    </x:row>
    <x:row r="216" spans="3:19" ht="5.0999999999999996" customHeight="1"/>
    <x:row r="217" spans="3:19" ht="13.5" thickBot="1">
      <x:c r="C217" s="183">
        <x:f>C215+1</x:f>
        <x:v>100</x:v>
      </x:c>
      <x:c r="E217" s="180" t="s">
        <x:v>1259</x:v>
      </x:c>
      <x:c r="M217" s="316">
        <x:f>M213*M215</x:f>
        <x:v>0</x:v>
      </x:c>
      <x:c r="N217" s="297"/>
      <x:c r="O217" s="316">
        <x:f>O213*O215</x:f>
        <x:v>0</x:v>
      </x:c>
      <x:c r="P217" s="297"/>
      <x:c r="Q217" s="316">
        <x:f>Q213*Q215</x:f>
        <x:v>0</x:v>
      </x:c>
      <x:c r="R217" s="297"/>
      <x:c r="S217" s="316">
        <x:f>S213*S215</x:f>
        <x:v>0</x:v>
      </x:c>
    </x:row>
    <x:row r="218" spans="3:19" ht="13.5" thickTop="1"/>
    <x:row r="220" spans="3:19" ht="15">
      <x:c r="E220" s="1613" t="s">
        <x:v>1267</x:v>
      </x:c>
      <x:c r="F220" s="1614"/>
      <x:c r="G220" s="1614"/>
      <x:c r="H220" s="1614"/>
      <x:c r="I220" s="1614"/>
      <x:c r="J220" s="1614"/>
      <x:c r="K220" s="1614"/>
      <x:c r="L220" s="1614"/>
      <x:c r="M220" s="1614"/>
      <x:c r="N220" s="1614"/>
      <x:c r="O220" s="1614"/>
      <x:c r="P220" s="1614"/>
      <x:c r="Q220" s="1614"/>
      <x:c r="R220" s="1614"/>
      <x:c r="S220" s="1615"/>
    </x:row>
    <x:row r="222" spans="3:19">
      <x:c r="E222" s="181" t="s">
        <x:v>163</x:v>
      </x:c>
      <x:c r="F222" s="181"/>
      <x:c r="G222" s="181" t="s">
        <x:v>164</x:v>
      </x:c>
      <x:c r="H222" s="181"/>
      <x:c r="I222" s="181" t="s">
        <x:v>1023</x:v>
      </x:c>
      <x:c r="J222" s="181"/>
      <x:c r="K222" s="181" t="s">
        <x:v>1155</x:v>
      </x:c>
      <x:c r="L222" s="181"/>
      <x:c r="M222" s="181" t="s">
        <x:v>1241</x:v>
      </x:c>
      <x:c r="N222" s="181"/>
      <x:c r="O222" s="181" t="s">
        <x:v>1157</x:v>
      </x:c>
      <x:c r="P222" s="181"/>
      <x:c r="Q222" s="181" t="s">
        <x:v>1158</x:v>
      </x:c>
      <x:c r="R222" s="181"/>
      <x:c r="S222" s="181" t="s">
        <x:v>1159</x:v>
      </x:c>
    </x:row>
    <x:row r="223" spans="3:19">
      <x:c r="C223" s="1625" t="s">
        <x:v>523</x:v>
      </x:c>
      <x:c r="E223" s="1626" t="s">
        <x:v>1261</x:v>
      </x:c>
      <x:c r="G223" s="1628" t="s">
        <x:v>244</x:v>
      </x:c>
      <x:c r="H223" s="1628"/>
      <x:c r="I223" s="1628"/>
      <x:c r="J223" s="1628"/>
      <x:c r="K223" s="1628"/>
      <x:c r="M223" s="301"/>
      <x:c r="O223" s="1332" t="s">
        <x:v>1913</x:v>
      </x:c>
      <x:c r="Q223" s="1622" t="s">
        <x:v>1244</x:v>
      </x:c>
      <x:c r="S223" s="1332" t="s">
        <x:v>2122</x:v>
      </x:c>
    </x:row>
    <x:row r="224" spans="3:19" ht="25.5">
      <x:c r="C224" s="1599"/>
      <x:c r="E224" s="1627"/>
      <x:c r="G224" s="1629"/>
      <x:c r="H224" s="1629"/>
      <x:c r="I224" s="1629"/>
      <x:c r="J224" s="1629"/>
      <x:c r="K224" s="1629"/>
      <x:c r="L224" s="302"/>
      <x:c r="M224" s="303" t="s">
        <x:v>1245</x:v>
      </x:c>
      <x:c r="O224" s="1331" t="s">
        <x:v>1246</x:v>
      </x:c>
      <x:c r="Q224" s="1623"/>
      <x:c r="S224" s="1331" t="s">
        <x:v>1247</x:v>
      </x:c>
    </x:row>
    <x:row r="225" spans="3:19" ht="5.0999999999999996" customHeight="1"/>
    <x:row r="226" spans="3:19">
      <x:c r="C226" s="183">
        <x:f>C217+1</x:f>
        <x:v>101</x:v>
      </x:c>
      <x:c r="E226" s="293" t="s">
        <x:v>1262</x:v>
      </x:c>
      <x:c r="M226" s="295">
        <x:v>0</x:v>
      </x:c>
      <x:c r="N226" s="297"/>
      <x:c r="O226" s="295">
        <x:v>0</x:v>
      </x:c>
      <x:c r="P226" s="297"/>
      <x:c r="Q226" s="295">
        <x:v>0</x:v>
      </x:c>
      <x:c r="R226" s="297"/>
      <x:c r="S226" s="295">
        <x:v>0</x:v>
      </x:c>
    </x:row>
    <x:row r="227" spans="3:19">
      <x:c r="C227" s="183">
        <x:f>C226+1</x:f>
        <x:v>102</x:v>
      </x:c>
      <x:c r="E227" s="293" t="s">
        <x:v>1263</x:v>
      </x:c>
      <x:c r="M227" s="296">
        <x:f>M217</x:f>
        <x:v>0</x:v>
      </x:c>
      <x:c r="O227" s="296">
        <x:f>O217</x:f>
        <x:v>0</x:v>
      </x:c>
      <x:c r="Q227" s="296">
        <x:f>Q217</x:f>
        <x:v>0</x:v>
      </x:c>
      <x:c r="S227" s="296">
        <x:f>S217</x:f>
        <x:v>0</x:v>
      </x:c>
    </x:row>
    <x:row r="228" spans="3:19" ht="5.0999999999999996" customHeight="1">
      <x:c r="M228" s="310"/>
      <x:c r="O228" s="310"/>
      <x:c r="Q228" s="310"/>
      <x:c r="S228" s="310"/>
    </x:row>
    <x:row r="229" spans="3:19">
      <x:c r="C229" s="183">
        <x:f>C227+1</x:f>
        <x:v>103</x:v>
      </x:c>
      <x:c r="E229" s="180" t="s">
        <x:v>1264</x:v>
      </x:c>
      <x:c r="M229" s="297">
        <x:f>SUM(M226:M228)</x:f>
        <x:v>0</x:v>
      </x:c>
      <x:c r="N229" s="297"/>
      <x:c r="O229" s="297">
        <x:f>SUM(O226:O228)</x:f>
        <x:v>0</x:v>
      </x:c>
      <x:c r="P229" s="297"/>
      <x:c r="Q229" s="297">
        <x:f>SUM(Q226:Q228)</x:f>
        <x:v>0</x:v>
      </x:c>
      <x:c r="R229" s="297"/>
      <x:c r="S229" s="297">
        <x:f>SUM(S226:S228)</x:f>
        <x:v>0</x:v>
      </x:c>
    </x:row>
    <x:row r="230" spans="3:19">
      <x:c r="M230" s="312"/>
    </x:row>
    <x:row r="232" spans="3:19" ht="15">
      <x:c r="E232" s="1610" t="s">
        <x:v>1268</x:v>
      </x:c>
      <x:c r="F232" s="1610"/>
      <x:c r="G232" s="1610"/>
      <x:c r="H232" s="1610"/>
      <x:c r="I232" s="1610"/>
      <x:c r="J232" s="1610"/>
      <x:c r="K232" s="1610"/>
      <x:c r="L232" s="1610"/>
      <x:c r="M232" s="1610"/>
      <x:c r="N232" s="1610"/>
      <x:c r="O232" s="1610"/>
      <x:c r="P232" s="1610"/>
      <x:c r="Q232" s="1610"/>
      <x:c r="R232" s="1610"/>
      <x:c r="S232" s="1610"/>
    </x:row>
    <x:row r="234" spans="3:19" ht="15">
      <x:c r="E234" s="1613" t="s">
        <x:v>1269</x:v>
      </x:c>
      <x:c r="F234" s="1614"/>
      <x:c r="G234" s="1614"/>
      <x:c r="H234" s="1614"/>
      <x:c r="I234" s="1614"/>
      <x:c r="J234" s="1614"/>
      <x:c r="K234" s="1614"/>
      <x:c r="L234" s="1614"/>
      <x:c r="M234" s="1614"/>
      <x:c r="N234" s="1614"/>
      <x:c r="O234" s="1614"/>
      <x:c r="P234" s="1614"/>
      <x:c r="Q234" s="1614"/>
      <x:c r="R234" s="1614"/>
      <x:c r="S234" s="1615"/>
    </x:row>
    <x:row r="236" spans="3:19">
      <x:c r="E236" s="181" t="s">
        <x:v>163</x:v>
      </x:c>
      <x:c r="F236" s="181"/>
      <x:c r="G236" s="181" t="s">
        <x:v>164</x:v>
      </x:c>
      <x:c r="H236" s="181"/>
      <x:c r="I236" s="181" t="s">
        <x:v>1023</x:v>
      </x:c>
      <x:c r="J236" s="181"/>
      <x:c r="K236" s="181" t="s">
        <x:v>1155</x:v>
      </x:c>
      <x:c r="L236" s="181"/>
      <x:c r="M236" s="181" t="s">
        <x:v>1241</x:v>
      </x:c>
      <x:c r="N236" s="181"/>
      <x:c r="O236" s="181" t="s">
        <x:v>1157</x:v>
      </x:c>
      <x:c r="P236" s="181"/>
      <x:c r="Q236" s="181" t="s">
        <x:v>1158</x:v>
      </x:c>
      <x:c r="R236" s="181"/>
      <x:c r="S236" s="181" t="s">
        <x:v>1159</x:v>
      </x:c>
    </x:row>
    <x:row r="237" spans="3:19">
      <x:c r="C237" s="1625" t="s">
        <x:v>523</x:v>
      </x:c>
      <x:c r="E237" s="1626" t="s">
        <x:v>1261</x:v>
      </x:c>
      <x:c r="G237" s="1628" t="s">
        <x:v>244</x:v>
      </x:c>
      <x:c r="H237" s="1628"/>
      <x:c r="I237" s="1628"/>
      <x:c r="J237" s="1628"/>
      <x:c r="K237" s="1628"/>
      <x:c r="M237" s="301"/>
      <x:c r="O237" s="1332" t="s">
        <x:v>1913</x:v>
      </x:c>
      <x:c r="Q237" s="1622" t="s">
        <x:v>1244</x:v>
      </x:c>
      <x:c r="S237" s="1332" t="s">
        <x:v>2122</x:v>
      </x:c>
    </x:row>
    <x:row r="238" spans="3:19" ht="25.5">
      <x:c r="C238" s="1599"/>
      <x:c r="E238" s="1627"/>
      <x:c r="G238" s="1629"/>
      <x:c r="H238" s="1629"/>
      <x:c r="I238" s="1629"/>
      <x:c r="J238" s="1629"/>
      <x:c r="K238" s="1629"/>
      <x:c r="L238" s="302"/>
      <x:c r="M238" s="303" t="s">
        <x:v>1245</x:v>
      </x:c>
      <x:c r="O238" s="1331" t="s">
        <x:v>1246</x:v>
      </x:c>
      <x:c r="Q238" s="1623"/>
      <x:c r="S238" s="1331" t="s">
        <x:v>1247</x:v>
      </x:c>
    </x:row>
    <x:row r="239" spans="3:19" ht="5.0999999999999996" customHeight="1"/>
    <x:row r="240" spans="3:19">
      <x:c r="C240" s="183">
        <x:f>C229+1</x:f>
        <x:v>104</x:v>
      </x:c>
      <x:c r="E240" s="293" t="s">
        <x:v>1262</x:v>
      </x:c>
      <x:c r="M240" s="295">
        <x:f>M122+M226</x:f>
        <x:v>0</x:v>
      </x:c>
      <x:c r="N240" s="297"/>
      <x:c r="O240" s="295">
        <x:f>O122+O226</x:f>
        <x:v>0</x:v>
      </x:c>
      <x:c r="P240" s="297"/>
      <x:c r="Q240" s="295">
        <x:f>Q122+Q226</x:f>
        <x:v>0</x:v>
      </x:c>
      <x:c r="R240" s="297"/>
      <x:c r="S240" s="295">
        <x:f>S122+S226</x:f>
        <x:v>0</x:v>
      </x:c>
    </x:row>
    <x:row r="241" spans="1:19">
      <x:c r="C241" s="183">
        <x:f>C240+1</x:f>
        <x:v>105</x:v>
      </x:c>
      <x:c r="E241" s="293" t="s">
        <x:v>1263</x:v>
      </x:c>
      <x:c r="M241" s="309">
        <x:f>M123+M227</x:f>
        <x:v>-114560975.24958241</x:v>
      </x:c>
      <x:c r="O241" s="309">
        <x:f>O123+O227</x:f>
        <x:v>-28441069.378155906</x:v>
      </x:c>
      <x:c r="Q241" s="309">
        <x:f>Q123+Q227</x:f>
        <x:v>1560384.5887805214</x:v>
      </x:c>
      <x:c r="S241" s="309">
        <x:f>S123+S227</x:f>
        <x:v>-26880684.789375383</x:v>
      </x:c>
    </x:row>
    <x:row r="242" spans="1:19" ht="5.0999999999999996" customHeight="1">
      <x:c r="M242" s="310"/>
      <x:c r="O242" s="310"/>
      <x:c r="Q242" s="310"/>
      <x:c r="S242" s="310"/>
    </x:row>
    <x:row r="243" spans="1:19">
      <x:c r="C243" s="183">
        <x:f>C241+1</x:f>
        <x:v>106</x:v>
      </x:c>
      <x:c r="E243" s="180" t="s">
        <x:v>1264</x:v>
      </x:c>
      <x:c r="M243" s="297">
        <x:f>SUM(M240:M242)</x:f>
        <x:v>-114560975.24958241</x:v>
      </x:c>
      <x:c r="N243" s="297"/>
      <x:c r="O243" s="297">
        <x:f>SUM(O240:O242)</x:f>
        <x:v>-28441069.378155906</x:v>
      </x:c>
      <x:c r="P243" s="297"/>
      <x:c r="Q243" s="297">
        <x:f>SUM(Q240:Q242)</x:f>
        <x:v>1560384.5887805214</x:v>
      </x:c>
      <x:c r="R243" s="297"/>
      <x:c r="S243" s="297">
        <x:f>SUM(S240:S242)</x:f>
        <x:v>-26880684.789375383</x:v>
      </x:c>
    </x:row>
    <x:row r="246" spans="1:19" ht="18">
      <x:c r="A246" s="1325"/>
      <x:c r="B246" s="161" t="s">
        <x:v>1270</x:v>
      </x:c>
      <x:c r="C246" s="161"/>
      <x:c r="D246" s="161"/>
      <x:c r="E246" s="161"/>
      <x:c r="F246" s="161"/>
      <x:c r="G246" s="161"/>
      <x:c r="H246" s="161"/>
      <x:c r="I246" s="161"/>
      <x:c r="J246" s="161"/>
      <x:c r="K246" s="161"/>
      <x:c r="L246" s="161"/>
      <x:c r="M246" s="161"/>
      <x:c r="N246" s="161"/>
      <x:c r="O246" s="161"/>
      <x:c r="P246" s="161"/>
      <x:c r="Q246" s="161"/>
      <x:c r="R246" s="161"/>
      <x:c r="S246" s="161"/>
    </x:row>
    <x:row r="247" spans="1:19">
      <x:c r="A247" s="1328"/>
      <x:c r="B247" s="6"/>
      <x:c r="C247" s="6"/>
      <x:c r="D247" s="6"/>
      <x:c r="E247" s="6"/>
      <x:c r="F247" s="6"/>
      <x:c r="G247" s="6"/>
      <x:c r="H247" s="6"/>
      <x:c r="I247" s="6"/>
      <x:c r="J247" s="6"/>
      <x:c r="K247" s="6"/>
      <x:c r="L247" s="6"/>
      <x:c r="M247" s="6"/>
      <x:c r="N247" s="6"/>
      <x:c r="O247" s="6"/>
      <x:c r="P247" s="6"/>
      <x:c r="Q247" s="6"/>
      <x:c r="R247" s="6"/>
      <x:c r="S247" s="6"/>
    </x:row>
    <x:row r="248" spans="1:19" ht="12.75" customHeight="1">
      <x:c r="A248" s="1328"/>
      <x:c r="B248" s="1624" t="s">
        <x:v>1271</x:v>
      </x:c>
      <x:c r="C248" s="1624"/>
      <x:c r="D248" s="1624"/>
      <x:c r="E248" s="1624"/>
      <x:c r="F248" s="1624"/>
      <x:c r="G248" s="1624"/>
      <x:c r="H248" s="1624"/>
      <x:c r="I248" s="1624"/>
      <x:c r="J248" s="1624"/>
      <x:c r="K248" s="1624"/>
      <x:c r="L248" s="1624"/>
      <x:c r="M248" s="1624"/>
      <x:c r="N248" s="1624"/>
      <x:c r="O248" s="1624"/>
      <x:c r="P248" s="1624"/>
      <x:c r="Q248" s="1624"/>
      <x:c r="R248" s="1624"/>
      <x:c r="S248" s="1624"/>
    </x:row>
    <x:row r="249" spans="1:19">
      <x:c r="A249" s="1328"/>
      <x:c r="B249" s="1624"/>
      <x:c r="C249" s="1624"/>
      <x:c r="D249" s="1624"/>
      <x:c r="E249" s="1624"/>
      <x:c r="F249" s="1624"/>
      <x:c r="G249" s="1624"/>
      <x:c r="H249" s="1624"/>
      <x:c r="I249" s="1624"/>
      <x:c r="J249" s="1624"/>
      <x:c r="K249" s="1624"/>
      <x:c r="L249" s="1624"/>
      <x:c r="M249" s="1624"/>
      <x:c r="N249" s="1624"/>
      <x:c r="O249" s="1624"/>
      <x:c r="P249" s="1624"/>
      <x:c r="Q249" s="1624"/>
      <x:c r="R249" s="1624"/>
      <x:c r="S249" s="1624"/>
    </x:row>
    <x:row r="250" spans="1:19">
      <x:c r="A250" s="1328"/>
      <x:c r="B250" s="1624"/>
      <x:c r="C250" s="1624"/>
      <x:c r="D250" s="1624"/>
      <x:c r="E250" s="1624"/>
      <x:c r="F250" s="1624"/>
      <x:c r="G250" s="1624"/>
      <x:c r="H250" s="1624"/>
      <x:c r="I250" s="1624"/>
      <x:c r="J250" s="1624"/>
      <x:c r="K250" s="1624"/>
      <x:c r="L250" s="1624"/>
      <x:c r="M250" s="1624"/>
      <x:c r="N250" s="1624"/>
      <x:c r="O250" s="1624"/>
      <x:c r="P250" s="1624"/>
      <x:c r="Q250" s="1624"/>
      <x:c r="R250" s="1624"/>
      <x:c r="S250" s="1624"/>
    </x:row>
    <x:row r="251" spans="1:19" ht="12.75" customHeight="1">
      <x:c r="A251" s="1328"/>
      <x:c r="B251" s="1624" t="s">
        <x:v>1272</x:v>
      </x:c>
      <x:c r="C251" s="1624"/>
      <x:c r="D251" s="1624"/>
      <x:c r="E251" s="1624"/>
      <x:c r="F251" s="1624"/>
      <x:c r="G251" s="1624"/>
      <x:c r="H251" s="1624"/>
      <x:c r="I251" s="1624"/>
      <x:c r="J251" s="1624"/>
      <x:c r="K251" s="1624"/>
      <x:c r="L251" s="1624"/>
      <x:c r="M251" s="1624"/>
      <x:c r="N251" s="1624"/>
      <x:c r="O251" s="1624"/>
      <x:c r="P251" s="1624"/>
      <x:c r="Q251" s="1624"/>
      <x:c r="R251" s="1624"/>
      <x:c r="S251" s="1624"/>
    </x:row>
    <x:row r="252" spans="1:19">
      <x:c r="A252" s="1328"/>
      <x:c r="B252" s="1624"/>
      <x:c r="C252" s="1624"/>
      <x:c r="D252" s="1624"/>
      <x:c r="E252" s="1624"/>
      <x:c r="F252" s="1624"/>
      <x:c r="G252" s="1624"/>
      <x:c r="H252" s="1624"/>
      <x:c r="I252" s="1624"/>
      <x:c r="J252" s="1624"/>
      <x:c r="K252" s="1624"/>
      <x:c r="L252" s="1624"/>
      <x:c r="M252" s="1624"/>
      <x:c r="N252" s="1624"/>
      <x:c r="O252" s="1624"/>
      <x:c r="P252" s="1624"/>
      <x:c r="Q252" s="1624"/>
      <x:c r="R252" s="1624"/>
      <x:c r="S252" s="1624"/>
    </x:row>
    <x:row r="253" spans="1:19">
      <x:c r="A253" s="1328"/>
      <x:c r="B253" s="1624"/>
      <x:c r="C253" s="1624"/>
      <x:c r="D253" s="1624"/>
      <x:c r="E253" s="1624"/>
      <x:c r="F253" s="1624"/>
      <x:c r="G253" s="1624"/>
      <x:c r="H253" s="1624"/>
      <x:c r="I253" s="1624"/>
      <x:c r="J253" s="1624"/>
      <x:c r="K253" s="1624"/>
      <x:c r="L253" s="1624"/>
      <x:c r="M253" s="1624"/>
      <x:c r="N253" s="1624"/>
      <x:c r="O253" s="1624"/>
      <x:c r="P253" s="1624"/>
      <x:c r="Q253" s="1624"/>
      <x:c r="R253" s="1624"/>
      <x:c r="S253" s="1624"/>
    </x:row>
    <x:row r="254" spans="1:19" ht="12.75" customHeight="1">
      <x:c r="A254" s="1328"/>
      <x:c r="B254" s="1624" t="s">
        <x:v>1273</x:v>
      </x:c>
      <x:c r="C254" s="1624"/>
      <x:c r="D254" s="1624"/>
      <x:c r="E254" s="1624"/>
      <x:c r="F254" s="1624"/>
      <x:c r="G254" s="1624"/>
      <x:c r="H254" s="1624"/>
      <x:c r="I254" s="1624"/>
      <x:c r="J254" s="1624"/>
      <x:c r="K254" s="1624"/>
      <x:c r="L254" s="1624"/>
      <x:c r="M254" s="1624"/>
      <x:c r="N254" s="1624"/>
      <x:c r="O254" s="1624"/>
      <x:c r="P254" s="1624"/>
      <x:c r="Q254" s="1624"/>
      <x:c r="R254" s="1624"/>
      <x:c r="S254" s="1624"/>
    </x:row>
    <x:row r="255" spans="1:19">
      <x:c r="A255" s="1328"/>
      <x:c r="B255" s="1624"/>
      <x:c r="C255" s="1624"/>
      <x:c r="D255" s="1624"/>
      <x:c r="E255" s="1624"/>
      <x:c r="F255" s="1624"/>
      <x:c r="G255" s="1624"/>
      <x:c r="H255" s="1624"/>
      <x:c r="I255" s="1624"/>
      <x:c r="J255" s="1624"/>
      <x:c r="K255" s="1624"/>
      <x:c r="L255" s="1624"/>
      <x:c r="M255" s="1624"/>
      <x:c r="N255" s="1624"/>
      <x:c r="O255" s="1624"/>
      <x:c r="P255" s="1624"/>
      <x:c r="Q255" s="1624"/>
      <x:c r="R255" s="1624"/>
      <x:c r="S255" s="1624"/>
    </x:row>
    <x:row r="256" spans="1:19">
      <x:c r="A256" s="1328"/>
      <x:c r="B256" s="1624"/>
      <x:c r="C256" s="1624"/>
      <x:c r="D256" s="1624"/>
      <x:c r="E256" s="1624"/>
      <x:c r="F256" s="1624"/>
      <x:c r="G256" s="1624"/>
      <x:c r="H256" s="1624"/>
      <x:c r="I256" s="1624"/>
      <x:c r="J256" s="1624"/>
      <x:c r="K256" s="1624"/>
      <x:c r="L256" s="1624"/>
      <x:c r="M256" s="1624"/>
      <x:c r="N256" s="1624"/>
      <x:c r="O256" s="1624"/>
      <x:c r="P256" s="1624"/>
      <x:c r="Q256" s="1624"/>
      <x:c r="R256" s="1624"/>
      <x:c r="S256" s="1624"/>
    </x:row>
    <x:row r="257" spans="1:19" ht="12.75" customHeight="1">
      <x:c r="A257" s="1328"/>
      <x:c r="B257" s="1624" t="s">
        <x:v>1274</x:v>
      </x:c>
      <x:c r="C257" s="1624"/>
      <x:c r="D257" s="1624"/>
      <x:c r="E257" s="1624"/>
      <x:c r="F257" s="1624"/>
      <x:c r="G257" s="1624"/>
      <x:c r="H257" s="1624"/>
      <x:c r="I257" s="1624"/>
      <x:c r="J257" s="1624"/>
      <x:c r="K257" s="1624"/>
      <x:c r="L257" s="1624"/>
      <x:c r="M257" s="1624"/>
      <x:c r="N257" s="1624"/>
      <x:c r="O257" s="1624"/>
      <x:c r="P257" s="1624"/>
      <x:c r="Q257" s="1624"/>
      <x:c r="R257" s="1624"/>
      <x:c r="S257" s="1624"/>
    </x:row>
    <x:row r="258" spans="1:19">
      <x:c r="A258" s="1328"/>
      <x:c r="B258" s="396"/>
      <x:c r="C258" s="396"/>
      <x:c r="D258" s="396"/>
      <x:c r="E258" s="396"/>
      <x:c r="F258" s="396"/>
      <x:c r="G258" s="396"/>
      <x:c r="H258" s="1301"/>
      <x:c r="I258" s="1301"/>
      <x:c r="J258" s="396"/>
      <x:c r="K258" s="396"/>
      <x:c r="L258" s="396"/>
      <x:c r="M258" s="396"/>
      <x:c r="N258" s="396"/>
      <x:c r="O258" s="396"/>
      <x:c r="P258" s="396"/>
      <x:c r="Q258" s="396"/>
      <x:c r="R258" s="396"/>
      <x:c r="S258" s="396"/>
    </x:row>
    <x:row r="259" spans="1:19" ht="18">
      <x:c r="A259" s="1325"/>
      <x:c r="B259" s="161" t="s">
        <x:v>848</x:v>
      </x:c>
      <x:c r="C259" s="161"/>
      <x:c r="D259" s="161"/>
      <x:c r="E259" s="161"/>
      <x:c r="F259" s="161"/>
      <x:c r="G259" s="161"/>
      <x:c r="H259" s="161"/>
      <x:c r="I259" s="161"/>
      <x:c r="J259" s="161"/>
      <x:c r="K259" s="161"/>
      <x:c r="L259" s="161"/>
      <x:c r="M259" s="161"/>
      <x:c r="N259" s="161"/>
      <x:c r="O259" s="161"/>
      <x:c r="P259" s="161"/>
      <x:c r="Q259" s="161"/>
      <x:c r="R259" s="161"/>
      <x:c r="S259" s="161"/>
    </x:row>
    <x:row r="260" spans="1:19">
      <x:c r="A260" s="1328"/>
      <x:c r="B260" s="6"/>
      <x:c r="C260" s="6"/>
      <x:c r="D260" s="6"/>
      <x:c r="E260" s="6"/>
      <x:c r="F260" s="6"/>
      <x:c r="G260" s="6"/>
      <x:c r="H260" s="6"/>
      <x:c r="I260" s="6"/>
      <x:c r="J260" s="6"/>
      <x:c r="K260" s="6" t="s">
        <x:v>83</x:v>
      </x:c>
      <x:c r="L260" s="6"/>
      <x:c r="M260" s="6"/>
      <x:c r="N260" s="6"/>
      <x:c r="O260" s="6"/>
      <x:c r="P260" s="6"/>
      <x:c r="Q260" s="6"/>
      <x:c r="R260" s="6"/>
      <x:c r="S260" s="6"/>
    </x:row>
    <x:row r="261" spans="1:19" ht="12.75" customHeight="1">
      <x:c r="A261" s="1328"/>
      <x:c r="B261" s="6" t="s">
        <x:v>9</x:v>
      </x:c>
      <x:c r="C261" s="1624" t="s">
        <x:v>1525</x:v>
      </x:c>
      <x:c r="D261" s="1624"/>
      <x:c r="E261" s="1624"/>
      <x:c r="F261" s="1624"/>
      <x:c r="G261" s="1624"/>
      <x:c r="H261" s="1624"/>
      <x:c r="I261" s="1624"/>
      <x:c r="J261" s="1624"/>
      <x:c r="K261" s="1624"/>
      <x:c r="L261" s="1624"/>
      <x:c r="M261" s="1624"/>
      <x:c r="N261" s="1624"/>
      <x:c r="O261" s="1624"/>
      <x:c r="P261" s="1624"/>
      <x:c r="Q261" s="1624"/>
      <x:c r="R261" s="1624"/>
      <x:c r="S261" s="1624"/>
    </x:row>
    <x:row r="262" spans="1:19">
      <x:c r="A262" s="1328"/>
      <x:c r="B262" s="6"/>
      <x:c r="C262" s="1624"/>
      <x:c r="D262" s="1624"/>
      <x:c r="E262" s="1624"/>
      <x:c r="F262" s="1624"/>
      <x:c r="G262" s="1624"/>
      <x:c r="H262" s="1624"/>
      <x:c r="I262" s="1624"/>
      <x:c r="J262" s="1624"/>
      <x:c r="K262" s="1624"/>
      <x:c r="L262" s="1624"/>
      <x:c r="M262" s="1624"/>
      <x:c r="N262" s="1624"/>
      <x:c r="O262" s="1624"/>
      <x:c r="P262" s="1624"/>
      <x:c r="Q262" s="1624"/>
      <x:c r="R262" s="1624"/>
      <x:c r="S262" s="1624"/>
    </x:row>
    <x:row r="263" spans="1:19">
      <x:c r="A263" s="1328"/>
      <x:c r="B263" s="6"/>
      <x:c r="C263" s="1624"/>
      <x:c r="D263" s="1624"/>
      <x:c r="E263" s="1624"/>
      <x:c r="F263" s="1624"/>
      <x:c r="G263" s="1624"/>
      <x:c r="H263" s="1624"/>
      <x:c r="I263" s="1624"/>
      <x:c r="J263" s="1624"/>
      <x:c r="K263" s="1624"/>
      <x:c r="L263" s="1624"/>
      <x:c r="M263" s="1624"/>
      <x:c r="N263" s="1624"/>
      <x:c r="O263" s="1624"/>
      <x:c r="P263" s="1624"/>
      <x:c r="Q263" s="1624"/>
      <x:c r="R263" s="1624"/>
      <x:c r="S263" s="1624"/>
    </x:row>
    <x:row r="264" spans="1:19">
      <x:c r="A264" s="1328"/>
      <x:c r="B264" s="6"/>
      <x:c r="C264" s="1624"/>
      <x:c r="D264" s="1624"/>
      <x:c r="E264" s="1624"/>
      <x:c r="F264" s="1624"/>
      <x:c r="G264" s="1624"/>
      <x:c r="H264" s="1624"/>
      <x:c r="I264" s="1624"/>
      <x:c r="J264" s="1624"/>
      <x:c r="K264" s="1624"/>
      <x:c r="L264" s="1624"/>
      <x:c r="M264" s="1624"/>
      <x:c r="N264" s="1624"/>
      <x:c r="O264" s="1624"/>
      <x:c r="P264" s="1624"/>
      <x:c r="Q264" s="1624"/>
      <x:c r="R264" s="1624"/>
      <x:c r="S264" s="1624"/>
    </x:row>
    <x:row r="265" spans="1:19">
      <x:c r="A265" s="1328"/>
      <x:c r="B265" s="6"/>
      <x:c r="C265" s="1624"/>
      <x:c r="D265" s="1624"/>
      <x:c r="E265" s="1624"/>
      <x:c r="F265" s="1624"/>
      <x:c r="G265" s="1624"/>
      <x:c r="H265" s="1624"/>
      <x:c r="I265" s="1624"/>
      <x:c r="J265" s="1624"/>
      <x:c r="K265" s="1624"/>
      <x:c r="L265" s="1624"/>
      <x:c r="M265" s="1624"/>
      <x:c r="N265" s="1624"/>
      <x:c r="O265" s="1624"/>
      <x:c r="P265" s="1624"/>
      <x:c r="Q265" s="1624"/>
      <x:c r="R265" s="1624"/>
      <x:c r="S265" s="1624"/>
    </x:row>
    <x:row r="266" spans="1:19">
      <x:c r="A266" s="1328"/>
      <x:c r="B266" s="6"/>
      <x:c r="C266" s="1624"/>
      <x:c r="D266" s="1624"/>
      <x:c r="E266" s="1624"/>
      <x:c r="F266" s="1624"/>
      <x:c r="G266" s="1624"/>
      <x:c r="H266" s="1624"/>
      <x:c r="I266" s="1624"/>
      <x:c r="J266" s="1624"/>
      <x:c r="K266" s="1624"/>
      <x:c r="L266" s="1624"/>
      <x:c r="M266" s="1624"/>
      <x:c r="N266" s="1624"/>
      <x:c r="O266" s="1624"/>
      <x:c r="P266" s="1624"/>
      <x:c r="Q266" s="1624"/>
      <x:c r="R266" s="1624"/>
      <x:c r="S266" s="1624"/>
    </x:row>
    <x:row r="267" spans="1:19">
      <x:c r="A267" s="1328"/>
      <x:c r="B267" s="6"/>
      <x:c r="C267" s="1624"/>
      <x:c r="D267" s="1624"/>
      <x:c r="E267" s="1624"/>
      <x:c r="F267" s="1624"/>
      <x:c r="G267" s="1624"/>
      <x:c r="H267" s="1624"/>
      <x:c r="I267" s="1624"/>
      <x:c r="J267" s="1624"/>
      <x:c r="K267" s="1624"/>
      <x:c r="L267" s="1624"/>
      <x:c r="M267" s="1624"/>
      <x:c r="N267" s="1624"/>
      <x:c r="O267" s="1624"/>
      <x:c r="P267" s="1624"/>
      <x:c r="Q267" s="1624"/>
      <x:c r="R267" s="1624"/>
      <x:c r="S267" s="1624"/>
    </x:row>
    <x:row r="268" spans="1:19">
      <x:c r="A268" s="1328"/>
      <x:c r="B268" s="6"/>
      <x:c r="C268" s="1624"/>
      <x:c r="D268" s="1624"/>
      <x:c r="E268" s="1624"/>
      <x:c r="F268" s="1624"/>
      <x:c r="G268" s="1624"/>
      <x:c r="H268" s="1624"/>
      <x:c r="I268" s="1624"/>
      <x:c r="J268" s="1624"/>
      <x:c r="K268" s="1624"/>
      <x:c r="L268" s="1624"/>
      <x:c r="M268" s="1624"/>
      <x:c r="N268" s="1624"/>
      <x:c r="O268" s="1624"/>
      <x:c r="P268" s="1624"/>
      <x:c r="Q268" s="1624"/>
      <x:c r="R268" s="1624"/>
      <x:c r="S268" s="1624"/>
    </x:row>
    <x:row r="269" spans="1:19" ht="12.75" customHeight="1">
      <x:c r="A269" s="1328"/>
      <x:c r="B269" s="6" t="s">
        <x:v>10</x:v>
      </x:c>
      <x:c r="C269" s="1624" t="s">
        <x:v>1275</x:v>
      </x:c>
      <x:c r="D269" s="1624"/>
      <x:c r="E269" s="1624"/>
      <x:c r="F269" s="1624"/>
      <x:c r="G269" s="1624"/>
      <x:c r="H269" s="1624"/>
      <x:c r="I269" s="1624"/>
      <x:c r="J269" s="1624"/>
      <x:c r="K269" s="1624"/>
      <x:c r="L269" s="1624"/>
      <x:c r="M269" s="1624"/>
      <x:c r="N269" s="1624"/>
      <x:c r="O269" s="1624"/>
      <x:c r="P269" s="1624"/>
      <x:c r="Q269" s="1624"/>
      <x:c r="R269" s="1624"/>
      <x:c r="S269" s="1624"/>
    </x:row>
    <x:row r="270" spans="1:19" ht="12.75" customHeight="1">
      <x:c r="A270" s="1328"/>
      <x:c r="B270" s="6"/>
      <x:c r="C270" s="1624"/>
      <x:c r="D270" s="1624"/>
      <x:c r="E270" s="1624"/>
      <x:c r="F270" s="1624"/>
      <x:c r="G270" s="1624"/>
      <x:c r="H270" s="1624"/>
      <x:c r="I270" s="1624"/>
      <x:c r="J270" s="1624"/>
      <x:c r="K270" s="1624"/>
      <x:c r="L270" s="1624"/>
      <x:c r="M270" s="1624"/>
      <x:c r="N270" s="1624"/>
      <x:c r="O270" s="1624"/>
      <x:c r="P270" s="1624"/>
      <x:c r="Q270" s="1624"/>
      <x:c r="R270" s="1624"/>
      <x:c r="S270" s="1624"/>
    </x:row>
    <x:row r="271" spans="1:19">
      <x:c r="A271" s="1328"/>
      <x:c r="B271" s="6"/>
      <x:c r="C271" s="1624"/>
      <x:c r="D271" s="1624"/>
      <x:c r="E271" s="1624"/>
      <x:c r="F271" s="1624"/>
      <x:c r="G271" s="1624"/>
      <x:c r="H271" s="1624"/>
      <x:c r="I271" s="1624"/>
      <x:c r="J271" s="1624"/>
      <x:c r="K271" s="1624"/>
      <x:c r="L271" s="1624"/>
      <x:c r="M271" s="1624"/>
      <x:c r="N271" s="1624"/>
      <x:c r="O271" s="1624"/>
      <x:c r="P271" s="1624"/>
      <x:c r="Q271" s="1624"/>
      <x:c r="R271" s="1624"/>
      <x:c r="S271" s="1624"/>
    </x:row>
    <x:row r="272" spans="1:19" ht="15.75">
      <x:c r="A272" s="1329" t="s">
        <x:v>446</x:v>
      </x:c>
      <x:c r="B272" s="84"/>
      <x:c r="C272" s="84"/>
      <x:c r="D272" s="84"/>
      <x:c r="E272" s="124"/>
      <x:c r="F272" s="13"/>
      <x:c r="G272" s="13"/>
      <x:c r="H272" s="13"/>
      <x:c r="I272" s="13"/>
      <x:c r="J272" s="125"/>
      <x:c r="K272" s="13"/>
      <x:c r="L272" s="13"/>
      <x:c r="M272" s="13"/>
      <x:c r="N272" s="13"/>
      <x:c r="O272" s="13"/>
      <x:c r="P272" s="13"/>
      <x:c r="Q272" s="13"/>
      <x:c r="R272" s="13"/>
      <x:c r="S272" s="13"/>
    </x:row>
  </x:sheetData>
  <x:mergeCells count="76">
    <x:mergeCell ref="Q65:Q66"/>
    <x:mergeCell ref="K65:K66"/>
    <x:mergeCell ref="G65:G66"/>
    <x:mergeCell ref="E65:E66"/>
    <x:mergeCell ref="C65:C66"/>
    <x:mergeCell ref="I65:I66"/>
    <x:mergeCell ref="E220:S220"/>
    <x:mergeCell ref="C169:C170"/>
    <x:mergeCell ref="E169:E170"/>
    <x:mergeCell ref="G169:G170"/>
    <x:mergeCell ref="K169:K170"/>
    <x:mergeCell ref="Q169:Q170"/>
    <x:mergeCell ref="E202:S202"/>
    <x:mergeCell ref="C205:C206"/>
    <x:mergeCell ref="E205:E206"/>
    <x:mergeCell ref="G205:G206"/>
    <x:mergeCell ref="K205:K206"/>
    <x:mergeCell ref="Q205:Q206"/>
    <x:mergeCell ref="I205:I206"/>
    <x:mergeCell ref="C130:S130"/>
    <x:mergeCell ref="C98:S98"/>
    <x:mergeCell ref="C101:C102"/>
    <x:mergeCell ref="G119:K120"/>
    <x:mergeCell ref="C128:S128"/>
    <x:mergeCell ref="C119:C120"/>
    <x:mergeCell ref="E119:E120"/>
    <x:mergeCell ref="I101:I102"/>
    <x:mergeCell ref="E101:E102"/>
    <x:mergeCell ref="G101:G102"/>
    <x:mergeCell ref="K101:K102"/>
    <x:mergeCell ref="Q101:Q102"/>
    <x:mergeCell ref="C116:S116"/>
    <x:mergeCell ref="Q119:Q120"/>
    <x:mergeCell ref="C166:S166"/>
    <x:mergeCell ref="C133:C134"/>
    <x:mergeCell ref="E133:E134"/>
    <x:mergeCell ref="I133:I134"/>
    <x:mergeCell ref="I169:I170"/>
    <x:mergeCell ref="G133:G134"/>
    <x:mergeCell ref="K133:K134"/>
    <x:mergeCell ref="Q133:Q134"/>
    <x:mergeCell ref="C261:S268"/>
    <x:mergeCell ref="C269:S271"/>
    <x:mergeCell ref="C223:C224"/>
    <x:mergeCell ref="E223:E224"/>
    <x:mergeCell ref="G223:K224"/>
    <x:mergeCell ref="E232:S232"/>
    <x:mergeCell ref="E234:S234"/>
    <x:mergeCell ref="C237:C238"/>
    <x:mergeCell ref="E237:E238"/>
    <x:mergeCell ref="G237:K238"/>
    <x:mergeCell ref="B248:S250"/>
    <x:mergeCell ref="B251:S253"/>
    <x:mergeCell ref="B254:S256"/>
    <x:mergeCell ref="B257:S257"/>
    <x:mergeCell ref="Q223:Q224"/>
    <x:mergeCell ref="Q237:Q238"/>
    <x:mergeCell ref="C62:S62"/>
    <x:mergeCell ref="C11:C12"/>
    <x:mergeCell ref="E11:E12"/>
    <x:mergeCell ref="G11:G12"/>
    <x:mergeCell ref="K11:K12"/>
    <x:mergeCell ref="Q11:Q12"/>
    <x:mergeCell ref="I11:I12"/>
    <x:mergeCell ref="C44:S44"/>
    <x:mergeCell ref="C47:C48"/>
    <x:mergeCell ref="E47:E48"/>
    <x:mergeCell ref="G47:G48"/>
    <x:mergeCell ref="K47:K48"/>
    <x:mergeCell ref="Q47:Q48"/>
    <x:mergeCell ref="I47:I48"/>
    <x:mergeCell ref="A1:S1"/>
    <x:mergeCell ref="A2:S2"/>
    <x:mergeCell ref="A3:S3"/>
    <x:mergeCell ref="C6:S6"/>
    <x:mergeCell ref="C8:S8"/>
  </x:mergeCells>
  <x:printOptions horizontalCentered="1"/>
  <x:pageMargins left="0.2" right="0.2" top="0.5" bottom="0.5" header="0.3" footer="0.3"/>
  <x:pageSetup scale="61" fitToHeight="0" orientation="landscape" r:id="rId1"/>
  <x:rowBreaks count="4" manualBreakCount="4">
    <x:brk id="60" max="18" man="1"/>
    <x:brk id="126" max="18" man="1"/>
    <x:brk id="199" max="18" man="1"/>
    <x:brk id="244"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A1CC475-AA29-4386-9524-C3072CF81C36}" mc:Ignorable="x14ac xr xr2 xr3">
  <x:dimension ref="A1:FF410"/>
  <x:sheetViews>
    <x:sheetView zoomScale="80" zoomScaleNormal="80" zoomScaleSheetLayoutView="100" workbookViewId="0">
      <x:pane xSplit="5" ySplit="9" topLeftCell="G10" activePane="bottomRight" state="frozen"/>
      <x:selection activeCell="J35" sqref="J35:Q35"/>
      <x:selection pane="topRight" activeCell="J35" sqref="J35:Q35"/>
      <x:selection pane="bottomLeft" activeCell="J35" sqref="J35:Q35"/>
      <x:selection pane="bottomRight"/>
    </x:sheetView>
  </x:sheetViews>
  <x:sheetFormatPr defaultColWidth="9.140625" defaultRowHeight="12.75"/>
  <x:cols>
    <x:col min="1" max="1" width="5.7109375" style="428" customWidth="1"/>
    <x:col min="2" max="2" width="6.7109375" style="430" customWidth="1"/>
    <x:col min="3" max="3" width="62.28515625" style="430" customWidth="1"/>
    <x:col min="4" max="4" width="52" style="430" bestFit="1" customWidth="1"/>
    <x:col min="5" max="5" width="25.7109375" style="430" bestFit="1" customWidth="1"/>
    <x:col min="6" max="6" width="19.140625" style="428" bestFit="1" customWidth="1"/>
    <x:col min="7" max="7" width="17" style="428" bestFit="1" customWidth="1"/>
    <x:col min="8" max="8" width="15.28515625" style="428" bestFit="1" customWidth="1"/>
    <x:col min="9" max="9" width="16.85546875" style="428" bestFit="1" customWidth="1"/>
    <x:col min="10" max="10" width="18.42578125" style="428" bestFit="1" customWidth="1"/>
    <x:col min="11" max="11" width="2.7109375" style="428" customWidth="1"/>
    <x:col min="12" max="12" width="19.140625" style="428" bestFit="1" customWidth="1"/>
    <x:col min="13" max="14" width="15.28515625" style="428" bestFit="1" customWidth="1"/>
    <x:col min="15" max="15" width="16.42578125" style="428" customWidth="1"/>
    <x:col min="16" max="16" width="19.140625" style="428" bestFit="1" customWidth="1"/>
    <x:col min="17" max="17" width="2.7109375" style="428" customWidth="1"/>
    <x:col min="18" max="18" width="21.42578125" style="428" bestFit="1" customWidth="1"/>
    <x:col min="19" max="19" width="2.7109375" style="428" customWidth="1"/>
    <x:col min="20" max="20" width="18" style="428" bestFit="1" customWidth="1"/>
    <x:col min="21" max="21" width="2.7109375" style="428" customWidth="1"/>
    <x:col min="22" max="22" width="16.28515625" style="428" customWidth="1"/>
    <x:col min="23" max="23" width="2.7109375" style="428" customWidth="1"/>
    <x:col min="24" max="24" width="18.140625" style="428" customWidth="1"/>
    <x:col min="25" max="25" width="2.7109375" style="428" customWidth="1"/>
    <x:col min="26" max="26" width="15.28515625" style="430" customWidth="1"/>
    <x:col min="27" max="27" width="2.7109375" style="428" customWidth="1"/>
    <x:col min="28" max="28" width="15.140625" style="430" bestFit="1" customWidth="1"/>
    <x:col min="29" max="29" width="2.7109375" style="428" customWidth="1"/>
    <x:col min="30" max="30" width="10" style="428" bestFit="1" customWidth="1"/>
    <x:col min="31" max="31" width="2.42578125" style="428" customWidth="1"/>
    <x:col min="32" max="32" width="18.7109375" style="428" customWidth="1"/>
    <x:col min="33" max="33" width="2.42578125" style="428" customWidth="1"/>
    <x:col min="34" max="34" width="9.28515625" style="429" bestFit="1" customWidth="1"/>
    <x:col min="35" max="35" width="2.42578125" style="429" customWidth="1"/>
    <x:col min="36" max="16384" width="9.140625" style="428"/>
  </x:cols>
  <x:sheetData>
    <x:row r="1" spans="1:162" s="1144" customFormat="1" ht="18">
      <x:c r="A1" s="1143" t="s">
        <x:v>1380</x:v>
      </x:c>
      <x:c r="B1" s="1143"/>
      <x:c r="X1" s="1143"/>
      <x:c r="AH1" s="1145"/>
      <x:c r="AI1" s="1145"/>
    </x:row>
    <x:row r="2" spans="1:162" s="317" customFormat="1" ht="15.75">
      <x:c r="A2" s="1146" t="s">
        <x:v>1276</x:v>
      </x:c>
      <x:c r="B2" s="1146"/>
      <x:c r="X2" s="1146"/>
      <x:c r="AH2" s="320"/>
      <x:c r="AI2" s="320"/>
    </x:row>
    <x:row r="3" spans="1:162" s="317" customFormat="1" ht="15.75">
      <x:c r="A3" s="1146" t="s">
        <x:v>2119</x:v>
      </x:c>
      <x:c r="B3" s="1146"/>
      <x:c r="AH3" s="320"/>
      <x:c r="AI3" s="320"/>
    </x:row>
    <x:row r="4" spans="1:162">
      <x:c r="B4" s="333"/>
    </x:row>
    <x:row r="5" spans="1:162" s="450" customFormat="1" ht="19.5">
      <x:c r="B5" s="1632" t="s">
        <x:v>1240</x:v>
      </x:c>
      <x:c r="C5" s="1633"/>
      <x:c r="D5" s="1633"/>
      <x:c r="E5" s="1633"/>
      <x:c r="F5" s="1633"/>
      <x:c r="G5" s="1633"/>
      <x:c r="H5" s="1633"/>
      <x:c r="I5" s="1633"/>
      <x:c r="J5" s="1633"/>
      <x:c r="K5" s="1633"/>
      <x:c r="L5" s="1633"/>
      <x:c r="M5" s="1633"/>
      <x:c r="N5" s="1633"/>
      <x:c r="O5" s="1633"/>
      <x:c r="P5" s="1633"/>
      <x:c r="Q5" s="1633"/>
      <x:c r="R5" s="1633"/>
      <x:c r="S5" s="1633"/>
      <x:c r="T5" s="1633"/>
      <x:c r="U5" s="1633"/>
      <x:c r="V5" s="1633"/>
      <x:c r="W5" s="1633"/>
      <x:c r="X5" s="1633"/>
      <x:c r="Y5" s="1633"/>
      <x:c r="Z5" s="1633"/>
      <x:c r="AA5" s="1633"/>
      <x:c r="AB5" s="1633"/>
      <x:c r="AC5" s="1633"/>
      <x:c r="AD5" s="1633"/>
      <x:c r="AE5" s="1633"/>
      <x:c r="AF5" s="1633"/>
      <x:c r="AG5" s="1633"/>
      <x:c r="AH5" s="1634"/>
      <x:c r="AI5" s="451"/>
    </x:row>
    <x:row r="6" spans="1:162">
      <x:c r="B6" s="333"/>
    </x:row>
    <x:row r="7" spans="1:162" s="317" customFormat="1" ht="15.75">
      <x:c r="B7" s="318"/>
      <x:c r="C7" s="318"/>
      <x:c r="D7" s="318"/>
      <x:c r="E7" s="318"/>
      <x:c r="F7" s="1635" t="s">
        <x:v>1277</x:v>
      </x:c>
      <x:c r="G7" s="1636"/>
      <x:c r="H7" s="1636"/>
      <x:c r="I7" s="1636"/>
      <x:c r="J7" s="1637"/>
      <x:c r="L7" s="1635" t="s">
        <x:v>1278</x:v>
      </x:c>
      <x:c r="M7" s="1636"/>
      <x:c r="N7" s="1636"/>
      <x:c r="O7" s="1636"/>
      <x:c r="P7" s="1637"/>
      <x:c r="R7" s="1635" t="s">
        <x:v>1279</x:v>
      </x:c>
      <x:c r="S7" s="1636"/>
      <x:c r="T7" s="1636"/>
      <x:c r="U7" s="1636"/>
      <x:c r="V7" s="1636"/>
      <x:c r="W7" s="1636"/>
      <x:c r="X7" s="1636"/>
      <x:c r="Y7" s="1636"/>
      <x:c r="Z7" s="1636"/>
      <x:c r="AA7" s="1636"/>
      <x:c r="AB7" s="1636"/>
      <x:c r="AC7" s="1636"/>
      <x:c r="AD7" s="1636"/>
      <x:c r="AE7" s="1636"/>
      <x:c r="AF7" s="1637"/>
      <x:c r="AG7" s="319"/>
      <x:c r="AH7" s="320"/>
      <x:c r="AI7" s="320"/>
    </x:row>
    <x:row r="8" spans="1:162" s="321" customFormat="1" ht="51" customHeight="1">
      <x:c r="B8" s="431" t="s">
        <x:v>523</x:v>
      </x:c>
      <x:c r="C8" s="432" t="s">
        <x:v>1280</x:v>
      </x:c>
      <x:c r="D8" s="432" t="s">
        <x:v>1113</x:v>
      </x:c>
      <x:c r="E8" s="431" t="s">
        <x:v>1281</x:v>
      </x:c>
      <x:c r="F8" s="431" t="s">
        <x:v>1282</x:v>
      </x:c>
      <x:c r="G8" s="431" t="s">
        <x:v>1283</x:v>
      </x:c>
      <x:c r="H8" s="431" t="s">
        <x:v>1284</x:v>
      </x:c>
      <x:c r="I8" s="431" t="s">
        <x:v>1285</x:v>
      </x:c>
      <x:c r="J8" s="431" t="s">
        <x:v>1286</x:v>
      </x:c>
      <x:c r="K8" s="431"/>
      <x:c r="L8" s="431" t="s">
        <x:v>1282</x:v>
      </x:c>
      <x:c r="M8" s="431" t="s">
        <x:v>1287</x:v>
      </x:c>
      <x:c r="N8" s="431" t="s">
        <x:v>1284</x:v>
      </x:c>
      <x:c r="O8" s="431" t="s">
        <x:v>1285</x:v>
      </x:c>
      <x:c r="P8" s="431" t="s">
        <x:v>1286</x:v>
      </x:c>
      <x:c r="Q8" s="431"/>
      <x:c r="R8" s="431" t="s">
        <x:v>1288</x:v>
      </x:c>
      <x:c r="S8" s="431"/>
      <x:c r="T8" s="431" t="s">
        <x:v>980</x:v>
      </x:c>
      <x:c r="U8" s="431"/>
      <x:c r="V8" s="431" t="s">
        <x:v>1289</x:v>
      </x:c>
      <x:c r="W8" s="431"/>
      <x:c r="X8" s="431" t="s">
        <x:v>1290</x:v>
      </x:c>
      <x:c r="Y8" s="431"/>
      <x:c r="Z8" s="431" t="s">
        <x:v>1291</x:v>
      </x:c>
      <x:c r="AA8" s="431"/>
      <x:c r="AB8" s="431" t="s">
        <x:v>1292</x:v>
      </x:c>
      <x:c r="AC8" s="431"/>
      <x:c r="AD8" s="431" t="s">
        <x:v>1418</x:v>
      </x:c>
      <x:c r="AE8" s="431"/>
      <x:c r="AF8" s="431" t="s">
        <x:v>1293</x:v>
      </x:c>
      <x:c r="AG8" s="431"/>
      <x:c r="AH8" s="431" t="s">
        <x:v>1294</x:v>
      </x:c>
      <x:c r="AI8" s="428"/>
      <x:c r="AJ8" s="428"/>
      <x:c r="AK8" s="428"/>
      <x:c r="AL8" s="428"/>
      <x:c r="AM8" s="428"/>
      <x:c r="AN8" s="428"/>
      <x:c r="AO8" s="428"/>
      <x:c r="AP8" s="428"/>
      <x:c r="AQ8" s="428"/>
      <x:c r="AR8" s="428"/>
      <x:c r="AS8" s="428"/>
      <x:c r="AT8" s="428"/>
      <x:c r="AU8" s="428"/>
      <x:c r="AV8" s="428"/>
      <x:c r="AW8" s="428"/>
      <x:c r="AX8" s="428"/>
      <x:c r="AY8" s="428"/>
      <x:c r="AZ8" s="428"/>
      <x:c r="BA8" s="428"/>
      <x:c r="BB8" s="428"/>
      <x:c r="BC8" s="428"/>
      <x:c r="BD8" s="428"/>
      <x:c r="BE8" s="428"/>
      <x:c r="BF8" s="428"/>
      <x:c r="BG8" s="428"/>
      <x:c r="BH8" s="428"/>
      <x:c r="BI8" s="428"/>
      <x:c r="BJ8" s="428"/>
      <x:c r="BK8" s="428"/>
      <x:c r="BL8" s="428"/>
      <x:c r="BM8" s="428"/>
      <x:c r="BN8" s="428"/>
      <x:c r="BO8" s="428"/>
      <x:c r="BP8" s="428"/>
      <x:c r="BQ8" s="428"/>
      <x:c r="BR8" s="428"/>
      <x:c r="BS8" s="428"/>
      <x:c r="BT8" s="428"/>
      <x:c r="BU8" s="428"/>
      <x:c r="BV8" s="428"/>
      <x:c r="BW8" s="428"/>
      <x:c r="BX8" s="428"/>
      <x:c r="BY8" s="428"/>
      <x:c r="BZ8" s="428"/>
      <x:c r="CA8" s="428"/>
      <x:c r="CB8" s="428"/>
      <x:c r="CC8" s="428"/>
      <x:c r="CD8" s="428"/>
      <x:c r="CE8" s="428"/>
      <x:c r="CF8" s="428"/>
      <x:c r="CG8" s="428"/>
      <x:c r="CH8" s="428"/>
      <x:c r="CI8" s="428"/>
      <x:c r="CJ8" s="428"/>
      <x:c r="CK8" s="428"/>
      <x:c r="CL8" s="428"/>
      <x:c r="CM8" s="428"/>
      <x:c r="CN8" s="428"/>
      <x:c r="CO8" s="428"/>
      <x:c r="CP8" s="428"/>
      <x:c r="CQ8" s="428"/>
      <x:c r="CR8" s="428"/>
      <x:c r="CS8" s="428"/>
      <x:c r="CT8" s="428"/>
      <x:c r="CU8" s="428"/>
      <x:c r="CV8" s="428"/>
      <x:c r="CW8" s="428"/>
      <x:c r="CX8" s="428"/>
      <x:c r="CY8" s="428"/>
      <x:c r="CZ8" s="428"/>
      <x:c r="DA8" s="428"/>
      <x:c r="DB8" s="428"/>
      <x:c r="DC8" s="428"/>
      <x:c r="DD8" s="428"/>
      <x:c r="DE8" s="428"/>
      <x:c r="DF8" s="428"/>
      <x:c r="DG8" s="428"/>
      <x:c r="DH8" s="428"/>
      <x:c r="DI8" s="428"/>
      <x:c r="DJ8" s="428"/>
      <x:c r="DK8" s="428"/>
      <x:c r="DL8" s="428"/>
      <x:c r="DM8" s="428"/>
      <x:c r="DN8" s="428"/>
      <x:c r="DO8" s="428"/>
      <x:c r="DP8" s="428"/>
      <x:c r="DQ8" s="428"/>
      <x:c r="DR8" s="428"/>
      <x:c r="DS8" s="428"/>
      <x:c r="DT8" s="428"/>
      <x:c r="DU8" s="428"/>
      <x:c r="DV8" s="428"/>
      <x:c r="DW8" s="428"/>
      <x:c r="DX8" s="428"/>
      <x:c r="DY8" s="428"/>
      <x:c r="DZ8" s="428"/>
      <x:c r="EA8" s="428"/>
      <x:c r="EB8" s="428"/>
      <x:c r="EC8" s="428"/>
      <x:c r="ED8" s="428"/>
      <x:c r="EE8" s="428"/>
      <x:c r="EF8" s="428"/>
      <x:c r="EG8" s="428"/>
      <x:c r="EH8" s="428"/>
      <x:c r="EI8" s="428"/>
      <x:c r="EJ8" s="428"/>
      <x:c r="EK8" s="428"/>
      <x:c r="EL8" s="428"/>
      <x:c r="EM8" s="428"/>
      <x:c r="EN8" s="428"/>
      <x:c r="EO8" s="428"/>
      <x:c r="EP8" s="428"/>
      <x:c r="EQ8" s="428"/>
      <x:c r="ER8" s="428"/>
      <x:c r="ES8" s="428"/>
      <x:c r="ET8" s="428"/>
      <x:c r="EU8" s="428"/>
      <x:c r="EV8" s="428"/>
      <x:c r="EW8" s="428"/>
      <x:c r="EX8" s="428"/>
      <x:c r="EY8" s="428"/>
      <x:c r="EZ8" s="428"/>
      <x:c r="FA8" s="428"/>
      <x:c r="FB8" s="428"/>
      <x:c r="FC8" s="428"/>
      <x:c r="FD8" s="428"/>
      <x:c r="FE8" s="428"/>
      <x:c r="FF8" s="428"/>
    </x:row>
    <x:row r="9" spans="1:162" ht="15" customHeight="1">
      <x:c r="B9" s="322"/>
      <x:c r="C9" s="433" t="s">
        <x:v>163</x:v>
      </x:c>
      <x:c r="D9" s="434" t="s">
        <x:v>164</x:v>
      </x:c>
      <x:c r="E9" s="434" t="s">
        <x:v>1023</x:v>
      </x:c>
      <x:c r="F9" s="434" t="s">
        <x:v>1155</x:v>
      </x:c>
      <x:c r="G9" s="434" t="s">
        <x:v>1295</x:v>
      </x:c>
      <x:c r="H9" s="434" t="s">
        <x:v>1157</x:v>
      </x:c>
      <x:c r="I9" s="434" t="s">
        <x:v>1296</x:v>
      </x:c>
      <x:c r="J9" s="434" t="s">
        <x:v>1297</x:v>
      </x:c>
      <x:c r="K9" s="323"/>
      <x:c r="L9" s="434" t="s">
        <x:v>1160</x:v>
      </x:c>
      <x:c r="M9" s="434" t="s">
        <x:v>1298</x:v>
      </x:c>
      <x:c r="N9" s="434" t="s">
        <x:v>1162</x:v>
      </x:c>
      <x:c r="O9" s="434" t="s">
        <x:v>1299</x:v>
      </x:c>
      <x:c r="P9" s="434" t="s">
        <x:v>1300</x:v>
      </x:c>
      <x:c r="Q9" s="324"/>
      <x:c r="R9" s="434" t="s">
        <x:v>1301</x:v>
      </x:c>
      <x:c r="S9" s="434"/>
      <x:c r="T9" s="434" t="s">
        <x:v>1302</x:v>
      </x:c>
      <x:c r="U9" s="434"/>
      <x:c r="V9" s="434" t="s">
        <x:v>1303</x:v>
      </x:c>
      <x:c r="W9" s="434"/>
      <x:c r="X9" s="434" t="s">
        <x:v>1304</x:v>
      </x:c>
      <x:c r="Y9" s="434"/>
      <x:c r="Z9" s="434" t="s">
        <x:v>1305</x:v>
      </x:c>
      <x:c r="AA9" s="434"/>
      <x:c r="AB9" s="434" t="s">
        <x:v>1306</x:v>
      </x:c>
      <x:c r="AC9" s="434"/>
      <x:c r="AD9" s="434" t="s">
        <x:v>1307</x:v>
      </x:c>
      <x:c r="AE9" s="434"/>
      <x:c r="AF9" s="434" t="s">
        <x:v>1308</x:v>
      </x:c>
      <x:c r="AG9" s="434"/>
      <x:c r="AH9" s="434" t="s">
        <x:v>1309</x:v>
      </x:c>
      <x:c r="AI9" s="428"/>
    </x:row>
    <x:row r="10" spans="1:162" s="321" customFormat="1" ht="15" customHeight="1">
      <x:c r="B10" s="435"/>
      <x:c r="C10" s="435"/>
      <x:c r="D10" s="435"/>
      <x:c r="E10" s="434"/>
      <x:c r="F10" s="434"/>
      <x:c r="G10" s="434"/>
      <x:c r="H10" s="434"/>
      <x:c r="I10" s="434"/>
      <x:c r="J10" s="434"/>
      <x:c r="K10" s="434"/>
      <x:c r="L10" s="434"/>
      <x:c r="M10" s="434"/>
      <x:c r="N10" s="434"/>
      <x:c r="O10" s="434"/>
      <x:c r="P10" s="434"/>
      <x:c r="Q10" s="434"/>
      <x:c r="R10" s="434"/>
      <x:c r="S10" s="434"/>
      <x:c r="T10" s="434"/>
      <x:c r="U10" s="434"/>
      <x:c r="V10" s="434"/>
      <x:c r="W10" s="434"/>
      <x:c r="X10" s="434"/>
      <x:c r="Y10" s="434"/>
      <x:c r="Z10" s="434"/>
      <x:c r="AA10" s="434"/>
      <x:c r="AB10" s="434"/>
      <x:c r="AC10" s="434"/>
      <x:c r="AD10" s="434"/>
      <x:c r="AE10" s="434"/>
      <x:c r="AF10" s="434"/>
      <x:c r="AG10" s="434"/>
      <x:c r="AH10" s="434"/>
      <x:c r="AI10" s="434"/>
      <x:c r="AJ10" s="428"/>
      <x:c r="AK10" s="428"/>
      <x:c r="AL10" s="428"/>
      <x:c r="AM10" s="428"/>
      <x:c r="AN10" s="428"/>
      <x:c r="AO10" s="428"/>
      <x:c r="AP10" s="428"/>
      <x:c r="AQ10" s="428"/>
      <x:c r="AR10" s="428"/>
      <x:c r="AS10" s="428"/>
      <x:c r="AT10" s="428"/>
      <x:c r="AU10" s="428"/>
      <x:c r="AV10" s="428"/>
      <x:c r="AW10" s="428"/>
      <x:c r="AX10" s="428"/>
      <x:c r="AY10" s="428"/>
      <x:c r="AZ10" s="428"/>
      <x:c r="BA10" s="428"/>
      <x:c r="BB10" s="428"/>
      <x:c r="BC10" s="428"/>
      <x:c r="BD10" s="428"/>
      <x:c r="BE10" s="428"/>
      <x:c r="BF10" s="428"/>
      <x:c r="BG10" s="428"/>
      <x:c r="BH10" s="428"/>
      <x:c r="BI10" s="428"/>
      <x:c r="BJ10" s="428"/>
      <x:c r="BK10" s="428"/>
      <x:c r="BL10" s="428"/>
      <x:c r="BM10" s="428"/>
      <x:c r="BN10" s="428"/>
      <x:c r="BO10" s="428"/>
      <x:c r="BP10" s="428"/>
      <x:c r="BQ10" s="428"/>
      <x:c r="BR10" s="428"/>
      <x:c r="BS10" s="428"/>
      <x:c r="BT10" s="428"/>
      <x:c r="BU10" s="428"/>
      <x:c r="BV10" s="428"/>
      <x:c r="BW10" s="428"/>
      <x:c r="BX10" s="428"/>
      <x:c r="BY10" s="428"/>
      <x:c r="BZ10" s="428"/>
      <x:c r="CA10" s="428"/>
      <x:c r="CB10" s="428"/>
      <x:c r="CC10" s="428"/>
      <x:c r="CD10" s="428"/>
      <x:c r="CE10" s="428"/>
      <x:c r="CF10" s="428"/>
      <x:c r="CG10" s="428"/>
      <x:c r="CH10" s="428"/>
      <x:c r="CI10" s="428"/>
      <x:c r="CJ10" s="428"/>
      <x:c r="CK10" s="428"/>
      <x:c r="CL10" s="428"/>
      <x:c r="CM10" s="428"/>
      <x:c r="CN10" s="428"/>
      <x:c r="CO10" s="428"/>
      <x:c r="CP10" s="428"/>
      <x:c r="CQ10" s="428"/>
      <x:c r="CR10" s="428"/>
      <x:c r="CS10" s="428"/>
      <x:c r="CT10" s="428"/>
      <x:c r="CU10" s="428"/>
      <x:c r="CV10" s="428"/>
      <x:c r="CW10" s="428"/>
      <x:c r="CX10" s="428"/>
      <x:c r="CY10" s="428"/>
      <x:c r="CZ10" s="428"/>
      <x:c r="DA10" s="428"/>
      <x:c r="DB10" s="428"/>
      <x:c r="DC10" s="428"/>
      <x:c r="DD10" s="428"/>
      <x:c r="DE10" s="428"/>
      <x:c r="DF10" s="428"/>
      <x:c r="DG10" s="428"/>
      <x:c r="DH10" s="428"/>
      <x:c r="DI10" s="428"/>
      <x:c r="DJ10" s="428"/>
      <x:c r="DK10" s="428"/>
      <x:c r="DL10" s="428"/>
      <x:c r="DM10" s="428"/>
      <x:c r="DN10" s="428"/>
      <x:c r="DO10" s="428"/>
      <x:c r="DP10" s="428"/>
      <x:c r="DQ10" s="428"/>
      <x:c r="DR10" s="428"/>
      <x:c r="DS10" s="428"/>
      <x:c r="DT10" s="428"/>
      <x:c r="DU10" s="428"/>
      <x:c r="DV10" s="428"/>
      <x:c r="DW10" s="428"/>
      <x:c r="DX10" s="428"/>
      <x:c r="DY10" s="428"/>
      <x:c r="DZ10" s="428"/>
      <x:c r="EA10" s="428"/>
      <x:c r="EB10" s="428"/>
      <x:c r="EC10" s="428"/>
      <x:c r="ED10" s="428"/>
      <x:c r="EE10" s="428"/>
      <x:c r="EF10" s="428"/>
      <x:c r="EG10" s="428"/>
      <x:c r="EH10" s="428"/>
      <x:c r="EI10" s="428"/>
      <x:c r="EJ10" s="428"/>
      <x:c r="EK10" s="428"/>
      <x:c r="EL10" s="428"/>
      <x:c r="EM10" s="428"/>
      <x:c r="EN10" s="428"/>
      <x:c r="EO10" s="428"/>
      <x:c r="EP10" s="428"/>
      <x:c r="EQ10" s="428"/>
      <x:c r="ER10" s="428"/>
      <x:c r="ES10" s="428"/>
      <x:c r="ET10" s="428"/>
      <x:c r="EU10" s="428"/>
      <x:c r="EV10" s="428"/>
      <x:c r="EW10" s="428"/>
      <x:c r="EX10" s="428"/>
      <x:c r="EY10" s="428"/>
      <x:c r="EZ10" s="428"/>
      <x:c r="FA10" s="428"/>
      <x:c r="FB10" s="428"/>
      <x:c r="FC10" s="428"/>
      <x:c r="FD10" s="428"/>
      <x:c r="FE10" s="428"/>
      <x:c r="FF10" s="428"/>
    </x:row>
    <x:row r="11" spans="1:162" s="321" customFormat="1">
      <x:c r="B11" s="435"/>
      <x:c r="C11" s="436" t="s">
        <x:v>1419</x:v>
      </x:c>
      <x:c r="D11" s="435"/>
      <x:c r="E11" s="434"/>
      <x:c r="F11" s="434"/>
      <x:c r="G11" s="434"/>
      <x:c r="H11" s="434"/>
      <x:c r="I11" s="434"/>
      <x:c r="J11" s="434"/>
      <x:c r="K11" s="434"/>
      <x:c r="L11" s="434"/>
      <x:c r="M11" s="434"/>
      <x:c r="N11" s="434"/>
      <x:c r="O11" s="434"/>
      <x:c r="P11" s="434"/>
      <x:c r="Q11" s="434"/>
      <x:c r="R11" s="434"/>
      <x:c r="S11" s="434"/>
      <x:c r="T11" s="434"/>
      <x:c r="U11" s="434"/>
      <x:c r="V11" s="434"/>
      <x:c r="W11" s="434"/>
      <x:c r="X11" s="434"/>
      <x:c r="Y11" s="434"/>
      <x:c r="Z11" s="434"/>
      <x:c r="AA11" s="434"/>
      <x:c r="AB11" s="434"/>
      <x:c r="AC11" s="434"/>
      <x:c r="AD11" s="434"/>
      <x:c r="AE11" s="434"/>
      <x:c r="AF11" s="434"/>
      <x:c r="AG11" s="434"/>
      <x:c r="AH11" s="434"/>
      <x:c r="AI11" s="434"/>
      <x:c r="AJ11" s="428"/>
      <x:c r="AK11" s="428"/>
      <x:c r="AL11" s="428"/>
      <x:c r="AM11" s="428"/>
      <x:c r="AN11" s="428"/>
      <x:c r="AO11" s="428"/>
      <x:c r="AP11" s="428"/>
      <x:c r="AQ11" s="428"/>
      <x:c r="AR11" s="428"/>
      <x:c r="AS11" s="428"/>
      <x:c r="AT11" s="428"/>
      <x:c r="AU11" s="428"/>
      <x:c r="AV11" s="428"/>
      <x:c r="AW11" s="428"/>
      <x:c r="AX11" s="428"/>
      <x:c r="AY11" s="428"/>
      <x:c r="AZ11" s="428"/>
      <x:c r="BA11" s="428"/>
      <x:c r="BB11" s="428"/>
      <x:c r="BC11" s="428"/>
      <x:c r="BD11" s="428"/>
      <x:c r="BE11" s="428"/>
      <x:c r="BF11" s="428"/>
      <x:c r="BG11" s="428"/>
      <x:c r="BH11" s="428"/>
      <x:c r="BI11" s="428"/>
      <x:c r="BJ11" s="428"/>
      <x:c r="BK11" s="428"/>
      <x:c r="BL11" s="428"/>
      <x:c r="BM11" s="428"/>
      <x:c r="BN11" s="428"/>
      <x:c r="BO11" s="428"/>
      <x:c r="BP11" s="428"/>
      <x:c r="BQ11" s="428"/>
      <x:c r="BR11" s="428"/>
      <x:c r="BS11" s="428"/>
      <x:c r="BT11" s="428"/>
      <x:c r="BU11" s="428"/>
      <x:c r="BV11" s="428"/>
      <x:c r="BW11" s="428"/>
      <x:c r="BX11" s="428"/>
      <x:c r="BY11" s="428"/>
      <x:c r="BZ11" s="428"/>
      <x:c r="CA11" s="428"/>
      <x:c r="CB11" s="428"/>
      <x:c r="CC11" s="428"/>
      <x:c r="CD11" s="428"/>
      <x:c r="CE11" s="428"/>
      <x:c r="CF11" s="428"/>
      <x:c r="CG11" s="428"/>
      <x:c r="CH11" s="428"/>
      <x:c r="CI11" s="428"/>
      <x:c r="CJ11" s="428"/>
      <x:c r="CK11" s="428"/>
      <x:c r="CL11" s="428"/>
      <x:c r="CM11" s="428"/>
      <x:c r="CN11" s="428"/>
      <x:c r="CO11" s="428"/>
      <x:c r="CP11" s="428"/>
      <x:c r="CQ11" s="428"/>
      <x:c r="CR11" s="428"/>
      <x:c r="CS11" s="428"/>
      <x:c r="CT11" s="428"/>
      <x:c r="CU11" s="428"/>
      <x:c r="CV11" s="428"/>
      <x:c r="CW11" s="428"/>
      <x:c r="CX11" s="428"/>
      <x:c r="CY11" s="428"/>
      <x:c r="CZ11" s="428"/>
      <x:c r="DA11" s="428"/>
      <x:c r="DB11" s="428"/>
      <x:c r="DC11" s="428"/>
      <x:c r="DD11" s="428"/>
      <x:c r="DE11" s="428"/>
      <x:c r="DF11" s="428"/>
      <x:c r="DG11" s="428"/>
      <x:c r="DH11" s="428"/>
      <x:c r="DI11" s="428"/>
      <x:c r="DJ11" s="428"/>
      <x:c r="DK11" s="428"/>
      <x:c r="DL11" s="428"/>
      <x:c r="DM11" s="428"/>
      <x:c r="DN11" s="428"/>
      <x:c r="DO11" s="428"/>
      <x:c r="DP11" s="428"/>
      <x:c r="DQ11" s="428"/>
      <x:c r="DR11" s="428"/>
      <x:c r="DS11" s="428"/>
      <x:c r="DT11" s="428"/>
      <x:c r="DU11" s="428"/>
      <x:c r="DV11" s="428"/>
      <x:c r="DW11" s="428"/>
      <x:c r="DX11" s="428"/>
      <x:c r="DY11" s="428"/>
      <x:c r="DZ11" s="428"/>
      <x:c r="EA11" s="428"/>
      <x:c r="EB11" s="428"/>
      <x:c r="EC11" s="428"/>
      <x:c r="ED11" s="428"/>
      <x:c r="EE11" s="428"/>
      <x:c r="EF11" s="428"/>
      <x:c r="EG11" s="428"/>
      <x:c r="EH11" s="428"/>
      <x:c r="EI11" s="428"/>
      <x:c r="EJ11" s="428"/>
      <x:c r="EK11" s="428"/>
      <x:c r="EL11" s="428"/>
      <x:c r="EM11" s="428"/>
      <x:c r="EN11" s="428"/>
      <x:c r="EO11" s="428"/>
      <x:c r="EP11" s="428"/>
      <x:c r="EQ11" s="428"/>
      <x:c r="ER11" s="428"/>
      <x:c r="ES11" s="428"/>
      <x:c r="ET11" s="428"/>
      <x:c r="EU11" s="428"/>
      <x:c r="EV11" s="428"/>
      <x:c r="EW11" s="428"/>
      <x:c r="EX11" s="428"/>
      <x:c r="EY11" s="428"/>
      <x:c r="EZ11" s="428"/>
      <x:c r="FA11" s="428"/>
      <x:c r="FB11" s="428"/>
      <x:c r="FC11" s="428"/>
      <x:c r="FD11" s="428"/>
      <x:c r="FE11" s="428"/>
      <x:c r="FF11" s="428"/>
    </x:row>
    <x:row r="12" spans="1:162">
      <x:c r="B12" s="183">
        <x:v>1</x:v>
      </x:c>
      <x:c r="C12" s="296" t="s">
        <x:v>1559</x:v>
      </x:c>
      <x:c r="D12" s="296" t="s">
        <x:v>1560</x:v>
      </x:c>
      <x:c r="E12" s="296" t="s">
        <x:v>1248</x:v>
      </x:c>
      <x:c r="F12" s="421">
        <x:v>722032.19</x:v>
      </x:c>
      <x:c r="G12" s="420">
        <x:f t="shared" ref="G12:G43" si="0">F12*0.35</x:f>
        <x:v>252711.26649999997</x:v>
      </x:c>
      <x:c r="H12" s="421">
        <x:v>61372.736149999997</x:v>
      </x:c>
      <x:c r="I12" s="420">
        <x:f t="shared" ref="I12:I43" si="1">H12*-0.35</x:f>
        <x:v>-21480.457652499997</x:v>
      </x:c>
      <x:c r="J12" s="420">
        <x:f t="shared" ref="J12:J43" si="2">G12+H12+I12</x:f>
        <x:v>292603.54499749996</x:v>
      </x:c>
      <x:c r="K12" s="418"/>
      <x:c r="L12" s="421">
        <x:f>F12</x:f>
        <x:v>722032.19</x:v>
      </x:c>
      <x:c r="M12" s="420">
        <x:f t="shared" ref="M12:M43" si="3">L12*0.21</x:f>
        <x:v>151626.75989999998</x:v>
      </x:c>
      <x:c r="N12" s="421">
        <x:v>61372.736149999997</x:v>
      </x:c>
      <x:c r="O12" s="420">
        <x:f t="shared" ref="O12:O43" si="4">N12*-0.21</x:f>
        <x:v>-12888.2745915</x:v>
      </x:c>
      <x:c r="P12" s="420">
        <x:f t="shared" ref="P12:P43" si="5">M12+N12+O12</x:f>
        <x:v>200111.22145849996</x:v>
      </x:c>
      <x:c r="R12" s="420">
        <x:f t="shared" ref="R12:R43" si="6">J12-P12</x:f>
        <x:v>92492.323539000005</x:v>
      </x:c>
      <x:c r="S12" s="418"/>
      <x:c r="T12" s="421">
        <x:v>0</x:v>
      </x:c>
      <x:c r="U12" s="418"/>
      <x:c r="V12" s="421">
        <x:v>0</x:v>
      </x:c>
      <x:c r="W12" s="418"/>
      <x:c r="X12" s="420">
        <x:f t="shared" ref="X12:X43" si="7">R12-T12-V12</x:f>
        <x:v>92492.323539000005</x:v>
      </x:c>
      <x:c r="Y12" s="418"/>
      <x:c r="Z12" s="304" t="s">
        <x:v>233</x:v>
      </x:c>
      <x:c r="AA12" s="417"/>
      <x:c r="AB12" s="304" t="s">
        <x:v>1734</x:v>
      </x:c>
      <x:c r="AC12" s="417"/>
      <x:c r="AD12" s="1050">
        <x:v>0</x:v>
      </x:c>
      <x:c r="AE12" s="417"/>
      <x:c r="AF12" s="420">
        <x:f t="shared" ref="AF12:AF17" si="8">X12*AD12</x:f>
        <x:v>0</x:v>
      </x:c>
      <x:c r="AG12" s="422"/>
      <x:c r="AH12" s="183">
        <x:v>190</x:v>
      </x:c>
      <x:c r="AI12" s="183"/>
    </x:row>
    <x:row r="13" spans="1:162">
      <x:c r="B13" s="1303">
        <x:f t="shared" ref="B13:B76" si="9">B12+1</x:f>
        <x:v>2</x:v>
      </x:c>
      <x:c r="C13" s="296" t="s">
        <x:v>1561</x:v>
      </x:c>
      <x:c r="D13" s="296" t="s">
        <x:v>1560</x:v>
      </x:c>
      <x:c r="E13" s="296" t="s">
        <x:v>1248</x:v>
      </x:c>
      <x:c r="F13" s="419">
        <x:v>2128198.2000000002</x:v>
      </x:c>
      <x:c r="G13" s="416">
        <x:f t="shared" si="0"/>
        <x:v>744869.37</x:v>
      </x:c>
      <x:c r="H13" s="419">
        <x:v>180896.84700000004</x:v>
      </x:c>
      <x:c r="I13" s="416">
        <x:f t="shared" si="1"/>
        <x:v>-63313.896450000007</x:v>
      </x:c>
      <x:c r="J13" s="416">
        <x:f t="shared" si="2"/>
        <x:v>862452.32055000006</x:v>
      </x:c>
      <x:c r="K13" s="437"/>
      <x:c r="L13" s="419">
        <x:f t="shared" ref="L13:L43" si="10">F13</x:f>
        <x:v>2128198.2000000002</x:v>
      </x:c>
      <x:c r="M13" s="416">
        <x:f t="shared" si="3"/>
        <x:v>446921.62200000003</x:v>
      </x:c>
      <x:c r="N13" s="419">
        <x:v>180896.84700000004</x:v>
      </x:c>
      <x:c r="O13" s="416">
        <x:f t="shared" si="4"/>
        <x:v>-37988.337870000003</x:v>
      </x:c>
      <x:c r="P13" s="416">
        <x:f t="shared" si="5"/>
        <x:v>589830.13112999999</x:v>
      </x:c>
      <x:c r="Q13" s="416"/>
      <x:c r="R13" s="416">
        <x:f t="shared" si="6"/>
        <x:v>272622.18942000007</x:v>
      </x:c>
      <x:c r="S13" s="437"/>
      <x:c r="T13" s="419">
        <x:v>0</x:v>
      </x:c>
      <x:c r="U13" s="437"/>
      <x:c r="V13" s="419">
        <x:v>0</x:v>
      </x:c>
      <x:c r="W13" s="437"/>
      <x:c r="X13" s="416">
        <x:f t="shared" si="7"/>
        <x:v>272622.18942000007</x:v>
      </x:c>
      <x:c r="Y13" s="418"/>
      <x:c r="Z13" s="304" t="s">
        <x:v>1735</x:v>
      </x:c>
      <x:c r="AA13" s="417"/>
      <x:c r="AB13" s="304" t="s">
        <x:v>1734</x:v>
      </x:c>
      <x:c r="AC13" s="417"/>
      <x:c r="AD13" s="1050">
        <x:v>0</x:v>
      </x:c>
      <x:c r="AE13" s="417"/>
      <x:c r="AF13" s="416">
        <x:f t="shared" si="8"/>
        <x:v>0</x:v>
      </x:c>
      <x:c r="AG13" s="167"/>
      <x:c r="AH13" s="183">
        <x:v>190</x:v>
      </x:c>
      <x:c r="AI13" s="183"/>
    </x:row>
    <x:row r="14" spans="1:162">
      <x:c r="B14" s="1303">
        <x:f t="shared" si="9"/>
        <x:v>3</x:v>
      </x:c>
      <x:c r="C14" s="296" t="s">
        <x:v>1562</x:v>
      </x:c>
      <x:c r="D14" s="296" t="s">
        <x:v>1560</x:v>
      </x:c>
      <x:c r="E14" s="296" t="s">
        <x:v>1248</x:v>
      </x:c>
      <x:c r="F14" s="419">
        <x:v>5630317.2699999996</x:v>
      </x:c>
      <x:c r="G14" s="416">
        <x:f t="shared" si="0"/>
        <x:v>1970611.0444999996</x:v>
      </x:c>
      <x:c r="H14" s="419">
        <x:v>478576.96795000002</x:v>
      </x:c>
      <x:c r="I14" s="416">
        <x:f t="shared" si="1"/>
        <x:v>-167501.93878249999</x:v>
      </x:c>
      <x:c r="J14" s="416">
        <x:f t="shared" si="2"/>
        <x:v>2281686.0736674997</x:v>
      </x:c>
      <x:c r="K14" s="437"/>
      <x:c r="L14" s="419">
        <x:f t="shared" si="10"/>
        <x:v>5630317.2699999996</x:v>
      </x:c>
      <x:c r="M14" s="416">
        <x:f t="shared" si="3"/>
        <x:v>1182366.6266999999</x:v>
      </x:c>
      <x:c r="N14" s="419">
        <x:v>478576.96795000002</x:v>
      </x:c>
      <x:c r="O14" s="416">
        <x:f t="shared" si="4"/>
        <x:v>-100501.1632695</x:v>
      </x:c>
      <x:c r="P14" s="416">
        <x:f t="shared" si="5"/>
        <x:v>1560442.4313804999</x:v>
      </x:c>
      <x:c r="Q14" s="416"/>
      <x:c r="R14" s="416">
        <x:f t="shared" si="6"/>
        <x:v>721243.64228699985</x:v>
      </x:c>
      <x:c r="S14" s="437"/>
      <x:c r="T14" s="419">
        <x:v>0</x:v>
      </x:c>
      <x:c r="U14" s="437"/>
      <x:c r="V14" s="419">
        <x:v>0</x:v>
      </x:c>
      <x:c r="W14" s="437"/>
      <x:c r="X14" s="416">
        <x:f t="shared" si="7"/>
        <x:v>721243.64228699985</x:v>
      </x:c>
      <x:c r="Y14" s="418"/>
      <x:c r="Z14" s="304" t="s">
        <x:v>1736</x:v>
      </x:c>
      <x:c r="AA14" s="417"/>
      <x:c r="AB14" s="304" t="s">
        <x:v>1734</x:v>
      </x:c>
      <x:c r="AC14" s="417"/>
      <x:c r="AD14" s="1050">
        <x:v>0</x:v>
      </x:c>
      <x:c r="AE14" s="417"/>
      <x:c r="AF14" s="416">
        <x:f t="shared" si="8"/>
        <x:v>0</x:v>
      </x:c>
      <x:c r="AG14" s="167"/>
      <x:c r="AH14" s="183">
        <x:v>190</x:v>
      </x:c>
      <x:c r="AI14" s="183"/>
    </x:row>
    <x:row r="15" spans="1:162">
      <x:c r="B15" s="1303">
        <x:f t="shared" si="9"/>
        <x:v>4</x:v>
      </x:c>
      <x:c r="C15" s="296" t="s">
        <x:v>1563</x:v>
      </x:c>
      <x:c r="D15" s="296" t="s">
        <x:v>1560</x:v>
      </x:c>
      <x:c r="E15" s="296" t="s">
        <x:v>1248</x:v>
      </x:c>
      <x:c r="F15" s="419">
        <x:v>6475628.3799999999</x:v>
      </x:c>
      <x:c r="G15" s="416">
        <x:f t="shared" si="0"/>
        <x:v>2266469.9329999997</x:v>
      </x:c>
      <x:c r="H15" s="419">
        <x:v>550428.41230000008</x:v>
      </x:c>
      <x:c r="I15" s="416">
        <x:f t="shared" si="1"/>
        <x:v>-192649.94430500001</x:v>
      </x:c>
      <x:c r="J15" s="416">
        <x:f t="shared" si="2"/>
        <x:v>2624248.4009949998</x:v>
      </x:c>
      <x:c r="K15" s="437"/>
      <x:c r="L15" s="419">
        <x:f t="shared" si="10"/>
        <x:v>6475628.3799999999</x:v>
      </x:c>
      <x:c r="M15" s="416">
        <x:f t="shared" si="3"/>
        <x:v>1359881.9597999998</x:v>
      </x:c>
      <x:c r="N15" s="419">
        <x:v>550428.41230000008</x:v>
      </x:c>
      <x:c r="O15" s="416">
        <x:f t="shared" si="4"/>
        <x:v>-115589.96658300002</x:v>
      </x:c>
      <x:c r="P15" s="416">
        <x:f t="shared" si="5"/>
        <x:v>1794720.4055169998</x:v>
      </x:c>
      <x:c r="Q15" s="416"/>
      <x:c r="R15" s="416">
        <x:f t="shared" si="6"/>
        <x:v>829527.99547800003</x:v>
      </x:c>
      <x:c r="S15" s="437"/>
      <x:c r="T15" s="419">
        <x:v>0</x:v>
      </x:c>
      <x:c r="U15" s="437"/>
      <x:c r="V15" s="419">
        <x:v>0</x:v>
      </x:c>
      <x:c r="W15" s="437"/>
      <x:c r="X15" s="416">
        <x:f t="shared" si="7"/>
        <x:v>829527.99547800003</x:v>
      </x:c>
      <x:c r="Y15" s="418"/>
      <x:c r="Z15" s="304" t="s">
        <x:v>1735</x:v>
      </x:c>
      <x:c r="AA15" s="417"/>
      <x:c r="AB15" s="304" t="s">
        <x:v>1734</x:v>
      </x:c>
      <x:c r="AC15" s="417"/>
      <x:c r="AD15" s="1050">
        <x:v>0</x:v>
      </x:c>
      <x:c r="AE15" s="417"/>
      <x:c r="AF15" s="416">
        <x:f t="shared" si="8"/>
        <x:v>0</x:v>
      </x:c>
      <x:c r="AG15" s="167"/>
      <x:c r="AH15" s="183">
        <x:v>190</x:v>
      </x:c>
      <x:c r="AI15" s="183"/>
    </x:row>
    <x:row r="16" spans="1:162">
      <x:c r="B16" s="1303">
        <x:f t="shared" si="9"/>
        <x:v>5</x:v>
      </x:c>
      <x:c r="C16" s="296" t="s">
        <x:v>1564</x:v>
      </x:c>
      <x:c r="D16" s="296" t="s">
        <x:v>1565</x:v>
      </x:c>
      <x:c r="E16" s="296" t="s">
        <x:v>1248</x:v>
      </x:c>
      <x:c r="F16" s="419">
        <x:v>2339147.6</x:v>
      </x:c>
      <x:c r="G16" s="416">
        <x:f t="shared" si="0"/>
        <x:v>818701.66</x:v>
      </x:c>
      <x:c r="H16" s="419">
        <x:v>0</x:v>
      </x:c>
      <x:c r="I16" s="416">
        <x:f t="shared" si="1"/>
        <x:v>0</x:v>
      </x:c>
      <x:c r="J16" s="416">
        <x:f t="shared" si="2"/>
        <x:v>818701.66</x:v>
      </x:c>
      <x:c r="K16" s="437"/>
      <x:c r="L16" s="419">
        <x:f t="shared" si="10"/>
        <x:v>2339147.6</x:v>
      </x:c>
      <x:c r="M16" s="416">
        <x:f t="shared" si="3"/>
        <x:v>491220.99599999998</x:v>
      </x:c>
      <x:c r="N16" s="419">
        <x:v>0</x:v>
      </x:c>
      <x:c r="O16" s="416">
        <x:f t="shared" si="4"/>
        <x:v>0</x:v>
      </x:c>
      <x:c r="P16" s="416">
        <x:f t="shared" si="5"/>
        <x:v>491220.99599999998</x:v>
      </x:c>
      <x:c r="Q16" s="416"/>
      <x:c r="R16" s="416">
        <x:f t="shared" si="6"/>
        <x:v>327480.66400000005</x:v>
      </x:c>
      <x:c r="S16" s="437"/>
      <x:c r="T16" s="419">
        <x:v>327480.66400000005</x:v>
      </x:c>
      <x:c r="U16" s="437"/>
      <x:c r="V16" s="419">
        <x:v>0</x:v>
      </x:c>
      <x:c r="W16" s="437"/>
      <x:c r="X16" s="416">
        <x:f t="shared" si="7"/>
        <x:v>0</x:v>
      </x:c>
      <x:c r="Y16" s="418"/>
      <x:c r="Z16" s="304" t="s">
        <x:v>233</x:v>
      </x:c>
      <x:c r="AA16" s="417"/>
      <x:c r="AB16" s="304" t="s">
        <x:v>1734</x:v>
      </x:c>
      <x:c r="AC16" s="417"/>
      <x:c r="AD16" s="1050">
        <x:v>0</x:v>
      </x:c>
      <x:c r="AE16" s="417"/>
      <x:c r="AF16" s="416">
        <x:f t="shared" si="8"/>
        <x:v>0</x:v>
      </x:c>
      <x:c r="AG16" s="167"/>
      <x:c r="AH16" s="183">
        <x:v>190</x:v>
      </x:c>
      <x:c r="AI16" s="183"/>
    </x:row>
    <x:row r="17" spans="2:35">
      <x:c r="B17" s="1303">
        <x:f t="shared" si="9"/>
        <x:v>6</x:v>
      </x:c>
      <x:c r="C17" s="296" t="s">
        <x:v>1566</x:v>
      </x:c>
      <x:c r="D17" s="296" t="s">
        <x:v>1565</x:v>
      </x:c>
      <x:c r="E17" s="296" t="s">
        <x:v>1248</x:v>
      </x:c>
      <x:c r="F17" s="419">
        <x:v>0</x:v>
      </x:c>
      <x:c r="G17" s="416">
        <x:f t="shared" si="0"/>
        <x:v>0</x:v>
      </x:c>
      <x:c r="H17" s="419">
        <x:v>65496.140920000005</x:v>
      </x:c>
      <x:c r="I17" s="416">
        <x:f t="shared" si="1"/>
        <x:v>-22923.649322000001</x:v>
      </x:c>
      <x:c r="J17" s="416">
        <x:f t="shared" si="2"/>
        <x:v>42572.491598000008</x:v>
      </x:c>
      <x:c r="K17" s="437"/>
      <x:c r="L17" s="419">
        <x:f t="shared" si="10"/>
        <x:v>0</x:v>
      </x:c>
      <x:c r="M17" s="416">
        <x:f t="shared" si="3"/>
        <x:v>0</x:v>
      </x:c>
      <x:c r="N17" s="419">
        <x:v>65496.140920000005</x:v>
      </x:c>
      <x:c r="O17" s="416">
        <x:f t="shared" si="4"/>
        <x:v>-13754.189593200001</x:v>
      </x:c>
      <x:c r="P17" s="416">
        <x:f t="shared" si="5"/>
        <x:v>51741.951326800001</x:v>
      </x:c>
      <x:c r="Q17" s="416"/>
      <x:c r="R17" s="416">
        <x:f t="shared" si="6"/>
        <x:v>-9169.4597287999932</x:v>
      </x:c>
      <x:c r="S17" s="437"/>
      <x:c r="T17" s="419">
        <x:v>-9169.4597288000023</x:v>
      </x:c>
      <x:c r="U17" s="437"/>
      <x:c r="V17" s="419">
        <x:v>0</x:v>
      </x:c>
      <x:c r="W17" s="437"/>
      <x:c r="X17" s="416">
        <x:f t="shared" si="7"/>
        <x:v>9.0949470177292824E-12</x:v>
      </x:c>
      <x:c r="Y17" s="418"/>
      <x:c r="Z17" s="304" t="s">
        <x:v>233</x:v>
      </x:c>
      <x:c r="AA17" s="417"/>
      <x:c r="AB17" s="304" t="s">
        <x:v>1734</x:v>
      </x:c>
      <x:c r="AC17" s="417"/>
      <x:c r="AD17" s="1050">
        <x:v>0</x:v>
      </x:c>
      <x:c r="AE17" s="417"/>
      <x:c r="AF17" s="416">
        <x:f t="shared" si="8"/>
        <x:v>0</x:v>
      </x:c>
      <x:c r="AG17" s="167"/>
      <x:c r="AH17" s="183">
        <x:v>190</x:v>
      </x:c>
      <x:c r="AI17" s="183"/>
    </x:row>
    <x:row r="18" spans="2:35">
      <x:c r="B18" s="1303">
        <x:f t="shared" si="9"/>
        <x:v>7</x:v>
      </x:c>
      <x:c r="C18" s="296" t="s">
        <x:v>1567</x:v>
      </x:c>
      <x:c r="D18" s="296" t="s">
        <x:v>1565</x:v>
      </x:c>
      <x:c r="E18" s="296" t="s">
        <x:v>1248</x:v>
      </x:c>
      <x:c r="F18" s="419">
        <x:v>0</x:v>
      </x:c>
      <x:c r="G18" s="416">
        <x:f t="shared" si="0"/>
        <x:v>0</x:v>
      </x:c>
      <x:c r="H18" s="419">
        <x:v>133331.42973</x:v>
      </x:c>
      <x:c r="I18" s="416">
        <x:f t="shared" si="1"/>
        <x:v>-46666.000405499995</x:v>
      </x:c>
      <x:c r="J18" s="416">
        <x:f t="shared" si="2"/>
        <x:v>86665.429324500001</x:v>
      </x:c>
      <x:c r="K18" s="437"/>
      <x:c r="L18" s="419">
        <x:f t="shared" si="10"/>
        <x:v>0</x:v>
      </x:c>
      <x:c r="M18" s="416">
        <x:f t="shared" si="3"/>
        <x:v>0</x:v>
      </x:c>
      <x:c r="N18" s="419">
        <x:v>133331.42973</x:v>
      </x:c>
      <x:c r="O18" s="416">
        <x:f t="shared" si="4"/>
        <x:v>-27999.600243299999</x:v>
      </x:c>
      <x:c r="P18" s="416">
        <x:f t="shared" si="5"/>
        <x:v>105331.82948670001</x:v>
      </x:c>
      <x:c r="Q18" s="416"/>
      <x:c r="R18" s="416">
        <x:f t="shared" si="6"/>
        <x:v>-18666.400162200007</x:v>
      </x:c>
      <x:c r="S18" s="437"/>
      <x:c r="T18" s="419">
        <x:v>-18666.400162200003</x:v>
      </x:c>
      <x:c r="U18" s="437"/>
      <x:c r="V18" s="419">
        <x:v>0</x:v>
      </x:c>
      <x:c r="W18" s="437"/>
      <x:c r="X18" s="416">
        <x:f t="shared" si="7"/>
        <x:v>-3.637978807091713E-12</x:v>
      </x:c>
      <x:c r="Y18" s="418"/>
      <x:c r="Z18" s="304" t="s">
        <x:v>233</x:v>
      </x:c>
      <x:c r="AA18" s="417"/>
      <x:c r="AB18" s="304" t="s">
        <x:v>1734</x:v>
      </x:c>
      <x:c r="AC18" s="417"/>
      <x:c r="AD18" s="1050">
        <x:v>0</x:v>
      </x:c>
      <x:c r="AE18" s="417"/>
      <x:c r="AF18" s="416">
        <x:v>0</x:v>
      </x:c>
      <x:c r="AG18" s="167"/>
      <x:c r="AH18" s="183">
        <x:v>190</x:v>
      </x:c>
      <x:c r="AI18" s="183"/>
    </x:row>
    <x:row r="19" spans="2:35">
      <x:c r="B19" s="1303">
        <x:f t="shared" si="9"/>
        <x:v>8</x:v>
      </x:c>
      <x:c r="C19" s="296" t="s">
        <x:v>1568</x:v>
      </x:c>
      <x:c r="D19" s="296" t="s">
        <x:v>1569</x:v>
      </x:c>
      <x:c r="E19" s="296" t="s">
        <x:v>1248</x:v>
      </x:c>
      <x:c r="F19" s="419">
        <x:v>1766350.81</x:v>
      </x:c>
      <x:c r="G19" s="416">
        <x:f t="shared" si="0"/>
        <x:v>618222.78350000002</x:v>
      </x:c>
      <x:c r="H19" s="419">
        <x:v>150139.81885000001</x:v>
      </x:c>
      <x:c r="I19" s="416">
        <x:f t="shared" si="1"/>
        <x:v>-52548.936597500004</x:v>
      </x:c>
      <x:c r="J19" s="416">
        <x:f t="shared" si="2"/>
        <x:v>715813.66575250006</x:v>
      </x:c>
      <x:c r="K19" s="437"/>
      <x:c r="L19" s="419">
        <x:f t="shared" si="10"/>
        <x:v>1766350.81</x:v>
      </x:c>
      <x:c r="M19" s="416">
        <x:f t="shared" si="3"/>
        <x:v>370933.67009999999</x:v>
      </x:c>
      <x:c r="N19" s="419">
        <x:v>150139.81885000001</x:v>
      </x:c>
      <x:c r="O19" s="416">
        <x:f t="shared" si="4"/>
        <x:v>-31529.361958500001</x:v>
      </x:c>
      <x:c r="P19" s="416">
        <x:f t="shared" si="5"/>
        <x:v>489544.12699150003</x:v>
      </x:c>
      <x:c r="Q19" s="416"/>
      <x:c r="R19" s="416">
        <x:f t="shared" si="6"/>
        <x:v>226269.53876100003</x:v>
      </x:c>
      <x:c r="S19" s="437"/>
      <x:c r="T19" s="419">
        <x:v>0</x:v>
      </x:c>
      <x:c r="U19" s="437"/>
      <x:c r="V19" s="419">
        <x:v>0</x:v>
      </x:c>
      <x:c r="W19" s="437"/>
      <x:c r="X19" s="416">
        <x:f t="shared" si="7"/>
        <x:v>226269.53876100003</x:v>
      </x:c>
      <x:c r="Y19" s="418"/>
      <x:c r="Z19" s="304" t="s">
        <x:v>233</x:v>
      </x:c>
      <x:c r="AA19" s="417"/>
      <x:c r="AB19" s="304" t="s">
        <x:v>1737</x:v>
      </x:c>
      <x:c r="AC19" s="417"/>
      <x:c r="AD19" s="1050">
        <x:v>6.0801999999999995E-2</x:v>
      </x:c>
      <x:c r="AE19" s="417"/>
      <x:c r="AF19" s="416">
        <x:f t="shared" ref="AF19:AF50" si="11">X19*AD19</x:f>
        <x:v>13757.640495746324</x:v>
      </x:c>
      <x:c r="AG19" s="167"/>
      <x:c r="AH19" s="183">
        <x:v>190</x:v>
      </x:c>
      <x:c r="AI19" s="183"/>
    </x:row>
    <x:row r="20" spans="2:35">
      <x:c r="B20" s="1303">
        <x:f t="shared" si="9"/>
        <x:v>9</x:v>
      </x:c>
      <x:c r="C20" s="296" t="s">
        <x:v>1570</x:v>
      </x:c>
      <x:c r="D20" s="296" t="s">
        <x:v>1569</x:v>
      </x:c>
      <x:c r="E20" s="296" t="s">
        <x:v>1248</x:v>
      </x:c>
      <x:c r="F20" s="419">
        <x:v>230355.28</x:v>
      </x:c>
      <x:c r="G20" s="416">
        <x:f t="shared" si="0"/>
        <x:v>80624.347999999998</x:v>
      </x:c>
      <x:c r="H20" s="419">
        <x:v>19580.198800000002</x:v>
      </x:c>
      <x:c r="I20" s="416">
        <x:f t="shared" si="1"/>
        <x:v>-6853.0695800000003</x:v>
      </x:c>
      <x:c r="J20" s="416">
        <x:f t="shared" si="2"/>
        <x:v>93351.477220000001</x:v>
      </x:c>
      <x:c r="K20" s="437"/>
      <x:c r="L20" s="419">
        <x:f t="shared" si="10"/>
        <x:v>230355.28</x:v>
      </x:c>
      <x:c r="M20" s="416">
        <x:f t="shared" si="3"/>
        <x:v>48374.608799999995</x:v>
      </x:c>
      <x:c r="N20" s="419">
        <x:v>19580.198800000002</x:v>
      </x:c>
      <x:c r="O20" s="416">
        <x:f t="shared" si="4"/>
        <x:v>-4111.8417479999998</x:v>
      </x:c>
      <x:c r="P20" s="416">
        <x:f t="shared" si="5"/>
        <x:v>63842.965852000001</x:v>
      </x:c>
      <x:c r="Q20" s="416"/>
      <x:c r="R20" s="416">
        <x:f t="shared" si="6"/>
        <x:v>29508.511367999999</x:v>
      </x:c>
      <x:c r="S20" s="437"/>
      <x:c r="T20" s="419">
        <x:v>0</x:v>
      </x:c>
      <x:c r="U20" s="437"/>
      <x:c r="V20" s="419">
        <x:v>0</x:v>
      </x:c>
      <x:c r="W20" s="437"/>
      <x:c r="X20" s="416">
        <x:f t="shared" si="7"/>
        <x:v>29508.511367999999</x:v>
      </x:c>
      <x:c r="Y20" s="418"/>
      <x:c r="Z20" s="304" t="s">
        <x:v>1738</x:v>
      </x:c>
      <x:c r="AA20" s="417"/>
      <x:c r="AB20" s="304" t="s">
        <x:v>1737</x:v>
      </x:c>
      <x:c r="AC20" s="417"/>
      <x:c r="AD20" s="1050">
        <x:v>0.31493199999999999</x:v>
      </x:c>
      <x:c r="AE20" s="417"/>
      <x:c r="AF20" s="416">
        <x:f t="shared" si="11"/>
        <x:v>9293.174502146976</x:v>
      </x:c>
      <x:c r="AG20" s="167"/>
      <x:c r="AH20" s="183">
        <x:v>190</x:v>
      </x:c>
      <x:c r="AI20" s="183"/>
    </x:row>
    <x:row r="21" spans="2:35">
      <x:c r="B21" s="1303">
        <x:f t="shared" si="9"/>
        <x:v>10</x:v>
      </x:c>
      <x:c r="C21" s="296" t="s">
        <x:v>1571</x:v>
      </x:c>
      <x:c r="D21" s="296" t="s">
        <x:v>1572</x:v>
      </x:c>
      <x:c r="E21" s="296" t="s">
        <x:v>1248</x:v>
      </x:c>
      <x:c r="F21" s="419">
        <x:v>2744836</x:v>
      </x:c>
      <x:c r="G21" s="416">
        <x:f t="shared" si="0"/>
        <x:v>960692.6</x:v>
      </x:c>
      <x:c r="H21" s="419">
        <x:v>233311.06000000003</x:v>
      </x:c>
      <x:c r="I21" s="416">
        <x:f t="shared" si="1"/>
        <x:v>-81658.870999999999</x:v>
      </x:c>
      <x:c r="J21" s="416">
        <x:f t="shared" si="2"/>
        <x:v>1112344.7889999999</x:v>
      </x:c>
      <x:c r="K21" s="437"/>
      <x:c r="L21" s="419">
        <x:f t="shared" si="10"/>
        <x:v>2744836</x:v>
      </x:c>
      <x:c r="M21" s="416">
        <x:f t="shared" si="3"/>
        <x:v>576415.55999999994</x:v>
      </x:c>
      <x:c r="N21" s="419">
        <x:v>233311.06000000003</x:v>
      </x:c>
      <x:c r="O21" s="416">
        <x:f t="shared" si="4"/>
        <x:v>-48995.322600000007</x:v>
      </x:c>
      <x:c r="P21" s="416">
        <x:f t="shared" si="5"/>
        <x:v>760731.29740000004</x:v>
      </x:c>
      <x:c r="Q21" s="416"/>
      <x:c r="R21" s="416">
        <x:f t="shared" si="6"/>
        <x:v>351613.49159999983</x:v>
      </x:c>
      <x:c r="S21" s="437"/>
      <x:c r="T21" s="419">
        <x:v>351613.49160000001</x:v>
      </x:c>
      <x:c r="U21" s="437"/>
      <x:c r="V21" s="419">
        <x:v>0</x:v>
      </x:c>
      <x:c r="W21" s="437"/>
      <x:c r="X21" s="416">
        <x:f t="shared" si="7"/>
        <x:v>-1.7462298274040222E-10</x:v>
      </x:c>
      <x:c r="Y21" s="418"/>
      <x:c r="Z21" s="304" t="s">
        <x:v>1738</x:v>
      </x:c>
      <x:c r="AA21" s="417"/>
      <x:c r="AB21" s="304" t="s">
        <x:v>1734</x:v>
      </x:c>
      <x:c r="AC21" s="417"/>
      <x:c r="AD21" s="1050">
        <x:v>0</x:v>
      </x:c>
      <x:c r="AE21" s="417"/>
      <x:c r="AF21" s="416">
        <x:f t="shared" si="11"/>
        <x:v>0</x:v>
      </x:c>
      <x:c r="AG21" s="167"/>
      <x:c r="AH21" s="183">
        <x:v>190</x:v>
      </x:c>
      <x:c r="AI21" s="183"/>
    </x:row>
    <x:row r="22" spans="2:35">
      <x:c r="B22" s="1303">
        <x:f t="shared" si="9"/>
        <x:v>11</x:v>
      </x:c>
      <x:c r="C22" s="296" t="s">
        <x:v>1573</x:v>
      </x:c>
      <x:c r="D22" s="296" t="s">
        <x:v>1574</x:v>
      </x:c>
      <x:c r="E22" s="296" t="s">
        <x:v>1248</x:v>
      </x:c>
      <x:c r="F22" s="419">
        <x:v>708000</x:v>
      </x:c>
      <x:c r="G22" s="416">
        <x:f t="shared" si="0"/>
        <x:v>247799.99999999997</x:v>
      </x:c>
      <x:c r="H22" s="419">
        <x:v>60180.000000000007</x:v>
      </x:c>
      <x:c r="I22" s="416">
        <x:f t="shared" si="1"/>
        <x:v>-21063</x:v>
      </x:c>
      <x:c r="J22" s="416">
        <x:f t="shared" si="2"/>
        <x:v>286917</x:v>
      </x:c>
      <x:c r="K22" s="437"/>
      <x:c r="L22" s="419">
        <x:f t="shared" si="10"/>
        <x:v>708000</x:v>
      </x:c>
      <x:c r="M22" s="416">
        <x:f t="shared" si="3"/>
        <x:v>148680</x:v>
      </x:c>
      <x:c r="N22" s="419">
        <x:v>60180.000000000007</x:v>
      </x:c>
      <x:c r="O22" s="416">
        <x:f t="shared" si="4"/>
        <x:v>-12637.800000000001</x:v>
      </x:c>
      <x:c r="P22" s="416">
        <x:f t="shared" si="5"/>
        <x:v>196222.2</x:v>
      </x:c>
      <x:c r="Q22" s="416"/>
      <x:c r="R22" s="416">
        <x:f t="shared" si="6"/>
        <x:v>90694.799999999988</x:v>
      </x:c>
      <x:c r="S22" s="437"/>
      <x:c r="T22" s="419">
        <x:v>0</x:v>
      </x:c>
      <x:c r="U22" s="437"/>
      <x:c r="V22" s="419">
        <x:v>0</x:v>
      </x:c>
      <x:c r="W22" s="437"/>
      <x:c r="X22" s="416">
        <x:f t="shared" si="7"/>
        <x:v>90694.799999999988</x:v>
      </x:c>
      <x:c r="Y22" s="418"/>
      <x:c r="Z22" s="304" t="s">
        <x:v>1738</x:v>
      </x:c>
      <x:c r="AA22" s="417"/>
      <x:c r="AB22" s="304" t="s">
        <x:v>1737</x:v>
      </x:c>
      <x:c r="AC22" s="417"/>
      <x:c r="AD22" s="1050">
        <x:v>0.31493199999999999</x:v>
      </x:c>
      <x:c r="AE22" s="417"/>
      <x:c r="AF22" s="416">
        <x:f t="shared" si="11"/>
        <x:v>28562.694753599997</x:v>
      </x:c>
      <x:c r="AG22" s="167"/>
      <x:c r="AH22" s="183">
        <x:v>190</x:v>
      </x:c>
      <x:c r="AI22" s="183"/>
    </x:row>
    <x:row r="23" spans="2:35">
      <x:c r="B23" s="1303">
        <x:f t="shared" si="9"/>
        <x:v>12</x:v>
      </x:c>
      <x:c r="C23" s="296" t="s">
        <x:v>1575</x:v>
      </x:c>
      <x:c r="D23" s="296" t="s">
        <x:v>1574</x:v>
      </x:c>
      <x:c r="E23" s="296" t="s">
        <x:v>1248</x:v>
      </x:c>
      <x:c r="F23" s="419">
        <x:v>536932.43000000005</x:v>
      </x:c>
      <x:c r="G23" s="416">
        <x:f t="shared" si="0"/>
        <x:v>187926.3505</x:v>
      </x:c>
      <x:c r="H23" s="419">
        <x:v>45639.256550000006</x:v>
      </x:c>
      <x:c r="I23" s="416">
        <x:f t="shared" si="1"/>
        <x:v>-15973.7397925</x:v>
      </x:c>
      <x:c r="J23" s="416">
        <x:f t="shared" si="2"/>
        <x:v>217591.86725749998</x:v>
      </x:c>
      <x:c r="K23" s="437"/>
      <x:c r="L23" s="419">
        <x:f t="shared" si="10"/>
        <x:v>536932.43000000005</x:v>
      </x:c>
      <x:c r="M23" s="416">
        <x:f t="shared" si="3"/>
        <x:v>112755.81030000001</x:v>
      </x:c>
      <x:c r="N23" s="419">
        <x:v>45639.256550000006</x:v>
      </x:c>
      <x:c r="O23" s="416">
        <x:f t="shared" si="4"/>
        <x:v>-9584.2438755000003</x:v>
      </x:c>
      <x:c r="P23" s="416">
        <x:f t="shared" si="5"/>
        <x:v>148810.82297450001</x:v>
      </x:c>
      <x:c r="Q23" s="416"/>
      <x:c r="R23" s="416">
        <x:f t="shared" si="6"/>
        <x:v>68781.044282999967</x:v>
      </x:c>
      <x:c r="S23" s="437"/>
      <x:c r="T23" s="419">
        <x:v>0</x:v>
      </x:c>
      <x:c r="U23" s="437"/>
      <x:c r="V23" s="419">
        <x:v>0</x:v>
      </x:c>
      <x:c r="W23" s="437"/>
      <x:c r="X23" s="416">
        <x:f t="shared" si="7"/>
        <x:v>68781.044282999967</x:v>
      </x:c>
      <x:c r="Y23" s="418"/>
      <x:c r="Z23" s="304" t="s">
        <x:v>1738</x:v>
      </x:c>
      <x:c r="AA23" s="417"/>
      <x:c r="AB23" s="304" t="s">
        <x:v>1734</x:v>
      </x:c>
      <x:c r="AC23" s="417"/>
      <x:c r="AD23" s="1050">
        <x:v>0</x:v>
      </x:c>
      <x:c r="AE23" s="417"/>
      <x:c r="AF23" s="416">
        <x:f t="shared" si="11"/>
        <x:v>0</x:v>
      </x:c>
      <x:c r="AG23" s="167"/>
      <x:c r="AH23" s="183">
        <x:v>190</x:v>
      </x:c>
      <x:c r="AI23" s="183"/>
    </x:row>
    <x:row r="24" spans="2:35">
      <x:c r="B24" s="1303">
        <x:f t="shared" si="9"/>
        <x:v>13</x:v>
      </x:c>
      <x:c r="C24" s="296" t="s">
        <x:v>1576</x:v>
      </x:c>
      <x:c r="D24" s="296" t="s">
        <x:v>1574</x:v>
      </x:c>
      <x:c r="E24" s="296" t="s">
        <x:v>1248</x:v>
      </x:c>
      <x:c r="F24" s="419">
        <x:v>-708000</x:v>
      </x:c>
      <x:c r="G24" s="416">
        <x:f t="shared" si="0"/>
        <x:v>-247799.99999999997</x:v>
      </x:c>
      <x:c r="H24" s="419">
        <x:v>-60180.000000000007</x:v>
      </x:c>
      <x:c r="I24" s="416">
        <x:f t="shared" si="1"/>
        <x:v>21063</x:v>
      </x:c>
      <x:c r="J24" s="416">
        <x:f t="shared" si="2"/>
        <x:v>-286917</x:v>
      </x:c>
      <x:c r="K24" s="437"/>
      <x:c r="L24" s="419">
        <x:f t="shared" si="10"/>
        <x:v>-708000</x:v>
      </x:c>
      <x:c r="M24" s="416">
        <x:f t="shared" si="3"/>
        <x:v>-148680</x:v>
      </x:c>
      <x:c r="N24" s="419">
        <x:v>-60180.000000000007</x:v>
      </x:c>
      <x:c r="O24" s="416">
        <x:f t="shared" si="4"/>
        <x:v>12637.800000000001</x:v>
      </x:c>
      <x:c r="P24" s="416">
        <x:f t="shared" si="5"/>
        <x:v>-196222.2</x:v>
      </x:c>
      <x:c r="Q24" s="416"/>
      <x:c r="R24" s="416">
        <x:f t="shared" si="6"/>
        <x:v>-90694.799999999988</x:v>
      </x:c>
      <x:c r="S24" s="437"/>
      <x:c r="T24" s="419">
        <x:v>0</x:v>
      </x:c>
      <x:c r="U24" s="437"/>
      <x:c r="V24" s="419">
        <x:v>0</x:v>
      </x:c>
      <x:c r="W24" s="437"/>
      <x:c r="X24" s="416">
        <x:f t="shared" si="7"/>
        <x:v>-90694.799999999988</x:v>
      </x:c>
      <x:c r="Y24" s="418"/>
      <x:c r="Z24" s="304" t="s">
        <x:v>1738</x:v>
      </x:c>
      <x:c r="AA24" s="417"/>
      <x:c r="AB24" s="304" t="s">
        <x:v>1737</x:v>
      </x:c>
      <x:c r="AC24" s="417"/>
      <x:c r="AD24" s="1050">
        <x:v>0.31493199999999999</x:v>
      </x:c>
      <x:c r="AE24" s="417"/>
      <x:c r="AF24" s="416">
        <x:f t="shared" si="11"/>
        <x:v>-28562.694753599997</x:v>
      </x:c>
      <x:c r="AG24" s="167"/>
      <x:c r="AH24" s="183">
        <x:v>190</x:v>
      </x:c>
      <x:c r="AI24" s="183"/>
    </x:row>
    <x:row r="25" spans="2:35">
      <x:c r="B25" s="1303">
        <x:f t="shared" si="9"/>
        <x:v>14</x:v>
      </x:c>
      <x:c r="C25" s="296" t="s">
        <x:v>1577</x:v>
      </x:c>
      <x:c r="D25" s="296" t="s">
        <x:v>1574</x:v>
      </x:c>
      <x:c r="E25" s="296" t="s">
        <x:v>1248</x:v>
      </x:c>
      <x:c r="F25" s="419">
        <x:v>1306782.04</x:v>
      </x:c>
      <x:c r="G25" s="416">
        <x:f t="shared" si="0"/>
        <x:v>457373.71399999998</x:v>
      </x:c>
      <x:c r="H25" s="419">
        <x:v>111076.47340000002</x:v>
      </x:c>
      <x:c r="I25" s="416">
        <x:f t="shared" si="1"/>
        <x:v>-38876.76569</x:v>
      </x:c>
      <x:c r="J25" s="416">
        <x:f t="shared" si="2"/>
        <x:v>529573.42170999991</x:v>
      </x:c>
      <x:c r="K25" s="437"/>
      <x:c r="L25" s="419">
        <x:f t="shared" si="10"/>
        <x:v>1306782.04</x:v>
      </x:c>
      <x:c r="M25" s="416">
        <x:f t="shared" si="3"/>
        <x:v>274424.22840000002</x:v>
      </x:c>
      <x:c r="N25" s="419">
        <x:v>111076.47340000002</x:v>
      </x:c>
      <x:c r="O25" s="416">
        <x:f t="shared" si="4"/>
        <x:v>-23326.059414000003</x:v>
      </x:c>
      <x:c r="P25" s="416">
        <x:f t="shared" si="5"/>
        <x:v>362174.64238600002</x:v>
      </x:c>
      <x:c r="Q25" s="416"/>
      <x:c r="R25" s="416">
        <x:f t="shared" si="6"/>
        <x:v>167398.77932399989</x:v>
      </x:c>
      <x:c r="S25" s="437"/>
      <x:c r="T25" s="419">
        <x:v>0</x:v>
      </x:c>
      <x:c r="U25" s="437"/>
      <x:c r="V25" s="419">
        <x:v>0</x:v>
      </x:c>
      <x:c r="W25" s="437"/>
      <x:c r="X25" s="416">
        <x:f t="shared" si="7"/>
        <x:v>167398.77932399989</x:v>
      </x:c>
      <x:c r="Y25" s="418"/>
      <x:c r="Z25" s="304" t="s">
        <x:v>1738</x:v>
      </x:c>
      <x:c r="AA25" s="417"/>
      <x:c r="AB25" s="304" t="s">
        <x:v>1737</x:v>
      </x:c>
      <x:c r="AC25" s="417"/>
      <x:c r="AD25" s="1050">
        <x:v>0.31493199999999999</x:v>
      </x:c>
      <x:c r="AE25" s="417"/>
      <x:c r="AF25" s="416">
        <x:f t="shared" si="11"/>
        <x:v>52719.232370065933</x:v>
      </x:c>
      <x:c r="AG25" s="167"/>
      <x:c r="AH25" s="183">
        <x:v>190</x:v>
      </x:c>
      <x:c r="AI25" s="183"/>
    </x:row>
    <x:row r="26" spans="2:35">
      <x:c r="B26" s="1303">
        <x:f t="shared" si="9"/>
        <x:v>15</x:v>
      </x:c>
      <x:c r="C26" s="296" t="s">
        <x:v>1578</x:v>
      </x:c>
      <x:c r="D26" s="296" t="s">
        <x:v>1579</x:v>
      </x:c>
      <x:c r="E26" s="296" t="s">
        <x:v>1248</x:v>
      </x:c>
      <x:c r="F26" s="419">
        <x:v>4808008</x:v>
      </x:c>
      <x:c r="G26" s="416">
        <x:f t="shared" si="0"/>
        <x:v>1682802.7999999998</x:v>
      </x:c>
      <x:c r="H26" s="419">
        <x:v>408680.68000000005</x:v>
      </x:c>
      <x:c r="I26" s="416">
        <x:f t="shared" si="1"/>
        <x:v>-143038.23800000001</x:v>
      </x:c>
      <x:c r="J26" s="416">
        <x:f t="shared" si="2"/>
        <x:v>1948445.2420000001</x:v>
      </x:c>
      <x:c r="K26" s="437"/>
      <x:c r="L26" s="419">
        <x:f t="shared" si="10"/>
        <x:v>4808008</x:v>
      </x:c>
      <x:c r="M26" s="416">
        <x:f t="shared" si="3"/>
        <x:v>1009681.6799999999</x:v>
      </x:c>
      <x:c r="N26" s="419">
        <x:v>408680.68000000005</x:v>
      </x:c>
      <x:c r="O26" s="416">
        <x:f t="shared" si="4"/>
        <x:v>-85822.942800000004</x:v>
      </x:c>
      <x:c r="P26" s="416">
        <x:f t="shared" si="5"/>
        <x:v>1332539.4171999998</x:v>
      </x:c>
      <x:c r="Q26" s="416"/>
      <x:c r="R26" s="416">
        <x:f t="shared" si="6"/>
        <x:v>615905.82480000029</x:v>
      </x:c>
      <x:c r="S26" s="437"/>
      <x:c r="T26" s="419">
        <x:v>615905.82480000006</x:v>
      </x:c>
      <x:c r="U26" s="437"/>
      <x:c r="V26" s="419">
        <x:v>0</x:v>
      </x:c>
      <x:c r="W26" s="437"/>
      <x:c r="X26" s="416">
        <x:f t="shared" si="7"/>
        <x:v>2.3283064365386963E-10</x:v>
      </x:c>
      <x:c r="Y26" s="418"/>
      <x:c r="Z26" s="304" t="s">
        <x:v>1738</x:v>
      </x:c>
      <x:c r="AA26" s="417"/>
      <x:c r="AB26" s="304" t="s">
        <x:v>1734</x:v>
      </x:c>
      <x:c r="AC26" s="417"/>
      <x:c r="AD26" s="1050">
        <x:v>0</x:v>
      </x:c>
      <x:c r="AE26" s="417"/>
      <x:c r="AF26" s="416">
        <x:f t="shared" si="11"/>
        <x:v>0</x:v>
      </x:c>
      <x:c r="AG26" s="167"/>
      <x:c r="AH26" s="183">
        <x:v>190</x:v>
      </x:c>
      <x:c r="AI26" s="183"/>
    </x:row>
    <x:row r="27" spans="2:35">
      <x:c r="B27" s="1303">
        <x:f t="shared" si="9"/>
        <x:v>16</x:v>
      </x:c>
      <x:c r="C27" s="296" t="s">
        <x:v>1580</x:v>
      </x:c>
      <x:c r="D27" s="296" t="s">
        <x:v>1579</x:v>
      </x:c>
      <x:c r="E27" s="296" t="s">
        <x:v>1248</x:v>
      </x:c>
      <x:c r="F27" s="419">
        <x:v>1459149.89</x:v>
      </x:c>
      <x:c r="G27" s="416">
        <x:f t="shared" si="0"/>
        <x:v>510702.46149999992</x:v>
      </x:c>
      <x:c r="H27" s="419">
        <x:v>124027.74065000001</x:v>
      </x:c>
      <x:c r="I27" s="416">
        <x:f t="shared" si="1"/>
        <x:v>-43409.709227500003</x:v>
      </x:c>
      <x:c r="J27" s="416">
        <x:f t="shared" si="2"/>
        <x:v>591320.49292249989</x:v>
      </x:c>
      <x:c r="K27" s="437"/>
      <x:c r="L27" s="419">
        <x:f t="shared" si="10"/>
        <x:v>1459149.89</x:v>
      </x:c>
      <x:c r="M27" s="416">
        <x:f t="shared" si="3"/>
        <x:v>306421.47689999995</x:v>
      </x:c>
      <x:c r="N27" s="419">
        <x:v>124027.74065000001</x:v>
      </x:c>
      <x:c r="O27" s="416">
        <x:f t="shared" si="4"/>
        <x:v>-26045.8255365</x:v>
      </x:c>
      <x:c r="P27" s="416">
        <x:f t="shared" si="5"/>
        <x:v>404403.39201349992</x:v>
      </x:c>
      <x:c r="Q27" s="416"/>
      <x:c r="R27" s="416">
        <x:f t="shared" si="6"/>
        <x:v>186917.10090899997</x:v>
      </x:c>
      <x:c r="S27" s="437"/>
      <x:c r="T27" s="419">
        <x:v>186917.100909</x:v>
      </x:c>
      <x:c r="U27" s="437"/>
      <x:c r="V27" s="419">
        <x:v>0</x:v>
      </x:c>
      <x:c r="W27" s="437"/>
      <x:c r="X27" s="416">
        <x:f t="shared" si="7"/>
        <x:v>-2.9103830456733704E-11</x:v>
      </x:c>
      <x:c r="Y27" s="418"/>
      <x:c r="Z27" s="304" t="s">
        <x:v>1738</x:v>
      </x:c>
      <x:c r="AA27" s="417"/>
      <x:c r="AB27" s="304" t="s">
        <x:v>1734</x:v>
      </x:c>
      <x:c r="AC27" s="417"/>
      <x:c r="AD27" s="1050">
        <x:v>0</x:v>
      </x:c>
      <x:c r="AE27" s="417"/>
      <x:c r="AF27" s="416">
        <x:f t="shared" si="11"/>
        <x:v>0</x:v>
      </x:c>
      <x:c r="AG27" s="167"/>
      <x:c r="AH27" s="183">
        <x:v>190</x:v>
      </x:c>
      <x:c r="AI27" s="183"/>
    </x:row>
    <x:row r="28" spans="2:35">
      <x:c r="B28" s="1303">
        <x:f t="shared" si="9"/>
        <x:v>17</x:v>
      </x:c>
      <x:c r="C28" s="296" t="s">
        <x:v>1581</x:v>
      </x:c>
      <x:c r="D28" s="296" t="s">
        <x:v>1579</x:v>
      </x:c>
      <x:c r="E28" s="296" t="s">
        <x:v>1248</x:v>
      </x:c>
      <x:c r="F28" s="419">
        <x:v>-1359144</x:v>
      </x:c>
      <x:c r="G28" s="416">
        <x:f t="shared" si="0"/>
        <x:v>-475700.39999999997</x:v>
      </x:c>
      <x:c r="H28" s="419">
        <x:v>-115527.24</x:v>
      </x:c>
      <x:c r="I28" s="416">
        <x:f t="shared" si="1"/>
        <x:v>40434.534</x:v>
      </x:c>
      <x:c r="J28" s="416">
        <x:f t="shared" si="2"/>
        <x:v>-550793.10600000003</x:v>
      </x:c>
      <x:c r="K28" s="437"/>
      <x:c r="L28" s="419">
        <x:f t="shared" si="10"/>
        <x:v>-1359144</x:v>
      </x:c>
      <x:c r="M28" s="416">
        <x:f t="shared" si="3"/>
        <x:v>-285420.24</x:v>
      </x:c>
      <x:c r="N28" s="419">
        <x:v>-115527.24</x:v>
      </x:c>
      <x:c r="O28" s="416">
        <x:f t="shared" si="4"/>
        <x:v>24260.720400000002</x:v>
      </x:c>
      <x:c r="P28" s="416">
        <x:f t="shared" si="5"/>
        <x:v>-376686.75959999999</x:v>
      </x:c>
      <x:c r="Q28" s="416"/>
      <x:c r="R28" s="416">
        <x:f t="shared" si="6"/>
        <x:v>-174106.34640000004</x:v>
      </x:c>
      <x:c r="S28" s="437"/>
      <x:c r="T28" s="419">
        <x:v>-174106.34640000001</x:v>
      </x:c>
      <x:c r="U28" s="437"/>
      <x:c r="V28" s="419">
        <x:v>0</x:v>
      </x:c>
      <x:c r="W28" s="437"/>
      <x:c r="X28" s="416">
        <x:f t="shared" si="7"/>
        <x:v>-2.9103830456733704E-11</x:v>
      </x:c>
      <x:c r="Y28" s="418"/>
      <x:c r="Z28" s="304" t="s">
        <x:v>1738</x:v>
      </x:c>
      <x:c r="AA28" s="417"/>
      <x:c r="AB28" s="304" t="s">
        <x:v>1734</x:v>
      </x:c>
      <x:c r="AC28" s="417"/>
      <x:c r="AD28" s="1050">
        <x:v>0</x:v>
      </x:c>
      <x:c r="AE28" s="417"/>
      <x:c r="AF28" s="416">
        <x:f t="shared" si="11"/>
        <x:v>0</x:v>
      </x:c>
      <x:c r="AG28" s="167"/>
      <x:c r="AH28" s="183">
        <x:v>190</x:v>
      </x:c>
      <x:c r="AI28" s="183"/>
    </x:row>
    <x:row r="29" spans="2:35">
      <x:c r="B29" s="1303">
        <x:f t="shared" si="9"/>
        <x:v>18</x:v>
      </x:c>
      <x:c r="C29" s="296" t="s">
        <x:v>1909</x:v>
      </x:c>
      <x:c r="D29" s="296" t="s">
        <x:v>1579</x:v>
      </x:c>
      <x:c r="E29" s="296" t="s">
        <x:v>1248</x:v>
      </x:c>
      <x:c r="F29" s="419">
        <x:v>-4808008</x:v>
      </x:c>
      <x:c r="G29" s="416">
        <x:f t="shared" si="0"/>
        <x:v>-1682802.7999999998</x:v>
      </x:c>
      <x:c r="H29" s="419">
        <x:v>-408680.68000000005</x:v>
      </x:c>
      <x:c r="I29" s="416">
        <x:f t="shared" si="1"/>
        <x:v>143038.23800000001</x:v>
      </x:c>
      <x:c r="J29" s="416">
        <x:f t="shared" si="2"/>
        <x:v>-1948445.2420000001</x:v>
      </x:c>
      <x:c r="K29" s="437"/>
      <x:c r="L29" s="419">
        <x:f t="shared" si="10"/>
        <x:v>-4808008</x:v>
      </x:c>
      <x:c r="M29" s="416">
        <x:f t="shared" si="3"/>
        <x:v>-1009681.6799999999</x:v>
      </x:c>
      <x:c r="N29" s="419">
        <x:v>-408680.68000000005</x:v>
      </x:c>
      <x:c r="O29" s="416">
        <x:f t="shared" si="4"/>
        <x:v>85822.942800000004</x:v>
      </x:c>
      <x:c r="P29" s="416">
        <x:f t="shared" si="5"/>
        <x:v>-1332539.4171999998</x:v>
      </x:c>
      <x:c r="Q29" s="416"/>
      <x:c r="R29" s="416">
        <x:f t="shared" si="6"/>
        <x:v>-615905.82480000029</x:v>
      </x:c>
      <x:c r="S29" s="437"/>
      <x:c r="T29" s="419">
        <x:v>-615905.82480000006</x:v>
      </x:c>
      <x:c r="U29" s="437"/>
      <x:c r="V29" s="419">
        <x:v>0</x:v>
      </x:c>
      <x:c r="W29" s="437"/>
      <x:c r="X29" s="416">
        <x:f t="shared" si="7"/>
        <x:v>-2.3283064365386963E-10</x:v>
      </x:c>
      <x:c r="Y29" s="418"/>
      <x:c r="Z29" s="304" t="s">
        <x:v>1738</x:v>
      </x:c>
      <x:c r="AA29" s="417"/>
      <x:c r="AB29" s="304" t="s">
        <x:v>1734</x:v>
      </x:c>
      <x:c r="AC29" s="417"/>
      <x:c r="AD29" s="1050">
        <x:v>0</x:v>
      </x:c>
      <x:c r="AE29" s="417"/>
      <x:c r="AF29" s="416">
        <x:f t="shared" si="11"/>
        <x:v>0</x:v>
      </x:c>
      <x:c r="AG29" s="167"/>
      <x:c r="AH29" s="183">
        <x:v>190</x:v>
      </x:c>
      <x:c r="AI29" s="183"/>
    </x:row>
    <x:row r="30" spans="2:35">
      <x:c r="B30" s="1303">
        <x:f t="shared" si="9"/>
        <x:v>19</x:v>
      </x:c>
      <x:c r="C30" s="296" t="s">
        <x:v>1582</x:v>
      </x:c>
      <x:c r="D30" s="296" t="s">
        <x:v>1579</x:v>
      </x:c>
      <x:c r="E30" s="296" t="s">
        <x:v>1248</x:v>
      </x:c>
      <x:c r="F30" s="419">
        <x:v>7685079.3799999999</x:v>
      </x:c>
      <x:c r="G30" s="416">
        <x:f t="shared" si="0"/>
        <x:v>2689777.7829999998</x:v>
      </x:c>
      <x:c r="H30" s="419">
        <x:v>653231.74730000005</x:v>
      </x:c>
      <x:c r="I30" s="416">
        <x:f t="shared" si="1"/>
        <x:v>-228631.11155500001</x:v>
      </x:c>
      <x:c r="J30" s="416">
        <x:f t="shared" si="2"/>
        <x:v>3114378.4187449999</x:v>
      </x:c>
      <x:c r="K30" s="437"/>
      <x:c r="L30" s="419">
        <x:f t="shared" si="10"/>
        <x:v>7685079.3799999999</x:v>
      </x:c>
      <x:c r="M30" s="416">
        <x:f t="shared" si="3"/>
        <x:v>1613866.6698</x:v>
      </x:c>
      <x:c r="N30" s="419">
        <x:v>653231.74730000005</x:v>
      </x:c>
      <x:c r="O30" s="416">
        <x:f t="shared" si="4"/>
        <x:v>-137178.666933</x:v>
      </x:c>
      <x:c r="P30" s="416">
        <x:f t="shared" si="5"/>
        <x:v>2129919.7501670001</x:v>
      </x:c>
      <x:c r="Q30" s="416"/>
      <x:c r="R30" s="416">
        <x:f t="shared" si="6"/>
        <x:v>984458.66857799981</x:v>
      </x:c>
      <x:c r="S30" s="437"/>
      <x:c r="T30" s="419">
        <x:v>984458.66857800004</x:v>
      </x:c>
      <x:c r="U30" s="437"/>
      <x:c r="V30" s="419">
        <x:v>0</x:v>
      </x:c>
      <x:c r="W30" s="437"/>
      <x:c r="X30" s="416">
        <x:f t="shared" si="7"/>
        <x:v>-2.3283064365386963E-10</x:v>
      </x:c>
      <x:c r="Y30" s="418"/>
      <x:c r="Z30" s="304" t="s">
        <x:v>1738</x:v>
      </x:c>
      <x:c r="AA30" s="417"/>
      <x:c r="AB30" s="304" t="s">
        <x:v>1734</x:v>
      </x:c>
      <x:c r="AC30" s="417"/>
      <x:c r="AD30" s="1050">
        <x:v>0</x:v>
      </x:c>
      <x:c r="AE30" s="417"/>
      <x:c r="AF30" s="416">
        <x:f t="shared" si="11"/>
        <x:v>0</x:v>
      </x:c>
      <x:c r="AG30" s="167"/>
      <x:c r="AH30" s="183">
        <x:v>190</x:v>
      </x:c>
      <x:c r="AI30" s="183"/>
    </x:row>
    <x:row r="31" spans="2:35">
      <x:c r="B31" s="1303">
        <x:f t="shared" si="9"/>
        <x:v>20</x:v>
      </x:c>
      <x:c r="C31" s="296" t="s">
        <x:v>1583</x:v>
      </x:c>
      <x:c r="D31" s="296" t="s">
        <x:v>1584</x:v>
      </x:c>
      <x:c r="E31" s="296" t="s">
        <x:v>1248</x:v>
      </x:c>
      <x:c r="F31" s="419">
        <x:v>14820536.34</x:v>
      </x:c>
      <x:c r="G31" s="416">
        <x:f t="shared" si="0"/>
        <x:v>5187187.7189999996</x:v>
      </x:c>
      <x:c r="H31" s="419">
        <x:v>1259745.5889000001</x:v>
      </x:c>
      <x:c r="I31" s="416">
        <x:f t="shared" si="1"/>
        <x:v>-440910.95611500001</x:v>
      </x:c>
      <x:c r="J31" s="416">
        <x:f t="shared" si="2"/>
        <x:v>6006022.3517849995</x:v>
      </x:c>
      <x:c r="K31" s="437"/>
      <x:c r="L31" s="419">
        <x:f t="shared" si="10"/>
        <x:v>14820536.34</x:v>
      </x:c>
      <x:c r="M31" s="416">
        <x:f t="shared" si="3"/>
        <x:v>3112312.6313999998</x:v>
      </x:c>
      <x:c r="N31" s="419">
        <x:v>1259745.5889000001</x:v>
      </x:c>
      <x:c r="O31" s="416">
        <x:f t="shared" si="4"/>
        <x:v>-264546.573669</x:v>
      </x:c>
      <x:c r="P31" s="416">
        <x:f t="shared" si="5"/>
        <x:v>4107511.6466310001</x:v>
      </x:c>
      <x:c r="Q31" s="416"/>
      <x:c r="R31" s="416">
        <x:f t="shared" si="6"/>
        <x:v>1898510.7051539994</x:v>
      </x:c>
      <x:c r="S31" s="437"/>
      <x:c r="T31" s="419">
        <x:v>0</x:v>
      </x:c>
      <x:c r="U31" s="437"/>
      <x:c r="V31" s="419">
        <x:v>0</x:v>
      </x:c>
      <x:c r="W31" s="437"/>
      <x:c r="X31" s="416">
        <x:f t="shared" si="7"/>
        <x:v>1898510.7051539994</x:v>
      </x:c>
      <x:c r="Y31" s="418"/>
      <x:c r="Z31" s="304" t="s">
        <x:v>233</x:v>
      </x:c>
      <x:c r="AA31" s="417"/>
      <x:c r="AB31" s="304" t="s">
        <x:v>1737</x:v>
      </x:c>
      <x:c r="AC31" s="417"/>
      <x:c r="AD31" s="1050">
        <x:v>6.0801999999999995E-2</x:v>
      </x:c>
      <x:c r="AE31" s="417"/>
      <x:c r="AF31" s="416">
        <x:f t="shared" si="11"/>
        <x:v>115433.24789477346</x:v>
      </x:c>
      <x:c r="AG31" s="167"/>
      <x:c r="AH31" s="183">
        <x:v>190</x:v>
      </x:c>
      <x:c r="AI31" s="183"/>
    </x:row>
    <x:row r="32" spans="2:35">
      <x:c r="B32" s="1303">
        <x:f t="shared" si="9"/>
        <x:v>21</x:v>
      </x:c>
      <x:c r="C32" s="296" t="s">
        <x:v>1585</x:v>
      </x:c>
      <x:c r="D32" s="296" t="s">
        <x:v>1586</x:v>
      </x:c>
      <x:c r="E32" s="296" t="s">
        <x:v>1248</x:v>
      </x:c>
      <x:c r="F32" s="419">
        <x:v>-0.34000000008381903</x:v>
      </x:c>
      <x:c r="G32" s="416">
        <x:f t="shared" si="0"/>
        <x:v>-0.11900000002933665</x:v>
      </x:c>
      <x:c r="H32" s="419">
        <x:v>-2.8900000007124619E-2</x:v>
      </x:c>
      <x:c r="I32" s="416">
        <x:f t="shared" si="1"/>
        <x:v>1.0115000002493615E-2</x:v>
      </x:c>
      <x:c r="J32" s="416">
        <x:f t="shared" si="2"/>
        <x:v>-0.13778500003396765</x:v>
      </x:c>
      <x:c r="K32" s="437"/>
      <x:c r="L32" s="419">
        <x:f t="shared" si="10"/>
        <x:v>-0.34000000008381903</x:v>
      </x:c>
      <x:c r="M32" s="416">
        <x:f t="shared" si="3"/>
        <x:v>-7.1400000017601994E-2</x:v>
      </x:c>
      <x:c r="N32" s="419">
        <x:v>-2.8900000007124619E-2</x:v>
      </x:c>
      <x:c r="O32" s="416">
        <x:f t="shared" si="4"/>
        <x:v>6.0690000014961701E-3</x:v>
      </x:c>
      <x:c r="P32" s="416">
        <x:f t="shared" si="5"/>
        <x:v>-9.4231000023230441E-2</x:v>
      </x:c>
      <x:c r="Q32" s="416"/>
      <x:c r="R32" s="416">
        <x:f t="shared" si="6"/>
        <x:v>-4.3554000010737212E-2</x:v>
      </x:c>
      <x:c r="S32" s="437"/>
      <x:c r="T32" s="419">
        <x:v>0</x:v>
      </x:c>
      <x:c r="U32" s="437"/>
      <x:c r="V32" s="419">
        <x:v>0</x:v>
      </x:c>
      <x:c r="W32" s="437"/>
      <x:c r="X32" s="416">
        <x:f t="shared" si="7"/>
        <x:v>-4.3554000010737212E-2</x:v>
      </x:c>
      <x:c r="Y32" s="418"/>
      <x:c r="Z32" s="304" t="s">
        <x:v>1738</x:v>
      </x:c>
      <x:c r="AA32" s="417"/>
      <x:c r="AB32" s="304" t="s">
        <x:v>1737</x:v>
      </x:c>
      <x:c r="AC32" s="417"/>
      <x:c r="AD32" s="1050">
        <x:v>0.31493199999999999</x:v>
      </x:c>
      <x:c r="AE32" s="417"/>
      <x:c r="AF32" s="416">
        <x:f t="shared" si="11"/>
        <x:v>-1.3716548331381492E-2</x:v>
      </x:c>
      <x:c r="AG32" s="167"/>
      <x:c r="AH32" s="183">
        <x:v>190</x:v>
      </x:c>
      <x:c r="AI32" s="183"/>
    </x:row>
    <x:row r="33" spans="2:35">
      <x:c r="B33" s="1303">
        <x:f t="shared" si="9"/>
        <x:v>22</x:v>
      </x:c>
      <x:c r="C33" s="296" t="s">
        <x:v>1587</x:v>
      </x:c>
      <x:c r="D33" s="296" t="s">
        <x:v>1586</x:v>
      </x:c>
      <x:c r="E33" s="296" t="s">
        <x:v>1248</x:v>
      </x:c>
      <x:c r="F33" s="419">
        <x:v>7104.89</x:v>
      </x:c>
      <x:c r="G33" s="416">
        <x:f t="shared" si="0"/>
        <x:v>2486.7114999999999</x:v>
      </x:c>
      <x:c r="H33" s="419">
        <x:v>603.91565000000003</x:v>
      </x:c>
      <x:c r="I33" s="416">
        <x:f t="shared" si="1"/>
        <x:v>-211.37047749999999</x:v>
      </x:c>
      <x:c r="J33" s="416">
        <x:f t="shared" si="2"/>
        <x:v>2879.2566724999997</x:v>
      </x:c>
      <x:c r="K33" s="437"/>
      <x:c r="L33" s="419">
        <x:f t="shared" si="10"/>
        <x:v>7104.89</x:v>
      </x:c>
      <x:c r="M33" s="416">
        <x:f t="shared" si="3"/>
        <x:v>1492.0269000000001</x:v>
      </x:c>
      <x:c r="N33" s="419">
        <x:v>603.91565000000003</x:v>
      </x:c>
      <x:c r="O33" s="416">
        <x:f t="shared" si="4"/>
        <x:v>-126.8222865</x:v>
      </x:c>
      <x:c r="P33" s="416">
        <x:f t="shared" si="5"/>
        <x:v>1969.1202635000002</x:v>
      </x:c>
      <x:c r="Q33" s="416"/>
      <x:c r="R33" s="416">
        <x:f t="shared" si="6"/>
        <x:v>910.1364089999995</x:v>
      </x:c>
      <x:c r="S33" s="437"/>
      <x:c r="T33" s="419">
        <x:v>0</x:v>
      </x:c>
      <x:c r="U33" s="437"/>
      <x:c r="V33" s="419">
        <x:v>0</x:v>
      </x:c>
      <x:c r="W33" s="437"/>
      <x:c r="X33" s="416">
        <x:f t="shared" si="7"/>
        <x:v>910.1364089999995</x:v>
      </x:c>
      <x:c r="Y33" s="418"/>
      <x:c r="Z33" s="304" t="s">
        <x:v>1736</x:v>
      </x:c>
      <x:c r="AA33" s="417"/>
      <x:c r="AB33" s="304" t="s">
        <x:v>1734</x:v>
      </x:c>
      <x:c r="AC33" s="417"/>
      <x:c r="AD33" s="1050">
        <x:v>0</x:v>
      </x:c>
      <x:c r="AE33" s="417"/>
      <x:c r="AF33" s="416">
        <x:f t="shared" si="11"/>
        <x:v>0</x:v>
      </x:c>
      <x:c r="AG33" s="167"/>
      <x:c r="AH33" s="183">
        <x:v>190</x:v>
      </x:c>
      <x:c r="AI33" s="183"/>
    </x:row>
    <x:row r="34" spans="2:35">
      <x:c r="B34" s="1303">
        <x:f t="shared" si="9"/>
        <x:v>23</x:v>
      </x:c>
      <x:c r="C34" s="296" t="s">
        <x:v>1588</x:v>
      </x:c>
      <x:c r="D34" s="296" t="s">
        <x:v>1586</x:v>
      </x:c>
      <x:c r="E34" s="296" t="s">
        <x:v>1248</x:v>
      </x:c>
      <x:c r="F34" s="419">
        <x:v>1359144</x:v>
      </x:c>
      <x:c r="G34" s="416">
        <x:f t="shared" si="0"/>
        <x:v>475700.39999999997</x:v>
      </x:c>
      <x:c r="H34" s="419">
        <x:v>115527.24</x:v>
      </x:c>
      <x:c r="I34" s="416">
        <x:f t="shared" si="1"/>
        <x:v>-40434.534</x:v>
      </x:c>
      <x:c r="J34" s="416">
        <x:f t="shared" si="2"/>
        <x:v>550793.10600000003</x:v>
      </x:c>
      <x:c r="K34" s="437"/>
      <x:c r="L34" s="419">
        <x:f t="shared" si="10"/>
        <x:v>1359144</x:v>
      </x:c>
      <x:c r="M34" s="416">
        <x:f t="shared" si="3"/>
        <x:v>285420.24</x:v>
      </x:c>
      <x:c r="N34" s="419">
        <x:v>115527.24</x:v>
      </x:c>
      <x:c r="O34" s="416">
        <x:f t="shared" si="4"/>
        <x:v>-24260.720400000002</x:v>
      </x:c>
      <x:c r="P34" s="416">
        <x:f t="shared" si="5"/>
        <x:v>376686.75959999999</x:v>
      </x:c>
      <x:c r="Q34" s="416"/>
      <x:c r="R34" s="416">
        <x:f t="shared" si="6"/>
        <x:v>174106.34640000004</x:v>
      </x:c>
      <x:c r="S34" s="437"/>
      <x:c r="T34" s="419">
        <x:v>0</x:v>
      </x:c>
      <x:c r="U34" s="437"/>
      <x:c r="V34" s="419">
        <x:v>0</x:v>
      </x:c>
      <x:c r="W34" s="437"/>
      <x:c r="X34" s="416">
        <x:f t="shared" si="7"/>
        <x:v>174106.34640000004</x:v>
      </x:c>
      <x:c r="Y34" s="418"/>
      <x:c r="Z34" s="304" t="s">
        <x:v>1738</x:v>
      </x:c>
      <x:c r="AA34" s="417"/>
      <x:c r="AB34" s="304" t="s">
        <x:v>1737</x:v>
      </x:c>
      <x:c r="AC34" s="417"/>
      <x:c r="AD34" s="1051">
        <x:v>0.36620000000000003</x:v>
      </x:c>
      <x:c r="AE34" s="417"/>
      <x:c r="AF34" s="416">
        <x:f t="shared" si="11"/>
        <x:v>63757.74405168002</x:v>
      </x:c>
      <x:c r="AG34" s="167"/>
      <x:c r="AH34" s="183">
        <x:v>190</x:v>
      </x:c>
      <x:c r="AI34" s="183"/>
    </x:row>
    <x:row r="35" spans="2:35">
      <x:c r="B35" s="1303">
        <x:f t="shared" si="9"/>
        <x:v>24</x:v>
      </x:c>
      <x:c r="C35" s="296" t="s">
        <x:v>1589</x:v>
      </x:c>
      <x:c r="D35" s="296" t="s">
        <x:v>1586</x:v>
      </x:c>
      <x:c r="E35" s="296" t="s">
        <x:v>1248</x:v>
      </x:c>
      <x:c r="F35" s="419">
        <x:v>2834390.52</x:v>
      </x:c>
      <x:c r="G35" s="416">
        <x:f t="shared" si="0"/>
        <x:v>992036.68199999991</x:v>
      </x:c>
      <x:c r="H35" s="419">
        <x:v>240923.19420000003</x:v>
      </x:c>
      <x:c r="I35" s="416">
        <x:f t="shared" si="1"/>
        <x:v>-84323.117970000007</x:v>
      </x:c>
      <x:c r="J35" s="416">
        <x:f t="shared" si="2"/>
        <x:v>1148636.7582299998</x:v>
      </x:c>
      <x:c r="K35" s="437"/>
      <x:c r="L35" s="419">
        <x:f t="shared" si="10"/>
        <x:v>2834390.52</x:v>
      </x:c>
      <x:c r="M35" s="416">
        <x:f t="shared" si="3"/>
        <x:v>595222.00919999997</x:v>
      </x:c>
      <x:c r="N35" s="419">
        <x:v>240923.19420000003</x:v>
      </x:c>
      <x:c r="O35" s="416">
        <x:f t="shared" si="4"/>
        <x:v>-50593.870782000005</x:v>
      </x:c>
      <x:c r="P35" s="416">
        <x:f t="shared" si="5"/>
        <x:v>785551.33261799999</x:v>
      </x:c>
      <x:c r="Q35" s="416"/>
      <x:c r="R35" s="416">
        <x:f t="shared" si="6"/>
        <x:v>363085.42561199982</x:v>
      </x:c>
      <x:c r="S35" s="437"/>
      <x:c r="T35" s="419">
        <x:v>0</x:v>
      </x:c>
      <x:c r="U35" s="437"/>
      <x:c r="V35" s="419">
        <x:v>0</x:v>
      </x:c>
      <x:c r="W35" s="437"/>
      <x:c r="X35" s="416">
        <x:f t="shared" si="7"/>
        <x:v>363085.42561199982</x:v>
      </x:c>
      <x:c r="Y35" s="418"/>
      <x:c r="Z35" s="304" t="s">
        <x:v>1738</x:v>
      </x:c>
      <x:c r="AA35" s="417"/>
      <x:c r="AB35" s="304" t="s">
        <x:v>1737</x:v>
      </x:c>
      <x:c r="AC35" s="417"/>
      <x:c r="AD35" s="1051">
        <x:v>0.36620000000000003</x:v>
      </x:c>
      <x:c r="AE35" s="417"/>
      <x:c r="AF35" s="416">
        <x:f t="shared" si="11"/>
        <x:v>132961.88285911435</x:v>
      </x:c>
      <x:c r="AG35" s="167"/>
      <x:c r="AH35" s="183">
        <x:v>190</x:v>
      </x:c>
      <x:c r="AI35" s="183"/>
    </x:row>
    <x:row r="36" spans="2:35">
      <x:c r="B36" s="1303">
        <x:f t="shared" si="9"/>
        <x:v>25</x:v>
      </x:c>
      <x:c r="C36" s="296" t="s">
        <x:v>1590</x:v>
      </x:c>
      <x:c r="D36" s="296" t="s">
        <x:v>1586</x:v>
      </x:c>
      <x:c r="E36" s="296" t="s">
        <x:v>1248</x:v>
      </x:c>
      <x:c r="F36" s="419">
        <x:v>836174.79</x:v>
      </x:c>
      <x:c r="G36" s="416">
        <x:f t="shared" si="0"/>
        <x:v>292661.1765</x:v>
      </x:c>
      <x:c r="H36" s="419">
        <x:v>71074.857150000011</x:v>
      </x:c>
      <x:c r="I36" s="416">
        <x:f t="shared" si="1"/>
        <x:v>-24876.200002500002</x:v>
      </x:c>
      <x:c r="J36" s="416">
        <x:f t="shared" si="2"/>
        <x:v>338859.83364750003</x:v>
      </x:c>
      <x:c r="K36" s="437"/>
      <x:c r="L36" s="419">
        <x:f t="shared" si="10"/>
        <x:v>836174.79</x:v>
      </x:c>
      <x:c r="M36" s="416">
        <x:f t="shared" si="3"/>
        <x:v>175596.7059</x:v>
      </x:c>
      <x:c r="N36" s="419">
        <x:v>71074.857150000011</x:v>
      </x:c>
      <x:c r="O36" s="416">
        <x:f t="shared" si="4"/>
        <x:v>-14925.720001500002</x:v>
      </x:c>
      <x:c r="P36" s="416">
        <x:f t="shared" si="5"/>
        <x:v>231745.84304849998</x:v>
      </x:c>
      <x:c r="Q36" s="416"/>
      <x:c r="R36" s="416">
        <x:f t="shared" si="6"/>
        <x:v>107113.99059900004</x:v>
      </x:c>
      <x:c r="S36" s="437"/>
      <x:c r="T36" s="419">
        <x:v>0</x:v>
      </x:c>
      <x:c r="U36" s="437"/>
      <x:c r="V36" s="419">
        <x:v>0</x:v>
      </x:c>
      <x:c r="W36" s="437"/>
      <x:c r="X36" s="416">
        <x:f t="shared" si="7"/>
        <x:v>107113.99059900004</x:v>
      </x:c>
      <x:c r="Y36" s="418"/>
      <x:c r="Z36" s="304" t="s">
        <x:v>1738</x:v>
      </x:c>
      <x:c r="AA36" s="417"/>
      <x:c r="AB36" s="304" t="s">
        <x:v>1737</x:v>
      </x:c>
      <x:c r="AC36" s="417"/>
      <x:c r="AD36" s="1051">
        <x:v>0.36620000000000003</x:v>
      </x:c>
      <x:c r="AE36" s="417"/>
      <x:c r="AF36" s="416">
        <x:f t="shared" si="11"/>
        <x:v>39225.143357353816</x:v>
      </x:c>
      <x:c r="AG36" s="167"/>
      <x:c r="AH36" s="183">
        <x:v>190</x:v>
      </x:c>
      <x:c r="AI36" s="183"/>
    </x:row>
    <x:row r="37" spans="2:35">
      <x:c r="B37" s="1303">
        <x:f t="shared" si="9"/>
        <x:v>26</x:v>
      </x:c>
      <x:c r="C37" s="296" t="s">
        <x:v>1591</x:v>
      </x:c>
      <x:c r="D37" s="296" t="s">
        <x:v>1586</x:v>
      </x:c>
      <x:c r="E37" s="296" t="s">
        <x:v>1248</x:v>
      </x:c>
      <x:c r="F37" s="419">
        <x:v>230640.52</x:v>
      </x:c>
      <x:c r="G37" s="416">
        <x:f t="shared" si="0"/>
        <x:v>80724.181999999986</x:v>
      </x:c>
      <x:c r="H37" s="419">
        <x:v>19604.444200000002</x:v>
      </x:c>
      <x:c r="I37" s="416">
        <x:f t="shared" si="1"/>
        <x:v>-6861.5554700000002</x:v>
      </x:c>
      <x:c r="J37" s="416">
        <x:f t="shared" si="2"/>
        <x:v>93467.070729999978</x:v>
      </x:c>
      <x:c r="K37" s="437"/>
      <x:c r="L37" s="419">
        <x:f t="shared" si="10"/>
        <x:v>230640.52</x:v>
      </x:c>
      <x:c r="M37" s="416">
        <x:f t="shared" si="3"/>
        <x:v>48434.509199999993</x:v>
      </x:c>
      <x:c r="N37" s="419">
        <x:v>19604.444200000002</x:v>
      </x:c>
      <x:c r="O37" s="416">
        <x:f t="shared" si="4"/>
        <x:v>-4116.933282</x:v>
      </x:c>
      <x:c r="P37" s="416">
        <x:f t="shared" si="5"/>
        <x:v>63922.020118</x:v>
      </x:c>
      <x:c r="Q37" s="416"/>
      <x:c r="R37" s="416">
        <x:f t="shared" si="6"/>
        <x:v>29545.050611999977</x:v>
      </x:c>
      <x:c r="S37" s="437"/>
      <x:c r="T37" s="419">
        <x:v>0</x:v>
      </x:c>
      <x:c r="U37" s="437"/>
      <x:c r="V37" s="419">
        <x:v>0</x:v>
      </x:c>
      <x:c r="W37" s="437"/>
      <x:c r="X37" s="416">
        <x:f t="shared" si="7"/>
        <x:v>29545.050611999977</x:v>
      </x:c>
      <x:c r="Y37" s="418"/>
      <x:c r="Z37" s="304" t="s">
        <x:v>1736</x:v>
      </x:c>
      <x:c r="AA37" s="417"/>
      <x:c r="AB37" s="304" t="s">
        <x:v>1734</x:v>
      </x:c>
      <x:c r="AC37" s="417"/>
      <x:c r="AD37" s="1050">
        <x:v>0</x:v>
      </x:c>
      <x:c r="AE37" s="417"/>
      <x:c r="AF37" s="416">
        <x:f t="shared" si="11"/>
        <x:v>0</x:v>
      </x:c>
      <x:c r="AG37" s="167"/>
      <x:c r="AH37" s="183">
        <x:v>190</x:v>
      </x:c>
      <x:c r="AI37" s="183"/>
    </x:row>
    <x:row r="38" spans="2:35">
      <x:c r="B38" s="1303">
        <x:f t="shared" si="9"/>
        <x:v>27</x:v>
      </x:c>
      <x:c r="C38" s="296" t="s">
        <x:v>1592</x:v>
      </x:c>
      <x:c r="D38" s="296" t="s">
        <x:v>1586</x:v>
      </x:c>
      <x:c r="E38" s="296" t="s">
        <x:v>1248</x:v>
      </x:c>
      <x:c r="F38" s="419">
        <x:v>-495791.52</x:v>
      </x:c>
      <x:c r="G38" s="416">
        <x:f t="shared" si="0"/>
        <x:v>-173527.03200000001</x:v>
      </x:c>
      <x:c r="H38" s="419">
        <x:v>-42142.279200000004</x:v>
      </x:c>
      <x:c r="I38" s="416">
        <x:f t="shared" si="1"/>
        <x:v>14749.79772</x:v>
      </x:c>
      <x:c r="J38" s="416">
        <x:f t="shared" si="2"/>
        <x:v>-200919.51347999999</x:v>
      </x:c>
      <x:c r="K38" s="437"/>
      <x:c r="L38" s="419">
        <x:f t="shared" si="10"/>
        <x:v>-495791.52</x:v>
      </x:c>
      <x:c r="M38" s="416">
        <x:f t="shared" si="3"/>
        <x:v>-104116.21920000001</x:v>
      </x:c>
      <x:c r="N38" s="419">
        <x:v>-42142.279200000004</x:v>
      </x:c>
      <x:c r="O38" s="416">
        <x:f t="shared" si="4"/>
        <x:v>8849.8786319999999</x:v>
      </x:c>
      <x:c r="P38" s="416">
        <x:f t="shared" si="5"/>
        <x:v>-137408.619768</x:v>
      </x:c>
      <x:c r="Q38" s="416"/>
      <x:c r="R38" s="416">
        <x:f t="shared" si="6"/>
        <x:v>-63510.89371199999</x:v>
      </x:c>
      <x:c r="S38" s="437"/>
      <x:c r="T38" s="419">
        <x:v>0</x:v>
      </x:c>
      <x:c r="U38" s="437"/>
      <x:c r="V38" s="419">
        <x:v>0</x:v>
      </x:c>
      <x:c r="W38" s="437"/>
      <x:c r="X38" s="416">
        <x:f t="shared" si="7"/>
        <x:v>-63510.89371199999</x:v>
      </x:c>
      <x:c r="Y38" s="418"/>
      <x:c r="Z38" s="304" t="s">
        <x:v>233</x:v>
      </x:c>
      <x:c r="AA38" s="417"/>
      <x:c r="AB38" s="304" t="s">
        <x:v>1737</x:v>
      </x:c>
      <x:c r="AC38" s="417"/>
      <x:c r="AD38" s="1050">
        <x:v>6.0801999999999995E-2</x:v>
      </x:c>
      <x:c r="AE38" s="417"/>
      <x:c r="AF38" s="416">
        <x:f t="shared" si="11"/>
        <x:v>-3861.5893594770232</x:v>
      </x:c>
      <x:c r="AG38" s="167"/>
      <x:c r="AH38" s="183">
        <x:v>190</x:v>
      </x:c>
      <x:c r="AI38" s="183"/>
    </x:row>
    <x:row r="39" spans="2:35">
      <x:c r="B39" s="1303">
        <x:f t="shared" si="9"/>
        <x:v>28</x:v>
      </x:c>
      <x:c r="C39" s="296" t="s">
        <x:v>1593</x:v>
      </x:c>
      <x:c r="D39" s="296" t="s">
        <x:v>1586</x:v>
      </x:c>
      <x:c r="E39" s="296" t="s">
        <x:v>1248</x:v>
      </x:c>
      <x:c r="F39" s="419">
        <x:v>2412767.84</x:v>
      </x:c>
      <x:c r="G39" s="416">
        <x:f t="shared" si="0"/>
        <x:v>844468.74399999995</x:v>
      </x:c>
      <x:c r="H39" s="419">
        <x:v>205085.26639999999</x:v>
      </x:c>
      <x:c r="I39" s="416">
        <x:f t="shared" si="1"/>
        <x:v>-71779.843239999987</x:v>
      </x:c>
      <x:c r="J39" s="416">
        <x:f t="shared" si="2"/>
        <x:v>977774.16716000007</x:v>
      </x:c>
      <x:c r="K39" s="437"/>
      <x:c r="L39" s="419">
        <x:f t="shared" si="10"/>
        <x:v>2412767.84</x:v>
      </x:c>
      <x:c r="M39" s="416">
        <x:f t="shared" si="3"/>
        <x:v>506681.24639999995</x:v>
      </x:c>
      <x:c r="N39" s="419">
        <x:v>205085.26639999999</x:v>
      </x:c>
      <x:c r="O39" s="416">
        <x:f t="shared" si="4"/>
        <x:v>-43067.905943999998</x:v>
      </x:c>
      <x:c r="P39" s="416">
        <x:f t="shared" si="5"/>
        <x:v>668698.60685599991</x:v>
      </x:c>
      <x:c r="Q39" s="416"/>
      <x:c r="R39" s="416">
        <x:f t="shared" si="6"/>
        <x:v>309075.56030400016</x:v>
      </x:c>
      <x:c r="S39" s="437"/>
      <x:c r="T39" s="419">
        <x:v>0</x:v>
      </x:c>
      <x:c r="U39" s="437"/>
      <x:c r="V39" s="419">
        <x:v>0</x:v>
      </x:c>
      <x:c r="W39" s="437"/>
      <x:c r="X39" s="416">
        <x:f t="shared" si="7"/>
        <x:v>309075.56030400016</x:v>
      </x:c>
      <x:c r="Y39" s="418"/>
      <x:c r="Z39" s="304" t="s">
        <x:v>233</x:v>
      </x:c>
      <x:c r="AA39" s="417"/>
      <x:c r="AB39" s="304" t="s">
        <x:v>1737</x:v>
      </x:c>
      <x:c r="AC39" s="417"/>
      <x:c r="AD39" s="1050">
        <x:v>6.0801999999999995E-2</x:v>
      </x:c>
      <x:c r="AE39" s="417"/>
      <x:c r="AF39" s="416">
        <x:f t="shared" si="11"/>
        <x:v>18792.412217603814</x:v>
      </x:c>
      <x:c r="AG39" s="167"/>
      <x:c r="AH39" s="183">
        <x:v>190</x:v>
      </x:c>
      <x:c r="AI39" s="183"/>
    </x:row>
    <x:row r="40" spans="2:35">
      <x:c r="B40" s="1303">
        <x:f t="shared" si="9"/>
        <x:v>29</x:v>
      </x:c>
      <x:c r="C40" s="296" t="s">
        <x:v>1594</x:v>
      </x:c>
      <x:c r="D40" s="296" t="s">
        <x:v>1595</x:v>
      </x:c>
      <x:c r="E40" s="296" t="s">
        <x:v>1248</x:v>
      </x:c>
      <x:c r="F40" s="419">
        <x:v>361399.45999999996</x:v>
      </x:c>
      <x:c r="G40" s="416">
        <x:f t="shared" si="0"/>
        <x:v>126489.81099999997</x:v>
      </x:c>
      <x:c r="H40" s="419">
        <x:v>30718.954099999999</x:v>
      </x:c>
      <x:c r="I40" s="416">
        <x:f t="shared" si="1"/>
        <x:v>-10751.633935</x:v>
      </x:c>
      <x:c r="J40" s="416">
        <x:f t="shared" si="2"/>
        <x:v>146457.13116499997</x:v>
      </x:c>
      <x:c r="K40" s="437"/>
      <x:c r="L40" s="419">
        <x:f t="shared" si="10"/>
        <x:v>361399.45999999996</x:v>
      </x:c>
      <x:c r="M40" s="416">
        <x:f t="shared" si="3"/>
        <x:v>75893.886599999983</x:v>
      </x:c>
      <x:c r="N40" s="419">
        <x:v>30718.954099999999</x:v>
      </x:c>
      <x:c r="O40" s="416">
        <x:f t="shared" si="4"/>
        <x:v>-6450.9803609999999</x:v>
      </x:c>
      <x:c r="P40" s="416">
        <x:f t="shared" si="5"/>
        <x:v>100161.86033899999</x:v>
      </x:c>
      <x:c r="Q40" s="416"/>
      <x:c r="R40" s="416">
        <x:f t="shared" si="6"/>
        <x:v>46295.270825999978</x:v>
      </x:c>
      <x:c r="S40" s="437"/>
      <x:c r="T40" s="419">
        <x:v>0</x:v>
      </x:c>
      <x:c r="U40" s="437"/>
      <x:c r="V40" s="419">
        <x:v>0</x:v>
      </x:c>
      <x:c r="W40" s="437"/>
      <x:c r="X40" s="416">
        <x:f t="shared" si="7"/>
        <x:v>46295.270825999978</x:v>
      </x:c>
      <x:c r="Y40" s="418"/>
      <x:c r="Z40" s="304" t="s">
        <x:v>233</x:v>
      </x:c>
      <x:c r="AA40" s="417"/>
      <x:c r="AB40" s="304" t="s">
        <x:v>1737</x:v>
      </x:c>
      <x:c r="AC40" s="417"/>
      <x:c r="AD40" s="1050">
        <x:v>6.0801999999999995E-2</x:v>
      </x:c>
      <x:c r="AE40" s="417"/>
      <x:c r="AF40" s="416">
        <x:f t="shared" si="11"/>
        <x:v>2814.8450567624504</x:v>
      </x:c>
      <x:c r="AG40" s="167"/>
      <x:c r="AH40" s="183">
        <x:v>190</x:v>
      </x:c>
      <x:c r="AI40" s="183"/>
    </x:row>
    <x:row r="41" spans="2:35">
      <x:c r="B41" s="1303">
        <x:f t="shared" si="9"/>
        <x:v>30</x:v>
      </x:c>
      <x:c r="C41" s="296" t="s">
        <x:v>1596</x:v>
      </x:c>
      <x:c r="D41" s="296" t="s">
        <x:v>1595</x:v>
      </x:c>
      <x:c r="E41" s="296" t="s">
        <x:v>1248</x:v>
      </x:c>
      <x:c r="F41" s="419">
        <x:v>811805.13</x:v>
      </x:c>
      <x:c r="G41" s="416">
        <x:f t="shared" si="0"/>
        <x:v>284131.79550000001</x:v>
      </x:c>
      <x:c r="H41" s="419">
        <x:v>69003.436050000004</x:v>
      </x:c>
      <x:c r="I41" s="416">
        <x:f t="shared" si="1"/>
        <x:v>-24151.202617499999</x:v>
      </x:c>
      <x:c r="J41" s="416">
        <x:f t="shared" si="2"/>
        <x:v>328984.02893250005</x:v>
      </x:c>
      <x:c r="K41" s="437"/>
      <x:c r="L41" s="419">
        <x:f t="shared" si="10"/>
        <x:v>811805.13</x:v>
      </x:c>
      <x:c r="M41" s="416">
        <x:f t="shared" si="3"/>
        <x:v>170479.0773</x:v>
      </x:c>
      <x:c r="N41" s="419">
        <x:v>69003.436050000004</x:v>
      </x:c>
      <x:c r="O41" s="416">
        <x:f t="shared" si="4"/>
        <x:v>-14490.7215705</x:v>
      </x:c>
      <x:c r="P41" s="416">
        <x:f t="shared" si="5"/>
        <x:v>224991.79177950002</x:v>
      </x:c>
      <x:c r="Q41" s="416"/>
      <x:c r="R41" s="416">
        <x:f t="shared" si="6"/>
        <x:v>103992.23715300002</x:v>
      </x:c>
      <x:c r="S41" s="437"/>
      <x:c r="T41" s="419">
        <x:v>0</x:v>
      </x:c>
      <x:c r="U41" s="437"/>
      <x:c r="V41" s="419">
        <x:v>0</x:v>
      </x:c>
      <x:c r="W41" s="437"/>
      <x:c r="X41" s="416">
        <x:f t="shared" si="7"/>
        <x:v>103992.23715300002</x:v>
      </x:c>
      <x:c r="Y41" s="418"/>
      <x:c r="Z41" s="304" t="s">
        <x:v>233</x:v>
      </x:c>
      <x:c r="AA41" s="417"/>
      <x:c r="AB41" s="304" t="s">
        <x:v>1737</x:v>
      </x:c>
      <x:c r="AC41" s="417"/>
      <x:c r="AD41" s="1050">
        <x:v>6.0801999999999995E-2</x:v>
      </x:c>
      <x:c r="AE41" s="417"/>
      <x:c r="AF41" s="416">
        <x:f t="shared" si="11"/>
        <x:v>6322.936003376707</x:v>
      </x:c>
      <x:c r="AG41" s="167"/>
      <x:c r="AH41" s="183">
        <x:v>190</x:v>
      </x:c>
      <x:c r="AI41" s="183"/>
    </x:row>
    <x:row r="42" spans="2:35">
      <x:c r="B42" s="1303">
        <x:f t="shared" si="9"/>
        <x:v>31</x:v>
      </x:c>
      <x:c r="C42" s="296" t="s">
        <x:v>1597</x:v>
      </x:c>
      <x:c r="D42" s="296" t="s">
        <x:v>1595</x:v>
      </x:c>
      <x:c r="E42" s="296" t="s">
        <x:v>1248</x:v>
      </x:c>
      <x:c r="F42" s="419">
        <x:v>1160661.8700000001</x:v>
      </x:c>
      <x:c r="G42" s="416">
        <x:f t="shared" si="0"/>
        <x:v>406231.6545</x:v>
      </x:c>
      <x:c r="H42" s="419">
        <x:v>98656.258950000018</x:v>
      </x:c>
      <x:c r="I42" s="416">
        <x:f t="shared" si="1"/>
        <x:v>-34529.690632500002</x:v>
      </x:c>
      <x:c r="J42" s="416">
        <x:f t="shared" si="2"/>
        <x:v>470358.22281750001</x:v>
      </x:c>
      <x:c r="K42" s="437"/>
      <x:c r="L42" s="419">
        <x:f t="shared" si="10"/>
        <x:v>1160661.8700000001</x:v>
      </x:c>
      <x:c r="M42" s="416">
        <x:f t="shared" si="3"/>
        <x:v>243738.9927</x:v>
      </x:c>
      <x:c r="N42" s="419">
        <x:v>98656.258950000018</x:v>
      </x:c>
      <x:c r="O42" s="416">
        <x:f t="shared" si="4"/>
        <x:v>-20717.814379500003</x:v>
      </x:c>
      <x:c r="P42" s="416">
        <x:f t="shared" si="5"/>
        <x:v>321677.4372705</x:v>
      </x:c>
      <x:c r="Q42" s="416"/>
      <x:c r="R42" s="416">
        <x:f t="shared" si="6"/>
        <x:v>148680.78554700001</x:v>
      </x:c>
      <x:c r="S42" s="437"/>
      <x:c r="T42" s="419">
        <x:v>0</x:v>
      </x:c>
      <x:c r="U42" s="437"/>
      <x:c r="V42" s="419">
        <x:v>0</x:v>
      </x:c>
      <x:c r="W42" s="437"/>
      <x:c r="X42" s="416">
        <x:f t="shared" si="7"/>
        <x:v>148680.78554700001</x:v>
      </x:c>
      <x:c r="Y42" s="418"/>
      <x:c r="Z42" s="304" t="s">
        <x:v>233</x:v>
      </x:c>
      <x:c r="AA42" s="417"/>
      <x:c r="AB42" s="304" t="s">
        <x:v>1737</x:v>
      </x:c>
      <x:c r="AC42" s="417"/>
      <x:c r="AD42" s="1050">
        <x:v>6.0801999999999995E-2</x:v>
      </x:c>
      <x:c r="AE42" s="417"/>
      <x:c r="AF42" s="416">
        <x:f t="shared" si="11"/>
        <x:v>9040.0891228286928</x:v>
      </x:c>
      <x:c r="AG42" s="167"/>
      <x:c r="AH42" s="183">
        <x:v>190</x:v>
      </x:c>
      <x:c r="AI42" s="183"/>
    </x:row>
    <x:row r="43" spans="2:35">
      <x:c r="B43" s="1303">
        <x:f t="shared" si="9"/>
        <x:v>32</x:v>
      </x:c>
      <x:c r="C43" s="296" t="s">
        <x:v>1598</x:v>
      </x:c>
      <x:c r="D43" s="296" t="s">
        <x:v>1595</x:v>
      </x:c>
      <x:c r="E43" s="296" t="s">
        <x:v>1248</x:v>
      </x:c>
      <x:c r="F43" s="419">
        <x:v>495791.52</x:v>
      </x:c>
      <x:c r="G43" s="416">
        <x:f t="shared" si="0"/>
        <x:v>173527.03200000001</x:v>
      </x:c>
      <x:c r="H43" s="419">
        <x:v>42142.279200000004</x:v>
      </x:c>
      <x:c r="I43" s="416">
        <x:f t="shared" si="1"/>
        <x:v>-14749.79772</x:v>
      </x:c>
      <x:c r="J43" s="416">
        <x:f t="shared" si="2"/>
        <x:v>200919.51347999999</x:v>
      </x:c>
      <x:c r="K43" s="437"/>
      <x:c r="L43" s="419">
        <x:f t="shared" si="10"/>
        <x:v>495791.52</x:v>
      </x:c>
      <x:c r="M43" s="416">
        <x:f t="shared" si="3"/>
        <x:v>104116.21920000001</x:v>
      </x:c>
      <x:c r="N43" s="419">
        <x:v>42142.279200000004</x:v>
      </x:c>
      <x:c r="O43" s="416">
        <x:f t="shared" si="4"/>
        <x:v>-8849.8786319999999</x:v>
      </x:c>
      <x:c r="P43" s="416">
        <x:f t="shared" si="5"/>
        <x:v>137408.619768</x:v>
      </x:c>
      <x:c r="Q43" s="416"/>
      <x:c r="R43" s="416">
        <x:f t="shared" si="6"/>
        <x:v>63510.89371199999</x:v>
      </x:c>
      <x:c r="S43" s="437"/>
      <x:c r="T43" s="419">
        <x:v>0</x:v>
      </x:c>
      <x:c r="U43" s="437"/>
      <x:c r="V43" s="419">
        <x:v>0</x:v>
      </x:c>
      <x:c r="W43" s="437"/>
      <x:c r="X43" s="416">
        <x:f t="shared" si="7"/>
        <x:v>63510.89371199999</x:v>
      </x:c>
      <x:c r="Y43" s="418"/>
      <x:c r="Z43" s="304" t="s">
        <x:v>233</x:v>
      </x:c>
      <x:c r="AA43" s="417"/>
      <x:c r="AB43" s="304" t="s">
        <x:v>1737</x:v>
      </x:c>
      <x:c r="AC43" s="417"/>
      <x:c r="AD43" s="1050">
        <x:v>6.0801999999999995E-2</x:v>
      </x:c>
      <x:c r="AE43" s="417"/>
      <x:c r="AF43" s="416">
        <x:f t="shared" si="11"/>
        <x:v>3861.5893594770232</x:v>
      </x:c>
      <x:c r="AG43" s="167"/>
      <x:c r="AH43" s="183">
        <x:v>190</x:v>
      </x:c>
      <x:c r="AI43" s="183"/>
    </x:row>
    <x:row r="44" spans="2:35">
      <x:c r="B44" s="1303">
        <x:f t="shared" si="9"/>
        <x:v>33</x:v>
      </x:c>
      <x:c r="C44" s="296" t="s">
        <x:v>1599</x:v>
      </x:c>
      <x:c r="D44" s="296" t="s">
        <x:v>1595</x:v>
      </x:c>
      <x:c r="E44" s="296" t="s">
        <x:v>1248</x:v>
      </x:c>
      <x:c r="F44" s="419">
        <x:v>5033420.2300000004</x:v>
      </x:c>
      <x:c r="G44" s="416">
        <x:f t="shared" ref="G44:G75" si="12">F44*0.35</x:f>
        <x:v>1761697.0805000002</x:v>
      </x:c>
      <x:c r="H44" s="419">
        <x:v>427840.7195500001</x:v>
      </x:c>
      <x:c r="I44" s="416">
        <x:f t="shared" ref="I44:I75" si="13">H44*-0.35</x:f>
        <x:v>-149744.25184250003</x:v>
      </x:c>
      <x:c r="J44" s="416">
        <x:f t="shared" ref="J44:J75" si="14">G44+H44+I44</x:f>
        <x:v>2039793.5482075003</x:v>
      </x:c>
      <x:c r="K44" s="437"/>
      <x:c r="L44" s="419">
        <x:f t="shared" ref="L44:L75" si="15">F44</x:f>
        <x:v>5033420.2300000004</x:v>
      </x:c>
      <x:c r="M44" s="416">
        <x:f t="shared" ref="M44:M75" si="16">L44*0.21</x:f>
        <x:v>1057018.2483000001</x:v>
      </x:c>
      <x:c r="N44" s="419">
        <x:v>427840.7195500001</x:v>
      </x:c>
      <x:c r="O44" s="416">
        <x:f t="shared" ref="O44:O75" si="17">N44*-0.21</x:f>
        <x:v>-89846.55110550001</x:v>
      </x:c>
      <x:c r="P44" s="416">
        <x:f t="shared" ref="P44:P75" si="18">M44+N44+O44</x:f>
        <x:v>1395012.4167445002</x:v>
      </x:c>
      <x:c r="Q44" s="416"/>
      <x:c r="R44" s="416">
        <x:f t="shared" ref="R44:R75" si="19">J44-P44</x:f>
        <x:v>644781.13146300009</x:v>
      </x:c>
      <x:c r="S44" s="437"/>
      <x:c r="T44" s="419">
        <x:v>0</x:v>
      </x:c>
      <x:c r="U44" s="437"/>
      <x:c r="V44" s="419">
        <x:v>0</x:v>
      </x:c>
      <x:c r="W44" s="437"/>
      <x:c r="X44" s="416">
        <x:f t="shared" ref="X44:X75" si="20">R44-T44-V44</x:f>
        <x:v>644781.13146300009</x:v>
      </x:c>
      <x:c r="Y44" s="418"/>
      <x:c r="Z44" s="304" t="s">
        <x:v>233</x:v>
      </x:c>
      <x:c r="AA44" s="417"/>
      <x:c r="AB44" s="304" t="s">
        <x:v>1737</x:v>
      </x:c>
      <x:c r="AC44" s="417"/>
      <x:c r="AD44" s="1050">
        <x:v>6.0801999999999995E-2</x:v>
      </x:c>
      <x:c r="AE44" s="417"/>
      <x:c r="AF44" s="416">
        <x:f t="shared" si="11"/>
        <x:v>39203.982355213331</x:v>
      </x:c>
      <x:c r="AG44" s="167"/>
      <x:c r="AH44" s="183">
        <x:v>190</x:v>
      </x:c>
      <x:c r="AI44" s="183"/>
    </x:row>
    <x:row r="45" spans="2:35">
      <x:c r="B45" s="1303">
        <x:f t="shared" si="9"/>
        <x:v>34</x:v>
      </x:c>
      <x:c r="C45" s="296" t="s">
        <x:v>1600</x:v>
      </x:c>
      <x:c r="D45" s="296" t="s">
        <x:v>1595</x:v>
      </x:c>
      <x:c r="E45" s="296" t="s">
        <x:v>1248</x:v>
      </x:c>
      <x:c r="F45" s="419">
        <x:v>3215738.26</x:v>
      </x:c>
      <x:c r="G45" s="416">
        <x:f t="shared" si="12"/>
        <x:v>1125508.3909999998</x:v>
      </x:c>
      <x:c r="H45" s="419">
        <x:v>273337.75209999998</x:v>
      </x:c>
      <x:c r="I45" s="416">
        <x:f t="shared" si="13"/>
        <x:v>-95668.213234999988</x:v>
      </x:c>
      <x:c r="J45" s="416">
        <x:f t="shared" si="14"/>
        <x:v>1303177.9298649998</x:v>
      </x:c>
      <x:c r="K45" s="437"/>
      <x:c r="L45" s="419">
        <x:f t="shared" si="15"/>
        <x:v>3215738.26</x:v>
      </x:c>
      <x:c r="M45" s="416">
        <x:f t="shared" si="16"/>
        <x:v>675305.0345999999</x:v>
      </x:c>
      <x:c r="N45" s="419">
        <x:v>273337.75209999998</x:v>
      </x:c>
      <x:c r="O45" s="416">
        <x:f t="shared" si="17"/>
        <x:v>-57400.927940999994</x:v>
      </x:c>
      <x:c r="P45" s="416">
        <x:f t="shared" si="18"/>
        <x:v>891241.85875899985</x:v>
      </x:c>
      <x:c r="Q45" s="416"/>
      <x:c r="R45" s="416">
        <x:f t="shared" si="19"/>
        <x:v>411936.07110599999</x:v>
      </x:c>
      <x:c r="S45" s="437"/>
      <x:c r="T45" s="419">
        <x:v>0</x:v>
      </x:c>
      <x:c r="U45" s="437"/>
      <x:c r="V45" s="419">
        <x:v>0</x:v>
      </x:c>
      <x:c r="W45" s="437"/>
      <x:c r="X45" s="416">
        <x:f t="shared" si="20"/>
        <x:v>411936.07110599999</x:v>
      </x:c>
      <x:c r="Y45" s="418"/>
      <x:c r="Z45" s="304" t="s">
        <x:v>233</x:v>
      </x:c>
      <x:c r="AA45" s="417"/>
      <x:c r="AB45" s="304" t="s">
        <x:v>1737</x:v>
      </x:c>
      <x:c r="AC45" s="417"/>
      <x:c r="AD45" s="1050">
        <x:v>6.0801999999999995E-2</x:v>
      </x:c>
      <x:c r="AE45" s="417"/>
      <x:c r="AF45" s="416">
        <x:f t="shared" si="11"/>
        <x:v>25046.53699538701</x:v>
      </x:c>
      <x:c r="AG45" s="167"/>
      <x:c r="AH45" s="183">
        <x:v>190</x:v>
      </x:c>
      <x:c r="AI45" s="183"/>
    </x:row>
    <x:row r="46" spans="2:35">
      <x:c r="B46" s="1303">
        <x:f t="shared" si="9"/>
        <x:v>35</x:v>
      </x:c>
      <x:c r="C46" s="296" t="s">
        <x:v>1601</x:v>
      </x:c>
      <x:c r="D46" s="296" t="s">
        <x:v>1595</x:v>
      </x:c>
      <x:c r="E46" s="296" t="s">
        <x:v>1248</x:v>
      </x:c>
      <x:c r="F46" s="419">
        <x:v>5116572.3</x:v>
      </x:c>
      <x:c r="G46" s="416">
        <x:f t="shared" si="12"/>
        <x:v>1790800.3049999999</x:v>
      </x:c>
      <x:c r="H46" s="419">
        <x:v>434908.64550000004</x:v>
      </x:c>
      <x:c r="I46" s="416">
        <x:f t="shared" si="13"/>
        <x:v>-152218.02592499999</x:v>
      </x:c>
      <x:c r="J46" s="416">
        <x:f t="shared" si="14"/>
        <x:v>2073490.9245749998</x:v>
      </x:c>
      <x:c r="K46" s="437"/>
      <x:c r="L46" s="419">
        <x:f t="shared" si="15"/>
        <x:v>5116572.3</x:v>
      </x:c>
      <x:c r="M46" s="416">
        <x:f t="shared" si="16"/>
        <x:v>1074480.183</x:v>
      </x:c>
      <x:c r="N46" s="419">
        <x:v>434908.64550000004</x:v>
      </x:c>
      <x:c r="O46" s="416">
        <x:f t="shared" si="17"/>
        <x:v>-91330.815555000008</x:v>
      </x:c>
      <x:c r="P46" s="416">
        <x:f t="shared" si="18"/>
        <x:v>1418058.0129450001</x:v>
      </x:c>
      <x:c r="Q46" s="416"/>
      <x:c r="R46" s="416">
        <x:f t="shared" si="19"/>
        <x:v>655432.91162999975</x:v>
      </x:c>
      <x:c r="S46" s="437"/>
      <x:c r="T46" s="419">
        <x:v>0</x:v>
      </x:c>
      <x:c r="U46" s="437"/>
      <x:c r="V46" s="419">
        <x:v>0</x:v>
      </x:c>
      <x:c r="W46" s="437"/>
      <x:c r="X46" s="416">
        <x:f t="shared" si="20"/>
        <x:v>655432.91162999975</x:v>
      </x:c>
      <x:c r="Y46" s="418"/>
      <x:c r="Z46" s="304" t="s">
        <x:v>233</x:v>
      </x:c>
      <x:c r="AA46" s="417"/>
      <x:c r="AB46" s="304" t="s">
        <x:v>1737</x:v>
      </x:c>
      <x:c r="AC46" s="417"/>
      <x:c r="AD46" s="1050">
        <x:v>6.0801999999999995E-2</x:v>
      </x:c>
      <x:c r="AE46" s="417"/>
      <x:c r="AF46" s="416">
        <x:f t="shared" si="11"/>
        <x:v>39851.631892927238</x:v>
      </x:c>
      <x:c r="AG46" s="167"/>
      <x:c r="AH46" s="183">
        <x:v>190</x:v>
      </x:c>
      <x:c r="AI46" s="183"/>
    </x:row>
    <x:row r="47" spans="2:35">
      <x:c r="B47" s="1303">
        <x:f t="shared" si="9"/>
        <x:v>36</x:v>
      </x:c>
      <x:c r="C47" s="296" t="s">
        <x:v>1602</x:v>
      </x:c>
      <x:c r="D47" s="296" t="s">
        <x:v>1595</x:v>
      </x:c>
      <x:c r="E47" s="296" t="s">
        <x:v>1248</x:v>
      </x:c>
      <x:c r="F47" s="419">
        <x:v>36000</x:v>
      </x:c>
      <x:c r="G47" s="416">
        <x:f t="shared" si="12"/>
        <x:v>12600</x:v>
      </x:c>
      <x:c r="H47" s="419">
        <x:v>3060</x:v>
      </x:c>
      <x:c r="I47" s="416">
        <x:f t="shared" si="13"/>
        <x:v>-1071</x:v>
      </x:c>
      <x:c r="J47" s="416">
        <x:f t="shared" si="14"/>
        <x:v>14589</x:v>
      </x:c>
      <x:c r="K47" s="437"/>
      <x:c r="L47" s="419">
        <x:f t="shared" si="15"/>
        <x:v>36000</x:v>
      </x:c>
      <x:c r="M47" s="416">
        <x:f t="shared" si="16"/>
        <x:v>7560</x:v>
      </x:c>
      <x:c r="N47" s="419">
        <x:v>3060</x:v>
      </x:c>
      <x:c r="O47" s="416">
        <x:f t="shared" si="17"/>
        <x:v>-642.6</x:v>
      </x:c>
      <x:c r="P47" s="416">
        <x:f t="shared" si="18"/>
        <x:v>9977.4</x:v>
      </x:c>
      <x:c r="Q47" s="416"/>
      <x:c r="R47" s="416">
        <x:f t="shared" si="19"/>
        <x:v>4611.6000000000004</x:v>
      </x:c>
      <x:c r="S47" s="437"/>
      <x:c r="T47" s="419">
        <x:v>0</x:v>
      </x:c>
      <x:c r="U47" s="437"/>
      <x:c r="V47" s="419">
        <x:v>0</x:v>
      </x:c>
      <x:c r="W47" s="437"/>
      <x:c r="X47" s="416">
        <x:f t="shared" si="20"/>
        <x:v>4611.6000000000004</x:v>
      </x:c>
      <x:c r="Y47" s="418"/>
      <x:c r="Z47" s="304" t="s">
        <x:v>233</x:v>
      </x:c>
      <x:c r="AA47" s="417"/>
      <x:c r="AB47" s="304" t="s">
        <x:v>1737</x:v>
      </x:c>
      <x:c r="AC47" s="417"/>
      <x:c r="AD47" s="1050">
        <x:v>6.0801999999999995E-2</x:v>
      </x:c>
      <x:c r="AE47" s="417"/>
      <x:c r="AF47" s="416">
        <x:f t="shared" si="11"/>
        <x:v>280.39450319999997</x:v>
      </x:c>
      <x:c r="AG47" s="167"/>
      <x:c r="AH47" s="183">
        <x:v>190</x:v>
      </x:c>
      <x:c r="AI47" s="183"/>
    </x:row>
    <x:row r="48" spans="2:35">
      <x:c r="B48" s="1303">
        <x:f t="shared" si="9"/>
        <x:v>37</x:v>
      </x:c>
      <x:c r="C48" s="296" t="s">
        <x:v>1603</x:v>
      </x:c>
      <x:c r="D48" s="296" t="s">
        <x:v>1595</x:v>
      </x:c>
      <x:c r="E48" s="296" t="s">
        <x:v>1248</x:v>
      </x:c>
      <x:c r="F48" s="419">
        <x:v>-3429544.69</x:v>
      </x:c>
      <x:c r="G48" s="416">
        <x:f t="shared" si="12"/>
        <x:v>-1200340.6414999999</x:v>
      </x:c>
      <x:c r="H48" s="419">
        <x:v>-291511.29865000001</x:v>
      </x:c>
      <x:c r="I48" s="416">
        <x:f t="shared" si="13"/>
        <x:v>102028.9545275</x:v>
      </x:c>
      <x:c r="J48" s="416">
        <x:f t="shared" si="14"/>
        <x:v>-1389822.9856224998</x:v>
      </x:c>
      <x:c r="K48" s="437"/>
      <x:c r="L48" s="419">
        <x:f t="shared" si="15"/>
        <x:v>-3429544.69</x:v>
      </x:c>
      <x:c r="M48" s="416">
        <x:f t="shared" si="16"/>
        <x:v>-720204.38489999995</x:v>
      </x:c>
      <x:c r="N48" s="419">
        <x:v>-291511.29865000001</x:v>
      </x:c>
      <x:c r="O48" s="416">
        <x:f t="shared" si="17"/>
        <x:v>61217.372716500002</x:v>
      </x:c>
      <x:c r="P48" s="416">
        <x:f t="shared" si="18"/>
        <x:v>-950498.3108335</x:v>
      </x:c>
      <x:c r="Q48" s="416"/>
      <x:c r="R48" s="416">
        <x:f t="shared" si="19"/>
        <x:v>-439324.67478899984</x:v>
      </x:c>
      <x:c r="S48" s="437"/>
      <x:c r="T48" s="419">
        <x:v>-439324.67478900007</x:v>
      </x:c>
      <x:c r="U48" s="437"/>
      <x:c r="V48" s="419">
        <x:v>0</x:v>
      </x:c>
      <x:c r="W48" s="437"/>
      <x:c r="X48" s="416">
        <x:f t="shared" si="20"/>
        <x:v>2.3283064365386963E-10</x:v>
      </x:c>
      <x:c r="Y48" s="418"/>
      <x:c r="Z48" s="304" t="s">
        <x:v>233</x:v>
      </x:c>
      <x:c r="AA48" s="417"/>
      <x:c r="AB48" s="304" t="s">
        <x:v>1734</x:v>
      </x:c>
      <x:c r="AC48" s="417"/>
      <x:c r="AD48" s="1050">
        <x:v>0</x:v>
      </x:c>
      <x:c r="AE48" s="417"/>
      <x:c r="AF48" s="416">
        <x:f t="shared" si="11"/>
        <x:v>0</x:v>
      </x:c>
      <x:c r="AG48" s="167"/>
      <x:c r="AH48" s="183">
        <x:v>190</x:v>
      </x:c>
      <x:c r="AI48" s="183"/>
    </x:row>
    <x:row r="49" spans="2:35">
      <x:c r="B49" s="1303">
        <x:f t="shared" si="9"/>
        <x:v>38</x:v>
      </x:c>
      <x:c r="C49" s="296" t="s">
        <x:v>1604</x:v>
      </x:c>
      <x:c r="D49" s="296" t="s">
        <x:v>1595</x:v>
      </x:c>
      <x:c r="E49" s="296" t="s">
        <x:v>1248</x:v>
      </x:c>
      <x:c r="F49" s="419">
        <x:v>-1160661.8700000001</x:v>
      </x:c>
      <x:c r="G49" s="416">
        <x:f t="shared" si="12"/>
        <x:v>-406231.6545</x:v>
      </x:c>
      <x:c r="H49" s="419">
        <x:v>-98656.258950000018</x:v>
      </x:c>
      <x:c r="I49" s="416">
        <x:f t="shared" si="13"/>
        <x:v>34529.690632500002</x:v>
      </x:c>
      <x:c r="J49" s="416">
        <x:f t="shared" si="14"/>
        <x:v>-470358.22281750001</x:v>
      </x:c>
      <x:c r="K49" s="437"/>
      <x:c r="L49" s="419">
        <x:f t="shared" si="15"/>
        <x:v>-1160661.8700000001</x:v>
      </x:c>
      <x:c r="M49" s="416">
        <x:f t="shared" si="16"/>
        <x:v>-243738.9927</x:v>
      </x:c>
      <x:c r="N49" s="419">
        <x:v>-98656.258950000018</x:v>
      </x:c>
      <x:c r="O49" s="416">
        <x:f t="shared" si="17"/>
        <x:v>20717.814379500003</x:v>
      </x:c>
      <x:c r="P49" s="416">
        <x:f t="shared" si="18"/>
        <x:v>-321677.4372705</x:v>
      </x:c>
      <x:c r="Q49" s="416"/>
      <x:c r="R49" s="416">
        <x:f t="shared" si="19"/>
        <x:v>-148680.78554700001</x:v>
      </x:c>
      <x:c r="S49" s="437"/>
      <x:c r="T49" s="419">
        <x:v>0</x:v>
      </x:c>
      <x:c r="U49" s="437"/>
      <x:c r="V49" s="419">
        <x:v>0</x:v>
      </x:c>
      <x:c r="W49" s="437"/>
      <x:c r="X49" s="416">
        <x:f t="shared" si="20"/>
        <x:v>-148680.78554700001</x:v>
      </x:c>
      <x:c r="Y49" s="418"/>
      <x:c r="Z49" s="304" t="s">
        <x:v>233</x:v>
      </x:c>
      <x:c r="AA49" s="417"/>
      <x:c r="AB49" s="304" t="s">
        <x:v>1737</x:v>
      </x:c>
      <x:c r="AC49" s="417"/>
      <x:c r="AD49" s="1050">
        <x:v>6.0801999999999995E-2</x:v>
      </x:c>
      <x:c r="AE49" s="417"/>
      <x:c r="AF49" s="416">
        <x:f t="shared" si="11"/>
        <x:v>-9040.0891228286928</x:v>
      </x:c>
      <x:c r="AG49" s="167"/>
      <x:c r="AH49" s="183">
        <x:v>190</x:v>
      </x:c>
      <x:c r="AI49" s="183"/>
    </x:row>
    <x:row r="50" spans="2:35">
      <x:c r="B50" s="1303">
        <x:f t="shared" si="9"/>
        <x:v>39</x:v>
      </x:c>
      <x:c r="C50" s="296" t="s">
        <x:v>1605</x:v>
      </x:c>
      <x:c r="D50" s="296" t="s">
        <x:v>1595</x:v>
      </x:c>
      <x:c r="E50" s="296" t="s">
        <x:v>1248</x:v>
      </x:c>
      <x:c r="F50" s="419">
        <x:v>4143767.54</x:v>
      </x:c>
      <x:c r="G50" s="416">
        <x:f t="shared" si="12"/>
        <x:v>1450318.639</x:v>
      </x:c>
      <x:c r="H50" s="419">
        <x:v>352220.24090000003</x:v>
      </x:c>
      <x:c r="I50" s="416">
        <x:f t="shared" si="13"/>
        <x:v>-123277.084315</x:v>
      </x:c>
      <x:c r="J50" s="416">
        <x:f t="shared" si="14"/>
        <x:v>1679261.795585</x:v>
      </x:c>
      <x:c r="K50" s="437"/>
      <x:c r="L50" s="419">
        <x:f t="shared" si="15"/>
        <x:v>4143767.54</x:v>
      </x:c>
      <x:c r="M50" s="416">
        <x:f t="shared" si="16"/>
        <x:v>870191.18339999998</x:v>
      </x:c>
      <x:c r="N50" s="419">
        <x:v>352220.24090000003</x:v>
      </x:c>
      <x:c r="O50" s="416">
        <x:f t="shared" si="17"/>
        <x:v>-73966.250589000003</x:v>
      </x:c>
      <x:c r="P50" s="416">
        <x:f t="shared" si="18"/>
        <x:v>1148445.173711</x:v>
      </x:c>
      <x:c r="Q50" s="416"/>
      <x:c r="R50" s="416">
        <x:f t="shared" si="19"/>
        <x:v>530816.62187399995</x:v>
      </x:c>
      <x:c r="S50" s="437"/>
      <x:c r="T50" s="419">
        <x:v>0</x:v>
      </x:c>
      <x:c r="U50" s="437"/>
      <x:c r="V50" s="419">
        <x:v>0</x:v>
      </x:c>
      <x:c r="W50" s="437"/>
      <x:c r="X50" s="416">
        <x:f t="shared" si="20"/>
        <x:v>530816.62187399995</x:v>
      </x:c>
      <x:c r="Y50" s="418"/>
      <x:c r="Z50" s="304" t="s">
        <x:v>233</x:v>
      </x:c>
      <x:c r="AA50" s="417"/>
      <x:c r="AB50" s="304" t="s">
        <x:v>1737</x:v>
      </x:c>
      <x:c r="AC50" s="417"/>
      <x:c r="AD50" s="1050">
        <x:v>6.0801999999999995E-2</x:v>
      </x:c>
      <x:c r="AE50" s="417"/>
      <x:c r="AF50" s="416">
        <x:f t="shared" si="11"/>
        <x:v>32274.712243182941</x:v>
      </x:c>
      <x:c r="AG50" s="167"/>
      <x:c r="AH50" s="183">
        <x:v>190</x:v>
      </x:c>
      <x:c r="AI50" s="183"/>
    </x:row>
    <x:row r="51" spans="2:35">
      <x:c r="B51" s="1303">
        <x:f t="shared" si="9"/>
        <x:v>40</x:v>
      </x:c>
      <x:c r="C51" s="296" t="s">
        <x:v>1606</x:v>
      </x:c>
      <x:c r="D51" s="296" t="s">
        <x:v>1595</x:v>
      </x:c>
      <x:c r="E51" s="296" t="s">
        <x:v>1248</x:v>
      </x:c>
      <x:c r="F51" s="419">
        <x:v>3429544.69</x:v>
      </x:c>
      <x:c r="G51" s="416">
        <x:f t="shared" si="12"/>
        <x:v>1200340.6414999999</x:v>
      </x:c>
      <x:c r="H51" s="419">
        <x:v>291511.29865000001</x:v>
      </x:c>
      <x:c r="I51" s="416">
        <x:f t="shared" si="13"/>
        <x:v>-102028.9545275</x:v>
      </x:c>
      <x:c r="J51" s="416">
        <x:f t="shared" si="14"/>
        <x:v>1389822.9856224998</x:v>
      </x:c>
      <x:c r="K51" s="437"/>
      <x:c r="L51" s="419">
        <x:f t="shared" si="15"/>
        <x:v>3429544.69</x:v>
      </x:c>
      <x:c r="M51" s="416">
        <x:f t="shared" si="16"/>
        <x:v>720204.38489999995</x:v>
      </x:c>
      <x:c r="N51" s="419">
        <x:v>291511.29865000001</x:v>
      </x:c>
      <x:c r="O51" s="416">
        <x:f t="shared" si="17"/>
        <x:v>-61217.372716500002</x:v>
      </x:c>
      <x:c r="P51" s="416">
        <x:f t="shared" si="18"/>
        <x:v>950498.3108335</x:v>
      </x:c>
      <x:c r="Q51" s="416"/>
      <x:c r="R51" s="416">
        <x:f t="shared" si="19"/>
        <x:v>439324.67478899984</x:v>
      </x:c>
      <x:c r="S51" s="437"/>
      <x:c r="T51" s="419">
        <x:v>439324.67478900007</x:v>
      </x:c>
      <x:c r="U51" s="437"/>
      <x:c r="V51" s="419">
        <x:v>0</x:v>
      </x:c>
      <x:c r="W51" s="437"/>
      <x:c r="X51" s="416">
        <x:f t="shared" si="20"/>
        <x:v>-2.3283064365386963E-10</x:v>
      </x:c>
      <x:c r="Y51" s="418"/>
      <x:c r="Z51" s="304" t="s">
        <x:v>233</x:v>
      </x:c>
      <x:c r="AA51" s="417"/>
      <x:c r="AB51" s="304" t="s">
        <x:v>1734</x:v>
      </x:c>
      <x:c r="AC51" s="417"/>
      <x:c r="AD51" s="1050">
        <x:v>0</x:v>
      </x:c>
      <x:c r="AE51" s="417"/>
      <x:c r="AF51" s="416">
        <x:f t="shared" ref="AF51:AF82" si="21">X51*AD51</x:f>
        <x:v>0</x:v>
      </x:c>
      <x:c r="AG51" s="167"/>
      <x:c r="AH51" s="183">
        <x:v>190</x:v>
      </x:c>
      <x:c r="AI51" s="183"/>
    </x:row>
    <x:row r="52" spans="2:35">
      <x:c r="B52" s="1303">
        <x:f t="shared" si="9"/>
        <x:v>41</x:v>
      </x:c>
      <x:c r="C52" s="296" t="s">
        <x:v>1607</x:v>
      </x:c>
      <x:c r="D52" s="296" t="s">
        <x:v>1595</x:v>
      </x:c>
      <x:c r="E52" s="296" t="s">
        <x:v>1248</x:v>
      </x:c>
      <x:c r="F52" s="419">
        <x:v>-36000</x:v>
      </x:c>
      <x:c r="G52" s="416">
        <x:f t="shared" si="12"/>
        <x:v>-12600</x:v>
      </x:c>
      <x:c r="H52" s="419">
        <x:v>-3060</x:v>
      </x:c>
      <x:c r="I52" s="416">
        <x:f t="shared" si="13"/>
        <x:v>1071</x:v>
      </x:c>
      <x:c r="J52" s="416">
        <x:f t="shared" si="14"/>
        <x:v>-14589</x:v>
      </x:c>
      <x:c r="K52" s="437"/>
      <x:c r="L52" s="419">
        <x:f t="shared" si="15"/>
        <x:v>-36000</x:v>
      </x:c>
      <x:c r="M52" s="416">
        <x:f t="shared" si="16"/>
        <x:v>-7560</x:v>
      </x:c>
      <x:c r="N52" s="419">
        <x:v>-3060</x:v>
      </x:c>
      <x:c r="O52" s="416">
        <x:f t="shared" si="17"/>
        <x:v>642.6</x:v>
      </x:c>
      <x:c r="P52" s="416">
        <x:f t="shared" si="18"/>
        <x:v>-9977.4</x:v>
      </x:c>
      <x:c r="Q52" s="416"/>
      <x:c r="R52" s="416">
        <x:f t="shared" si="19"/>
        <x:v>-4611.6000000000004</x:v>
      </x:c>
      <x:c r="S52" s="437"/>
      <x:c r="T52" s="419">
        <x:v>0</x:v>
      </x:c>
      <x:c r="U52" s="437"/>
      <x:c r="V52" s="419">
        <x:v>0</x:v>
      </x:c>
      <x:c r="W52" s="437"/>
      <x:c r="X52" s="416">
        <x:f t="shared" si="20"/>
        <x:v>-4611.6000000000004</x:v>
      </x:c>
      <x:c r="Y52" s="418"/>
      <x:c r="Z52" s="304" t="s">
        <x:v>233</x:v>
      </x:c>
      <x:c r="AA52" s="417"/>
      <x:c r="AB52" s="304" t="s">
        <x:v>1737</x:v>
      </x:c>
      <x:c r="AC52" s="417"/>
      <x:c r="AD52" s="1050">
        <x:v>6.0801999999999995E-2</x:v>
      </x:c>
      <x:c r="AE52" s="417"/>
      <x:c r="AF52" s="416">
        <x:f t="shared" si="21"/>
        <x:v>-280.39450319999997</x:v>
      </x:c>
      <x:c r="AG52" s="167"/>
      <x:c r="AH52" s="183">
        <x:v>190</x:v>
      </x:c>
      <x:c r="AI52" s="183"/>
    </x:row>
    <x:row r="53" spans="2:35">
      <x:c r="B53" s="1303">
        <x:f t="shared" si="9"/>
        <x:v>42</x:v>
      </x:c>
      <x:c r="C53" s="296" t="s">
        <x:v>1608</x:v>
      </x:c>
      <x:c r="D53" s="296" t="s">
        <x:v>1595</x:v>
      </x:c>
      <x:c r="E53" s="296" t="s">
        <x:v>1248</x:v>
      </x:c>
      <x:c r="F53" s="419">
        <x:v>929613.35</x:v>
      </x:c>
      <x:c r="G53" s="416">
        <x:f t="shared" si="12"/>
        <x:v>325364.67249999999</x:v>
      </x:c>
      <x:c r="H53" s="419">
        <x:v>79017.134749999997</x:v>
      </x:c>
      <x:c r="I53" s="416">
        <x:f t="shared" si="13"/>
        <x:v>-27655.997162499996</x:v>
      </x:c>
      <x:c r="J53" s="416">
        <x:f t="shared" si="14"/>
        <x:v>376725.81008749997</x:v>
      </x:c>
      <x:c r="K53" s="437"/>
      <x:c r="L53" s="419">
        <x:f t="shared" si="15"/>
        <x:v>929613.35</x:v>
      </x:c>
      <x:c r="M53" s="416">
        <x:f t="shared" si="16"/>
        <x:v>195218.80349999998</x:v>
      </x:c>
      <x:c r="N53" s="419">
        <x:v>79017.134749999997</x:v>
      </x:c>
      <x:c r="O53" s="416">
        <x:f t="shared" si="17"/>
        <x:v>-16593.598297500001</x:v>
      </x:c>
      <x:c r="P53" s="416">
        <x:f t="shared" si="18"/>
        <x:v>257642.33995250001</x:v>
      </x:c>
      <x:c r="Q53" s="416"/>
      <x:c r="R53" s="416">
        <x:f t="shared" si="19"/>
        <x:v>119083.47013499995</x:v>
      </x:c>
      <x:c r="S53" s="437"/>
      <x:c r="T53" s="419">
        <x:v>0</x:v>
      </x:c>
      <x:c r="U53" s="437"/>
      <x:c r="V53" s="419">
        <x:v>0</x:v>
      </x:c>
      <x:c r="W53" s="437"/>
      <x:c r="X53" s="416">
        <x:f t="shared" si="20"/>
        <x:v>119083.47013499995</x:v>
      </x:c>
      <x:c r="Y53" s="418"/>
      <x:c r="Z53" s="304" t="s">
        <x:v>233</x:v>
      </x:c>
      <x:c r="AA53" s="417"/>
      <x:c r="AB53" s="304" t="s">
        <x:v>1737</x:v>
      </x:c>
      <x:c r="AC53" s="417"/>
      <x:c r="AD53" s="1050">
        <x:v>6.0801999999999995E-2</x:v>
      </x:c>
      <x:c r="AE53" s="417"/>
      <x:c r="AF53" s="416">
        <x:f t="shared" si="21"/>
        <x:v>7240.5131511482668</x:v>
      </x:c>
      <x:c r="AG53" s="167"/>
      <x:c r="AH53" s="183">
        <x:v>190</x:v>
      </x:c>
      <x:c r="AI53" s="183"/>
    </x:row>
    <x:row r="54" spans="2:35">
      <x:c r="B54" s="1303">
        <x:f t="shared" si="9"/>
        <x:v>43</x:v>
      </x:c>
      <x:c r="C54" s="296" t="s">
        <x:v>1609</x:v>
      </x:c>
      <x:c r="D54" s="296" t="s">
        <x:v>1595</x:v>
      </x:c>
      <x:c r="E54" s="296" t="s">
        <x:v>1248</x:v>
      </x:c>
      <x:c r="F54" s="419">
        <x:v>285774.13</x:v>
      </x:c>
      <x:c r="G54" s="416">
        <x:f t="shared" si="12"/>
        <x:v>100020.9455</x:v>
      </x:c>
      <x:c r="H54" s="419">
        <x:v>24290.801050000002</x:v>
      </x:c>
      <x:c r="I54" s="416">
        <x:f t="shared" si="13"/>
        <x:v>-8501.7803674999996</x:v>
      </x:c>
      <x:c r="J54" s="416">
        <x:f t="shared" si="14"/>
        <x:v>115809.96618250001</x:v>
      </x:c>
      <x:c r="K54" s="437"/>
      <x:c r="L54" s="419">
        <x:f t="shared" si="15"/>
        <x:v>285774.13</x:v>
      </x:c>
      <x:c r="M54" s="416">
        <x:f t="shared" si="16"/>
        <x:v>60012.567299999995</x:v>
      </x:c>
      <x:c r="N54" s="419">
        <x:v>24290.801050000002</x:v>
      </x:c>
      <x:c r="O54" s="416">
        <x:f t="shared" si="17"/>
        <x:v>-5101.0682205000003</x:v>
      </x:c>
      <x:c r="P54" s="416">
        <x:f t="shared" si="18"/>
        <x:v>79202.300129499999</x:v>
      </x:c>
      <x:c r="Q54" s="416"/>
      <x:c r="R54" s="416">
        <x:f t="shared" si="19"/>
        <x:v>36607.666053000008</x:v>
      </x:c>
      <x:c r="S54" s="437"/>
      <x:c r="T54" s="419">
        <x:v>0</x:v>
      </x:c>
      <x:c r="U54" s="437"/>
      <x:c r="V54" s="419">
        <x:v>0</x:v>
      </x:c>
      <x:c r="W54" s="437"/>
      <x:c r="X54" s="416">
        <x:f t="shared" si="20"/>
        <x:v>36607.666053000008</x:v>
      </x:c>
      <x:c r="Y54" s="418"/>
      <x:c r="Z54" s="304" t="s">
        <x:v>233</x:v>
      </x:c>
      <x:c r="AA54" s="417"/>
      <x:c r="AB54" s="304" t="s">
        <x:v>1737</x:v>
      </x:c>
      <x:c r="AC54" s="417"/>
      <x:c r="AD54" s="1050">
        <x:v>6.0801999999999995E-2</x:v>
      </x:c>
      <x:c r="AE54" s="417"/>
      <x:c r="AF54" s="416">
        <x:f t="shared" si="21"/>
        <x:v>2225.8193113545062</x:v>
      </x:c>
      <x:c r="AG54" s="167"/>
      <x:c r="AH54" s="183">
        <x:v>190</x:v>
      </x:c>
      <x:c r="AI54" s="183"/>
    </x:row>
    <x:row r="55" spans="2:35">
      <x:c r="B55" s="1303">
        <x:f t="shared" si="9"/>
        <x:v>44</x:v>
      </x:c>
      <x:c r="C55" s="296" t="s">
        <x:v>1610</x:v>
      </x:c>
      <x:c r="D55" s="296" t="s">
        <x:v>1595</x:v>
      </x:c>
      <x:c r="E55" s="296" t="s">
        <x:v>1248</x:v>
      </x:c>
      <x:c r="F55" s="419">
        <x:v>-190331</x:v>
      </x:c>
      <x:c r="G55" s="416">
        <x:f t="shared" si="12"/>
        <x:v>-66615.849999999991</x:v>
      </x:c>
      <x:c r="H55" s="419">
        <x:v>-16178.135000000002</x:v>
      </x:c>
      <x:c r="I55" s="416">
        <x:f t="shared" si="13"/>
        <x:v>5662.3472500000007</x:v>
      </x:c>
      <x:c r="J55" s="416">
        <x:f t="shared" si="14"/>
        <x:v>-77131.63774999998</x:v>
      </x:c>
      <x:c r="K55" s="437"/>
      <x:c r="L55" s="419">
        <x:f t="shared" si="15"/>
        <x:v>-190331</x:v>
      </x:c>
      <x:c r="M55" s="416">
        <x:f t="shared" si="16"/>
        <x:v>-39969.51</x:v>
      </x:c>
      <x:c r="N55" s="419">
        <x:v>-16178.135000000002</x:v>
      </x:c>
      <x:c r="O55" s="416">
        <x:f t="shared" si="17"/>
        <x:v>3397.4083500000002</x:v>
      </x:c>
      <x:c r="P55" s="416">
        <x:f t="shared" si="18"/>
        <x:v>-52750.236650000006</x:v>
      </x:c>
      <x:c r="Q55" s="416"/>
      <x:c r="R55" s="416">
        <x:f t="shared" si="19"/>
        <x:v>-24381.401099999974</x:v>
      </x:c>
      <x:c r="S55" s="437"/>
      <x:c r="T55" s="419"/>
      <x:c r="U55" s="437"/>
      <x:c r="V55" s="419">
        <x:v>0</x:v>
      </x:c>
      <x:c r="W55" s="437"/>
      <x:c r="X55" s="416">
        <x:f t="shared" si="20"/>
        <x:v>-24381.401099999974</x:v>
      </x:c>
      <x:c r="Y55" s="418"/>
      <x:c r="Z55" s="304" t="s">
        <x:v>233</x:v>
      </x:c>
      <x:c r="AA55" s="417"/>
      <x:c r="AB55" s="304" t="s">
        <x:v>1737</x:v>
      </x:c>
      <x:c r="AC55" s="417"/>
      <x:c r="AD55" s="1050">
        <x:v>6.0801999999999995E-2</x:v>
      </x:c>
      <x:c r="AE55" s="417"/>
      <x:c r="AF55" s="416">
        <x:f t="shared" si="21"/>
        <x:v>-1482.4379496821982</x:v>
      </x:c>
      <x:c r="AG55" s="167"/>
      <x:c r="AH55" s="183">
        <x:v>190</x:v>
      </x:c>
      <x:c r="AI55" s="183"/>
    </x:row>
    <x:row r="56" spans="2:35">
      <x:c r="B56" s="1303">
        <x:f t="shared" si="9"/>
        <x:v>45</x:v>
      </x:c>
      <x:c r="C56" s="296" t="s">
        <x:v>1611</x:v>
      </x:c>
      <x:c r="D56" s="296" t="s">
        <x:v>1612</x:v>
      </x:c>
      <x:c r="E56" s="296" t="s">
        <x:v>1248</x:v>
      </x:c>
      <x:c r="F56" s="419">
        <x:v>766348.2</x:v>
      </x:c>
      <x:c r="G56" s="416">
        <x:f t="shared" si="12"/>
        <x:v>268221.87</x:v>
      </x:c>
      <x:c r="H56" s="419">
        <x:v>65139.597000000002</x:v>
      </x:c>
      <x:c r="I56" s="416">
        <x:f t="shared" si="13"/>
        <x:v>-22798.858949999998</x:v>
      </x:c>
      <x:c r="J56" s="416">
        <x:f t="shared" si="14"/>
        <x:v>310562.60804999998</x:v>
      </x:c>
      <x:c r="K56" s="437"/>
      <x:c r="L56" s="419">
        <x:f t="shared" si="15"/>
        <x:v>766348.2</x:v>
      </x:c>
      <x:c r="M56" s="416">
        <x:f t="shared" si="16"/>
        <x:v>160933.12199999997</x:v>
      </x:c>
      <x:c r="N56" s="419">
        <x:v>65139.597000000002</x:v>
      </x:c>
      <x:c r="O56" s="416">
        <x:f t="shared" si="17"/>
        <x:v>-13679.31537</x:v>
      </x:c>
      <x:c r="P56" s="416">
        <x:f t="shared" si="18"/>
        <x:v>212393.40362999999</x:v>
      </x:c>
      <x:c r="Q56" s="416"/>
      <x:c r="R56" s="416">
        <x:f t="shared" si="19"/>
        <x:v>98169.204419999995</x:v>
      </x:c>
      <x:c r="S56" s="437"/>
      <x:c r="T56" s="419">
        <x:v>0</x:v>
      </x:c>
      <x:c r="U56" s="437"/>
      <x:c r="V56" s="419">
        <x:v>0</x:v>
      </x:c>
      <x:c r="W56" s="437"/>
      <x:c r="X56" s="416">
        <x:f t="shared" si="20"/>
        <x:v>98169.204419999995</x:v>
      </x:c>
      <x:c r="Y56" s="418"/>
      <x:c r="Z56" s="304" t="s">
        <x:v>1736</x:v>
      </x:c>
      <x:c r="AA56" s="417"/>
      <x:c r="AB56" s="304" t="s">
        <x:v>1734</x:v>
      </x:c>
      <x:c r="AC56" s="417"/>
      <x:c r="AD56" s="1050">
        <x:v>0</x:v>
      </x:c>
      <x:c r="AE56" s="417"/>
      <x:c r="AF56" s="416">
        <x:f t="shared" si="21"/>
        <x:v>0</x:v>
      </x:c>
      <x:c r="AG56" s="167"/>
      <x:c r="AH56" s="183">
        <x:v>190</x:v>
      </x:c>
      <x:c r="AI56" s="183"/>
    </x:row>
    <x:row r="57" spans="2:35">
      <x:c r="B57" s="1303">
        <x:f t="shared" si="9"/>
        <x:v>46</x:v>
      </x:c>
      <x:c r="C57" s="296" t="s">
        <x:v>1613</x:v>
      </x:c>
      <x:c r="D57" s="296" t="s">
        <x:v>1614</x:v>
      </x:c>
      <x:c r="E57" s="296" t="s">
        <x:v>1248</x:v>
      </x:c>
      <x:c r="F57" s="419">
        <x:v>1219791.8899999999</x:v>
      </x:c>
      <x:c r="G57" s="416">
        <x:f t="shared" si="12"/>
        <x:v>426927.16149999993</x:v>
      </x:c>
      <x:c r="H57" s="419">
        <x:v>103682.31065</x:v>
      </x:c>
      <x:c r="I57" s="416">
        <x:f t="shared" si="13"/>
        <x:v>-36288.8087275</x:v>
      </x:c>
      <x:c r="J57" s="416">
        <x:f t="shared" si="14"/>
        <x:v>494320.6634224999</x:v>
      </x:c>
      <x:c r="K57" s="437"/>
      <x:c r="L57" s="419">
        <x:f t="shared" si="15"/>
        <x:v>1219791.8899999999</x:v>
      </x:c>
      <x:c r="M57" s="416">
        <x:f t="shared" si="16"/>
        <x:v>256156.29689999996</x:v>
      </x:c>
      <x:c r="N57" s="419">
        <x:v>103682.31065</x:v>
      </x:c>
      <x:c r="O57" s="416">
        <x:f t="shared" si="17"/>
        <x:v>-21773.2852365</x:v>
      </x:c>
      <x:c r="P57" s="416">
        <x:f t="shared" si="18"/>
        <x:v>338065.32231349999</x:v>
      </x:c>
      <x:c r="Q57" s="416"/>
      <x:c r="R57" s="416">
        <x:f t="shared" si="19"/>
        <x:v>156255.34110899991</x:v>
      </x:c>
      <x:c r="S57" s="437"/>
      <x:c r="T57" s="419">
        <x:v>0</x:v>
      </x:c>
      <x:c r="U57" s="437"/>
      <x:c r="V57" s="419">
        <x:v>0</x:v>
      </x:c>
      <x:c r="W57" s="437"/>
      <x:c r="X57" s="416">
        <x:f t="shared" si="20"/>
        <x:v>156255.34110899991</x:v>
      </x:c>
      <x:c r="Y57" s="418"/>
      <x:c r="Z57" s="304" t="s">
        <x:v>1736</x:v>
      </x:c>
      <x:c r="AA57" s="417"/>
      <x:c r="AB57" s="304" t="s">
        <x:v>1734</x:v>
      </x:c>
      <x:c r="AC57" s="417"/>
      <x:c r="AD57" s="1050">
        <x:v>0</x:v>
      </x:c>
      <x:c r="AE57" s="417"/>
      <x:c r="AF57" s="416">
        <x:f t="shared" si="21"/>
        <x:v>0</x:v>
      </x:c>
      <x:c r="AG57" s="167"/>
      <x:c r="AH57" s="183">
        <x:v>190</x:v>
      </x:c>
      <x:c r="AI57" s="183"/>
    </x:row>
    <x:row r="58" spans="2:35">
      <x:c r="B58" s="1303">
        <x:f t="shared" si="9"/>
        <x:v>47</x:v>
      </x:c>
      <x:c r="C58" s="296" t="s">
        <x:v>1615</x:v>
      </x:c>
      <x:c r="D58" s="296" t="s">
        <x:v>1614</x:v>
      </x:c>
      <x:c r="E58" s="296" t="s">
        <x:v>1248</x:v>
      </x:c>
      <x:c r="F58" s="419">
        <x:v>-11250</x:v>
      </x:c>
      <x:c r="G58" s="416">
        <x:f t="shared" si="12"/>
        <x:v>-3937.4999999999995</x:v>
      </x:c>
      <x:c r="H58" s="419">
        <x:v>-956.25000000000011</x:v>
      </x:c>
      <x:c r="I58" s="416">
        <x:f t="shared" si="13"/>
        <x:v>334.6875</x:v>
      </x:c>
      <x:c r="J58" s="416">
        <x:f t="shared" si="14"/>
        <x:v>-4559.0625</x:v>
      </x:c>
      <x:c r="K58" s="437"/>
      <x:c r="L58" s="419">
        <x:f t="shared" si="15"/>
        <x:v>-11250</x:v>
      </x:c>
      <x:c r="M58" s="416">
        <x:f t="shared" si="16"/>
        <x:v>-2362.5</x:v>
      </x:c>
      <x:c r="N58" s="419">
        <x:v>-956.25000000000011</x:v>
      </x:c>
      <x:c r="O58" s="416">
        <x:f t="shared" si="17"/>
        <x:v>200.81250000000003</x:v>
      </x:c>
      <x:c r="P58" s="416">
        <x:f t="shared" si="18"/>
        <x:v>-3117.9375</x:v>
      </x:c>
      <x:c r="Q58" s="416"/>
      <x:c r="R58" s="416">
        <x:f t="shared" si="19"/>
        <x:v>-1441.125</x:v>
      </x:c>
      <x:c r="S58" s="437"/>
      <x:c r="T58" s="419">
        <x:v>0</x:v>
      </x:c>
      <x:c r="U58" s="437"/>
      <x:c r="V58" s="419">
        <x:v>0</x:v>
      </x:c>
      <x:c r="W58" s="437"/>
      <x:c r="X58" s="416">
        <x:f t="shared" si="20"/>
        <x:v>-1441.125</x:v>
      </x:c>
      <x:c r="Y58" s="418"/>
      <x:c r="Z58" s="304" t="s">
        <x:v>1736</x:v>
      </x:c>
      <x:c r="AA58" s="417"/>
      <x:c r="AB58" s="304" t="s">
        <x:v>1734</x:v>
      </x:c>
      <x:c r="AC58" s="417"/>
      <x:c r="AD58" s="1050">
        <x:v>0</x:v>
      </x:c>
      <x:c r="AE58" s="417"/>
      <x:c r="AF58" s="416">
        <x:f t="shared" si="21"/>
        <x:v>0</x:v>
      </x:c>
      <x:c r="AG58" s="167"/>
      <x:c r="AH58" s="183">
        <x:v>190</x:v>
      </x:c>
      <x:c r="AI58" s="183"/>
    </x:row>
    <x:row r="59" spans="2:35">
      <x:c r="B59" s="1303">
        <x:f t="shared" si="9"/>
        <x:v>48</x:v>
      </x:c>
      <x:c r="C59" s="296" t="s">
        <x:v>1616</x:v>
      </x:c>
      <x:c r="D59" s="296" t="s">
        <x:v>1614</x:v>
      </x:c>
      <x:c r="E59" s="296" t="s">
        <x:v>1248</x:v>
      </x:c>
      <x:c r="F59" s="419">
        <x:v>3429544.69</x:v>
      </x:c>
      <x:c r="G59" s="416">
        <x:f t="shared" si="12"/>
        <x:v>1200340.6414999999</x:v>
      </x:c>
      <x:c r="H59" s="419">
        <x:v>291511.29865000001</x:v>
      </x:c>
      <x:c r="I59" s="416">
        <x:f t="shared" si="13"/>
        <x:v>-102028.9545275</x:v>
      </x:c>
      <x:c r="J59" s="416">
        <x:f t="shared" si="14"/>
        <x:v>1389822.9856224998</x:v>
      </x:c>
      <x:c r="K59" s="437"/>
      <x:c r="L59" s="419">
        <x:f t="shared" si="15"/>
        <x:v>3429544.69</x:v>
      </x:c>
      <x:c r="M59" s="416">
        <x:f t="shared" si="16"/>
        <x:v>720204.38489999995</x:v>
      </x:c>
      <x:c r="N59" s="419">
        <x:v>291511.29865000001</x:v>
      </x:c>
      <x:c r="O59" s="416">
        <x:f t="shared" si="17"/>
        <x:v>-61217.372716500002</x:v>
      </x:c>
      <x:c r="P59" s="416">
        <x:f t="shared" si="18"/>
        <x:v>950498.3108335</x:v>
      </x:c>
      <x:c r="Q59" s="416"/>
      <x:c r="R59" s="416">
        <x:f t="shared" si="19"/>
        <x:v>439324.67478899984</x:v>
      </x:c>
      <x:c r="S59" s="437"/>
      <x:c r="T59" s="419">
        <x:v>412612.85591247928</x:v>
      </x:c>
      <x:c r="U59" s="437"/>
      <x:c r="V59" s="419">
        <x:v>0</x:v>
      </x:c>
      <x:c r="W59" s="437"/>
      <x:c r="X59" s="416">
        <x:f t="shared" si="20"/>
        <x:v>26711.818876520556</x:v>
      </x:c>
      <x:c r="Y59" s="418"/>
      <x:c r="Z59" s="304" t="s">
        <x:v>233</x:v>
      </x:c>
      <x:c r="AA59" s="417"/>
      <x:c r="AB59" s="304" t="s">
        <x:v>1737</x:v>
      </x:c>
      <x:c r="AC59" s="417"/>
      <x:c r="AD59" s="1050">
        <x:v>1</x:v>
      </x:c>
      <x:c r="AE59" s="417"/>
      <x:c r="AF59" s="416">
        <x:f t="shared" si="21"/>
        <x:v>26711.818876520556</x:v>
      </x:c>
      <x:c r="AG59" s="167"/>
      <x:c r="AH59" s="183">
        <x:v>190</x:v>
      </x:c>
      <x:c r="AI59" s="183"/>
    </x:row>
    <x:row r="60" spans="2:35">
      <x:c r="B60" s="1303">
        <x:f t="shared" si="9"/>
        <x:v>49</x:v>
      </x:c>
      <x:c r="C60" s="296" t="s">
        <x:v>1617</x:v>
      </x:c>
      <x:c r="D60" s="296" t="s">
        <x:v>1614</x:v>
      </x:c>
      <x:c r="E60" s="296" t="s">
        <x:v>1248</x:v>
      </x:c>
      <x:c r="F60" s="419">
        <x:v>-409534.83</x:v>
      </x:c>
      <x:c r="G60" s="416">
        <x:f t="shared" si="12"/>
        <x:v>-143337.1905</x:v>
      </x:c>
      <x:c r="H60" s="419">
        <x:v>-34810.460550000003</x:v>
      </x:c>
      <x:c r="I60" s="416">
        <x:f t="shared" si="13"/>
        <x:v>12183.6611925</x:v>
      </x:c>
      <x:c r="J60" s="416">
        <x:f t="shared" si="14"/>
        <x:v>-165963.98985749998</x:v>
      </x:c>
      <x:c r="K60" s="437"/>
      <x:c r="L60" s="419">
        <x:f t="shared" si="15"/>
        <x:v>-409534.83</x:v>
      </x:c>
      <x:c r="M60" s="416">
        <x:f t="shared" si="16"/>
        <x:v>-86002.314299999998</x:v>
      </x:c>
      <x:c r="N60" s="419">
        <x:v>-34810.460550000003</x:v>
      </x:c>
      <x:c r="O60" s="416">
        <x:f t="shared" si="17"/>
        <x:v>7310.1967155000002</x:v>
      </x:c>
      <x:c r="P60" s="416">
        <x:f t="shared" si="18"/>
        <x:v>-113502.5781345</x:v>
      </x:c>
      <x:c r="Q60" s="416"/>
      <x:c r="R60" s="416">
        <x:f t="shared" si="19"/>
        <x:v>-52461.411722999983</x:v>
      </x:c>
      <x:c r="S60" s="437"/>
      <x:c r="T60" s="419">
        <x:v>0</x:v>
      </x:c>
      <x:c r="U60" s="437"/>
      <x:c r="V60" s="419">
        <x:v>0</x:v>
      </x:c>
      <x:c r="W60" s="437"/>
      <x:c r="X60" s="416">
        <x:f t="shared" si="20"/>
        <x:v>-52461.411722999983</x:v>
      </x:c>
      <x:c r="Y60" s="418"/>
      <x:c r="Z60" s="304" t="s">
        <x:v>233</x:v>
      </x:c>
      <x:c r="AA60" s="417"/>
      <x:c r="AB60" s="304" t="s">
        <x:v>1737</x:v>
      </x:c>
      <x:c r="AC60" s="417"/>
      <x:c r="AD60" s="1050">
        <x:v>0</x:v>
      </x:c>
      <x:c r="AE60" s="417"/>
      <x:c r="AF60" s="416">
        <x:f t="shared" si="21"/>
        <x:v>0</x:v>
      </x:c>
      <x:c r="AG60" s="167"/>
      <x:c r="AH60" s="183">
        <x:v>190</x:v>
      </x:c>
      <x:c r="AI60" s="183"/>
    </x:row>
    <x:row r="61" spans="2:35">
      <x:c r="B61" s="1303">
        <x:f t="shared" si="9"/>
        <x:v>50</x:v>
      </x:c>
      <x:c r="C61" s="296" t="s">
        <x:v>1618</x:v>
      </x:c>
      <x:c r="D61" s="296" t="s">
        <x:v>1614</x:v>
      </x:c>
      <x:c r="E61" s="296" t="s">
        <x:v>1248</x:v>
      </x:c>
      <x:c r="F61" s="419">
        <x:v>-3118670.24</x:v>
      </x:c>
      <x:c r="G61" s="416">
        <x:f t="shared" si="12"/>
        <x:v>-1091534.584</x:v>
      </x:c>
      <x:c r="H61" s="419">
        <x:v>-265086.97040000005</x:v>
      </x:c>
      <x:c r="I61" s="416">
        <x:f t="shared" si="13"/>
        <x:v>92780.439640000011</x:v>
      </x:c>
      <x:c r="J61" s="416">
        <x:f t="shared" si="14"/>
        <x:v>-1263841.11476</x:v>
      </x:c>
      <x:c r="K61" s="437"/>
      <x:c r="L61" s="419">
        <x:f t="shared" si="15"/>
        <x:v>-3118670.24</x:v>
      </x:c>
      <x:c r="M61" s="416">
        <x:f t="shared" si="16"/>
        <x:v>-654920.75040000002</x:v>
      </x:c>
      <x:c r="N61" s="419">
        <x:v>-265086.97040000005</x:v>
      </x:c>
      <x:c r="O61" s="416">
        <x:f t="shared" si="17"/>
        <x:v>55668.26378400001</x:v>
      </x:c>
      <x:c r="P61" s="416">
        <x:f t="shared" si="18"/>
        <x:v>-864339.45701600006</x:v>
      </x:c>
      <x:c r="Q61" s="416"/>
      <x:c r="R61" s="416">
        <x:f t="shared" si="19"/>
        <x:v>-399501.65774399997</x:v>
      </x:c>
      <x:c r="S61" s="437"/>
      <x:c r="T61" s="419">
        <x:v>0</x:v>
      </x:c>
      <x:c r="U61" s="437"/>
      <x:c r="V61" s="419">
        <x:v>0</x:v>
      </x:c>
      <x:c r="W61" s="437"/>
      <x:c r="X61" s="416">
        <x:f t="shared" si="20"/>
        <x:v>-399501.65774399997</x:v>
      </x:c>
      <x:c r="Y61" s="418"/>
      <x:c r="Z61" s="304" t="s">
        <x:v>233</x:v>
      </x:c>
      <x:c r="AA61" s="417"/>
      <x:c r="AB61" s="304" t="s">
        <x:v>1737</x:v>
      </x:c>
      <x:c r="AC61" s="417"/>
      <x:c r="AD61" s="1050">
        <x:v>0</x:v>
      </x:c>
      <x:c r="AE61" s="417"/>
      <x:c r="AF61" s="416">
        <x:f t="shared" si="21"/>
        <x:v>0</x:v>
      </x:c>
      <x:c r="AG61" s="167"/>
      <x:c r="AH61" s="183">
        <x:v>190</x:v>
      </x:c>
      <x:c r="AI61" s="183"/>
    </x:row>
    <x:row r="62" spans="2:35">
      <x:c r="B62" s="1303">
        <x:f t="shared" si="9"/>
        <x:v>51</x:v>
      </x:c>
      <x:c r="C62" s="296" t="s">
        <x:v>1619</x:v>
      </x:c>
      <x:c r="D62" s="296" t="s">
        <x:v>1614</x:v>
      </x:c>
      <x:c r="E62" s="296" t="s">
        <x:v>1248</x:v>
      </x:c>
      <x:c r="F62" s="419">
        <x:v>754792.02</x:v>
      </x:c>
      <x:c r="G62" s="416">
        <x:f t="shared" si="12"/>
        <x:v>264177.20699999999</x:v>
      </x:c>
      <x:c r="H62" s="419">
        <x:v>64157.321700000008</x:v>
      </x:c>
      <x:c r="I62" s="416">
        <x:f t="shared" si="13"/>
        <x:v>-22455.062595000003</x:v>
      </x:c>
      <x:c r="J62" s="416">
        <x:f t="shared" si="14"/>
        <x:v>305879.466105</x:v>
      </x:c>
      <x:c r="K62" s="437"/>
      <x:c r="L62" s="419">
        <x:f t="shared" si="15"/>
        <x:v>754792.02</x:v>
      </x:c>
      <x:c r="M62" s="416">
        <x:f t="shared" si="16"/>
        <x:v>158506.3242</x:v>
      </x:c>
      <x:c r="N62" s="419">
        <x:v>64157.321700000008</x:v>
      </x:c>
      <x:c r="O62" s="416">
        <x:f t="shared" si="17"/>
        <x:v>-13473.037557000001</x:v>
      </x:c>
      <x:c r="P62" s="416">
        <x:f t="shared" si="18"/>
        <x:v>209190.608343</x:v>
      </x:c>
      <x:c r="Q62" s="416"/>
      <x:c r="R62" s="416">
        <x:f t="shared" si="19"/>
        <x:v>96688.857762</x:v>
      </x:c>
      <x:c r="S62" s="437"/>
      <x:c r="T62" s="419">
        <x:v>0</x:v>
      </x:c>
      <x:c r="U62" s="437"/>
      <x:c r="V62" s="419">
        <x:v>0</x:v>
      </x:c>
      <x:c r="W62" s="437"/>
      <x:c r="X62" s="416">
        <x:f t="shared" si="20"/>
        <x:v>96688.857762</x:v>
      </x:c>
      <x:c r="Y62" s="418"/>
      <x:c r="Z62" s="304" t="s">
        <x:v>1738</x:v>
      </x:c>
      <x:c r="AA62" s="417"/>
      <x:c r="AB62" s="304" t="s">
        <x:v>1737</x:v>
      </x:c>
      <x:c r="AC62" s="417"/>
      <x:c r="AD62" s="1050">
        <x:v>0</x:v>
      </x:c>
      <x:c r="AE62" s="417"/>
      <x:c r="AF62" s="416">
        <x:f t="shared" si="21"/>
        <x:v>0</x:v>
      </x:c>
      <x:c r="AG62" s="167"/>
      <x:c r="AH62" s="183">
        <x:v>190</x:v>
      </x:c>
      <x:c r="AI62" s="183"/>
    </x:row>
    <x:row r="63" spans="2:35">
      <x:c r="B63" s="1303">
        <x:f t="shared" si="9"/>
        <x:v>52</x:v>
      </x:c>
      <x:c r="C63" s="296" t="s">
        <x:v>1620</x:v>
      </x:c>
      <x:c r="D63" s="296" t="s">
        <x:v>1614</x:v>
      </x:c>
      <x:c r="E63" s="296" t="s">
        <x:v>1248</x:v>
      </x:c>
      <x:c r="F63" s="419">
        <x:v>1066.97</x:v>
      </x:c>
      <x:c r="G63" s="416">
        <x:f t="shared" si="12"/>
        <x:v>373.43950000000001</x:v>
      </x:c>
      <x:c r="H63" s="419">
        <x:v>90.692450000000008</x:v>
      </x:c>
      <x:c r="I63" s="416">
        <x:f t="shared" si="13"/>
        <x:v>-31.742357500000001</x:v>
      </x:c>
      <x:c r="J63" s="416">
        <x:f t="shared" si="14"/>
        <x:v>432.38959249999999</x:v>
      </x:c>
      <x:c r="K63" s="437"/>
      <x:c r="L63" s="419">
        <x:f t="shared" si="15"/>
        <x:v>1066.97</x:v>
      </x:c>
      <x:c r="M63" s="416">
        <x:f t="shared" si="16"/>
        <x:v>224.06370000000001</x:v>
      </x:c>
      <x:c r="N63" s="419">
        <x:v>90.692450000000008</x:v>
      </x:c>
      <x:c r="O63" s="416">
        <x:f t="shared" si="17"/>
        <x:v>-19.0454145</x:v>
      </x:c>
      <x:c r="P63" s="416">
        <x:f t="shared" si="18"/>
        <x:v>295.71073550000006</x:v>
      </x:c>
      <x:c r="Q63" s="416"/>
      <x:c r="R63" s="416">
        <x:f t="shared" si="19"/>
        <x:v>136.67885699999994</x:v>
      </x:c>
      <x:c r="S63" s="437"/>
      <x:c r="T63" s="419">
        <x:v>0</x:v>
      </x:c>
      <x:c r="U63" s="437"/>
      <x:c r="V63" s="419">
        <x:v>0</x:v>
      </x:c>
      <x:c r="W63" s="437"/>
      <x:c r="X63" s="416">
        <x:f t="shared" si="20"/>
        <x:v>136.67885699999994</x:v>
      </x:c>
      <x:c r="Y63" s="418"/>
      <x:c r="Z63" s="304" t="s">
        <x:v>1738</x:v>
      </x:c>
      <x:c r="AA63" s="417"/>
      <x:c r="AB63" s="304" t="s">
        <x:v>1737</x:v>
      </x:c>
      <x:c r="AC63" s="417"/>
      <x:c r="AD63" s="1050">
        <x:v>0</x:v>
      </x:c>
      <x:c r="AE63" s="417"/>
      <x:c r="AF63" s="416">
        <x:f t="shared" si="21"/>
        <x:v>0</x:v>
      </x:c>
      <x:c r="AG63" s="167"/>
      <x:c r="AH63" s="183">
        <x:v>190</x:v>
      </x:c>
      <x:c r="AI63" s="183"/>
    </x:row>
    <x:row r="64" spans="2:35">
      <x:c r="B64" s="1303">
        <x:f t="shared" si="9"/>
        <x:v>53</x:v>
      </x:c>
      <x:c r="C64" s="296" t="s">
        <x:v>1621</x:v>
      </x:c>
      <x:c r="D64" s="296" t="s">
        <x:v>1614</x:v>
      </x:c>
      <x:c r="E64" s="296" t="s">
        <x:v>1248</x:v>
      </x:c>
      <x:c r="F64" s="419">
        <x:v>-1467110.09</x:v>
      </x:c>
      <x:c r="G64" s="416">
        <x:f t="shared" si="12"/>
        <x:v>-513488.53149999998</x:v>
      </x:c>
      <x:c r="H64" s="419">
        <x:v>-124704.35765000002</x:v>
      </x:c>
      <x:c r="I64" s="416">
        <x:f t="shared" si="13"/>
        <x:v>43646.525177500007</x:v>
      </x:c>
      <x:c r="J64" s="416">
        <x:f t="shared" si="14"/>
        <x:v>-594546.36397249997</x:v>
      </x:c>
      <x:c r="K64" s="437"/>
      <x:c r="L64" s="419">
        <x:f t="shared" si="15"/>
        <x:v>-1467110.09</x:v>
      </x:c>
      <x:c r="M64" s="416">
        <x:f t="shared" si="16"/>
        <x:v>-308093.1189</x:v>
      </x:c>
      <x:c r="N64" s="419">
        <x:v>-124704.35765000002</x:v>
      </x:c>
      <x:c r="O64" s="416">
        <x:f t="shared" si="17"/>
        <x:v>26187.915106500004</x:v>
      </x:c>
      <x:c r="P64" s="416">
        <x:f t="shared" si="18"/>
        <x:v>-406609.56144349999</x:v>
      </x:c>
      <x:c r="Q64" s="416"/>
      <x:c r="R64" s="416">
        <x:f t="shared" si="19"/>
        <x:v>-187936.80252899998</x:v>
      </x:c>
      <x:c r="S64" s="437"/>
      <x:c r="T64" s="419">
        <x:v>0</x:v>
      </x:c>
      <x:c r="U64" s="437"/>
      <x:c r="V64" s="419">
        <x:v>0</x:v>
      </x:c>
      <x:c r="W64" s="437"/>
      <x:c r="X64" s="416">
        <x:f t="shared" si="20"/>
        <x:v>-187936.80252899998</x:v>
      </x:c>
      <x:c r="Y64" s="418"/>
      <x:c r="Z64" s="304" t="s">
        <x:v>233</x:v>
      </x:c>
      <x:c r="AA64" s="417"/>
      <x:c r="AB64" s="304" t="s">
        <x:v>1737</x:v>
      </x:c>
      <x:c r="AC64" s="417"/>
      <x:c r="AD64" s="1050">
        <x:v>0</x:v>
      </x:c>
      <x:c r="AE64" s="417"/>
      <x:c r="AF64" s="416">
        <x:f t="shared" si="21"/>
        <x:v>0</x:v>
      </x:c>
      <x:c r="AG64" s="167"/>
      <x:c r="AH64" s="183">
        <x:v>190</x:v>
      </x:c>
      <x:c r="AI64" s="183"/>
    </x:row>
    <x:row r="65" spans="2:35">
      <x:c r="B65" s="1303">
        <x:f t="shared" si="9"/>
        <x:v>54</x:v>
      </x:c>
      <x:c r="C65" s="296" t="s">
        <x:v>1622</x:v>
      </x:c>
      <x:c r="D65" s="296" t="s">
        <x:v>1614</x:v>
      </x:c>
      <x:c r="E65" s="296" t="s">
        <x:v>1248</x:v>
      </x:c>
      <x:c r="F65" s="419">
        <x:v>486300.12</x:v>
      </x:c>
      <x:c r="G65" s="416">
        <x:f t="shared" si="12"/>
        <x:v>170205.04199999999</x:v>
      </x:c>
      <x:c r="H65" s="419">
        <x:v>41335.510200000004</x:v>
      </x:c>
      <x:c r="I65" s="416">
        <x:f t="shared" si="13"/>
        <x:v>-14467.42857</x:v>
      </x:c>
      <x:c r="J65" s="416">
        <x:f t="shared" si="14"/>
        <x:v>197073.12362999999</x:v>
      </x:c>
      <x:c r="K65" s="437"/>
      <x:c r="L65" s="419">
        <x:f t="shared" si="15"/>
        <x:v>486300.12</x:v>
      </x:c>
      <x:c r="M65" s="416">
        <x:f t="shared" si="16"/>
        <x:v>102123.02519999999</x:v>
      </x:c>
      <x:c r="N65" s="419">
        <x:v>41335.510200000004</x:v>
      </x:c>
      <x:c r="O65" s="416">
        <x:f t="shared" si="17"/>
        <x:v>-8680.4571420000011</x:v>
      </x:c>
      <x:c r="P65" s="416">
        <x:f t="shared" si="18"/>
        <x:v>134778.07825799999</x:v>
      </x:c>
      <x:c r="Q65" s="416"/>
      <x:c r="R65" s="416">
        <x:f t="shared" si="19"/>
        <x:v>62295.045371999993</x:v>
      </x:c>
      <x:c r="S65" s="437"/>
      <x:c r="T65" s="419">
        <x:v>0</x:v>
      </x:c>
      <x:c r="U65" s="437"/>
      <x:c r="V65" s="419">
        <x:v>0</x:v>
      </x:c>
      <x:c r="W65" s="437"/>
      <x:c r="X65" s="416">
        <x:f t="shared" si="20"/>
        <x:v>62295.045371999993</x:v>
      </x:c>
      <x:c r="Y65" s="418"/>
      <x:c r="Z65" s="304" t="s">
        <x:v>233</x:v>
      </x:c>
      <x:c r="AA65" s="417"/>
      <x:c r="AB65" s="304" t="s">
        <x:v>1737</x:v>
      </x:c>
      <x:c r="AC65" s="417"/>
      <x:c r="AD65" s="1050">
        <x:v>6.0801999999999995E-2</x:v>
      </x:c>
      <x:c r="AE65" s="417"/>
      <x:c r="AF65" s="416">
        <x:f t="shared" si="21"/>
        <x:v>3787.6633487083432</x:v>
      </x:c>
      <x:c r="AG65" s="167"/>
      <x:c r="AH65" s="183">
        <x:v>190</x:v>
      </x:c>
      <x:c r="AI65" s="183"/>
    </x:row>
    <x:row r="66" spans="2:35">
      <x:c r="B66" s="1303">
        <x:f t="shared" si="9"/>
        <x:v>55</x:v>
      </x:c>
      <x:c r="C66" s="296" t="s">
        <x:v>1623</x:v>
      </x:c>
      <x:c r="D66" s="296" t="s">
        <x:v>1614</x:v>
      </x:c>
      <x:c r="E66" s="296" t="s">
        <x:v>1248</x:v>
      </x:c>
      <x:c r="F66" s="419">
        <x:v>-766348.2</x:v>
      </x:c>
      <x:c r="G66" s="416">
        <x:f t="shared" si="12"/>
        <x:v>-268221.87</x:v>
      </x:c>
      <x:c r="H66" s="419">
        <x:v>-65139.597000000002</x:v>
      </x:c>
      <x:c r="I66" s="416">
        <x:f t="shared" si="13"/>
        <x:v>22798.858949999998</x:v>
      </x:c>
      <x:c r="J66" s="416">
        <x:f t="shared" si="14"/>
        <x:v>-310562.60804999998</x:v>
      </x:c>
      <x:c r="K66" s="437"/>
      <x:c r="L66" s="419">
        <x:f t="shared" si="15"/>
        <x:v>-766348.2</x:v>
      </x:c>
      <x:c r="M66" s="416">
        <x:f t="shared" si="16"/>
        <x:v>-160933.12199999997</x:v>
      </x:c>
      <x:c r="N66" s="419">
        <x:v>-65139.597000000002</x:v>
      </x:c>
      <x:c r="O66" s="416">
        <x:f t="shared" si="17"/>
        <x:v>13679.31537</x:v>
      </x:c>
      <x:c r="P66" s="416">
        <x:f t="shared" si="18"/>
        <x:v>-212393.40362999999</x:v>
      </x:c>
      <x:c r="Q66" s="416"/>
      <x:c r="R66" s="416">
        <x:f t="shared" si="19"/>
        <x:v>-98169.204419999995</x:v>
      </x:c>
      <x:c r="S66" s="437"/>
      <x:c r="T66" s="419">
        <x:v>0</x:v>
      </x:c>
      <x:c r="U66" s="437"/>
      <x:c r="V66" s="419">
        <x:v>0</x:v>
      </x:c>
      <x:c r="W66" s="437"/>
      <x:c r="X66" s="416">
        <x:f t="shared" si="20"/>
        <x:v>-98169.204419999995</x:v>
      </x:c>
      <x:c r="Y66" s="418"/>
      <x:c r="Z66" s="304" t="s">
        <x:v>1738</x:v>
      </x:c>
      <x:c r="AA66" s="417"/>
      <x:c r="AB66" s="304" t="s">
        <x:v>1737</x:v>
      </x:c>
      <x:c r="AC66" s="417"/>
      <x:c r="AD66" s="1050">
        <x:v>0</x:v>
      </x:c>
      <x:c r="AE66" s="417"/>
      <x:c r="AF66" s="416">
        <x:f t="shared" si="21"/>
        <x:v>0</x:v>
      </x:c>
      <x:c r="AG66" s="167"/>
      <x:c r="AH66" s="183">
        <x:v>190</x:v>
      </x:c>
      <x:c r="AI66" s="183"/>
    </x:row>
    <x:row r="67" spans="2:35">
      <x:c r="B67" s="1303">
        <x:f t="shared" si="9"/>
        <x:v>56</x:v>
      </x:c>
      <x:c r="C67" s="296" t="s">
        <x:v>1624</x:v>
      </x:c>
      <x:c r="D67" s="296" t="s">
        <x:v>1614</x:v>
      </x:c>
      <x:c r="E67" s="296" t="s">
        <x:v>1248</x:v>
      </x:c>
      <x:c r="F67" s="419">
        <x:v>-1127189</x:v>
      </x:c>
      <x:c r="G67" s="416">
        <x:f t="shared" si="12"/>
        <x:v>-394516.14999999997</x:v>
      </x:c>
      <x:c r="H67" s="419">
        <x:v>-95811.065000000002</x:v>
      </x:c>
      <x:c r="I67" s="416">
        <x:f t="shared" si="13"/>
        <x:v>33533.872750000002</x:v>
      </x:c>
      <x:c r="J67" s="416">
        <x:f t="shared" si="14"/>
        <x:v>-456793.34224999999</x:v>
      </x:c>
      <x:c r="K67" s="437"/>
      <x:c r="L67" s="419">
        <x:f t="shared" si="15"/>
        <x:v>-1127189</x:v>
      </x:c>
      <x:c r="M67" s="416">
        <x:f t="shared" si="16"/>
        <x:v>-236709.69</x:v>
      </x:c>
      <x:c r="N67" s="419">
        <x:v>-95811.065000000002</x:v>
      </x:c>
      <x:c r="O67" s="416">
        <x:f t="shared" si="17"/>
        <x:v>20120.323649999998</x:v>
      </x:c>
      <x:c r="P67" s="416">
        <x:f t="shared" si="18"/>
        <x:v>-312400.43135000003</x:v>
      </x:c>
      <x:c r="Q67" s="416"/>
      <x:c r="R67" s="416">
        <x:f t="shared" si="19"/>
        <x:v>-144392.91089999996</x:v>
      </x:c>
      <x:c r="S67" s="437"/>
      <x:c r="T67" s="419">
        <x:v>0</x:v>
      </x:c>
      <x:c r="U67" s="437"/>
      <x:c r="V67" s="419">
        <x:v>0</x:v>
      </x:c>
      <x:c r="W67" s="437"/>
      <x:c r="X67" s="416">
        <x:f t="shared" si="20"/>
        <x:v>-144392.91089999996</x:v>
      </x:c>
      <x:c r="Y67" s="418"/>
      <x:c r="Z67" s="304" t="s">
        <x:v>1738</x:v>
      </x:c>
      <x:c r="AA67" s="417"/>
      <x:c r="AB67" s="304" t="s">
        <x:v>1737</x:v>
      </x:c>
      <x:c r="AC67" s="417"/>
      <x:c r="AD67" s="1051">
        <x:v>0.36620000000000003</x:v>
      </x:c>
      <x:c r="AE67" s="417"/>
      <x:c r="AF67" s="416">
        <x:f t="shared" si="21"/>
        <x:v>-52876.683971579987</x:v>
      </x:c>
      <x:c r="AG67" s="167"/>
      <x:c r="AH67" s="183">
        <x:v>190</x:v>
      </x:c>
      <x:c r="AI67" s="183"/>
    </x:row>
    <x:row r="68" spans="2:35">
      <x:c r="B68" s="1303">
        <x:f t="shared" si="9"/>
        <x:v>57</x:v>
      </x:c>
      <x:c r="C68" s="296" t="s">
        <x:v>1625</x:v>
      </x:c>
      <x:c r="D68" s="296" t="s">
        <x:v>1614</x:v>
      </x:c>
      <x:c r="E68" s="296" t="s">
        <x:v>1248</x:v>
      </x:c>
      <x:c r="F68" s="419">
        <x:v>-2834390.52</x:v>
      </x:c>
      <x:c r="G68" s="416">
        <x:f t="shared" si="12"/>
        <x:v>-992036.68199999991</x:v>
      </x:c>
      <x:c r="H68" s="419">
        <x:v>-240923.19420000003</x:v>
      </x:c>
      <x:c r="I68" s="416">
        <x:f t="shared" si="13"/>
        <x:v>84323.117970000007</x:v>
      </x:c>
      <x:c r="J68" s="416">
        <x:f t="shared" si="14"/>
        <x:v>-1148636.7582299998</x:v>
      </x:c>
      <x:c r="K68" s="437"/>
      <x:c r="L68" s="419">
        <x:f t="shared" si="15"/>
        <x:v>-2834390.52</x:v>
      </x:c>
      <x:c r="M68" s="416">
        <x:f t="shared" si="16"/>
        <x:v>-595222.00919999997</x:v>
      </x:c>
      <x:c r="N68" s="419">
        <x:v>-240923.19420000003</x:v>
      </x:c>
      <x:c r="O68" s="416">
        <x:f t="shared" si="17"/>
        <x:v>50593.870782000005</x:v>
      </x:c>
      <x:c r="P68" s="416">
        <x:f t="shared" si="18"/>
        <x:v>-785551.33261799999</x:v>
      </x:c>
      <x:c r="Q68" s="416"/>
      <x:c r="R68" s="416">
        <x:f t="shared" si="19"/>
        <x:v>-363085.42561199982</x:v>
      </x:c>
      <x:c r="S68" s="437"/>
      <x:c r="T68" s="419">
        <x:v>0</x:v>
      </x:c>
      <x:c r="U68" s="437"/>
      <x:c r="V68" s="419">
        <x:v>0</x:v>
      </x:c>
      <x:c r="W68" s="437"/>
      <x:c r="X68" s="416">
        <x:f t="shared" si="20"/>
        <x:v>-363085.42561199982</x:v>
      </x:c>
      <x:c r="Y68" s="418"/>
      <x:c r="Z68" s="304" t="s">
        <x:v>1738</x:v>
      </x:c>
      <x:c r="AA68" s="417"/>
      <x:c r="AB68" s="304" t="s">
        <x:v>1734</x:v>
      </x:c>
      <x:c r="AC68" s="417"/>
      <x:c r="AD68" s="1050">
        <x:v>0</x:v>
      </x:c>
      <x:c r="AE68" s="417"/>
      <x:c r="AF68" s="416">
        <x:f t="shared" si="21"/>
        <x:v>0</x:v>
      </x:c>
      <x:c r="AG68" s="167"/>
      <x:c r="AH68" s="183">
        <x:v>190</x:v>
      </x:c>
      <x:c r="AI68" s="183"/>
    </x:row>
    <x:row r="69" spans="2:35">
      <x:c r="B69" s="1303">
        <x:f t="shared" si="9"/>
        <x:v>58</x:v>
      </x:c>
      <x:c r="C69" s="296" t="s">
        <x:v>1626</x:v>
      </x:c>
      <x:c r="D69" s="296" t="s">
        <x:v>1614</x:v>
      </x:c>
      <x:c r="E69" s="296" t="s">
        <x:v>1248</x:v>
      </x:c>
      <x:c r="F69" s="419">
        <x:v>-836174.79</x:v>
      </x:c>
      <x:c r="G69" s="416">
        <x:f t="shared" si="12"/>
        <x:v>-292661.1765</x:v>
      </x:c>
      <x:c r="H69" s="419">
        <x:v>-71074.857150000011</x:v>
      </x:c>
      <x:c r="I69" s="416">
        <x:f t="shared" si="13"/>
        <x:v>24876.200002500002</x:v>
      </x:c>
      <x:c r="J69" s="416">
        <x:f t="shared" si="14"/>
        <x:v>-338859.83364750003</x:v>
      </x:c>
      <x:c r="K69" s="437"/>
      <x:c r="L69" s="419">
        <x:f t="shared" si="15"/>
        <x:v>-836174.79</x:v>
      </x:c>
      <x:c r="M69" s="416">
        <x:f t="shared" si="16"/>
        <x:v>-175596.7059</x:v>
      </x:c>
      <x:c r="N69" s="419">
        <x:v>-71074.857150000011</x:v>
      </x:c>
      <x:c r="O69" s="416">
        <x:f t="shared" si="17"/>
        <x:v>14925.720001500002</x:v>
      </x:c>
      <x:c r="P69" s="416">
        <x:f t="shared" si="18"/>
        <x:v>-231745.84304849998</x:v>
      </x:c>
      <x:c r="Q69" s="416"/>
      <x:c r="R69" s="416">
        <x:f t="shared" si="19"/>
        <x:v>-107113.99059900004</x:v>
      </x:c>
      <x:c r="S69" s="437"/>
      <x:c r="T69" s="419">
        <x:v>0</x:v>
      </x:c>
      <x:c r="U69" s="437"/>
      <x:c r="V69" s="419">
        <x:v>0</x:v>
      </x:c>
      <x:c r="W69" s="437"/>
      <x:c r="X69" s="416">
        <x:f t="shared" si="20"/>
        <x:v>-107113.99059900004</x:v>
      </x:c>
      <x:c r="Y69" s="418"/>
      <x:c r="Z69" s="304" t="s">
        <x:v>1735</x:v>
      </x:c>
      <x:c r="AA69" s="417"/>
      <x:c r="AB69" s="304" t="s">
        <x:v>1734</x:v>
      </x:c>
      <x:c r="AC69" s="417"/>
      <x:c r="AD69" s="1050">
        <x:v>0</x:v>
      </x:c>
      <x:c r="AE69" s="417"/>
      <x:c r="AF69" s="416">
        <x:f t="shared" si="21"/>
        <x:v>0</x:v>
      </x:c>
      <x:c r="AG69" s="167"/>
      <x:c r="AH69" s="183">
        <x:v>190</x:v>
      </x:c>
      <x:c r="AI69" s="183"/>
    </x:row>
    <x:row r="70" spans="2:35">
      <x:c r="B70" s="1303">
        <x:f t="shared" si="9"/>
        <x:v>59</x:v>
      </x:c>
      <x:c r="C70" s="296" t="s">
        <x:v>1627</x:v>
      </x:c>
      <x:c r="D70" s="296" t="s">
        <x:v>1614</x:v>
      </x:c>
      <x:c r="E70" s="296" t="s">
        <x:v>1248</x:v>
      </x:c>
      <x:c r="F70" s="419">
        <x:v>8440143.8499999996</x:v>
      </x:c>
      <x:c r="G70" s="416">
        <x:f t="shared" si="12"/>
        <x:v>2954050.3474999997</x:v>
      </x:c>
      <x:c r="H70" s="419">
        <x:v>717412.22725</x:v>
      </x:c>
      <x:c r="I70" s="416">
        <x:f t="shared" si="13"/>
        <x:v>-251094.27953749997</x:v>
      </x:c>
      <x:c r="J70" s="416">
        <x:f t="shared" si="14"/>
        <x:v>3420368.2952124998</x:v>
      </x:c>
      <x:c r="K70" s="437"/>
      <x:c r="L70" s="419">
        <x:f t="shared" si="15"/>
        <x:v>8440143.8499999996</x:v>
      </x:c>
      <x:c r="M70" s="416">
        <x:f t="shared" si="16"/>
        <x:v>1772430.2084999999</x:v>
      </x:c>
      <x:c r="N70" s="419">
        <x:v>717412.22725</x:v>
      </x:c>
      <x:c r="O70" s="416">
        <x:f t="shared" si="17"/>
        <x:v>-150656.56772249998</x:v>
      </x:c>
      <x:c r="P70" s="416">
        <x:f t="shared" si="18"/>
        <x:v>2339185.8680275003</x:v>
      </x:c>
      <x:c r="Q70" s="416"/>
      <x:c r="R70" s="416">
        <x:f t="shared" si="19"/>
        <x:v>1081182.4271849995</x:v>
      </x:c>
      <x:c r="S70" s="437"/>
      <x:c r="T70" s="419">
        <x:v>0</x:v>
      </x:c>
      <x:c r="U70" s="437"/>
      <x:c r="V70" s="419">
        <x:v>0</x:v>
      </x:c>
      <x:c r="W70" s="437"/>
      <x:c r="X70" s="416">
        <x:f t="shared" si="20"/>
        <x:v>1081182.4271849995</x:v>
      </x:c>
      <x:c r="Y70" s="418"/>
      <x:c r="Z70" s="304" t="s">
        <x:v>1735</x:v>
      </x:c>
      <x:c r="AA70" s="417"/>
      <x:c r="AB70" s="304" t="s">
        <x:v>1734</x:v>
      </x:c>
      <x:c r="AC70" s="417"/>
      <x:c r="AD70" s="1050">
        <x:v>0</x:v>
      </x:c>
      <x:c r="AE70" s="417"/>
      <x:c r="AF70" s="416">
        <x:f t="shared" si="21"/>
        <x:v>0</x:v>
      </x:c>
      <x:c r="AG70" s="167"/>
      <x:c r="AH70" s="183">
        <x:v>190</x:v>
      </x:c>
      <x:c r="AI70" s="183"/>
    </x:row>
    <x:row r="71" spans="2:35">
      <x:c r="B71" s="1303">
        <x:f t="shared" si="9"/>
        <x:v>60</x:v>
      </x:c>
      <x:c r="C71" s="296" t="s">
        <x:v>1628</x:v>
      </x:c>
      <x:c r="D71" s="296" t="s">
        <x:v>1614</x:v>
      </x:c>
      <x:c r="E71" s="296" t="s">
        <x:v>1248</x:v>
      </x:c>
      <x:c r="F71" s="419">
        <x:v>3421999.71</x:v>
      </x:c>
      <x:c r="G71" s="416">
        <x:f t="shared" si="12"/>
        <x:v>1197699.8984999999</x:v>
      </x:c>
      <x:c r="H71" s="419">
        <x:v>290869.97535000002</x:v>
      </x:c>
      <x:c r="I71" s="416">
        <x:f t="shared" si="13"/>
        <x:v>-101804.49137250001</x:v>
      </x:c>
      <x:c r="J71" s="416">
        <x:f t="shared" si="14"/>
        <x:v>1386765.3824774998</x:v>
      </x:c>
      <x:c r="K71" s="437"/>
      <x:c r="L71" s="419">
        <x:f t="shared" si="15"/>
        <x:v>3421999.71</x:v>
      </x:c>
      <x:c r="M71" s="416">
        <x:f t="shared" si="16"/>
        <x:v>718619.93909999996</x:v>
      </x:c>
      <x:c r="N71" s="419">
        <x:v>290869.97535000002</x:v>
      </x:c>
      <x:c r="O71" s="416">
        <x:f t="shared" si="17"/>
        <x:v>-61082.694823500002</x:v>
      </x:c>
      <x:c r="P71" s="416">
        <x:f t="shared" si="18"/>
        <x:v>948407.21962650004</x:v>
      </x:c>
      <x:c r="Q71" s="416"/>
      <x:c r="R71" s="416">
        <x:f t="shared" si="19"/>
        <x:v>438358.16285099974</x:v>
      </x:c>
      <x:c r="S71" s="437"/>
      <x:c r="T71" s="419">
        <x:v>0</x:v>
      </x:c>
      <x:c r="U71" s="437"/>
      <x:c r="V71" s="419">
        <x:v>0</x:v>
      </x:c>
      <x:c r="W71" s="437"/>
      <x:c r="X71" s="416">
        <x:f t="shared" si="20"/>
        <x:v>438358.16285099974</x:v>
      </x:c>
      <x:c r="Y71" s="418"/>
      <x:c r="Z71" s="304" t="s">
        <x:v>1736</x:v>
      </x:c>
      <x:c r="AA71" s="417"/>
      <x:c r="AB71" s="304" t="s">
        <x:v>1734</x:v>
      </x:c>
      <x:c r="AC71" s="417"/>
      <x:c r="AD71" s="1050">
        <x:v>0</x:v>
      </x:c>
      <x:c r="AE71" s="417"/>
      <x:c r="AF71" s="416">
        <x:f t="shared" si="21"/>
        <x:v>0</x:v>
      </x:c>
      <x:c r="AG71" s="167"/>
      <x:c r="AH71" s="183">
        <x:v>190</x:v>
      </x:c>
      <x:c r="AI71" s="183"/>
    </x:row>
    <x:row r="72" spans="2:35">
      <x:c r="B72" s="1303">
        <x:f t="shared" si="9"/>
        <x:v>61</x:v>
      </x:c>
      <x:c r="C72" s="296" t="s">
        <x:v>1629</x:v>
      </x:c>
      <x:c r="D72" s="296" t="s">
        <x:v>1614</x:v>
      </x:c>
      <x:c r="E72" s="296" t="s">
        <x:v>1248</x:v>
      </x:c>
      <x:c r="F72" s="419">
        <x:v>7354606.2199999997</x:v>
      </x:c>
      <x:c r="G72" s="416">
        <x:f t="shared" si="12"/>
        <x:v>2574112.1769999997</x:v>
      </x:c>
      <x:c r="H72" s="419">
        <x:v>625141.52870000002</x:v>
      </x:c>
      <x:c r="I72" s="416">
        <x:f t="shared" si="13"/>
        <x:v>-218799.535045</x:v>
      </x:c>
      <x:c r="J72" s="416">
        <x:f t="shared" si="14"/>
        <x:v>2980454.170655</x:v>
      </x:c>
      <x:c r="K72" s="437"/>
      <x:c r="L72" s="419">
        <x:f t="shared" si="15"/>
        <x:v>7354606.2199999997</x:v>
      </x:c>
      <x:c r="M72" s="416">
        <x:f t="shared" si="16"/>
        <x:v>1544467.3062</x:v>
      </x:c>
      <x:c r="N72" s="419">
        <x:v>625141.52870000002</x:v>
      </x:c>
      <x:c r="O72" s="416">
        <x:f t="shared" si="17"/>
        <x:v>-131279.72102699999</x:v>
      </x:c>
      <x:c r="P72" s="416">
        <x:f t="shared" si="18"/>
        <x:v>2038329.1138730003</x:v>
      </x:c>
      <x:c r="Q72" s="416"/>
      <x:c r="R72" s="416">
        <x:f t="shared" si="19"/>
        <x:v>942125.05678199977</x:v>
      </x:c>
      <x:c r="S72" s="437"/>
      <x:c r="T72" s="419">
        <x:v>0</x:v>
      </x:c>
      <x:c r="U72" s="437"/>
      <x:c r="V72" s="419">
        <x:v>0</x:v>
      </x:c>
      <x:c r="W72" s="437"/>
      <x:c r="X72" s="416">
        <x:f t="shared" si="20"/>
        <x:v>942125.05678199977</x:v>
      </x:c>
      <x:c r="Y72" s="418"/>
      <x:c r="Z72" s="304" t="s">
        <x:v>1735</x:v>
      </x:c>
      <x:c r="AA72" s="417"/>
      <x:c r="AB72" s="304" t="s">
        <x:v>1734</x:v>
      </x:c>
      <x:c r="AC72" s="417"/>
      <x:c r="AD72" s="1050">
        <x:v>0</x:v>
      </x:c>
      <x:c r="AE72" s="417"/>
      <x:c r="AF72" s="416">
        <x:f t="shared" si="21"/>
        <x:v>0</x:v>
      </x:c>
      <x:c r="AG72" s="167"/>
      <x:c r="AH72" s="183">
        <x:v>190</x:v>
      </x:c>
      <x:c r="AI72" s="183"/>
    </x:row>
    <x:row r="73" spans="2:35">
      <x:c r="B73" s="1303">
        <x:f t="shared" si="9"/>
        <x:v>62</x:v>
      </x:c>
      <x:c r="C73" s="296" t="s">
        <x:v>1630</x:v>
      </x:c>
      <x:c r="D73" s="296" t="s">
        <x:v>1614</x:v>
      </x:c>
      <x:c r="E73" s="296" t="s">
        <x:v>1248</x:v>
      </x:c>
      <x:c r="F73" s="419">
        <x:v>1467110.09</x:v>
      </x:c>
      <x:c r="G73" s="416">
        <x:f t="shared" si="12"/>
        <x:v>513488.53149999998</x:v>
      </x:c>
      <x:c r="H73" s="419">
        <x:v>124704.35765000002</x:v>
      </x:c>
      <x:c r="I73" s="416">
        <x:f t="shared" si="13"/>
        <x:v>-43646.525177500007</x:v>
      </x:c>
      <x:c r="J73" s="416">
        <x:f t="shared" si="14"/>
        <x:v>594546.36397249997</x:v>
      </x:c>
      <x:c r="K73" s="437"/>
      <x:c r="L73" s="419">
        <x:f t="shared" si="15"/>
        <x:v>1467110.09</x:v>
      </x:c>
      <x:c r="M73" s="416">
        <x:f t="shared" si="16"/>
        <x:v>308093.1189</x:v>
      </x:c>
      <x:c r="N73" s="419">
        <x:v>124704.35765000002</x:v>
      </x:c>
      <x:c r="O73" s="416">
        <x:f t="shared" si="17"/>
        <x:v>-26187.915106500004</x:v>
      </x:c>
      <x:c r="P73" s="416">
        <x:f t="shared" si="18"/>
        <x:v>406609.56144349999</x:v>
      </x:c>
      <x:c r="Q73" s="416"/>
      <x:c r="R73" s="416">
        <x:f t="shared" si="19"/>
        <x:v>187936.80252899998</x:v>
      </x:c>
      <x:c r="S73" s="437"/>
      <x:c r="T73" s="419">
        <x:v>0</x:v>
      </x:c>
      <x:c r="U73" s="437"/>
      <x:c r="V73" s="419">
        <x:v>0</x:v>
      </x:c>
      <x:c r="W73" s="437"/>
      <x:c r="X73" s="416">
        <x:f t="shared" si="20"/>
        <x:v>187936.80252899998</x:v>
      </x:c>
      <x:c r="Y73" s="418"/>
      <x:c r="Z73" s="304" t="s">
        <x:v>233</x:v>
      </x:c>
      <x:c r="AA73" s="417"/>
      <x:c r="AB73" s="304" t="s">
        <x:v>1737</x:v>
      </x:c>
      <x:c r="AC73" s="417"/>
      <x:c r="AD73" s="1050">
        <x:v>0</x:v>
      </x:c>
      <x:c r="AE73" s="417"/>
      <x:c r="AF73" s="416">
        <x:f t="shared" si="21"/>
        <x:v>0</x:v>
      </x:c>
      <x:c r="AG73" s="167"/>
      <x:c r="AH73" s="183">
        <x:v>190</x:v>
      </x:c>
      <x:c r="AI73" s="183"/>
    </x:row>
    <x:row r="74" spans="2:35">
      <x:c r="B74" s="1303">
        <x:f t="shared" si="9"/>
        <x:v>63</x:v>
      </x:c>
      <x:c r="C74" s="296" t="s">
        <x:v>1631</x:v>
      </x:c>
      <x:c r="D74" s="296" t="s">
        <x:v>1614</x:v>
      </x:c>
      <x:c r="E74" s="296" t="s">
        <x:v>1248</x:v>
      </x:c>
      <x:c r="F74" s="419">
        <x:v>130121.22</x:v>
      </x:c>
      <x:c r="G74" s="416">
        <x:f t="shared" si="12"/>
        <x:v>45542.426999999996</x:v>
      </x:c>
      <x:c r="H74" s="419">
        <x:v>11060.3037</x:v>
      </x:c>
      <x:c r="I74" s="416">
        <x:f t="shared" si="13"/>
        <x:v>-3871.106295</x:v>
      </x:c>
      <x:c r="J74" s="416">
        <x:f t="shared" si="14"/>
        <x:v>52731.624405000002</x:v>
      </x:c>
      <x:c r="K74" s="437"/>
      <x:c r="L74" s="419">
        <x:f t="shared" si="15"/>
        <x:v>130121.22</x:v>
      </x:c>
      <x:c r="M74" s="416">
        <x:f t="shared" si="16"/>
        <x:v>27325.456200000001</x:v>
      </x:c>
      <x:c r="N74" s="419">
        <x:v>11060.3037</x:v>
      </x:c>
      <x:c r="O74" s="416">
        <x:f t="shared" si="17"/>
        <x:v>-2322.6637770000002</x:v>
      </x:c>
      <x:c r="P74" s="416">
        <x:f t="shared" si="18"/>
        <x:v>36063.096123000003</x:v>
      </x:c>
      <x:c r="Q74" s="416"/>
      <x:c r="R74" s="416">
        <x:f t="shared" si="19"/>
        <x:v>16668.528281999999</x:v>
      </x:c>
      <x:c r="S74" s="437"/>
      <x:c r="T74" s="419">
        <x:v>0</x:v>
      </x:c>
      <x:c r="U74" s="437"/>
      <x:c r="V74" s="419">
        <x:v>0</x:v>
      </x:c>
      <x:c r="W74" s="437"/>
      <x:c r="X74" s="416">
        <x:f t="shared" si="20"/>
        <x:v>16668.528281999999</x:v>
      </x:c>
      <x:c r="Y74" s="418"/>
      <x:c r="Z74" s="304" t="s">
        <x:v>233</x:v>
      </x:c>
      <x:c r="AA74" s="417"/>
      <x:c r="AB74" s="304" t="s">
        <x:v>1737</x:v>
      </x:c>
      <x:c r="AC74" s="417"/>
      <x:c r="AD74" s="1050">
        <x:v>6.0801999999999995E-2</x:v>
      </x:c>
      <x:c r="AE74" s="417"/>
      <x:c r="AF74" s="416">
        <x:f t="shared" si="21"/>
        <x:v>1013.4798566021639</x:v>
      </x:c>
      <x:c r="AG74" s="167"/>
      <x:c r="AH74" s="183">
        <x:v>190</x:v>
      </x:c>
      <x:c r="AI74" s="183"/>
    </x:row>
    <x:row r="75" spans="2:35">
      <x:c r="B75" s="1303">
        <x:f t="shared" si="9"/>
        <x:v>64</x:v>
      </x:c>
      <x:c r="C75" s="296" t="s">
        <x:v>1632</x:v>
      </x:c>
      <x:c r="D75" s="296" t="s">
        <x:v>1614</x:v>
      </x:c>
      <x:c r="E75" s="296" t="s">
        <x:v>1248</x:v>
      </x:c>
      <x:c r="F75" s="419">
        <x:v>5619720.6799999997</x:v>
      </x:c>
      <x:c r="G75" s="416">
        <x:f t="shared" si="12"/>
        <x:v>1966902.2379999997</x:v>
      </x:c>
      <x:c r="H75" s="419">
        <x:v>477676.25780000002</x:v>
      </x:c>
      <x:c r="I75" s="416">
        <x:f t="shared" si="13"/>
        <x:v>-167186.69023000001</x:v>
      </x:c>
      <x:c r="J75" s="416">
        <x:f t="shared" si="14"/>
        <x:v>2277391.8055699999</x:v>
      </x:c>
      <x:c r="K75" s="437"/>
      <x:c r="L75" s="419">
        <x:f t="shared" si="15"/>
        <x:v>5619720.6799999997</x:v>
      </x:c>
      <x:c r="M75" s="416">
        <x:f t="shared" si="16"/>
        <x:v>1180141.3428</x:v>
      </x:c>
      <x:c r="N75" s="419">
        <x:v>477676.25780000002</x:v>
      </x:c>
      <x:c r="O75" s="416">
        <x:f t="shared" si="17"/>
        <x:v>-100312.014138</x:v>
      </x:c>
      <x:c r="P75" s="416">
        <x:f t="shared" si="18"/>
        <x:v>1557505.5864619999</x:v>
      </x:c>
      <x:c r="Q75" s="416"/>
      <x:c r="R75" s="416">
        <x:f t="shared" si="19"/>
        <x:v>719886.21910799993</x:v>
      </x:c>
      <x:c r="S75" s="437"/>
      <x:c r="T75" s="419">
        <x:v>719886.21910800005</x:v>
      </x:c>
      <x:c r="U75" s="437"/>
      <x:c r="V75" s="419">
        <x:v>0</x:v>
      </x:c>
      <x:c r="W75" s="437"/>
      <x:c r="X75" s="416">
        <x:f t="shared" si="20"/>
        <x:v>-1.1641532182693481E-10</x:v>
      </x:c>
      <x:c r="Y75" s="418"/>
      <x:c r="Z75" s="304" t="s">
        <x:v>1738</x:v>
      </x:c>
      <x:c r="AA75" s="417"/>
      <x:c r="AB75" s="304" t="s">
        <x:v>1734</x:v>
      </x:c>
      <x:c r="AC75" s="417"/>
      <x:c r="AD75" s="1050">
        <x:v>0</x:v>
      </x:c>
      <x:c r="AE75" s="417"/>
      <x:c r="AF75" s="416">
        <x:f t="shared" si="21"/>
        <x:v>0</x:v>
      </x:c>
      <x:c r="AG75" s="167"/>
      <x:c r="AH75" s="183">
        <x:v>190</x:v>
      </x:c>
      <x:c r="AI75" s="183"/>
    </x:row>
    <x:row r="76" spans="2:35">
      <x:c r="B76" s="1303">
        <x:f t="shared" si="9"/>
        <x:v>65</x:v>
      </x:c>
      <x:c r="C76" s="296" t="s">
        <x:v>1633</x:v>
      </x:c>
      <x:c r="D76" s="296" t="s">
        <x:v>1614</x:v>
      </x:c>
      <x:c r="E76" s="296" t="s">
        <x:v>1248</x:v>
      </x:c>
      <x:c r="F76" s="419">
        <x:v>2834390.52</x:v>
      </x:c>
      <x:c r="G76" s="416">
        <x:f t="shared" ref="G76:G90" si="22">F76*0.35</x:f>
        <x:v>992036.68199999991</x:v>
      </x:c>
      <x:c r="H76" s="419">
        <x:v>240923.19420000003</x:v>
      </x:c>
      <x:c r="I76" s="416">
        <x:f t="shared" ref="I76:I90" si="23">H76*-0.35</x:f>
        <x:v>-84323.117970000007</x:v>
      </x:c>
      <x:c r="J76" s="416">
        <x:f t="shared" ref="J76:J90" si="24">G76+H76+I76</x:f>
        <x:v>1148636.7582299998</x:v>
      </x:c>
      <x:c r="K76" s="437"/>
      <x:c r="L76" s="419">
        <x:f t="shared" ref="L76:L89" si="25">F76</x:f>
        <x:v>2834390.52</x:v>
      </x:c>
      <x:c r="M76" s="416">
        <x:f t="shared" ref="M76:M91" si="26">L76*0.21</x:f>
        <x:v>595222.00919999997</x:v>
      </x:c>
      <x:c r="N76" s="419">
        <x:v>240923.19420000003</x:v>
      </x:c>
      <x:c r="O76" s="416">
        <x:f t="shared" ref="O76:O91" si="27">N76*-0.21</x:f>
        <x:v>-50593.870782000005</x:v>
      </x:c>
      <x:c r="P76" s="416">
        <x:f t="shared" ref="P76:P91" si="28">M76+N76+O76</x:f>
        <x:v>785551.33261799999</x:v>
      </x:c>
      <x:c r="Q76" s="416"/>
      <x:c r="R76" s="416">
        <x:f t="shared" ref="R76:R91" si="29">J76-P76</x:f>
        <x:v>363085.42561199982</x:v>
      </x:c>
      <x:c r="S76" s="437"/>
      <x:c r="T76" s="419">
        <x:v>0</x:v>
      </x:c>
      <x:c r="U76" s="437"/>
      <x:c r="V76" s="419">
        <x:v>0</x:v>
      </x:c>
      <x:c r="W76" s="437"/>
      <x:c r="X76" s="416">
        <x:f t="shared" ref="X76:X91" si="30">R76-T76-V76</x:f>
        <x:v>363085.42561199982</x:v>
      </x:c>
      <x:c r="Y76" s="418"/>
      <x:c r="Z76" s="304" t="s">
        <x:v>1738</x:v>
      </x:c>
      <x:c r="AA76" s="417"/>
      <x:c r="AB76" s="304" t="s">
        <x:v>1737</x:v>
      </x:c>
      <x:c r="AC76" s="417"/>
      <x:c r="AD76" s="1051">
        <x:v>0</x:v>
      </x:c>
      <x:c r="AE76" s="417"/>
      <x:c r="AF76" s="416">
        <x:f t="shared" si="21"/>
        <x:v>0</x:v>
      </x:c>
      <x:c r="AG76" s="167"/>
      <x:c r="AH76" s="183">
        <x:v>190</x:v>
      </x:c>
      <x:c r="AI76" s="183"/>
    </x:row>
    <x:row r="77" spans="2:35">
      <x:c r="B77" s="1303">
        <x:f t="shared" ref="B77:B87" si="31">B76+1</x:f>
        <x:v>66</x:v>
      </x:c>
      <x:c r="C77" s="296" t="s">
        <x:v>1634</x:v>
      </x:c>
      <x:c r="D77" s="296" t="s">
        <x:v>1614</x:v>
      </x:c>
      <x:c r="E77" s="296" t="s">
        <x:v>1248</x:v>
      </x:c>
      <x:c r="F77" s="419">
        <x:v>836174.79</x:v>
      </x:c>
      <x:c r="G77" s="416">
        <x:f t="shared" si="22"/>
        <x:v>292661.1765</x:v>
      </x:c>
      <x:c r="H77" s="419">
        <x:v>71074.857150000011</x:v>
      </x:c>
      <x:c r="I77" s="416">
        <x:f t="shared" si="23"/>
        <x:v>-24876.200002500002</x:v>
      </x:c>
      <x:c r="J77" s="416">
        <x:f t="shared" si="24"/>
        <x:v>338859.83364750003</x:v>
      </x:c>
      <x:c r="K77" s="437"/>
      <x:c r="L77" s="419">
        <x:f t="shared" si="25"/>
        <x:v>836174.79</x:v>
      </x:c>
      <x:c r="M77" s="416">
        <x:f t="shared" si="26"/>
        <x:v>175596.7059</x:v>
      </x:c>
      <x:c r="N77" s="419">
        <x:v>71074.857150000011</x:v>
      </x:c>
      <x:c r="O77" s="416">
        <x:f t="shared" si="27"/>
        <x:v>-14925.720001500002</x:v>
      </x:c>
      <x:c r="P77" s="416">
        <x:f t="shared" si="28"/>
        <x:v>231745.84304849998</x:v>
      </x:c>
      <x:c r="Q77" s="416"/>
      <x:c r="R77" s="416">
        <x:f t="shared" si="29"/>
        <x:v>107113.99059900004</x:v>
      </x:c>
      <x:c r="S77" s="437"/>
      <x:c r="T77" s="419">
        <x:v>0</x:v>
      </x:c>
      <x:c r="U77" s="437"/>
      <x:c r="V77" s="419">
        <x:v>0</x:v>
      </x:c>
      <x:c r="W77" s="437"/>
      <x:c r="X77" s="416">
        <x:f t="shared" si="30"/>
        <x:v>107113.99059900004</x:v>
      </x:c>
      <x:c r="Y77" s="418"/>
      <x:c r="Z77" s="304" t="s">
        <x:v>1735</x:v>
      </x:c>
      <x:c r="AA77" s="417"/>
      <x:c r="AB77" s="304" t="s">
        <x:v>1734</x:v>
      </x:c>
      <x:c r="AC77" s="417"/>
      <x:c r="AD77" s="1050">
        <x:v>0</x:v>
      </x:c>
      <x:c r="AE77" s="417"/>
      <x:c r="AF77" s="416">
        <x:f t="shared" si="21"/>
        <x:v>0</x:v>
      </x:c>
      <x:c r="AG77" s="167"/>
      <x:c r="AH77" s="183">
        <x:v>190</x:v>
      </x:c>
      <x:c r="AI77" s="183"/>
    </x:row>
    <x:row r="78" spans="2:35">
      <x:c r="B78" s="1303">
        <x:f t="shared" si="31"/>
        <x:v>67</x:v>
      </x:c>
      <x:c r="C78" s="296" t="s">
        <x:v>1635</x:v>
      </x:c>
      <x:c r="D78" s="296" t="s">
        <x:v>1614</x:v>
      </x:c>
      <x:c r="E78" s="296" t="s">
        <x:v>1248</x:v>
      </x:c>
      <x:c r="F78" s="419">
        <x:v>-1721598.04</x:v>
      </x:c>
      <x:c r="G78" s="416">
        <x:f t="shared" si="22"/>
        <x:v>-602559.31400000001</x:v>
      </x:c>
      <x:c r="H78" s="419">
        <x:v>-146335.8334</x:v>
      </x:c>
      <x:c r="I78" s="416">
        <x:f t="shared" si="23"/>
        <x:v>51217.541689999998</x:v>
      </x:c>
      <x:c r="J78" s="416">
        <x:f t="shared" si="24"/>
        <x:v>-697677.60571000003</x:v>
      </x:c>
      <x:c r="K78" s="437"/>
      <x:c r="L78" s="419">
        <x:f t="shared" si="25"/>
        <x:v>-1721598.04</x:v>
      </x:c>
      <x:c r="M78" s="416">
        <x:f t="shared" si="26"/>
        <x:v>-361535.58840000001</x:v>
      </x:c>
      <x:c r="N78" s="419">
        <x:v>-146335.8334</x:v>
      </x:c>
      <x:c r="O78" s="416">
        <x:f t="shared" si="27"/>
        <x:v>30730.525013999999</x:v>
      </x:c>
      <x:c r="P78" s="416">
        <x:f t="shared" si="28"/>
        <x:v>-477140.896786</x:v>
      </x:c>
      <x:c r="Q78" s="416"/>
      <x:c r="R78" s="416">
        <x:f t="shared" si="29"/>
        <x:v>-220536.70892400004</x:v>
      </x:c>
      <x:c r="S78" s="437"/>
      <x:c r="T78" s="419">
        <x:v>0</x:v>
      </x:c>
      <x:c r="U78" s="437"/>
      <x:c r="V78" s="419">
        <x:v>0</x:v>
      </x:c>
      <x:c r="W78" s="437"/>
      <x:c r="X78" s="416">
        <x:f t="shared" si="30"/>
        <x:v>-220536.70892400004</x:v>
      </x:c>
      <x:c r="Y78" s="418"/>
      <x:c r="Z78" s="304" t="s">
        <x:v>233</x:v>
      </x:c>
      <x:c r="AA78" s="417"/>
      <x:c r="AB78" s="304" t="s">
        <x:v>1737</x:v>
      </x:c>
      <x:c r="AC78" s="417"/>
      <x:c r="AD78" s="1050">
        <x:v>6.0801999999999995E-2</x:v>
      </x:c>
      <x:c r="AE78" s="417"/>
      <x:c r="AF78" s="416">
        <x:f t="shared" si="21"/>
        <x:v>-13409.072975997049</x:v>
      </x:c>
      <x:c r="AG78" s="167"/>
      <x:c r="AH78" s="183">
        <x:v>190</x:v>
      </x:c>
      <x:c r="AI78" s="183"/>
    </x:row>
    <x:row r="79" spans="2:35">
      <x:c r="B79" s="1303">
        <x:f t="shared" si="31"/>
        <x:v>68</x:v>
      </x:c>
      <x:c r="C79" s="296" t="s">
        <x:v>1636</x:v>
      </x:c>
      <x:c r="D79" s="296" t="s">
        <x:v>1614</x:v>
      </x:c>
      <x:c r="E79" s="296" t="s">
        <x:v>1248</x:v>
      </x:c>
      <x:c r="F79" s="419">
        <x:v>20000</x:v>
      </x:c>
      <x:c r="G79" s="416">
        <x:f t="shared" si="22"/>
        <x:v>7000</x:v>
      </x:c>
      <x:c r="H79" s="419">
        <x:v>1700.0000000000002</x:v>
      </x:c>
      <x:c r="I79" s="416">
        <x:f t="shared" si="23"/>
        <x:v>-595</x:v>
      </x:c>
      <x:c r="J79" s="416">
        <x:f t="shared" si="24"/>
        <x:v>8105</x:v>
      </x:c>
      <x:c r="K79" s="437"/>
      <x:c r="L79" s="419">
        <x:f t="shared" si="25"/>
        <x:v>20000</x:v>
      </x:c>
      <x:c r="M79" s="416">
        <x:f t="shared" si="26"/>
        <x:v>4200</x:v>
      </x:c>
      <x:c r="N79" s="419">
        <x:v>1700.0000000000002</x:v>
      </x:c>
      <x:c r="O79" s="416">
        <x:f t="shared" si="27"/>
        <x:v>-357.00000000000006</x:v>
      </x:c>
      <x:c r="P79" s="416">
        <x:f t="shared" si="28"/>
        <x:v>5543</x:v>
      </x:c>
      <x:c r="Q79" s="416"/>
      <x:c r="R79" s="416">
        <x:f t="shared" si="29"/>
        <x:v>2562</x:v>
      </x:c>
      <x:c r="S79" s="437"/>
      <x:c r="T79" s="419">
        <x:v>0</x:v>
      </x:c>
      <x:c r="U79" s="437"/>
      <x:c r="V79" s="419">
        <x:v>0</x:v>
      </x:c>
      <x:c r="W79" s="437"/>
      <x:c r="X79" s="416">
        <x:f t="shared" si="30"/>
        <x:v>2562</x:v>
      </x:c>
      <x:c r="Y79" s="418"/>
      <x:c r="Z79" s="304" t="s">
        <x:v>1738</x:v>
      </x:c>
      <x:c r="AA79" s="417"/>
      <x:c r="AB79" s="304" t="s">
        <x:v>1737</x:v>
      </x:c>
      <x:c r="AC79" s="417"/>
      <x:c r="AD79" s="1050">
        <x:v>0.31493199999999999</x:v>
      </x:c>
      <x:c r="AE79" s="417"/>
      <x:c r="AF79" s="416">
        <x:f t="shared" si="21"/>
        <x:v>806.85578399999997</x:v>
      </x:c>
      <x:c r="AG79" s="167"/>
      <x:c r="AH79" s="183">
        <x:v>190</x:v>
      </x:c>
      <x:c r="AI79" s="183"/>
    </x:row>
    <x:row r="80" spans="2:35">
      <x:c r="B80" s="1303">
        <x:f t="shared" si="31"/>
        <x:v>69</x:v>
      </x:c>
      <x:c r="C80" s="296" t="s">
        <x:v>1637</x:v>
      </x:c>
      <x:c r="D80" s="296" t="s">
        <x:v>1614</x:v>
      </x:c>
      <x:c r="E80" s="296" t="s">
        <x:v>1248</x:v>
      </x:c>
      <x:c r="F80" s="419">
        <x:v>-7938491.7699999996</x:v>
      </x:c>
      <x:c r="G80" s="416">
        <x:f t="shared" si="22"/>
        <x:v>-2778472.1194999996</x:v>
      </x:c>
      <x:c r="H80" s="419">
        <x:v>-674771.80044999998</x:v>
      </x:c>
      <x:c r="I80" s="416">
        <x:f t="shared" si="23"/>
        <x:v>236170.13015749998</x:v>
      </x:c>
      <x:c r="J80" s="416">
        <x:f t="shared" si="24"/>
        <x:v>-3217073.7897924995</x:v>
      </x:c>
      <x:c r="K80" s="437"/>
      <x:c r="L80" s="419">
        <x:f t="shared" si="25"/>
        <x:v>-7938491.7699999996</x:v>
      </x:c>
      <x:c r="M80" s="416">
        <x:f t="shared" si="26"/>
        <x:v>-1667083.2716999999</x:v>
      </x:c>
      <x:c r="N80" s="419">
        <x:v>-674771.80044999998</x:v>
      </x:c>
      <x:c r="O80" s="416">
        <x:f t="shared" si="27"/>
        <x:v>141702.0780945</x:v>
      </x:c>
      <x:c r="P80" s="416">
        <x:f t="shared" si="28"/>
        <x:v>-2200152.9940554998</x:v>
      </x:c>
      <x:c r="Q80" s="416"/>
      <x:c r="R80" s="416">
        <x:f t="shared" si="29"/>
        <x:v>-1016920.7957369997</x:v>
      </x:c>
      <x:c r="S80" s="437"/>
      <x:c r="T80" s="419">
        <x:v>0</x:v>
      </x:c>
      <x:c r="U80" s="437"/>
      <x:c r="V80" s="419">
        <x:v>0</x:v>
      </x:c>
      <x:c r="W80" s="437"/>
      <x:c r="X80" s="416">
        <x:f t="shared" si="30"/>
        <x:v>-1016920.7957369997</x:v>
      </x:c>
      <x:c r="Y80" s="418"/>
      <x:c r="Z80" s="304" t="s">
        <x:v>1735</x:v>
      </x:c>
      <x:c r="AA80" s="417"/>
      <x:c r="AB80" s="304" t="s">
        <x:v>1734</x:v>
      </x:c>
      <x:c r="AC80" s="417"/>
      <x:c r="AD80" s="1050">
        <x:v>0</x:v>
      </x:c>
      <x:c r="AE80" s="417"/>
      <x:c r="AF80" s="416">
        <x:f t="shared" si="21"/>
        <x:v>0</x:v>
      </x:c>
      <x:c r="AG80" s="167"/>
      <x:c r="AH80" s="183">
        <x:v>190</x:v>
      </x:c>
      <x:c r="AI80" s="183"/>
    </x:row>
    <x:row r="81" spans="2:35">
      <x:c r="B81" s="1303">
        <x:f t="shared" si="31"/>
        <x:v>70</x:v>
      </x:c>
      <x:c r="C81" s="296" t="s">
        <x:v>1629</x:v>
      </x:c>
      <x:c r="D81" s="296" t="s">
        <x:v>1614</x:v>
      </x:c>
      <x:c r="E81" s="296" t="s">
        <x:v>1248</x:v>
      </x:c>
      <x:c r="F81" s="419">
        <x:v>140894.68</x:v>
      </x:c>
      <x:c r="G81" s="416">
        <x:f t="shared" si="22"/>
        <x:v>49313.137999999992</x:v>
      </x:c>
      <x:c r="H81" s="419">
        <x:v>11976.0478</x:v>
      </x:c>
      <x:c r="I81" s="416">
        <x:f t="shared" si="23"/>
        <x:v>-4191.6167299999997</x:v>
      </x:c>
      <x:c r="J81" s="416">
        <x:f t="shared" si="24"/>
        <x:v>57097.56906999999</x:v>
      </x:c>
      <x:c r="K81" s="437"/>
      <x:c r="L81" s="419">
        <x:f t="shared" si="25"/>
        <x:v>140894.68</x:v>
      </x:c>
      <x:c r="M81" s="416">
        <x:f t="shared" si="26"/>
        <x:v>29587.882799999996</x:v>
      </x:c>
      <x:c r="N81" s="419">
        <x:v>11976.0478</x:v>
      </x:c>
      <x:c r="O81" s="416">
        <x:f t="shared" si="27"/>
        <x:v>-2514.9700379999999</x:v>
      </x:c>
      <x:c r="P81" s="416">
        <x:f t="shared" si="28"/>
        <x:v>39048.960561999993</x:v>
      </x:c>
      <x:c r="Q81" s="416"/>
      <x:c r="R81" s="416">
        <x:f t="shared" si="29"/>
        <x:v>18048.608507999998</x:v>
      </x:c>
      <x:c r="S81" s="437"/>
      <x:c r="T81" s="419">
        <x:v>0</x:v>
      </x:c>
      <x:c r="U81" s="437"/>
      <x:c r="V81" s="419">
        <x:v>0</x:v>
      </x:c>
      <x:c r="W81" s="437"/>
      <x:c r="X81" s="416">
        <x:f t="shared" si="30"/>
        <x:v>18048.608507999998</x:v>
      </x:c>
      <x:c r="Y81" s="418"/>
      <x:c r="Z81" s="304" t="s">
        <x:v>1735</x:v>
      </x:c>
      <x:c r="AA81" s="417"/>
      <x:c r="AB81" s="304" t="s">
        <x:v>1734</x:v>
      </x:c>
      <x:c r="AC81" s="417"/>
      <x:c r="AD81" s="1050">
        <x:v>0</x:v>
      </x:c>
      <x:c r="AE81" s="417"/>
      <x:c r="AF81" s="416">
        <x:f t="shared" si="21"/>
        <x:v>0</x:v>
      </x:c>
      <x:c r="AG81" s="167"/>
      <x:c r="AH81" s="183">
        <x:v>190</x:v>
      </x:c>
      <x:c r="AI81" s="183"/>
    </x:row>
    <x:row r="82" spans="2:35">
      <x:c r="B82" s="1303">
        <x:f t="shared" si="31"/>
        <x:v>71</x:v>
      </x:c>
      <x:c r="C82" s="296" t="s">
        <x:v>1587</x:v>
      </x:c>
      <x:c r="D82" s="296" t="s">
        <x:v>1638</x:v>
      </x:c>
      <x:c r="E82" s="296" t="s">
        <x:v>1248</x:v>
      </x:c>
      <x:c r="F82" s="419">
        <x:v>10286210.34</x:v>
      </x:c>
      <x:c r="G82" s="416">
        <x:f t="shared" si="22"/>
        <x:v>3600173.6189999999</x:v>
      </x:c>
      <x:c r="H82" s="419">
        <x:v>874327.87890000001</x:v>
      </x:c>
      <x:c r="I82" s="416">
        <x:f t="shared" si="23"/>
        <x:v>-306014.75761500001</x:v>
      </x:c>
      <x:c r="J82" s="416">
        <x:f t="shared" si="24"/>
        <x:v>4168486.7402849998</x:v>
      </x:c>
      <x:c r="K82" s="437"/>
      <x:c r="L82" s="419">
        <x:f t="shared" si="25"/>
        <x:v>10286210.34</x:v>
      </x:c>
      <x:c r="M82" s="416">
        <x:f t="shared" si="26"/>
        <x:v>2160104.1713999999</x:v>
      </x:c>
      <x:c r="N82" s="419">
        <x:v>874327.87890000001</x:v>
      </x:c>
      <x:c r="O82" s="416">
        <x:f t="shared" si="27"/>
        <x:v>-183608.85456899999</x:v>
      </x:c>
      <x:c r="P82" s="416">
        <x:f t="shared" si="28"/>
        <x:v>2850823.1957309996</x:v>
      </x:c>
      <x:c r="Q82" s="416"/>
      <x:c r="R82" s="416">
        <x:f t="shared" si="29"/>
        <x:v>1317663.5445540003</x:v>
      </x:c>
      <x:c r="S82" s="437"/>
      <x:c r="T82" s="419">
        <x:v>0</x:v>
      </x:c>
      <x:c r="U82" s="437"/>
      <x:c r="V82" s="419">
        <x:v>0</x:v>
      </x:c>
      <x:c r="W82" s="437"/>
      <x:c r="X82" s="416">
        <x:f t="shared" si="30"/>
        <x:v>1317663.5445540003</x:v>
      </x:c>
      <x:c r="Y82" s="418"/>
      <x:c r="Z82" s="304" t="s">
        <x:v>1735</x:v>
      </x:c>
      <x:c r="AA82" s="417"/>
      <x:c r="AB82" s="304" t="s">
        <x:v>1734</x:v>
      </x:c>
      <x:c r="AC82" s="417"/>
      <x:c r="AD82" s="1050">
        <x:v>0</x:v>
      </x:c>
      <x:c r="AE82" s="417"/>
      <x:c r="AF82" s="416">
        <x:f t="shared" si="21"/>
        <x:v>0</x:v>
      </x:c>
      <x:c r="AG82" s="167"/>
      <x:c r="AH82" s="183">
        <x:v>190</x:v>
      </x:c>
      <x:c r="AI82" s="183"/>
    </x:row>
    <x:row r="83" spans="2:35">
      <x:c r="B83" s="1303">
        <x:f t="shared" si="31"/>
        <x:v>72</x:v>
      </x:c>
      <x:c r="C83" s="296" t="s">
        <x:v>1639</x:v>
      </x:c>
      <x:c r="D83" s="296" t="s">
        <x:v>1640</x:v>
      </x:c>
      <x:c r="E83" s="296" t="s">
        <x:v>1248</x:v>
      </x:c>
      <x:c r="F83" s="419">
        <x:v>0</x:v>
      </x:c>
      <x:c r="G83" s="416">
        <x:f t="shared" si="22"/>
        <x:v>0</x:v>
      </x:c>
      <x:c r="H83" s="419">
        <x:v>13829655.55384</x:v>
      </x:c>
      <x:c r="I83" s="416">
        <x:f t="shared" si="23"/>
        <x:v>-4840379.4438439999</x:v>
      </x:c>
      <x:c r="J83" s="416">
        <x:f t="shared" si="24"/>
        <x:v>8989276.1099960003</x:v>
      </x:c>
      <x:c r="K83" s="437"/>
      <x:c r="L83" s="419">
        <x:f t="shared" si="25"/>
        <x:v>0</x:v>
      </x:c>
      <x:c r="M83" s="416">
        <x:f t="shared" si="26"/>
        <x:v>0</x:v>
      </x:c>
      <x:c r="N83" s="419">
        <x:v>13829655.55384</x:v>
      </x:c>
      <x:c r="O83" s="416">
        <x:f t="shared" si="27"/>
        <x:v>-2904227.6663063997</x:v>
      </x:c>
      <x:c r="P83" s="416">
        <x:f t="shared" si="28"/>
        <x:v>10925427.887533601</x:v>
      </x:c>
      <x:c r="Q83" s="416"/>
      <x:c r="R83" s="416">
        <x:f t="shared" si="29"/>
        <x:v>-1936151.7775376011</x:v>
      </x:c>
      <x:c r="S83" s="437"/>
      <x:c r="T83" s="419">
        <x:v>0</x:v>
      </x:c>
      <x:c r="U83" s="437"/>
      <x:c r="V83" s="419">
        <x:v>0</x:v>
      </x:c>
      <x:c r="W83" s="437"/>
      <x:c r="X83" s="416">
        <x:f t="shared" si="30"/>
        <x:v>-1936151.7775376011</x:v>
      </x:c>
      <x:c r="Y83" s="418"/>
      <x:c r="Z83" s="304" t="s">
        <x:v>1738</x:v>
      </x:c>
      <x:c r="AA83" s="417"/>
      <x:c r="AB83" s="304" t="s">
        <x:v>1737</x:v>
      </x:c>
      <x:c r="AC83" s="417"/>
      <x:c r="AD83" s="1050">
        <x:v>0.32958000000000004</x:v>
      </x:c>
      <x:c r="AE83" s="417"/>
      <x:c r="AF83" s="416">
        <x:f t="shared" ref="AF83:AF91" si="32">X83*AD83</x:f>
        <x:v>-638116.90284084261</x:v>
      </x:c>
      <x:c r="AG83" s="167"/>
      <x:c r="AH83" s="183">
        <x:v>190</x:v>
      </x:c>
      <x:c r="AI83" s="183"/>
    </x:row>
    <x:row r="84" spans="2:35">
      <x:c r="B84" s="1303">
        <x:f t="shared" si="31"/>
        <x:v>73</x:v>
      </x:c>
      <x:c r="C84" s="296" t="s">
        <x:v>1641</x:v>
      </x:c>
      <x:c r="D84" s="296" t="s">
        <x:v>1640</x:v>
      </x:c>
      <x:c r="E84" s="296" t="s">
        <x:v>1248</x:v>
      </x:c>
      <x:c r="F84" s="419">
        <x:v>0</x:v>
      </x:c>
      <x:c r="G84" s="416">
        <x:f t="shared" si="22"/>
        <x:v>0</x:v>
      </x:c>
      <x:c r="H84" s="419">
        <x:v>47754298.834408969</x:v>
      </x:c>
      <x:c r="I84" s="416">
        <x:f t="shared" si="23"/>
        <x:v>-16714004.592043137</x:v>
      </x:c>
      <x:c r="J84" s="416">
        <x:f t="shared" si="24"/>
        <x:v>31040294.24236583</x:v>
      </x:c>
      <x:c r="K84" s="437"/>
      <x:c r="L84" s="419">
        <x:f t="shared" si="25"/>
        <x:v>0</x:v>
      </x:c>
      <x:c r="M84" s="416">
        <x:f t="shared" si="26"/>
        <x:v>0</x:v>
      </x:c>
      <x:c r="N84" s="419">
        <x:v>47754298.834408969</x:v>
      </x:c>
      <x:c r="O84" s="416">
        <x:f t="shared" si="27"/>
        <x:v>-10028402.755225884</x:v>
      </x:c>
      <x:c r="P84" s="416">
        <x:f t="shared" si="28"/>
        <x:v>37725896.079183087</x:v>
      </x:c>
      <x:c r="Q84" s="416"/>
      <x:c r="R84" s="416">
        <x:f t="shared" si="29"/>
        <x:v>-6685601.8368172571</x:v>
      </x:c>
      <x:c r="S84" s="437"/>
      <x:c r="T84" s="419">
        <x:v>0</x:v>
      </x:c>
      <x:c r="U84" s="437"/>
      <x:c r="V84" s="419">
        <x:v>0</x:v>
      </x:c>
      <x:c r="W84" s="437"/>
      <x:c r="X84" s="416">
        <x:f t="shared" si="30"/>
        <x:v>-6685601.8368172571</x:v>
      </x:c>
      <x:c r="Y84" s="418"/>
      <x:c r="Z84" s="304" t="s">
        <x:v>1738</x:v>
      </x:c>
      <x:c r="AA84" s="417"/>
      <x:c r="AB84" s="304" t="s">
        <x:v>1737</x:v>
      </x:c>
      <x:c r="AC84" s="417"/>
      <x:c r="AD84" s="1050">
        <x:v>0.32958000000000004</x:v>
      </x:c>
      <x:c r="AE84" s="417"/>
      <x:c r="AF84" s="416">
        <x:f t="shared" si="32"/>
        <x:v>-2203440.6533782319</x:v>
      </x:c>
      <x:c r="AG84" s="167"/>
      <x:c r="AH84" s="183">
        <x:v>190</x:v>
      </x:c>
      <x:c r="AI84" s="183"/>
    </x:row>
    <x:row r="85" spans="2:35">
      <x:c r="B85" s="1303">
        <x:f t="shared" si="31"/>
        <x:v>74</x:v>
      </x:c>
      <x:c r="C85" s="296" t="s">
        <x:v>2104</x:v>
      </x:c>
      <x:c r="D85" s="296" t="s">
        <x:v>2112</x:v>
      </x:c>
      <x:c r="E85" s="296" t="s">
        <x:v>1254</x:v>
      </x:c>
      <x:c r="F85" s="419">
        <x:f>(66042515.8908023)+(724701648)</x:f>
        <x:v>790744163.89080226</x:v>
      </x:c>
      <x:c r="G85" s="416">
        <x:f t="shared" ref="G85" si="33">F85*0.35</x:f>
        <x:v>276760457.36178076</x:v>
      </x:c>
      <x:c r="H85" s="419">
        <x:v>0</x:v>
      </x:c>
      <x:c r="I85" s="416">
        <x:f t="shared" ref="I85" si="34">H85*-0.35</x:f>
        <x:v>0</x:v>
      </x:c>
      <x:c r="J85" s="416">
        <x:f t="shared" ref="J85" si="35">G85+H85+I85</x:f>
        <x:v>276760457.36178076</x:v>
      </x:c>
      <x:c r="K85" s="437"/>
      <x:c r="L85" s="419">
        <x:f t="shared" ref="L85" si="36">F85</x:f>
        <x:v>790744163.89080226</x:v>
      </x:c>
      <x:c r="M85" s="416">
        <x:f t="shared" ref="M85" si="37">L85*0.21</x:f>
        <x:v>166056274.41706848</x:v>
      </x:c>
      <x:c r="N85" s="419">
        <x:v>0</x:v>
      </x:c>
      <x:c r="O85" s="416">
        <x:f t="shared" ref="O85" si="38">N85*-0.21</x:f>
        <x:v>0</x:v>
      </x:c>
      <x:c r="P85" s="416">
        <x:f t="shared" ref="P85" si="39">M85+N85+O85</x:f>
        <x:v>166056274.41706848</x:v>
      </x:c>
      <x:c r="Q85" s="416"/>
      <x:c r="R85" s="416">
        <x:f t="shared" ref="R85" si="40">J85-P85</x:f>
        <x:v>110704182.94471228</x:v>
      </x:c>
      <x:c r="S85" s="437"/>
      <x:c r="T85" s="419">
        <x:v>0</x:v>
      </x:c>
      <x:c r="U85" s="437"/>
      <x:c r="V85" s="419">
        <x:v>0</x:v>
      </x:c>
      <x:c r="W85" s="437"/>
      <x:c r="X85" s="416">
        <x:f t="shared" ref="X85" si="41">R85-T85-V85</x:f>
        <x:v>110704182.94471228</x:v>
      </x:c>
      <x:c r="Y85" s="418"/>
      <x:c r="Z85" s="304" t="s">
        <x:v>1738</x:v>
      </x:c>
      <x:c r="AA85" s="417"/>
      <x:c r="AB85" s="304" t="s">
        <x:v>1737</x:v>
      </x:c>
      <x:c r="AC85" s="417"/>
      <x:c r="AD85" s="1050">
        <x:v>0.32958000000000004</x:v>
      </x:c>
      <x:c r="AE85" s="417"/>
      <x:c r="AF85" s="416">
        <x:f t="shared" ref="AF85" si="42">X85*AD85</x:f>
        <x:v>36485884.614918277</x:v>
      </x:c>
      <x:c r="AG85" s="167"/>
      <x:c r="AH85" s="183">
        <x:v>190</x:v>
      </x:c>
      <x:c r="AI85" s="183"/>
    </x:row>
    <x:row r="86" spans="2:35">
      <x:c r="B86" s="1303">
        <x:f t="shared" si="31"/>
        <x:v>75</x:v>
      </x:c>
      <x:c r="C86" s="296" t="s">
        <x:v>2104</x:v>
      </x:c>
      <x:c r="D86" s="296" t="s">
        <x:v>2105</x:v>
      </x:c>
      <x:c r="E86" s="296" t="s">
        <x:v>1254</x:v>
      </x:c>
      <x:c r="F86" s="419">
        <x:f>-F85</x:f>
        <x:v>-790744163.89080226</x:v>
      </x:c>
      <x:c r="G86" s="416">
        <x:f t="shared" ref="G86" si="43">F86*0.35</x:f>
        <x:v>-276760457.36178076</x:v>
      </x:c>
      <x:c r="H86" s="419">
        <x:v>0</x:v>
      </x:c>
      <x:c r="I86" s="416">
        <x:f t="shared" ref="I86" si="44">H86*-0.35</x:f>
        <x:v>0</x:v>
      </x:c>
      <x:c r="J86" s="416">
        <x:f t="shared" ref="J86" si="45">G86+H86+I86</x:f>
        <x:v>-276760457.36178076</x:v>
      </x:c>
      <x:c r="K86" s="437"/>
      <x:c r="L86" s="419">
        <x:f t="shared" ref="L86" si="46">F86</x:f>
        <x:v>-790744163.89080226</x:v>
      </x:c>
      <x:c r="M86" s="416">
        <x:f t="shared" ref="M86" si="47">L86*0.21</x:f>
        <x:v>-166056274.41706848</x:v>
      </x:c>
      <x:c r="N86" s="419">
        <x:v>0</x:v>
      </x:c>
      <x:c r="O86" s="416">
        <x:f t="shared" ref="O86" si="48">N86*-0.21</x:f>
        <x:v>0</x:v>
      </x:c>
      <x:c r="P86" s="416">
        <x:f t="shared" ref="P86" si="49">M86+N86+O86</x:f>
        <x:v>-166056274.41706848</x:v>
      </x:c>
      <x:c r="Q86" s="416"/>
      <x:c r="R86" s="416">
        <x:f t="shared" ref="R86" si="50">J86-P86</x:f>
        <x:v>-110704182.94471228</x:v>
      </x:c>
      <x:c r="S86" s="437"/>
      <x:c r="T86" s="419">
        <x:f>R86</x:f>
        <x:v>-110704182.94471228</x:v>
      </x:c>
      <x:c r="U86" s="437"/>
      <x:c r="V86" s="419">
        <x:v>0</x:v>
      </x:c>
      <x:c r="W86" s="437"/>
      <x:c r="X86" s="416">
        <x:f t="shared" ref="X86" si="51">R86-T86-V86</x:f>
        <x:v>0</x:v>
      </x:c>
      <x:c r="Y86" s="418"/>
      <x:c r="Z86" s="304" t="s">
        <x:v>1738</x:v>
      </x:c>
      <x:c r="AA86" s="417"/>
      <x:c r="AB86" s="304" t="s">
        <x:v>1734</x:v>
      </x:c>
      <x:c r="AC86" s="417"/>
      <x:c r="AD86" s="1050">
        <x:v>0</x:v>
      </x:c>
      <x:c r="AE86" s="417"/>
      <x:c r="AF86" s="416">
        <x:f t="shared" ref="AF86" si="52">X86*AD86</x:f>
        <x:v>0</x:v>
      </x:c>
      <x:c r="AG86" s="167"/>
      <x:c r="AH86" s="183">
        <x:v>190</x:v>
      </x:c>
      <x:c r="AI86" s="183"/>
    </x:row>
    <x:row r="87" spans="2:35">
      <x:c r="B87" s="1303">
        <x:f t="shared" si="31"/>
        <x:v>76</x:v>
      </x:c>
      <x:c r="C87" s="296" t="s">
        <x:v>1642</x:v>
      </x:c>
      <x:c r="D87" s="296" t="s">
        <x:v>1643</x:v>
      </x:c>
      <x:c r="E87" s="296" t="s">
        <x:v>1528</x:v>
      </x:c>
      <x:c r="F87" s="419">
        <x:v>-31970270</x:v>
      </x:c>
      <x:c r="G87" s="416">
        <x:f t="shared" si="22"/>
        <x:v>-11189594.5</x:v>
      </x:c>
      <x:c r="H87" s="419">
        <x:v>-2717472.95</x:v>
      </x:c>
      <x:c r="I87" s="416">
        <x:f t="shared" si="23"/>
        <x:v>951115.53249999997</x:v>
      </x:c>
      <x:c r="J87" s="416">
        <x:f t="shared" si="24"/>
        <x:v>-12955951.917499999</x:v>
      </x:c>
      <x:c r="K87" s="437"/>
      <x:c r="L87" s="419">
        <x:f t="shared" si="25"/>
        <x:v>-31970270</x:v>
      </x:c>
      <x:c r="M87" s="416">
        <x:f t="shared" si="26"/>
        <x:v>-6713756.7000000002</x:v>
      </x:c>
      <x:c r="N87" s="419">
        <x:v>-2717472.95</x:v>
      </x:c>
      <x:c r="O87" s="416">
        <x:f t="shared" si="27"/>
        <x:v>570669.31949999998</x:v>
      </x:c>
      <x:c r="P87" s="416">
        <x:f t="shared" si="28"/>
        <x:v>-8860560.3305000011</x:v>
      </x:c>
      <x:c r="Q87" s="416"/>
      <x:c r="R87" s="416">
        <x:f t="shared" si="29"/>
        <x:v>-4095391.5869999975</x:v>
      </x:c>
      <x:c r="S87" s="437"/>
      <x:c r="T87" s="419">
        <x:v>0</x:v>
      </x:c>
      <x:c r="U87" s="437"/>
      <x:c r="V87" s="419">
        <x:f>R87</x:f>
        <x:v>-4095391.5869999975</x:v>
      </x:c>
      <x:c r="W87" s="437"/>
      <x:c r="X87" s="416">
        <x:f t="shared" si="30"/>
        <x:v>0</x:v>
      </x:c>
      <x:c r="Y87" s="418"/>
      <x:c r="Z87" s="304" t="s">
        <x:v>1738</x:v>
      </x:c>
      <x:c r="AA87" s="417"/>
      <x:c r="AB87" s="304" t="s">
        <x:v>1737</x:v>
      </x:c>
      <x:c r="AC87" s="417"/>
      <x:c r="AD87" s="1050">
        <x:v>0</x:v>
      </x:c>
      <x:c r="AE87" s="417"/>
      <x:c r="AF87" s="416">
        <x:f t="shared" si="32"/>
        <x:v>0</x:v>
      </x:c>
      <x:c r="AG87" s="167"/>
      <x:c r="AH87" s="183">
        <x:v>190</x:v>
      </x:c>
      <x:c r="AI87" s="183"/>
    </x:row>
    <x:row r="88" spans="2:35">
      <x:c r="B88" s="183">
        <x:f t="shared" ref="B88:B92" si="53">B87+1</x:f>
        <x:v>77</x:v>
      </x:c>
      <x:c r="C88" s="296" t="s">
        <x:v>1644</x:v>
      </x:c>
      <x:c r="D88" s="296" t="s">
        <x:v>1643</x:v>
      </x:c>
      <x:c r="E88" s="296" t="s">
        <x:v>1528</x:v>
      </x:c>
      <x:c r="F88" s="419">
        <x:v>-3719347</x:v>
      </x:c>
      <x:c r="G88" s="416">
        <x:f t="shared" si="22"/>
        <x:v>-1301771.45</x:v>
      </x:c>
      <x:c r="H88" s="419">
        <x:v>-316144.495</x:v>
      </x:c>
      <x:c r="I88" s="416">
        <x:f t="shared" si="23"/>
        <x:v>110650.57324999999</x:v>
      </x:c>
      <x:c r="J88" s="416">
        <x:f t="shared" si="24"/>
        <x:v>-1507265.3717499999</x:v>
      </x:c>
      <x:c r="K88" s="437"/>
      <x:c r="L88" s="419">
        <x:f t="shared" si="25"/>
        <x:v>-3719347</x:v>
      </x:c>
      <x:c r="M88" s="416">
        <x:f t="shared" si="26"/>
        <x:v>-781062.87</x:v>
      </x:c>
      <x:c r="N88" s="419">
        <x:v>-316144.495</x:v>
      </x:c>
      <x:c r="O88" s="416">
        <x:f t="shared" si="27"/>
        <x:v>66390.343949999995</x:v>
      </x:c>
      <x:c r="P88" s="416">
        <x:f t="shared" si="28"/>
        <x:v>-1030817.02105</x:v>
      </x:c>
      <x:c r="Q88" s="416"/>
      <x:c r="R88" s="416">
        <x:f t="shared" si="29"/>
        <x:v>-476448.35069999995</x:v>
      </x:c>
      <x:c r="S88" s="437"/>
      <x:c r="T88" s="419">
        <x:v>0</x:v>
      </x:c>
      <x:c r="U88" s="437"/>
      <x:c r="V88" s="419">
        <x:f>R88</x:f>
        <x:v>-476448.35069999995</x:v>
      </x:c>
      <x:c r="W88" s="437"/>
      <x:c r="X88" s="416">
        <x:f t="shared" si="30"/>
        <x:v>0</x:v>
      </x:c>
      <x:c r="Y88" s="418"/>
      <x:c r="Z88" s="304" t="s">
        <x:v>1738</x:v>
      </x:c>
      <x:c r="AA88" s="417"/>
      <x:c r="AB88" s="304" t="s">
        <x:v>1737</x:v>
      </x:c>
      <x:c r="AC88" s="417"/>
      <x:c r="AD88" s="1050">
        <x:v>0</x:v>
      </x:c>
      <x:c r="AE88" s="417"/>
      <x:c r="AF88" s="416">
        <x:f t="shared" si="32"/>
        <x:v>0</x:v>
      </x:c>
      <x:c r="AG88" s="167"/>
      <x:c r="AH88" s="183">
        <x:v>190</x:v>
      </x:c>
      <x:c r="AI88" s="183"/>
    </x:row>
    <x:row r="89" spans="2:35">
      <x:c r="B89" s="183">
        <x:f t="shared" si="53"/>
        <x:v>78</x:v>
      </x:c>
      <x:c r="C89" s="296" t="s">
        <x:v>1645</x:v>
      </x:c>
      <x:c r="D89" s="296" t="s">
        <x:v>1643</x:v>
      </x:c>
      <x:c r="E89" s="296" t="s">
        <x:v>1528</x:v>
      </x:c>
      <x:c r="F89" s="419">
        <x:v>1534386</x:v>
      </x:c>
      <x:c r="G89" s="416">
        <x:f t="shared" si="22"/>
        <x:v>537035.1</x:v>
      </x:c>
      <x:c r="H89" s="419">
        <x:v>130422.81000000001</x:v>
      </x:c>
      <x:c r="I89" s="416">
        <x:f t="shared" si="23"/>
        <x:v>-45647.983500000002</x:v>
      </x:c>
      <x:c r="J89" s="416">
        <x:f t="shared" si="24"/>
        <x:v>621809.92650000006</x:v>
      </x:c>
      <x:c r="K89" s="437"/>
      <x:c r="L89" s="419">
        <x:f t="shared" si="25"/>
        <x:v>1534386</x:v>
      </x:c>
      <x:c r="M89" s="416">
        <x:f t="shared" si="26"/>
        <x:v>322221.06</x:v>
      </x:c>
      <x:c r="N89" s="419">
        <x:v>130422.81000000001</x:v>
      </x:c>
      <x:c r="O89" s="416">
        <x:f t="shared" si="27"/>
        <x:v>-27388.790100000002</x:v>
      </x:c>
      <x:c r="P89" s="416">
        <x:f t="shared" si="28"/>
        <x:v>425255.07990000001</x:v>
      </x:c>
      <x:c r="Q89" s="416"/>
      <x:c r="R89" s="416">
        <x:f t="shared" si="29"/>
        <x:v>196554.84660000005</x:v>
      </x:c>
      <x:c r="S89" s="437"/>
      <x:c r="T89" s="419">
        <x:v>0</x:v>
      </x:c>
      <x:c r="U89" s="437"/>
      <x:c r="V89" s="419">
        <x:f>R89</x:f>
        <x:v>196554.84660000005</x:v>
      </x:c>
      <x:c r="W89" s="437"/>
      <x:c r="X89" s="416">
        <x:f t="shared" si="30"/>
        <x:v>0</x:v>
      </x:c>
      <x:c r="Y89" s="418"/>
      <x:c r="Z89" s="304" t="s">
        <x:v>1738</x:v>
      </x:c>
      <x:c r="AA89" s="417"/>
      <x:c r="AB89" s="304" t="s">
        <x:v>1737</x:v>
      </x:c>
      <x:c r="AC89" s="417"/>
      <x:c r="AD89" s="1050">
        <x:v>0</x:v>
      </x:c>
      <x:c r="AE89" s="417"/>
      <x:c r="AF89" s="416">
        <x:f t="shared" si="32"/>
        <x:v>0</x:v>
      </x:c>
      <x:c r="AG89" s="167"/>
      <x:c r="AH89" s="183">
        <x:v>190</x:v>
      </x:c>
      <x:c r="AI89" s="183"/>
    </x:row>
    <x:row r="90" spans="2:35">
      <x:c r="B90" s="183">
        <x:f t="shared" si="53"/>
        <x:v>79</x:v>
      </x:c>
      <x:c r="C90" s="296" t="s">
        <x:v>1646</x:v>
      </x:c>
      <x:c r="D90" s="296" t="s">
        <x:v>1643</x:v>
      </x:c>
      <x:c r="E90" s="296" t="s">
        <x:v>1528</x:v>
      </x:c>
      <x:c r="F90" s="419">
        <x:v>335888</x:v>
      </x:c>
      <x:c r="G90" s="416">
        <x:f t="shared" si="22"/>
        <x:v>117560.79999999999</x:v>
      </x:c>
      <x:c r="H90" s="419">
        <x:v>28550.480000000003</x:v>
      </x:c>
      <x:c r="I90" s="416">
        <x:f t="shared" si="23"/>
        <x:v>-9992.6679999999997</x:v>
      </x:c>
      <x:c r="J90" s="416">
        <x:f t="shared" si="24"/>
        <x:v>136118.61199999999</x:v>
      </x:c>
      <x:c r="K90" s="437"/>
      <x:c r="L90" s="419">
        <x:f>F90</x:f>
        <x:v>335888</x:v>
      </x:c>
      <x:c r="M90" s="416">
        <x:f t="shared" si="26"/>
        <x:v>70536.479999999996</x:v>
      </x:c>
      <x:c r="N90" s="419">
        <x:v>28550.480000000003</x:v>
      </x:c>
      <x:c r="O90" s="416">
        <x:f t="shared" si="27"/>
        <x:v>-5995.6008000000002</x:v>
      </x:c>
      <x:c r="P90" s="416">
        <x:f t="shared" si="28"/>
        <x:v>93091.359199999992</x:v>
      </x:c>
      <x:c r="Q90" s="416"/>
      <x:c r="R90" s="416">
        <x:f t="shared" si="29"/>
        <x:v>43027.252800000002</x:v>
      </x:c>
      <x:c r="S90" s="437"/>
      <x:c r="T90" s="419">
        <x:v>0</x:v>
      </x:c>
      <x:c r="U90" s="437"/>
      <x:c r="V90" s="419">
        <x:f>R90</x:f>
        <x:v>43027.252800000002</x:v>
      </x:c>
      <x:c r="W90" s="437"/>
      <x:c r="X90" s="416">
        <x:f t="shared" si="30"/>
        <x:v>0</x:v>
      </x:c>
      <x:c r="Y90" s="418"/>
      <x:c r="Z90" s="304" t="s">
        <x:v>1738</x:v>
      </x:c>
      <x:c r="AA90" s="417"/>
      <x:c r="AB90" s="304" t="s">
        <x:v>1737</x:v>
      </x:c>
      <x:c r="AC90" s="417"/>
      <x:c r="AD90" s="1050">
        <x:v>0</x:v>
      </x:c>
      <x:c r="AE90" s="417"/>
      <x:c r="AF90" s="416">
        <x:f t="shared" si="32"/>
        <x:v>0</x:v>
      </x:c>
      <x:c r="AG90" s="167"/>
      <x:c r="AH90" s="183">
        <x:v>190</x:v>
      </x:c>
      <x:c r="AI90" s="183"/>
    </x:row>
    <x:row r="91" spans="2:35">
      <x:c r="B91" s="183">
        <x:f t="shared" si="53"/>
        <x:v>80</x:v>
      </x:c>
      <x:c r="C91" s="296" t="s">
        <x:v>1647</x:v>
      </x:c>
      <x:c r="D91" s="296" t="s">
        <x:v>1648</x:v>
      </x:c>
      <x:c r="E91" s="296" t="s">
        <x:v>1528</x:v>
      </x:c>
      <x:c r="F91" s="419"/>
      <x:c r="G91" s="416"/>
      <x:c r="H91" s="419"/>
      <x:c r="I91" s="416"/>
      <x:c r="J91" s="416"/>
      <x:c r="K91" s="437"/>
      <x:c r="L91" s="419">
        <x:v>543170075.49919415</x:v>
      </x:c>
      <x:c r="M91" s="416">
        <x:f t="shared" si="26"/>
        <x:v>114065715.85483077</x:v>
      </x:c>
      <x:c r="N91" s="419">
        <x:v>46169456.417431504</x:v>
      </x:c>
      <x:c r="O91" s="416">
        <x:f t="shared" si="27"/>
        <x:v>-9695585.847660616</x:v>
      </x:c>
      <x:c r="P91" s="416">
        <x:f t="shared" si="28"/>
        <x:v>150539586.42460167</x:v>
      </x:c>
      <x:c r="Q91" s="416"/>
      <x:c r="R91" s="416">
        <x:f t="shared" si="29"/>
        <x:v>-150539586.42460167</x:v>
      </x:c>
      <x:c r="S91" s="437"/>
      <x:c r="T91" s="419">
        <x:v>0</x:v>
      </x:c>
      <x:c r="U91" s="437"/>
      <x:c r="V91" s="419">
        <x:f>R91</x:f>
        <x:v>-150539586.42460167</x:v>
      </x:c>
      <x:c r="W91" s="437"/>
      <x:c r="X91" s="416">
        <x:f t="shared" si="30"/>
        <x:v>0</x:v>
      </x:c>
      <x:c r="Y91" s="418"/>
      <x:c r="Z91" s="304"/>
      <x:c r="AA91" s="417"/>
      <x:c r="AB91" s="304"/>
      <x:c r="AC91" s="417"/>
      <x:c r="AD91" s="1050">
        <x:v>0</x:v>
      </x:c>
      <x:c r="AE91" s="417"/>
      <x:c r="AF91" s="416">
        <x:f t="shared" si="32"/>
        <x:v>0</x:v>
      </x:c>
      <x:c r="AG91" s="167"/>
      <x:c r="AH91" s="183">
        <x:v>190</x:v>
      </x:c>
      <x:c r="AI91" s="183"/>
    </x:row>
    <x:row r="92" spans="2:35">
      <x:c r="B92" s="183">
        <x:f t="shared" si="53"/>
        <x:v>81</x:v>
      </x:c>
      <x:c r="C92" s="438" t="s">
        <x:v>1310</x:v>
      </x:c>
      <x:c r="D92" s="304"/>
      <x:c r="E92" s="304"/>
      <x:c r="F92" s="439">
        <x:f>SUM(F12:F91)</x:f>
        <x:v>67033298.939999938</x:v>
      </x:c>
      <x:c r="G92" s="439">
        <x:f>SUM(G12:G91)</x:f>
        <x:v>23461654.629000023</x:v>
      </x:c>
      <x:c r="H92" s="439">
        <x:f>SUM(H12:H91)</x:f>
        <x:v>67281784.822798967</x:v>
      </x:c>
      <x:c r="I92" s="439">
        <x:f>SUM(I12:I91)</x:f>
        <x:v>-23548624.687979642</x:v>
      </x:c>
      <x:c r="J92" s="439">
        <x:f>SUM(J12:J91)</x:f>
        <x:v>67194814.763819277</x:v>
      </x:c>
      <x:c r="K92" s="440"/>
      <x:c r="L92" s="439">
        <x:f>SUM(L12:L91)</x:f>
        <x:v>610203374.43919408</x:v>
      </x:c>
      <x:c r="M92" s="439">
        <x:f>SUM(M12:M91)</x:f>
        <x:v>128142708.63223079</x:v>
      </x:c>
      <x:c r="N92" s="439">
        <x:f>SUM(N12:N91)</x:f>
        <x:v>113451241.24023047</x:v>
      </x:c>
      <x:c r="O92" s="439">
        <x:f>SUM(O12:O91)</x:f>
        <x:v>-23824760.660448402</x:v>
      </x:c>
      <x:c r="P92" s="439">
        <x:f>SUM(P12:P91)</x:f>
        <x:v>217769189.21201289</x:v>
      </x:c>
      <x:c r="R92" s="439">
        <x:f>SUM(R12:R91)</x:f>
        <x:v>-150574374.44819352</x:v>
      </x:c>
      <x:c r="S92" s="440"/>
      <x:c r="T92" s="439">
        <x:f>SUM(T12:T91)</x:f>
        <x:v>-107923156.1508958</x:v>
      </x:c>
      <x:c r="U92" s="440"/>
      <x:c r="V92" s="439">
        <x:f>SUM(V12:V91)</x:f>
        <x:v>-154871844.26290166</x:v>
      </x:c>
      <x:c r="W92" s="440"/>
      <x:c r="X92" s="439">
        <x:f>SUM(X12:X91)</x:f>
        <x:v>112220625.96560395</x:v>
      </x:c>
      <x:c r="Y92" s="440"/>
      <x:c r="Z92" s="304"/>
      <x:c r="AA92" s="441"/>
      <x:c r="AB92" s="304"/>
      <x:c r="AC92" s="441"/>
      <x:c r="AD92" s="442"/>
      <x:c r="AE92" s="441"/>
      <x:c r="AF92" s="439">
        <x:f>SUM(AF12:AF91)</x:f>
        <x:v>34209800.122709066</x:v>
      </x:c>
      <x:c r="AG92" s="441"/>
      <x:c r="AH92" s="183"/>
      <x:c r="AI92" s="183"/>
    </x:row>
    <x:row r="93" spans="2:35">
      <x:c r="B93" s="304"/>
      <x:c r="C93" s="304"/>
      <x:c r="D93" s="304"/>
      <x:c r="E93" s="304"/>
      <x:c r="F93" s="443"/>
      <x:c r="G93" s="443"/>
      <x:c r="H93" s="443"/>
      <x:c r="I93" s="443"/>
      <x:c r="J93" s="443"/>
      <x:c r="K93" s="440"/>
      <x:c r="L93" s="443"/>
      <x:c r="M93" s="443"/>
      <x:c r="N93" s="443"/>
      <x:c r="O93" s="443"/>
      <x:c r="P93" s="443"/>
      <x:c r="R93" s="443"/>
      <x:c r="S93" s="440"/>
      <x:c r="T93" s="443"/>
      <x:c r="U93" s="440"/>
      <x:c r="V93" s="443"/>
      <x:c r="W93" s="440"/>
      <x:c r="X93" s="443"/>
      <x:c r="Y93" s="440"/>
      <x:c r="Z93" s="304"/>
      <x:c r="AA93" s="441"/>
      <x:c r="AB93" s="304"/>
      <x:c r="AC93" s="441"/>
      <x:c r="AD93" s="442"/>
      <x:c r="AE93" s="441"/>
      <x:c r="AF93" s="443"/>
      <x:c r="AG93" s="441"/>
      <x:c r="AH93" s="183"/>
      <x:c r="AI93" s="183"/>
    </x:row>
    <x:row r="94" spans="2:35">
      <x:c r="B94" s="304"/>
      <x:c r="C94" s="304"/>
      <x:c r="D94" s="304"/>
      <x:c r="E94" s="304"/>
      <x:c r="F94" s="443"/>
      <x:c r="G94" s="443"/>
      <x:c r="H94" s="443"/>
      <x:c r="I94" s="443"/>
      <x:c r="J94" s="443"/>
      <x:c r="K94" s="440"/>
      <x:c r="L94" s="443"/>
      <x:c r="M94" s="443"/>
      <x:c r="N94" s="443"/>
      <x:c r="O94" s="443"/>
      <x:c r="P94" s="443"/>
      <x:c r="R94" s="443"/>
      <x:c r="S94" s="440"/>
      <x:c r="T94" s="443"/>
      <x:c r="U94" s="440"/>
      <x:c r="V94" s="443"/>
      <x:c r="W94" s="440"/>
      <x:c r="X94" s="443"/>
      <x:c r="Y94" s="440"/>
      <x:c r="Z94" s="304"/>
      <x:c r="AA94" s="441"/>
      <x:c r="AB94" s="304"/>
      <x:c r="AC94" s="441"/>
      <x:c r="AD94" s="442"/>
      <x:c r="AE94" s="441"/>
      <x:c r="AF94" s="443"/>
      <x:c r="AG94" s="441"/>
      <x:c r="AH94" s="183"/>
      <x:c r="AI94" s="183"/>
    </x:row>
    <x:row r="95" spans="2:35">
      <x:c r="B95" s="304"/>
      <x:c r="C95" s="436" t="s">
        <x:v>1420</x:v>
      </x:c>
      <x:c r="D95" s="304"/>
      <x:c r="E95" s="304"/>
      <x:c r="F95" s="443"/>
      <x:c r="G95" s="443"/>
      <x:c r="H95" s="443"/>
      <x:c r="I95" s="443"/>
      <x:c r="J95" s="443"/>
      <x:c r="K95" s="440"/>
      <x:c r="L95" s="443"/>
      <x:c r="M95" s="443"/>
      <x:c r="N95" s="443"/>
      <x:c r="O95" s="443"/>
      <x:c r="P95" s="443"/>
      <x:c r="R95" s="443"/>
      <x:c r="S95" s="440"/>
      <x:c r="T95" s="443"/>
      <x:c r="U95" s="440"/>
      <x:c r="V95" s="443"/>
      <x:c r="W95" s="440"/>
      <x:c r="X95" s="443"/>
      <x:c r="Y95" s="440"/>
      <x:c r="Z95" s="304"/>
      <x:c r="AA95" s="441"/>
      <x:c r="AB95" s="304"/>
      <x:c r="AC95" s="441"/>
      <x:c r="AD95" s="442"/>
      <x:c r="AE95" s="441"/>
      <x:c r="AF95" s="443"/>
      <x:c r="AG95" s="441"/>
      <x:c r="AH95" s="183"/>
      <x:c r="AI95" s="183"/>
    </x:row>
    <x:row r="96" spans="2:35">
      <x:c r="B96" s="183">
        <x:f>B92+1</x:f>
        <x:v>82</x:v>
      </x:c>
      <x:c r="C96" s="296" t="s">
        <x:v>1649</x:v>
      </x:c>
      <x:c r="D96" s="296" t="s">
        <x:v>1650</x:v>
      </x:c>
      <x:c r="E96" s="296" t="s">
        <x:v>1254</x:v>
      </x:c>
      <x:c r="F96" s="421">
        <x:v>-1475410753.9000001</x:v>
      </x:c>
      <x:c r="G96" s="420">
        <x:f t="shared" ref="G96:G111" si="54">F96*0.35</x:f>
        <x:v>-516393763.86500001</x:v>
      </x:c>
      <x:c r="H96" s="421">
        <x:v>0</x:v>
      </x:c>
      <x:c r="I96" s="420">
        <x:f t="shared" ref="I96:I111" si="55">H96*-0.35</x:f>
        <x:v>0</x:v>
      </x:c>
      <x:c r="J96" s="420">
        <x:f t="shared" ref="J96:J111" si="56">G96+H96+I96</x:f>
        <x:v>-516393763.86500001</x:v>
      </x:c>
      <x:c r="K96" s="418"/>
      <x:c r="L96" s="421">
        <x:f t="shared" ref="L96:L111" si="57">F96</x:f>
        <x:v>-1475410753.9000001</x:v>
      </x:c>
      <x:c r="M96" s="420">
        <x:f t="shared" ref="M96:M111" si="58">L96*0.21</x:f>
        <x:v>-309836258.31900001</x:v>
      </x:c>
      <x:c r="N96" s="421">
        <x:v>0</x:v>
      </x:c>
      <x:c r="O96" s="420">
        <x:f t="shared" ref="O96:O111" si="59">N96*-0.21</x:f>
        <x:v>0</x:v>
      </x:c>
      <x:c r="P96" s="420">
        <x:f t="shared" ref="P96:P111" si="60">M96+N96+O96</x:f>
        <x:v>-309836258.31900001</x:v>
      </x:c>
      <x:c r="R96" s="420">
        <x:f t="shared" ref="R96:R111" si="61">J96-P96</x:f>
        <x:v>-206557505.546</x:v>
      </x:c>
      <x:c r="S96" s="418"/>
      <x:c r="T96" s="421">
        <x:v>0</x:v>
      </x:c>
      <x:c r="U96" s="418"/>
      <x:c r="V96" s="421">
        <x:v>0</x:v>
      </x:c>
      <x:c r="W96" s="418"/>
      <x:c r="X96" s="420">
        <x:f t="shared" ref="X96:X111" si="62">R96-T96-V96</x:f>
        <x:v>-206557505.546</x:v>
      </x:c>
      <x:c r="Y96" s="418"/>
      <x:c r="Z96" s="304" t="s">
        <x:v>1738</x:v>
      </x:c>
      <x:c r="AA96" s="417"/>
      <x:c r="AB96" s="304" t="s">
        <x:v>1737</x:v>
      </x:c>
      <x:c r="AC96" s="417"/>
      <x:c r="AD96" s="1050">
        <x:v>0.32958000000000004</x:v>
      </x:c>
      <x:c r="AE96" s="417"/>
      <x:c r="AF96" s="420">
        <x:f t="shared" ref="AF96:AF101" si="63">X96*AD96</x:f>
        <x:v>-68077222.677850693</x:v>
      </x:c>
      <x:c r="AG96" s="167"/>
      <x:c r="AH96" s="183">
        <x:v>282</x:v>
      </x:c>
      <x:c r="AI96" s="183"/>
    </x:row>
    <x:row r="97" spans="2:35">
      <x:c r="B97" s="183">
        <x:f t="shared" ref="B97:B112" si="64">B96+1</x:f>
        <x:v>83</x:v>
      </x:c>
      <x:c r="C97" s="296" t="s">
        <x:v>1651</x:v>
      </x:c>
      <x:c r="D97" s="296" t="s">
        <x:v>1652</x:v>
      </x:c>
      <x:c r="E97" s="296" t="s">
        <x:v>1252</x:v>
      </x:c>
      <x:c r="F97" s="419">
        <x:v>-1205260066.6600001</x:v>
      </x:c>
      <x:c r="G97" s="416">
        <x:f t="shared" si="54"/>
        <x:v>-421841023.33100003</x:v>
      </x:c>
      <x:c r="H97" s="419">
        <x:v>0</x:v>
      </x:c>
      <x:c r="I97" s="416">
        <x:f t="shared" si="55"/>
        <x:v>0</x:v>
      </x:c>
      <x:c r="J97" s="416">
        <x:f t="shared" si="56"/>
        <x:v>-421841023.33100003</x:v>
      </x:c>
      <x:c r="K97" s="437"/>
      <x:c r="L97" s="419">
        <x:f t="shared" si="57"/>
        <x:v>-1205260066.6600001</x:v>
      </x:c>
      <x:c r="M97" s="416">
        <x:f t="shared" si="58"/>
        <x:v>-253104613.99860001</x:v>
      </x:c>
      <x:c r="N97" s="419">
        <x:v>0</x:v>
      </x:c>
      <x:c r="O97" s="416">
        <x:f t="shared" si="59"/>
        <x:v>0</x:v>
      </x:c>
      <x:c r="P97" s="416">
        <x:f t="shared" si="60"/>
        <x:v>-253104613.99860001</x:v>
      </x:c>
      <x:c r="Q97" s="416"/>
      <x:c r="R97" s="416">
        <x:f t="shared" si="61"/>
        <x:v>-168736409.33240002</x:v>
      </x:c>
      <x:c r="S97" s="437"/>
      <x:c r="T97" s="419">
        <x:v>0</x:v>
      </x:c>
      <x:c r="U97" s="437"/>
      <x:c r="V97" s="419">
        <x:v>-7192463.0836799592</x:v>
      </x:c>
      <x:c r="W97" s="437"/>
      <x:c r="X97" s="416">
        <x:f t="shared" si="62"/>
        <x:v>-161543946.24872005</x:v>
      </x:c>
      <x:c r="Y97" s="418"/>
      <x:c r="Z97" s="304" t="s">
        <x:v>1738</x:v>
      </x:c>
      <x:c r="AA97" s="417"/>
      <x:c r="AB97" s="304" t="s">
        <x:v>1737</x:v>
      </x:c>
      <x:c r="AC97" s="417"/>
      <x:c r="AD97" s="1050">
        <x:v>0.32958000000000004</x:v>
      </x:c>
      <x:c r="AE97" s="417"/>
      <x:c r="AF97" s="416">
        <x:f t="shared" si="63"/>
        <x:v>-53241653.80465316</x:v>
      </x:c>
      <x:c r="AG97" s="167"/>
      <x:c r="AH97" s="183">
        <x:v>282</x:v>
      </x:c>
      <x:c r="AI97" s="183"/>
    </x:row>
    <x:row r="98" spans="2:35">
      <x:c r="B98" s="183">
        <x:f t="shared" si="64"/>
        <x:v>84</x:v>
      </x:c>
      <x:c r="C98" s="296" t="s">
        <x:v>1653</x:v>
      </x:c>
      <x:c r="D98" s="296" t="s">
        <x:v>1652</x:v>
      </x:c>
      <x:c r="E98" s="296" t="s">
        <x:v>1252</x:v>
      </x:c>
      <x:c r="F98" s="419">
        <x:v>89655390</x:v>
      </x:c>
      <x:c r="G98" s="416">
        <x:f t="shared" si="54"/>
        <x:v>31379386.499999996</x:v>
      </x:c>
      <x:c r="H98" s="419">
        <x:v>0</x:v>
      </x:c>
      <x:c r="I98" s="416">
        <x:f t="shared" si="55"/>
        <x:v>0</x:v>
      </x:c>
      <x:c r="J98" s="416">
        <x:f t="shared" si="56"/>
        <x:v>31379386.499999996</x:v>
      </x:c>
      <x:c r="K98" s="437"/>
      <x:c r="L98" s="419">
        <x:f t="shared" si="57"/>
        <x:v>89655390</x:v>
      </x:c>
      <x:c r="M98" s="416">
        <x:f t="shared" si="58"/>
        <x:v>18827631.899999999</x:v>
      </x:c>
      <x:c r="N98" s="419">
        <x:v>0</x:v>
      </x:c>
      <x:c r="O98" s="416">
        <x:f t="shared" si="59"/>
        <x:v>0</x:v>
      </x:c>
      <x:c r="P98" s="416">
        <x:f t="shared" si="60"/>
        <x:v>18827631.899999999</x:v>
      </x:c>
      <x:c r="Q98" s="416"/>
      <x:c r="R98" s="416">
        <x:f t="shared" si="61"/>
        <x:v>12551754.599999998</x:v>
      </x:c>
      <x:c r="S98" s="437"/>
      <x:c r="T98" s="419">
        <x:v>0</x:v>
      </x:c>
      <x:c r="U98" s="437"/>
      <x:c r="V98" s="419">
        <x:v>0</x:v>
      </x:c>
      <x:c r="W98" s="437"/>
      <x:c r="X98" s="416">
        <x:f t="shared" si="62"/>
        <x:v>12551754.599999998</x:v>
      </x:c>
      <x:c r="Y98" s="418"/>
      <x:c r="Z98" s="304" t="s">
        <x:v>1738</x:v>
      </x:c>
      <x:c r="AA98" s="417"/>
      <x:c r="AB98" s="304" t="s">
        <x:v>1734</x:v>
      </x:c>
      <x:c r="AC98" s="417"/>
      <x:c r="AD98" s="1050">
        <x:v>0</x:v>
      </x:c>
      <x:c r="AE98" s="417"/>
      <x:c r="AF98" s="416">
        <x:f t="shared" si="63"/>
        <x:v>0</x:v>
      </x:c>
      <x:c r="AG98" s="167"/>
      <x:c r="AH98" s="183">
        <x:v>282</x:v>
      </x:c>
      <x:c r="AI98" s="183"/>
    </x:row>
    <x:row r="99" spans="2:35">
      <x:c r="B99" s="183">
        <x:f t="shared" si="64"/>
        <x:v>85</x:v>
      </x:c>
      <x:c r="C99" s="296" t="s">
        <x:v>1654</x:v>
      </x:c>
      <x:c r="D99" s="296" t="s">
        <x:v>1652</x:v>
      </x:c>
      <x:c r="E99" s="296" t="s">
        <x:v>1252</x:v>
      </x:c>
      <x:c r="F99" s="419">
        <x:v>0</x:v>
      </x:c>
      <x:c r="G99" s="416">
        <x:f t="shared" si="54"/>
        <x:v>0</x:v>
      </x:c>
      <x:c r="H99" s="419">
        <x:v>-49092225.367920004</x:v>
      </x:c>
      <x:c r="I99" s="416">
        <x:f t="shared" si="55"/>
        <x:v>17182278.878772002</x:v>
      </x:c>
      <x:c r="J99" s="416">
        <x:f t="shared" si="56"/>
        <x:v>-31909946.489148002</x:v>
      </x:c>
      <x:c r="K99" s="437"/>
      <x:c r="L99" s="419">
        <x:f t="shared" si="57"/>
        <x:v>0</x:v>
      </x:c>
      <x:c r="M99" s="416">
        <x:f t="shared" si="58"/>
        <x:v>0</x:v>
      </x:c>
      <x:c r="N99" s="419">
        <x:v>-49092225.367920004</x:v>
      </x:c>
      <x:c r="O99" s="416">
        <x:f t="shared" si="59"/>
        <x:v>10309367.327263201</x:v>
      </x:c>
      <x:c r="P99" s="416">
        <x:f t="shared" si="60"/>
        <x:v>-38782858.040656805</x:v>
      </x:c>
      <x:c r="Q99" s="416"/>
      <x:c r="R99" s="416">
        <x:f t="shared" si="61"/>
        <x:v>6872911.5515088029</x:v>
      </x:c>
      <x:c r="S99" s="437"/>
      <x:c r="T99" s="419">
        <x:v>0</x:v>
      </x:c>
      <x:c r="U99" s="437"/>
      <x:c r="V99" s="419">
        <x:v>0</x:v>
      </x:c>
      <x:c r="W99" s="437"/>
      <x:c r="X99" s="416">
        <x:f t="shared" si="62"/>
        <x:v>6872911.5515088029</x:v>
      </x:c>
      <x:c r="Y99" s="418"/>
      <x:c r="Z99" s="304" t="s">
        <x:v>1738</x:v>
      </x:c>
      <x:c r="AA99" s="417"/>
      <x:c r="AB99" s="304" t="s">
        <x:v>1737</x:v>
      </x:c>
      <x:c r="AC99" s="417"/>
      <x:c r="AD99" s="1050">
        <x:v>0.32958000000000004</x:v>
      </x:c>
      <x:c r="AE99" s="417"/>
      <x:c r="AF99" s="416">
        <x:f t="shared" si="63"/>
        <x:v>2265174.1891462714</x:v>
      </x:c>
      <x:c r="AG99" s="167"/>
      <x:c r="AH99" s="183">
        <x:v>282</x:v>
      </x:c>
      <x:c r="AI99" s="183"/>
    </x:row>
    <x:row r="100" spans="2:35">
      <x:c r="B100" s="183">
        <x:f t="shared" si="64"/>
        <x:v>86</x:v>
      </x:c>
      <x:c r="C100" s="296" t="s">
        <x:v>1655</x:v>
      </x:c>
      <x:c r="D100" s="296" t="s">
        <x:v>1652</x:v>
      </x:c>
      <x:c r="E100" s="296" t="s">
        <x:v>1252</x:v>
      </x:c>
      <x:c r="F100" s="419">
        <x:v>0</x:v>
      </x:c>
      <x:c r="G100" s="416">
        <x:f t="shared" si="54"/>
        <x:v>0</x:v>
      </x:c>
      <x:c r="H100" s="419">
        <x:v>2511377.3160000001</x:v>
      </x:c>
      <x:c r="I100" s="416">
        <x:f t="shared" si="55"/>
        <x:v>-878982.06059999997</x:v>
      </x:c>
      <x:c r="J100" s="416">
        <x:f t="shared" si="56"/>
        <x:v>1632395.2554000001</x:v>
      </x:c>
      <x:c r="K100" s="437"/>
      <x:c r="L100" s="419">
        <x:f t="shared" si="57"/>
        <x:v>0</x:v>
      </x:c>
      <x:c r="M100" s="416">
        <x:f t="shared" si="58"/>
        <x:v>0</x:v>
      </x:c>
      <x:c r="N100" s="419">
        <x:v>2511377.3160000001</x:v>
      </x:c>
      <x:c r="O100" s="416">
        <x:f t="shared" si="59"/>
        <x:v>-527389.23635999998</x:v>
      </x:c>
      <x:c r="P100" s="416">
        <x:f t="shared" si="60"/>
        <x:v>1983988.0796400001</x:v>
      </x:c>
      <x:c r="Q100" s="416"/>
      <x:c r="R100" s="416">
        <x:f t="shared" si="61"/>
        <x:v>-351592.82423999999</x:v>
      </x:c>
      <x:c r="S100" s="437"/>
      <x:c r="T100" s="419">
        <x:v>0</x:v>
      </x:c>
      <x:c r="U100" s="437"/>
      <x:c r="V100" s="419">
        <x:v>0</x:v>
      </x:c>
      <x:c r="W100" s="437"/>
      <x:c r="X100" s="416">
        <x:f t="shared" si="62"/>
        <x:v>-351592.82423999999</x:v>
      </x:c>
      <x:c r="Y100" s="418"/>
      <x:c r="Z100" s="304" t="s">
        <x:v>1738</x:v>
      </x:c>
      <x:c r="AA100" s="417"/>
      <x:c r="AB100" s="304" t="s">
        <x:v>1734</x:v>
      </x:c>
      <x:c r="AC100" s="417"/>
      <x:c r="AD100" s="1050">
        <x:v>0</x:v>
      </x:c>
      <x:c r="AE100" s="417"/>
      <x:c r="AF100" s="416">
        <x:f t="shared" si="63"/>
        <x:v>0</x:v>
      </x:c>
      <x:c r="AG100" s="167"/>
      <x:c r="AH100" s="183">
        <x:v>282</x:v>
      </x:c>
      <x:c r="AI100" s="183"/>
    </x:row>
    <x:row r="101" spans="2:35">
      <x:c r="B101" s="183">
        <x:f t="shared" si="64"/>
        <x:v>87</x:v>
      </x:c>
      <x:c r="C101" s="296" t="s">
        <x:v>1656</x:v>
      </x:c>
      <x:c r="D101" s="296" t="s">
        <x:v>1652</x:v>
      </x:c>
      <x:c r="E101" s="296" t="s">
        <x:v>1252</x:v>
      </x:c>
      <x:c r="F101" s="419">
        <x:v>0</x:v>
      </x:c>
      <x:c r="G101" s="416">
        <x:f t="shared" si="54"/>
        <x:v>0</x:v>
      </x:c>
      <x:c r="H101" s="419">
        <x:v>-152798236.77192</x:v>
      </x:c>
      <x:c r="I101" s="416">
        <x:f t="shared" si="55"/>
        <x:v>53479382.870171994</x:v>
      </x:c>
      <x:c r="J101" s="416">
        <x:f t="shared" si="56"/>
        <x:v>-99318853.901748002</x:v>
      </x:c>
      <x:c r="K101" s="437"/>
      <x:c r="L101" s="419">
        <x:f t="shared" si="57"/>
        <x:v>0</x:v>
      </x:c>
      <x:c r="M101" s="416">
        <x:f t="shared" si="58"/>
        <x:v>0</x:v>
      </x:c>
      <x:c r="N101" s="419">
        <x:v>-152798236.77192</x:v>
      </x:c>
      <x:c r="O101" s="416">
        <x:f t="shared" si="59"/>
        <x:v>32087629.722103197</x:v>
      </x:c>
      <x:c r="P101" s="416">
        <x:f t="shared" si="60"/>
        <x:v>-120710607.0498168</x:v>
      </x:c>
      <x:c r="Q101" s="416"/>
      <x:c r="R101" s="416">
        <x:f t="shared" si="61"/>
        <x:v>21391753.148068801</x:v>
      </x:c>
      <x:c r="S101" s="437"/>
      <x:c r="T101" s="419">
        <x:v>0</x:v>
      </x:c>
      <x:c r="U101" s="437"/>
      <x:c r="V101" s="419">
        <x:v>0</x:v>
      </x:c>
      <x:c r="W101" s="437"/>
      <x:c r="X101" s="416">
        <x:f t="shared" si="62"/>
        <x:v>21391753.148068801</x:v>
      </x:c>
      <x:c r="Y101" s="418"/>
      <x:c r="Z101" s="304" t="s">
        <x:v>1738</x:v>
      </x:c>
      <x:c r="AA101" s="417"/>
      <x:c r="AB101" s="304" t="s">
        <x:v>1737</x:v>
      </x:c>
      <x:c r="AC101" s="417"/>
      <x:c r="AD101" s="1050">
        <x:v>0.32958000000000004</x:v>
      </x:c>
      <x:c r="AE101" s="417"/>
      <x:c r="AF101" s="416">
        <x:f t="shared" si="63"/>
        <x:v>7050294.0025405157</x:v>
      </x:c>
      <x:c r="AG101" s="167"/>
      <x:c r="AH101" s="183">
        <x:v>282</x:v>
      </x:c>
      <x:c r="AI101" s="183"/>
    </x:row>
    <x:row r="102" spans="2:35">
      <x:c r="B102" s="183">
        <x:f t="shared" si="64"/>
        <x:v>88</x:v>
      </x:c>
      <x:c r="C102" s="296" t="s">
        <x:v>1657</x:v>
      </x:c>
      <x:c r="D102" s="296" t="s">
        <x:v>1652</x:v>
      </x:c>
      <x:c r="E102" s="296" t="s">
        <x:v>1252</x:v>
      </x:c>
      <x:c r="F102" s="419">
        <x:v>0</x:v>
      </x:c>
      <x:c r="G102" s="416">
        <x:f t="shared" si="54"/>
        <x:v>0</x:v>
      </x:c>
      <x:c r="H102" s="419">
        <x:v>5110357.2300000004</x:v>
      </x:c>
      <x:c r="I102" s="416">
        <x:f t="shared" si="55"/>
        <x:v>-1788625.0305000001</x:v>
      </x:c>
      <x:c r="J102" s="416">
        <x:f t="shared" si="56"/>
        <x:v>3321732.1995000001</x:v>
      </x:c>
      <x:c r="K102" s="437"/>
      <x:c r="L102" s="419">
        <x:f t="shared" si="57"/>
        <x:v>0</x:v>
      </x:c>
      <x:c r="M102" s="416">
        <x:f t="shared" si="58"/>
        <x:v>0</x:v>
      </x:c>
      <x:c r="N102" s="419">
        <x:v>5110357.2300000004</x:v>
      </x:c>
      <x:c r="O102" s="416">
        <x:f t="shared" si="59"/>
        <x:v>-1073175.0183000001</x:v>
      </x:c>
      <x:c r="P102" s="416">
        <x:f t="shared" si="60"/>
        <x:v>4037182.2117000003</x:v>
      </x:c>
      <x:c r="Q102" s="416"/>
      <x:c r="R102" s="416">
        <x:f t="shared" si="61"/>
        <x:v>-715450.01220000023</x:v>
      </x:c>
      <x:c r="S102" s="437"/>
      <x:c r="T102" s="419">
        <x:v>0</x:v>
      </x:c>
      <x:c r="U102" s="437"/>
      <x:c r="V102" s="419">
        <x:v>0</x:v>
      </x:c>
      <x:c r="W102" s="437"/>
      <x:c r="X102" s="416">
        <x:f t="shared" si="62"/>
        <x:v>-715450.01220000023</x:v>
      </x:c>
      <x:c r="Y102" s="418"/>
      <x:c r="Z102" s="304" t="s">
        <x:v>1738</x:v>
      </x:c>
      <x:c r="AA102" s="417"/>
      <x:c r="AB102" s="304" t="s">
        <x:v>1734</x:v>
      </x:c>
      <x:c r="AC102" s="417"/>
      <x:c r="AD102" s="1050">
        <x:v>0</x:v>
      </x:c>
      <x:c r="AE102" s="417"/>
      <x:c r="AF102" s="416">
        <x:v>0</x:v>
      </x:c>
      <x:c r="AG102" s="167"/>
      <x:c r="AH102" s="183">
        <x:v>282</x:v>
      </x:c>
      <x:c r="AI102" s="183"/>
    </x:row>
    <x:row r="103" spans="2:35">
      <x:c r="B103" s="183">
        <x:f t="shared" si="64"/>
        <x:v>89</x:v>
      </x:c>
      <x:c r="C103" s="296" t="s">
        <x:v>1658</x:v>
      </x:c>
      <x:c r="D103" s="296" t="s">
        <x:v>1652</x:v>
      </x:c>
      <x:c r="E103" s="296" t="s">
        <x:v>1252</x:v>
      </x:c>
      <x:c r="F103" s="419">
        <x:v>-56147252.799999997</x:v>
      </x:c>
      <x:c r="G103" s="416">
        <x:f t="shared" si="54"/>
        <x:v>-19651538.479999997</x:v>
      </x:c>
      <x:c r="H103" s="419">
        <x:v>0</x:v>
      </x:c>
      <x:c r="I103" s="416">
        <x:f t="shared" si="55"/>
        <x:v>0</x:v>
      </x:c>
      <x:c r="J103" s="416">
        <x:f t="shared" si="56"/>
        <x:v>-19651538.479999997</x:v>
      </x:c>
      <x:c r="K103" s="437"/>
      <x:c r="L103" s="419">
        <x:f t="shared" si="57"/>
        <x:v>-56147252.799999997</x:v>
      </x:c>
      <x:c r="M103" s="416">
        <x:f t="shared" si="58"/>
        <x:v>-11790923.088</x:v>
      </x:c>
      <x:c r="N103" s="419">
        <x:v>0</x:v>
      </x:c>
      <x:c r="O103" s="416">
        <x:f t="shared" si="59"/>
        <x:v>0</x:v>
      </x:c>
      <x:c r="P103" s="416">
        <x:f t="shared" si="60"/>
        <x:v>-11790923.088</x:v>
      </x:c>
      <x:c r="Q103" s="416"/>
      <x:c r="R103" s="416">
        <x:f t="shared" si="61"/>
        <x:v>-7860615.3919999972</x:v>
      </x:c>
      <x:c r="S103" s="437"/>
      <x:c r="T103" s="419">
        <x:v>0</x:v>
      </x:c>
      <x:c r="U103" s="437"/>
      <x:c r="V103" s="419">
        <x:v>0</x:v>
      </x:c>
      <x:c r="W103" s="437"/>
      <x:c r="X103" s="416">
        <x:f t="shared" si="62"/>
        <x:v>-7860615.3919999972</x:v>
      </x:c>
      <x:c r="Y103" s="418"/>
      <x:c r="Z103" s="304" t="s">
        <x:v>1738</x:v>
      </x:c>
      <x:c r="AA103" s="417"/>
      <x:c r="AB103" s="304" t="s">
        <x:v>1737</x:v>
      </x:c>
      <x:c r="AC103" s="417"/>
      <x:c r="AD103" s="1050">
        <x:v>0.32958000000000004</x:v>
      </x:c>
      <x:c r="AE103" s="417"/>
      <x:c r="AF103" s="416">
        <x:f t="shared" ref="AF103:AF111" si="65">X103*AD103</x:f>
        <x:v>-2590701.6208953592</x:v>
      </x:c>
      <x:c r="AG103" s="167"/>
      <x:c r="AH103" s="183">
        <x:v>282</x:v>
      </x:c>
      <x:c r="AI103" s="183"/>
    </x:row>
    <x:row r="104" spans="2:35">
      <x:c r="B104" s="183">
        <x:f t="shared" si="64"/>
        <x:v>90</x:v>
      </x:c>
      <x:c r="C104" s="296" t="s">
        <x:v>1659</x:v>
      </x:c>
      <x:c r="D104" s="296" t="s">
        <x:v>1652</x:v>
      </x:c>
      <x:c r="E104" s="296" t="s">
        <x:v>1252</x:v>
      </x:c>
      <x:c r="F104" s="419">
        <x:v>0</x:v>
      </x:c>
      <x:c r="G104" s="416">
        <x:f t="shared" si="54"/>
        <x:v>0</x:v>
      </x:c>
      <x:c r="H104" s="419">
        <x:v>-1572123.0784</x:v>
      </x:c>
      <x:c r="I104" s="416">
        <x:f t="shared" si="55"/>
        <x:v>550243.07743999991</x:v>
      </x:c>
      <x:c r="J104" s="416">
        <x:f t="shared" si="56"/>
        <x:v>-1021880.0009600001</x:v>
      </x:c>
      <x:c r="K104" s="437"/>
      <x:c r="L104" s="419">
        <x:f t="shared" si="57"/>
        <x:v>0</x:v>
      </x:c>
      <x:c r="M104" s="416">
        <x:f t="shared" si="58"/>
        <x:v>0</x:v>
      </x:c>
      <x:c r="N104" s="419">
        <x:v>-1572123.0784</x:v>
      </x:c>
      <x:c r="O104" s="416">
        <x:f t="shared" si="59"/>
        <x:v>330145.846464</x:v>
      </x:c>
      <x:c r="P104" s="416">
        <x:f t="shared" si="60"/>
        <x:v>-1241977.2319360001</x:v>
      </x:c>
      <x:c r="Q104" s="416"/>
      <x:c r="R104" s="416">
        <x:f t="shared" si="61"/>
        <x:v>220097.23097599996</x:v>
      </x:c>
      <x:c r="S104" s="437"/>
      <x:c r="T104" s="419">
        <x:v>0</x:v>
      </x:c>
      <x:c r="U104" s="437"/>
      <x:c r="V104" s="419">
        <x:v>0</x:v>
      </x:c>
      <x:c r="W104" s="437"/>
      <x:c r="X104" s="416">
        <x:f t="shared" si="62"/>
        <x:v>220097.23097599996</x:v>
      </x:c>
      <x:c r="Y104" s="418"/>
      <x:c r="Z104" s="304" t="s">
        <x:v>1738</x:v>
      </x:c>
      <x:c r="AA104" s="417"/>
      <x:c r="AB104" s="304" t="s">
        <x:v>1737</x:v>
      </x:c>
      <x:c r="AC104" s="417"/>
      <x:c r="AD104" s="1050">
        <x:v>0.32958000000000004</x:v>
      </x:c>
      <x:c r="AE104" s="417"/>
      <x:c r="AF104" s="416">
        <x:f t="shared" si="65"/>
        <x:v>72539.645385070078</x:v>
      </x:c>
      <x:c r="AG104" s="167"/>
      <x:c r="AH104" s="183">
        <x:v>282</x:v>
      </x:c>
      <x:c r="AI104" s="183"/>
    </x:row>
    <x:row r="105" spans="2:35">
      <x:c r="B105" s="183">
        <x:f t="shared" si="64"/>
        <x:v>91</x:v>
      </x:c>
      <x:c r="C105" s="296" t="s">
        <x:v>1660</x:v>
      </x:c>
      <x:c r="D105" s="296" t="s">
        <x:v>1652</x:v>
      </x:c>
      <x:c r="E105" s="296" t="s">
        <x:v>1252</x:v>
      </x:c>
      <x:c r="F105" s="419">
        <x:v>0</x:v>
      </x:c>
      <x:c r="G105" s="416">
        <x:f t="shared" si="54"/>
        <x:v>0</x:v>
      </x:c>
      <x:c r="H105" s="419">
        <x:v>-3200393.4095999999</x:v>
      </x:c>
      <x:c r="I105" s="416">
        <x:f t="shared" si="55"/>
        <x:v>1120137.6933599999</x:v>
      </x:c>
      <x:c r="J105" s="416">
        <x:f t="shared" si="56"/>
        <x:v>-2080255.71624</x:v>
      </x:c>
      <x:c r="K105" s="437"/>
      <x:c r="L105" s="419">
        <x:f t="shared" si="57"/>
        <x:v>0</x:v>
      </x:c>
      <x:c r="M105" s="416">
        <x:f t="shared" si="58"/>
        <x:v>0</x:v>
      </x:c>
      <x:c r="N105" s="419">
        <x:v>-3200393.4095999999</x:v>
      </x:c>
      <x:c r="O105" s="416">
        <x:f t="shared" si="59"/>
        <x:v>672082.61601599993</x:v>
      </x:c>
      <x:c r="P105" s="416">
        <x:f t="shared" si="60"/>
        <x:v>-2528310.7935839999</x:v>
      </x:c>
      <x:c r="Q105" s="416"/>
      <x:c r="R105" s="416">
        <x:f t="shared" si="61"/>
        <x:v>448055.07734399987</x:v>
      </x:c>
      <x:c r="S105" s="437"/>
      <x:c r="T105" s="419">
        <x:v>0</x:v>
      </x:c>
      <x:c r="U105" s="437"/>
      <x:c r="V105" s="419">
        <x:v>0</x:v>
      </x:c>
      <x:c r="W105" s="437"/>
      <x:c r="X105" s="416">
        <x:f t="shared" si="62"/>
        <x:v>448055.07734399987</x:v>
      </x:c>
      <x:c r="Y105" s="418"/>
      <x:c r="Z105" s="304" t="s">
        <x:v>1738</x:v>
      </x:c>
      <x:c r="AA105" s="417"/>
      <x:c r="AB105" s="304" t="s">
        <x:v>1737</x:v>
      </x:c>
      <x:c r="AC105" s="417"/>
      <x:c r="AD105" s="1050">
        <x:v>0.32958000000000004</x:v>
      </x:c>
      <x:c r="AE105" s="417"/>
      <x:c r="AF105" s="416">
        <x:f t="shared" si="65"/>
        <x:v>147669.99239103548</x:v>
      </x:c>
      <x:c r="AG105" s="167"/>
      <x:c r="AH105" s="183">
        <x:v>282</x:v>
      </x:c>
      <x:c r="AI105" s="183"/>
    </x:row>
    <x:row r="106" spans="2:35">
      <x:c r="B106" s="183">
        <x:f t="shared" si="64"/>
        <x:v>92</x:v>
      </x:c>
      <x:c r="C106" s="296" t="s">
        <x:v>1661</x:v>
      </x:c>
      <x:c r="D106" s="296" t="s">
        <x:v>1662</x:v>
      </x:c>
      <x:c r="E106" s="296" t="s">
        <x:v>1252</x:v>
      </x:c>
      <x:c r="F106" s="419">
        <x:v>-3458769.33</x:v>
      </x:c>
      <x:c r="G106" s="416">
        <x:f t="shared" si="54"/>
        <x:v>-1210569.2655</x:v>
      </x:c>
      <x:c r="H106" s="419">
        <x:v>0</x:v>
      </x:c>
      <x:c r="I106" s="416">
        <x:f t="shared" si="55"/>
        <x:v>0</x:v>
      </x:c>
      <x:c r="J106" s="416">
        <x:f t="shared" si="56"/>
        <x:v>-1210569.2655</x:v>
      </x:c>
      <x:c r="K106" s="437"/>
      <x:c r="L106" s="419">
        <x:f t="shared" si="57"/>
        <x:v>-3458769.33</x:v>
      </x:c>
      <x:c r="M106" s="416">
        <x:f t="shared" si="58"/>
        <x:v>-726341.55929999996</x:v>
      </x:c>
      <x:c r="N106" s="419">
        <x:v>0</x:v>
      </x:c>
      <x:c r="O106" s="416">
        <x:f t="shared" si="59"/>
        <x:v>0</x:v>
      </x:c>
      <x:c r="P106" s="416">
        <x:f t="shared" si="60"/>
        <x:v>-726341.55929999996</x:v>
      </x:c>
      <x:c r="Q106" s="416"/>
      <x:c r="R106" s="416">
        <x:f t="shared" si="61"/>
        <x:v>-484227.70620000002</x:v>
      </x:c>
      <x:c r="S106" s="437"/>
      <x:c r="T106" s="419">
        <x:v>0</x:v>
      </x:c>
      <x:c r="U106" s="437"/>
      <x:c r="V106" s="419">
        <x:v>0</x:v>
      </x:c>
      <x:c r="W106" s="437"/>
      <x:c r="X106" s="416">
        <x:f t="shared" si="62"/>
        <x:v>-484227.70620000002</x:v>
      </x:c>
      <x:c r="Y106" s="418"/>
      <x:c r="Z106" s="304" t="s">
        <x:v>1738</x:v>
      </x:c>
      <x:c r="AA106" s="417"/>
      <x:c r="AB106" s="304" t="s">
        <x:v>1737</x:v>
      </x:c>
      <x:c r="AC106" s="417"/>
      <x:c r="AD106" s="1050">
        <x:v>0.32958000000000004</x:v>
      </x:c>
      <x:c r="AE106" s="417"/>
      <x:c r="AF106" s="416">
        <x:f t="shared" si="65"/>
        <x:v>-159591.76740939604</x:v>
      </x:c>
      <x:c r="AG106" s="167"/>
      <x:c r="AH106" s="183">
        <x:v>282</x:v>
      </x:c>
      <x:c r="AI106" s="183"/>
    </x:row>
    <x:row r="107" spans="2:35">
      <x:c r="B107" s="183">
        <x:f t="shared" si="64"/>
        <x:v>93</x:v>
      </x:c>
      <x:c r="C107" s="296" t="s">
        <x:v>1663</x:v>
      </x:c>
      <x:c r="D107" s="296" t="s">
        <x:v>1662</x:v>
      </x:c>
      <x:c r="E107" s="296" t="s">
        <x:v>1252</x:v>
      </x:c>
      <x:c r="F107" s="419">
        <x:v>14702392</x:v>
      </x:c>
      <x:c r="G107" s="416">
        <x:f t="shared" si="54"/>
        <x:v>5145837.1999999993</x:v>
      </x:c>
      <x:c r="H107" s="419">
        <x:v>0</x:v>
      </x:c>
      <x:c r="I107" s="416">
        <x:f t="shared" si="55"/>
        <x:v>0</x:v>
      </x:c>
      <x:c r="J107" s="416">
        <x:f t="shared" si="56"/>
        <x:v>5145837.1999999993</x:v>
      </x:c>
      <x:c r="K107" s="437"/>
      <x:c r="L107" s="419">
        <x:f t="shared" si="57"/>
        <x:v>14702392</x:v>
      </x:c>
      <x:c r="M107" s="416">
        <x:f t="shared" si="58"/>
        <x:v>3087502.32</x:v>
      </x:c>
      <x:c r="N107" s="419">
        <x:v>0</x:v>
      </x:c>
      <x:c r="O107" s="416">
        <x:f t="shared" si="59"/>
        <x:v>0</x:v>
      </x:c>
      <x:c r="P107" s="416">
        <x:f t="shared" si="60"/>
        <x:v>3087502.32</x:v>
      </x:c>
      <x:c r="Q107" s="416"/>
      <x:c r="R107" s="416">
        <x:f t="shared" si="61"/>
        <x:v>2058334.8799999994</x:v>
      </x:c>
      <x:c r="S107" s="437"/>
      <x:c r="T107" s="419">
        <x:v>0</x:v>
      </x:c>
      <x:c r="U107" s="437"/>
      <x:c r="V107" s="419">
        <x:v>0</x:v>
      </x:c>
      <x:c r="W107" s="437"/>
      <x:c r="X107" s="416">
        <x:f t="shared" si="62"/>
        <x:v>2058334.8799999994</x:v>
      </x:c>
      <x:c r="Y107" s="418"/>
      <x:c r="Z107" s="304" t="s">
        <x:v>1738</x:v>
      </x:c>
      <x:c r="AA107" s="417"/>
      <x:c r="AB107" s="304" t="s">
        <x:v>1734</x:v>
      </x:c>
      <x:c r="AC107" s="417"/>
      <x:c r="AD107" s="1050">
        <x:v>0</x:v>
      </x:c>
      <x:c r="AE107" s="417"/>
      <x:c r="AF107" s="416">
        <x:f t="shared" si="65"/>
        <x:v>0</x:v>
      </x:c>
      <x:c r="AG107" s="167"/>
      <x:c r="AH107" s="183">
        <x:v>282</x:v>
      </x:c>
      <x:c r="AI107" s="183"/>
    </x:row>
    <x:row r="108" spans="2:35">
      <x:c r="B108" s="183">
        <x:f t="shared" si="64"/>
        <x:v>94</x:v>
      </x:c>
      <x:c r="C108" s="296" t="s">
        <x:v>1664</x:v>
      </x:c>
      <x:c r="D108" s="296" t="s">
        <x:v>1662</x:v>
      </x:c>
      <x:c r="E108" s="296" t="s">
        <x:v>1252</x:v>
      </x:c>
      <x:c r="F108" s="419">
        <x:v>0</x:v>
      </x:c>
      <x:c r="G108" s="416">
        <x:f t="shared" si="54"/>
        <x:v>0</x:v>
      </x:c>
      <x:c r="H108" s="419">
        <x:v>-96845.541240000006</x:v>
      </x:c>
      <x:c r="I108" s="416">
        <x:f t="shared" si="55"/>
        <x:v>33895.939434</x:v>
      </x:c>
      <x:c r="J108" s="416">
        <x:f t="shared" si="56"/>
        <x:v>-62949.601806000006</x:v>
      </x:c>
      <x:c r="K108" s="437"/>
      <x:c r="L108" s="419">
        <x:f t="shared" si="57"/>
        <x:v>0</x:v>
      </x:c>
      <x:c r="M108" s="416">
        <x:f t="shared" si="58"/>
        <x:v>0</x:v>
      </x:c>
      <x:c r="N108" s="419">
        <x:v>-96845.541240000006</x:v>
      </x:c>
      <x:c r="O108" s="416">
        <x:f t="shared" si="59"/>
        <x:v>20337.563660399999</x:v>
      </x:c>
      <x:c r="P108" s="416">
        <x:f t="shared" si="60"/>
        <x:v>-76507.977579600003</x:v>
      </x:c>
      <x:c r="Q108" s="416"/>
      <x:c r="R108" s="416">
        <x:f t="shared" si="61"/>
        <x:v>13558.375773599997</x:v>
      </x:c>
      <x:c r="S108" s="437"/>
      <x:c r="T108" s="419">
        <x:v>0</x:v>
      </x:c>
      <x:c r="U108" s="437"/>
      <x:c r="V108" s="419">
        <x:v>0</x:v>
      </x:c>
      <x:c r="W108" s="437"/>
      <x:c r="X108" s="416">
        <x:f t="shared" si="62"/>
        <x:v>13558.375773599997</x:v>
      </x:c>
      <x:c r="Y108" s="418"/>
      <x:c r="Z108" s="304" t="s">
        <x:v>1738</x:v>
      </x:c>
      <x:c r="AA108" s="417"/>
      <x:c r="AB108" s="304" t="s">
        <x:v>1737</x:v>
      </x:c>
      <x:c r="AC108" s="417"/>
      <x:c r="AD108" s="1050">
        <x:v>0.32958000000000004</x:v>
      </x:c>
      <x:c r="AE108" s="417"/>
      <x:c r="AF108" s="416">
        <x:f t="shared" si="65"/>
        <x:v>4468.5694874630872</x:v>
      </x:c>
      <x:c r="AG108" s="167"/>
      <x:c r="AH108" s="183">
        <x:v>282</x:v>
      </x:c>
      <x:c r="AI108" s="183"/>
    </x:row>
    <x:row r="109" spans="2:35">
      <x:c r="B109" s="183">
        <x:f t="shared" si="64"/>
        <x:v>95</x:v>
      </x:c>
      <x:c r="C109" s="296" t="s">
        <x:v>1665</x:v>
      </x:c>
      <x:c r="D109" s="296" t="s">
        <x:v>1662</x:v>
      </x:c>
      <x:c r="E109" s="296" t="s">
        <x:v>1252</x:v>
      </x:c>
      <x:c r="F109" s="419">
        <x:v>0</x:v>
      </x:c>
      <x:c r="G109" s="416">
        <x:f t="shared" si="54"/>
        <x:v>0</x:v>
      </x:c>
      <x:c r="H109" s="419">
        <x:v>411666.97600000002</x:v>
      </x:c>
      <x:c r="I109" s="416">
        <x:f t="shared" si="55"/>
        <x:v>-144083.44159999999</x:v>
      </x:c>
      <x:c r="J109" s="416">
        <x:f t="shared" si="56"/>
        <x:v>267583.5344</x:v>
      </x:c>
      <x:c r="K109" s="437"/>
      <x:c r="L109" s="419">
        <x:f t="shared" si="57"/>
        <x:v>0</x:v>
      </x:c>
      <x:c r="M109" s="416">
        <x:f t="shared" si="58"/>
        <x:v>0</x:v>
      </x:c>
      <x:c r="N109" s="419">
        <x:v>411666.97600000002</x:v>
      </x:c>
      <x:c r="O109" s="416">
        <x:f t="shared" si="59"/>
        <x:v>-86450.064960000003</x:v>
      </x:c>
      <x:c r="P109" s="416">
        <x:f t="shared" si="60"/>
        <x:v>325216.91104000004</x:v>
      </x:c>
      <x:c r="Q109" s="416"/>
      <x:c r="R109" s="416">
        <x:f t="shared" si="61"/>
        <x:v>-57633.376640000031</x:v>
      </x:c>
      <x:c r="S109" s="437"/>
      <x:c r="T109" s="419">
        <x:v>0</x:v>
      </x:c>
      <x:c r="U109" s="437"/>
      <x:c r="V109" s="419">
        <x:v>0</x:v>
      </x:c>
      <x:c r="W109" s="437"/>
      <x:c r="X109" s="416">
        <x:f t="shared" si="62"/>
        <x:v>-57633.376640000031</x:v>
      </x:c>
      <x:c r="Y109" s="418"/>
      <x:c r="Z109" s="304" t="s">
        <x:v>1738</x:v>
      </x:c>
      <x:c r="AA109" s="417"/>
      <x:c r="AB109" s="304" t="s">
        <x:v>1734</x:v>
      </x:c>
      <x:c r="AC109" s="417"/>
      <x:c r="AD109" s="1050">
        <x:v>0</x:v>
      </x:c>
      <x:c r="AE109" s="417"/>
      <x:c r="AF109" s="416">
        <x:f t="shared" si="65"/>
        <x:v>0</x:v>
      </x:c>
      <x:c r="AG109" s="167"/>
      <x:c r="AH109" s="183">
        <x:v>282</x:v>
      </x:c>
      <x:c r="AI109" s="183"/>
    </x:row>
    <x:row r="110" spans="2:35">
      <x:c r="B110" s="183">
        <x:f t="shared" si="64"/>
        <x:v>96</x:v>
      </x:c>
      <x:c r="C110" s="296" t="s">
        <x:v>1666</x:v>
      </x:c>
      <x:c r="D110" s="296" t="s">
        <x:v>1662</x:v>
      </x:c>
      <x:c r="E110" s="296" t="s">
        <x:v>1252</x:v>
      </x:c>
      <x:c r="F110" s="419">
        <x:v>0</x:v>
      </x:c>
      <x:c r="G110" s="416">
        <x:f t="shared" si="54"/>
        <x:v>0</x:v>
      </x:c>
      <x:c r="H110" s="419">
        <x:v>-197149.85181000002</x:v>
      </x:c>
      <x:c r="I110" s="416">
        <x:f t="shared" si="55"/>
        <x:v>69002.448133500002</x:v>
      </x:c>
      <x:c r="J110" s="416">
        <x:f t="shared" si="56"/>
        <x:v>-128147.40367650002</x:v>
      </x:c>
      <x:c r="K110" s="437"/>
      <x:c r="L110" s="419">
        <x:f t="shared" si="57"/>
        <x:v>0</x:v>
      </x:c>
      <x:c r="M110" s="416">
        <x:f t="shared" si="58"/>
        <x:v>0</x:v>
      </x:c>
      <x:c r="N110" s="419">
        <x:v>-197149.85181000002</x:v>
      </x:c>
      <x:c r="O110" s="416">
        <x:f t="shared" si="59"/>
        <x:v>41401.468880100001</x:v>
      </x:c>
      <x:c r="P110" s="416">
        <x:f t="shared" si="60"/>
        <x:v>-155748.38292990002</x:v>
      </x:c>
      <x:c r="Q110" s="416"/>
      <x:c r="R110" s="416">
        <x:f t="shared" si="61"/>
        <x:v>27600.979253400001</x:v>
      </x:c>
      <x:c r="S110" s="437"/>
      <x:c r="T110" s="419">
        <x:v>0</x:v>
      </x:c>
      <x:c r="U110" s="437"/>
      <x:c r="V110" s="419">
        <x:v>0</x:v>
      </x:c>
      <x:c r="W110" s="437"/>
      <x:c r="X110" s="416">
        <x:f t="shared" si="62"/>
        <x:v>27600.979253400001</x:v>
      </x:c>
      <x:c r="Y110" s="418"/>
      <x:c r="Z110" s="304" t="s">
        <x:v>1738</x:v>
      </x:c>
      <x:c r="AA110" s="417"/>
      <x:c r="AB110" s="304" t="s">
        <x:v>1737</x:v>
      </x:c>
      <x:c r="AC110" s="417"/>
      <x:c r="AD110" s="1050">
        <x:v>0.32958000000000004</x:v>
      </x:c>
      <x:c r="AE110" s="417"/>
      <x:c r="AF110" s="416">
        <x:f t="shared" si="65"/>
        <x:v>9096.7307423355742</x:v>
      </x:c>
      <x:c r="AG110" s="167"/>
      <x:c r="AH110" s="183">
        <x:v>282</x:v>
      </x:c>
      <x:c r="AI110" s="183"/>
    </x:row>
    <x:row r="111" spans="2:35">
      <x:c r="B111" s="183">
        <x:f t="shared" si="64"/>
        <x:v>97</x:v>
      </x:c>
      <x:c r="C111" s="296" t="s">
        <x:v>1667</x:v>
      </x:c>
      <x:c r="D111" s="296" t="s">
        <x:v>1662</x:v>
      </x:c>
      <x:c r="E111" s="296" t="s">
        <x:v>1252</x:v>
      </x:c>
      <x:c r="F111" s="419">
        <x:v>0</x:v>
      </x:c>
      <x:c r="G111" s="416">
        <x:f t="shared" si="54"/>
        <x:v>0</x:v>
      </x:c>
      <x:c r="H111" s="419">
        <x:v>838036.34400000004</x:v>
      </x:c>
      <x:c r="I111" s="416">
        <x:f t="shared" si="55"/>
        <x:v>-293312.72039999999</x:v>
      </x:c>
      <x:c r="J111" s="416">
        <x:f t="shared" si="56"/>
        <x:v>544723.62360000005</x:v>
      </x:c>
      <x:c r="K111" s="437"/>
      <x:c r="L111" s="419">
        <x:f t="shared" si="57"/>
        <x:v>0</x:v>
      </x:c>
      <x:c r="M111" s="416">
        <x:f t="shared" si="58"/>
        <x:v>0</x:v>
      </x:c>
      <x:c r="N111" s="419">
        <x:v>838036.34400000004</x:v>
      </x:c>
      <x:c r="O111" s="416">
        <x:f t="shared" si="59"/>
        <x:v>-175987.63224000001</x:v>
      </x:c>
      <x:c r="P111" s="416">
        <x:f t="shared" si="60"/>
        <x:v>662048.71176000009</x:v>
      </x:c>
      <x:c r="Q111" s="416"/>
      <x:c r="R111" s="416">
        <x:f t="shared" si="61"/>
        <x:v>-117325.08816000004</x:v>
      </x:c>
      <x:c r="S111" s="437"/>
      <x:c r="T111" s="419">
        <x:v>0</x:v>
      </x:c>
      <x:c r="U111" s="437"/>
      <x:c r="V111" s="419">
        <x:v>0</x:v>
      </x:c>
      <x:c r="W111" s="437"/>
      <x:c r="X111" s="416">
        <x:f t="shared" si="62"/>
        <x:v>-117325.08816000004</x:v>
      </x:c>
      <x:c r="Y111" s="418"/>
      <x:c r="Z111" s="304" t="s">
        <x:v>1738</x:v>
      </x:c>
      <x:c r="AA111" s="417"/>
      <x:c r="AB111" s="304" t="s">
        <x:v>1734</x:v>
      </x:c>
      <x:c r="AC111" s="417"/>
      <x:c r="AD111" s="1050">
        <x:v>0</x:v>
      </x:c>
      <x:c r="AE111" s="417"/>
      <x:c r="AF111" s="416">
        <x:f t="shared" si="65"/>
        <x:v>0</x:v>
      </x:c>
      <x:c r="AG111" s="167"/>
      <x:c r="AH111" s="183">
        <x:v>282</x:v>
      </x:c>
      <x:c r="AI111" s="183"/>
    </x:row>
    <x:row r="112" spans="2:35">
      <x:c r="B112" s="183">
        <x:f t="shared" si="64"/>
        <x:v>98</x:v>
      </x:c>
      <x:c r="C112" s="438" t="s">
        <x:v>1311</x:v>
      </x:c>
      <x:c r="D112" s="304"/>
      <x:c r="E112" s="304"/>
      <x:c r="F112" s="439">
        <x:f>SUM(F96:F111)</x:f>
        <x:v>-2635919060.6900005</x:v>
      </x:c>
      <x:c r="G112" s="439">
        <x:f>SUM(G96:G111)</x:f>
        <x:v>-922571671.24150002</x:v>
      </x:c>
      <x:c r="H112" s="439">
        <x:f>SUM(H96:H111)</x:f>
        <x:v>-198085536.15488997</x:v>
      </x:c>
      <x:c r="I112" s="439">
        <x:f>SUM(I96:I111)</x:f>
        <x:v>69329937.654211506</x:v>
      </x:c>
      <x:c r="J112" s="439">
        <x:f>SUM(J96:J111)</x:f>
        <x:v>-1051327269.7421788</x:v>
      </x:c>
      <x:c r="K112" s="440"/>
      <x:c r="L112" s="439">
        <x:f>SUM(L96:L111)</x:f>
        <x:v>-2635919060.6900005</x:v>
      </x:c>
      <x:c r="M112" s="439">
        <x:f>SUM(M96:M111)</x:f>
        <x:v>-553543002.74489987</x:v>
      </x:c>
      <x:c r="N112" s="439">
        <x:f>SUM(N96:N111)</x:f>
        <x:v>-198085536.15488997</x:v>
      </x:c>
      <x:c r="O112" s="439">
        <x:f>SUM(O96:O111)</x:f>
        <x:v>41597962.592526905</x:v>
      </x:c>
      <x:c r="P112" s="439">
        <x:f>SUM(P96:P111)</x:f>
        <x:v>-710030576.30726314</x:v>
      </x:c>
      <x:c r="R112" s="439">
        <x:f>SUM(R96:R111)</x:f>
        <x:v>-341296693.43491548</x:v>
      </x:c>
      <x:c r="S112" s="440"/>
      <x:c r="T112" s="439">
        <x:f>SUM(T96:T111)</x:f>
        <x:v>0</x:v>
      </x:c>
      <x:c r="U112" s="440"/>
      <x:c r="V112" s="439">
        <x:f>SUM(V96:V111)</x:f>
        <x:v>-7192463.0836799592</x:v>
      </x:c>
      <x:c r="W112" s="440"/>
      <x:c r="X112" s="439">
        <x:f>SUM(X96:X111)</x:f>
        <x:v>-334104230.35123551</x:v>
      </x:c>
      <x:c r="Y112" s="440"/>
      <x:c r="Z112" s="304"/>
      <x:c r="AA112" s="441"/>
      <x:c r="AB112" s="304"/>
      <x:c r="AC112" s="441"/>
      <x:c r="AD112" s="442"/>
      <x:c r="AE112" s="441"/>
      <x:c r="AF112" s="439">
        <x:f>SUM(AF96:AF111)</x:f>
        <x:v>-114519926.74111593</x:v>
      </x:c>
      <x:c r="AG112" s="441"/>
      <x:c r="AH112" s="183"/>
      <x:c r="AI112" s="183"/>
    </x:row>
    <x:row r="113" spans="2:35">
      <x:c r="B113" s="183"/>
      <x:c r="C113" s="304"/>
      <x:c r="D113" s="304"/>
      <x:c r="E113" s="304"/>
      <x:c r="F113" s="443"/>
      <x:c r="G113" s="443"/>
      <x:c r="H113" s="443"/>
      <x:c r="I113" s="443"/>
      <x:c r="J113" s="443"/>
      <x:c r="K113" s="440"/>
      <x:c r="L113" s="443"/>
      <x:c r="M113" s="443"/>
      <x:c r="N113" s="443"/>
      <x:c r="O113" s="443"/>
      <x:c r="P113" s="443"/>
      <x:c r="R113" s="443"/>
      <x:c r="S113" s="440"/>
      <x:c r="T113" s="443"/>
      <x:c r="U113" s="440"/>
      <x:c r="V113" s="443"/>
      <x:c r="W113" s="440"/>
      <x:c r="X113" s="443"/>
      <x:c r="Y113" s="440"/>
      <x:c r="Z113" s="304"/>
      <x:c r="AA113" s="441"/>
      <x:c r="AB113" s="304"/>
      <x:c r="AC113" s="441"/>
      <x:c r="AD113" s="442"/>
      <x:c r="AE113" s="441"/>
      <x:c r="AF113" s="443"/>
      <x:c r="AG113" s="441"/>
      <x:c r="AH113" s="183"/>
      <x:c r="AI113" s="183"/>
    </x:row>
    <x:row r="114" spans="2:35">
      <x:c r="B114" s="183"/>
      <x:c r="C114" s="436" t="s">
        <x:v>1421</x:v>
      </x:c>
      <x:c r="D114" s="304"/>
      <x:c r="E114" s="304"/>
      <x:c r="F114" s="443"/>
      <x:c r="G114" s="443"/>
      <x:c r="H114" s="443"/>
      <x:c r="I114" s="443"/>
      <x:c r="J114" s="443"/>
      <x:c r="K114" s="440"/>
      <x:c r="L114" s="443"/>
      <x:c r="M114" s="443"/>
      <x:c r="N114" s="443"/>
      <x:c r="O114" s="443"/>
      <x:c r="P114" s="443"/>
      <x:c r="R114" s="443"/>
      <x:c r="S114" s="440"/>
      <x:c r="T114" s="443"/>
      <x:c r="U114" s="440"/>
      <x:c r="V114" s="443"/>
      <x:c r="W114" s="440"/>
      <x:c r="X114" s="443"/>
      <x:c r="Y114" s="440"/>
      <x:c r="Z114" s="304"/>
      <x:c r="AA114" s="441"/>
      <x:c r="AB114" s="304"/>
      <x:c r="AC114" s="441"/>
      <x:c r="AD114" s="442"/>
      <x:c r="AE114" s="441"/>
      <x:c r="AF114" s="443"/>
      <x:c r="AG114" s="441"/>
      <x:c r="AH114" s="183"/>
      <x:c r="AI114" s="183"/>
    </x:row>
    <x:row r="115" spans="2:35">
      <x:c r="B115" s="183">
        <x:f>B112+1</x:f>
        <x:v>99</x:v>
      </x:c>
      <x:c r="C115" s="296" t="s">
        <x:v>1668</x:v>
      </x:c>
      <x:c r="D115" s="296" t="s">
        <x:v>1669</x:v>
      </x:c>
      <x:c r="E115" s="296" t="s">
        <x:v>1248</x:v>
      </x:c>
      <x:c r="F115" s="421">
        <x:v>-1551232.3</x:v>
      </x:c>
      <x:c r="G115" s="420">
        <x:f t="shared" ref="G115:G146" si="66">F115*0.35</x:f>
        <x:v>-542931.30499999993</x:v>
      </x:c>
      <x:c r="H115" s="421">
        <x:v>-131854.74550000002</x:v>
      </x:c>
      <x:c r="I115" s="420">
        <x:f t="shared" ref="I115:I146" si="67">H115*-0.35</x:f>
        <x:v>46149.160925000004</x:v>
      </x:c>
      <x:c r="J115" s="420">
        <x:f t="shared" ref="J115:J146" si="68">G115+H115+I115</x:f>
        <x:v>-628636.88957499992</x:v>
      </x:c>
      <x:c r="K115" s="418"/>
      <x:c r="L115" s="421">
        <x:f t="shared" ref="L115:L146" si="69">F115</x:f>
        <x:v>-1551232.3</x:v>
      </x:c>
      <x:c r="M115" s="420">
        <x:f t="shared" ref="M115:M146" si="70">L115*0.21</x:f>
        <x:v>-325758.783</x:v>
      </x:c>
      <x:c r="N115" s="421">
        <x:v>-131854.74550000002</x:v>
      </x:c>
      <x:c r="O115" s="420">
        <x:f t="shared" ref="O115:O146" si="71">N115*-0.21</x:f>
        <x:v>27689.496555000002</x:v>
      </x:c>
      <x:c r="P115" s="420">
        <x:f t="shared" ref="P115:P146" si="72">M115+N115+O115</x:f>
        <x:v>-429924.031945</x:v>
      </x:c>
      <x:c r="R115" s="420">
        <x:f t="shared" ref="R115:R146" si="73">J115-P115</x:f>
        <x:v>-198712.85762999993</x:v>
      </x:c>
      <x:c r="S115" s="418"/>
      <x:c r="T115" s="421">
        <x:v>0</x:v>
      </x:c>
      <x:c r="U115" s="418"/>
      <x:c r="V115" s="421">
        <x:v>0</x:v>
      </x:c>
      <x:c r="W115" s="418"/>
      <x:c r="X115" s="420">
        <x:f t="shared" ref="X115:X146" si="74">R115-T115-V115</x:f>
        <x:v>-198712.85762999993</x:v>
      </x:c>
      <x:c r="Y115" s="418"/>
      <x:c r="Z115" s="304" t="s">
        <x:v>1736</x:v>
      </x:c>
      <x:c r="AA115" s="417"/>
      <x:c r="AB115" s="304" t="s">
        <x:v>1734</x:v>
      </x:c>
      <x:c r="AC115" s="417"/>
      <x:c r="AD115" s="1050">
        <x:v>0</x:v>
      </x:c>
      <x:c r="AE115" s="417"/>
      <x:c r="AF115" s="420">
        <x:f t="shared" ref="AF115:AF146" si="75">X115*AD115</x:f>
        <x:v>0</x:v>
      </x:c>
      <x:c r="AG115" s="167"/>
      <x:c r="AH115" s="183">
        <x:v>283</x:v>
      </x:c>
      <x:c r="AI115" s="183"/>
    </x:row>
    <x:row r="116" spans="2:35">
      <x:c r="B116" s="183">
        <x:f t="shared" ref="B116:B171" si="76">B115+1</x:f>
        <x:v>100</x:v>
      </x:c>
      <x:c r="C116" s="296" t="s">
        <x:v>1670</x:v>
      </x:c>
      <x:c r="D116" s="296" t="s">
        <x:v>1669</x:v>
      </x:c>
      <x:c r="E116" s="296" t="s">
        <x:v>1248</x:v>
      </x:c>
      <x:c r="F116" s="419">
        <x:v>-458580</x:v>
      </x:c>
      <x:c r="G116" s="416">
        <x:f t="shared" si="66"/>
        <x:v>-160503</x:v>
      </x:c>
      <x:c r="H116" s="419">
        <x:v>-38979.300000000003</x:v>
      </x:c>
      <x:c r="I116" s="416">
        <x:f t="shared" si="67"/>
        <x:v>13642.755000000001</x:v>
      </x:c>
      <x:c r="J116" s="416">
        <x:f t="shared" si="68"/>
        <x:v>-185839.54499999998</x:v>
      </x:c>
      <x:c r="K116" s="437"/>
      <x:c r="L116" s="419">
        <x:f t="shared" si="69"/>
        <x:v>-458580</x:v>
      </x:c>
      <x:c r="M116" s="416">
        <x:f t="shared" si="70"/>
        <x:v>-96301.8</x:v>
      </x:c>
      <x:c r="N116" s="419">
        <x:v>-38979.300000000003</x:v>
      </x:c>
      <x:c r="O116" s="416">
        <x:f t="shared" si="71"/>
        <x:v>8185.6530000000002</x:v>
      </x:c>
      <x:c r="P116" s="416">
        <x:f t="shared" si="72"/>
        <x:v>-127095.447</x:v>
      </x:c>
      <x:c r="Q116" s="416"/>
      <x:c r="R116" s="416">
        <x:f t="shared" si="73"/>
        <x:v>-58744.097999999984</x:v>
      </x:c>
      <x:c r="S116" s="437"/>
      <x:c r="T116" s="419">
        <x:v>0</x:v>
      </x:c>
      <x:c r="U116" s="437"/>
      <x:c r="V116" s="419">
        <x:v>0</x:v>
      </x:c>
      <x:c r="W116" s="437"/>
      <x:c r="X116" s="416">
        <x:f t="shared" si="74"/>
        <x:v>-58744.097999999984</x:v>
      </x:c>
      <x:c r="Y116" s="418"/>
      <x:c r="Z116" s="304" t="s">
        <x:v>1735</x:v>
      </x:c>
      <x:c r="AA116" s="417"/>
      <x:c r="AB116" s="304" t="s">
        <x:v>1734</x:v>
      </x:c>
      <x:c r="AC116" s="417"/>
      <x:c r="AD116" s="1050">
        <x:v>0</x:v>
      </x:c>
      <x:c r="AE116" s="417"/>
      <x:c r="AF116" s="416">
        <x:f t="shared" si="75"/>
        <x:v>0</x:v>
      </x:c>
      <x:c r="AG116" s="167"/>
      <x:c r="AH116" s="183">
        <x:v>283</x:v>
      </x:c>
      <x:c r="AI116" s="183"/>
    </x:row>
    <x:row r="117" spans="2:35">
      <x:c r="B117" s="183">
        <x:f t="shared" si="76"/>
        <x:v>101</x:v>
      </x:c>
      <x:c r="C117" s="296" t="s">
        <x:v>1671</x:v>
      </x:c>
      <x:c r="D117" s="296" t="s">
        <x:v>1672</x:v>
      </x:c>
      <x:c r="E117" s="296" t="s">
        <x:v>1248</x:v>
      </x:c>
      <x:c r="F117" s="419">
        <x:v>-4934591.42</x:v>
      </x:c>
      <x:c r="G117" s="416">
        <x:f t="shared" si="66"/>
        <x:v>-1727106.997</x:v>
      </x:c>
      <x:c r="H117" s="419">
        <x:v>-419440.27070000005</x:v>
      </x:c>
      <x:c r="I117" s="416">
        <x:f t="shared" si="67"/>
        <x:v>146804.09474500001</x:v>
      </x:c>
      <x:c r="J117" s="416">
        <x:f t="shared" si="68"/>
        <x:v>-1999743.1729550003</x:v>
      </x:c>
      <x:c r="K117" s="437"/>
      <x:c r="L117" s="419">
        <x:f t="shared" si="69"/>
        <x:v>-4934591.42</x:v>
      </x:c>
      <x:c r="M117" s="416">
        <x:f t="shared" si="70"/>
        <x:v>-1036264.1982</x:v>
      </x:c>
      <x:c r="N117" s="419">
        <x:v>-419440.27070000005</x:v>
      </x:c>
      <x:c r="O117" s="416">
        <x:f t="shared" si="71"/>
        <x:v>88082.456847000009</x:v>
      </x:c>
      <x:c r="P117" s="416">
        <x:f t="shared" si="72"/>
        <x:v>-1367622.012053</x:v>
      </x:c>
      <x:c r="Q117" s="416"/>
      <x:c r="R117" s="416">
        <x:f t="shared" si="73"/>
        <x:v>-632121.16090200027</x:v>
      </x:c>
      <x:c r="S117" s="437"/>
      <x:c r="T117" s="419">
        <x:v>0</x:v>
      </x:c>
      <x:c r="U117" s="437"/>
      <x:c r="V117" s="419">
        <x:v>0</x:v>
      </x:c>
      <x:c r="W117" s="437"/>
      <x:c r="X117" s="416">
        <x:f t="shared" si="74"/>
        <x:v>-632121.16090200027</x:v>
      </x:c>
      <x:c r="Y117" s="418"/>
      <x:c r="Z117" s="304" t="s">
        <x:v>1735</x:v>
      </x:c>
      <x:c r="AA117" s="417"/>
      <x:c r="AB117" s="304" t="s">
        <x:v>1734</x:v>
      </x:c>
      <x:c r="AC117" s="417"/>
      <x:c r="AD117" s="1050">
        <x:v>0</x:v>
      </x:c>
      <x:c r="AE117" s="417"/>
      <x:c r="AF117" s="416">
        <x:f t="shared" si="75"/>
        <x:v>0</x:v>
      </x:c>
      <x:c r="AG117" s="167"/>
      <x:c r="AH117" s="183">
        <x:v>283</x:v>
      </x:c>
      <x:c r="AI117" s="183"/>
    </x:row>
    <x:row r="118" spans="2:35">
      <x:c r="B118" s="183">
        <x:f t="shared" si="76"/>
        <x:v>102</x:v>
      </x:c>
      <x:c r="C118" s="296" t="s">
        <x:v>1673</x:v>
      </x:c>
      <x:c r="D118" s="296" t="s">
        <x:v>1674</x:v>
      </x:c>
      <x:c r="E118" s="296" t="s">
        <x:v>1248</x:v>
      </x:c>
      <x:c r="F118" s="419">
        <x:v>-29346</x:v>
      </x:c>
      <x:c r="G118" s="416">
        <x:f t="shared" si="66"/>
        <x:v>-10271.099999999999</x:v>
      </x:c>
      <x:c r="H118" s="419">
        <x:v>-2494.4100000000003</x:v>
      </x:c>
      <x:c r="I118" s="416">
        <x:f t="shared" si="67"/>
        <x:v>873.04350000000011</x:v>
      </x:c>
      <x:c r="J118" s="416">
        <x:f t="shared" si="68"/>
        <x:v>-11892.466499999999</x:v>
      </x:c>
      <x:c r="K118" s="437"/>
      <x:c r="L118" s="419">
        <x:f t="shared" si="69"/>
        <x:v>-29346</x:v>
      </x:c>
      <x:c r="M118" s="416">
        <x:f t="shared" si="70"/>
        <x:v>-6162.66</x:v>
      </x:c>
      <x:c r="N118" s="419">
        <x:v>-2494.4100000000003</x:v>
      </x:c>
      <x:c r="O118" s="416">
        <x:f t="shared" si="71"/>
        <x:v>523.8261</x:v>
      </x:c>
      <x:c r="P118" s="416">
        <x:f t="shared" si="72"/>
        <x:v>-8133.2438999999995</x:v>
      </x:c>
      <x:c r="Q118" s="416"/>
      <x:c r="R118" s="416">
        <x:f t="shared" si="73"/>
        <x:v>-3759.2225999999991</x:v>
      </x:c>
      <x:c r="S118" s="437"/>
      <x:c r="T118" s="419">
        <x:v>0</x:v>
      </x:c>
      <x:c r="U118" s="437"/>
      <x:c r="V118" s="419">
        <x:v>0</x:v>
      </x:c>
      <x:c r="W118" s="437"/>
      <x:c r="X118" s="416">
        <x:f t="shared" si="74"/>
        <x:v>-3759.2225999999991</x:v>
      </x:c>
      <x:c r="Y118" s="418"/>
      <x:c r="Z118" s="304" t="s">
        <x:v>1735</x:v>
      </x:c>
      <x:c r="AA118" s="417"/>
      <x:c r="AB118" s="304" t="s">
        <x:v>1734</x:v>
      </x:c>
      <x:c r="AC118" s="417"/>
      <x:c r="AD118" s="1050">
        <x:v>0</x:v>
      </x:c>
      <x:c r="AE118" s="417"/>
      <x:c r="AF118" s="416">
        <x:f t="shared" si="75"/>
        <x:v>0</x:v>
      </x:c>
      <x:c r="AG118" s="167"/>
      <x:c r="AH118" s="183">
        <x:v>283</x:v>
      </x:c>
      <x:c r="AI118" s="183"/>
    </x:row>
    <x:row r="119" spans="2:35">
      <x:c r="B119" s="183">
        <x:f t="shared" si="76"/>
        <x:v>103</x:v>
      </x:c>
      <x:c r="C119" s="296" t="s">
        <x:v>1675</x:v>
      </x:c>
      <x:c r="D119" s="296" t="s">
        <x:v>1676</x:v>
      </x:c>
      <x:c r="E119" s="296" t="s">
        <x:v>1248</x:v>
      </x:c>
      <x:c r="F119" s="419">
        <x:v>462933.59</x:v>
      </x:c>
      <x:c r="G119" s="416">
        <x:f t="shared" si="66"/>
        <x:v>162026.75649999999</x:v>
      </x:c>
      <x:c r="H119" s="419">
        <x:v>39349.355150000003</x:v>
      </x:c>
      <x:c r="I119" s="416">
        <x:f t="shared" si="67"/>
        <x:v>-13772.2743025</x:v>
      </x:c>
      <x:c r="J119" s="416">
        <x:f t="shared" si="68"/>
        <x:v>187603.83734749997</x:v>
      </x:c>
      <x:c r="K119" s="437"/>
      <x:c r="L119" s="419">
        <x:f t="shared" si="69"/>
        <x:v>462933.59</x:v>
      </x:c>
      <x:c r="M119" s="416">
        <x:f t="shared" si="70"/>
        <x:v>97216.053899999999</x:v>
      </x:c>
      <x:c r="N119" s="419">
        <x:v>39349.355150000003</x:v>
      </x:c>
      <x:c r="O119" s="416">
        <x:f t="shared" si="71"/>
        <x:v>-8263.3645815</x:v>
      </x:c>
      <x:c r="P119" s="416">
        <x:f t="shared" si="72"/>
        <x:v>128302.04446850001</x:v>
      </x:c>
      <x:c r="Q119" s="416"/>
      <x:c r="R119" s="416">
        <x:f t="shared" si="73"/>
        <x:v>59301.792878999957</x:v>
      </x:c>
      <x:c r="S119" s="437"/>
      <x:c r="T119" s="419">
        <x:v>0</x:v>
      </x:c>
      <x:c r="U119" s="437"/>
      <x:c r="V119" s="419">
        <x:v>0</x:v>
      </x:c>
      <x:c r="W119" s="437"/>
      <x:c r="X119" s="416">
        <x:f t="shared" si="74"/>
        <x:v>59301.792878999957</x:v>
      </x:c>
      <x:c r="Y119" s="418"/>
      <x:c r="Z119" s="304" t="s">
        <x:v>1738</x:v>
      </x:c>
      <x:c r="AA119" s="417"/>
      <x:c r="AB119" s="304" t="s">
        <x:v>1737</x:v>
      </x:c>
      <x:c r="AC119" s="417"/>
      <x:c r="AD119" s="1050">
        <x:v>0.31493199999999999</x:v>
      </x:c>
      <x:c r="AE119" s="417"/>
      <x:c r="AF119" s="416">
        <x:f t="shared" si="75"/>
        <x:v>18676.032234969214</x:v>
      </x:c>
      <x:c r="AG119" s="167"/>
      <x:c r="AH119" s="183">
        <x:v>283</x:v>
      </x:c>
      <x:c r="AI119" s="183"/>
    </x:row>
    <x:row r="120" spans="2:35">
      <x:c r="B120" s="183">
        <x:f t="shared" si="76"/>
        <x:v>104</x:v>
      </x:c>
      <x:c r="C120" s="296" t="s">
        <x:v>1677</x:v>
      </x:c>
      <x:c r="D120" s="296" t="s">
        <x:v>1678</x:v>
      </x:c>
      <x:c r="E120" s="296" t="s">
        <x:v>1248</x:v>
      </x:c>
      <x:c r="F120" s="419">
        <x:v>985653</x:v>
      </x:c>
      <x:c r="G120" s="416">
        <x:f t="shared" si="66"/>
        <x:v>344978.55</x:v>
      </x:c>
      <x:c r="H120" s="419">
        <x:v>83780.505000000005</x:v>
      </x:c>
      <x:c r="I120" s="416">
        <x:f t="shared" si="67"/>
        <x:v>-29323.176749999999</x:v>
      </x:c>
      <x:c r="J120" s="416">
        <x:f t="shared" si="68"/>
        <x:v>399435.87825000001</x:v>
      </x:c>
      <x:c r="K120" s="437"/>
      <x:c r="L120" s="419">
        <x:f t="shared" si="69"/>
        <x:v>985653</x:v>
      </x:c>
      <x:c r="M120" s="416">
        <x:f t="shared" si="70"/>
        <x:v>206987.13</x:v>
      </x:c>
      <x:c r="N120" s="419">
        <x:v>83780.505000000005</x:v>
      </x:c>
      <x:c r="O120" s="416">
        <x:f t="shared" si="71"/>
        <x:v>-17593.906050000001</x:v>
      </x:c>
      <x:c r="P120" s="416">
        <x:f t="shared" si="72"/>
        <x:v>273173.72895000002</x:v>
      </x:c>
      <x:c r="Q120" s="416"/>
      <x:c r="R120" s="416">
        <x:f t="shared" si="73"/>
        <x:v>126262.14929999999</x:v>
      </x:c>
      <x:c r="S120" s="437"/>
      <x:c r="T120" s="419">
        <x:v>126262.1493</x:v>
      </x:c>
      <x:c r="U120" s="437"/>
      <x:c r="V120" s="419">
        <x:v>0</x:v>
      </x:c>
      <x:c r="W120" s="437"/>
      <x:c r="X120" s="416">
        <x:f t="shared" si="74"/>
        <x:v>-1.4551915228366852E-11</x:v>
      </x:c>
      <x:c r="Y120" s="418"/>
      <x:c r="Z120" s="304" t="s">
        <x:v>233</x:v>
      </x:c>
      <x:c r="AA120" s="417"/>
      <x:c r="AB120" s="304" t="s">
        <x:v>1734</x:v>
      </x:c>
      <x:c r="AC120" s="417"/>
      <x:c r="AD120" s="1050">
        <x:v>0</x:v>
      </x:c>
      <x:c r="AE120" s="417"/>
      <x:c r="AF120" s="416">
        <x:f t="shared" si="75"/>
        <x:v>0</x:v>
      </x:c>
      <x:c r="AG120" s="167"/>
      <x:c r="AH120" s="183">
        <x:v>283</x:v>
      </x:c>
      <x:c r="AI120" s="183"/>
    </x:row>
    <x:row r="121" spans="2:35">
      <x:c r="B121" s="183">
        <x:f t="shared" si="76"/>
        <x:v>105</x:v>
      </x:c>
      <x:c r="C121" s="296" t="s">
        <x:v>1679</x:v>
      </x:c>
      <x:c r="D121" s="296" t="s">
        <x:v>1678</x:v>
      </x:c>
      <x:c r="E121" s="296" t="s">
        <x:v>1248</x:v>
      </x:c>
      <x:c r="F121" s="419">
        <x:v>187499</x:v>
      </x:c>
      <x:c r="G121" s="416">
        <x:f t="shared" si="66"/>
        <x:v>65624.649999999994</x:v>
      </x:c>
      <x:c r="H121" s="419">
        <x:v>15937.415000000001</x:v>
      </x:c>
      <x:c r="I121" s="416">
        <x:f t="shared" si="67"/>
        <x:v>-5578.0952500000003</x:v>
      </x:c>
      <x:c r="J121" s="416">
        <x:f t="shared" si="68"/>
        <x:v>75983.969750000004</x:v>
      </x:c>
      <x:c r="K121" s="437"/>
      <x:c r="L121" s="419">
        <x:f t="shared" si="69"/>
        <x:v>187499</x:v>
      </x:c>
      <x:c r="M121" s="416">
        <x:f t="shared" si="70"/>
        <x:v>39374.79</x:v>
      </x:c>
      <x:c r="N121" s="419">
        <x:v>15937.415000000001</x:v>
      </x:c>
      <x:c r="O121" s="416">
        <x:f t="shared" si="71"/>
        <x:v>-3346.8571500000003</x:v>
      </x:c>
      <x:c r="P121" s="416">
        <x:f t="shared" si="72"/>
        <x:v>51965.347849999998</x:v>
      </x:c>
      <x:c r="Q121" s="416"/>
      <x:c r="R121" s="416">
        <x:f t="shared" si="73"/>
        <x:v>24018.621900000006</x:v>
      </x:c>
      <x:c r="S121" s="437"/>
      <x:c r="T121" s="419">
        <x:v>24018.621900000002</x:v>
      </x:c>
      <x:c r="U121" s="437"/>
      <x:c r="V121" s="419">
        <x:v>0</x:v>
      </x:c>
      <x:c r="W121" s="437"/>
      <x:c r="X121" s="416">
        <x:f t="shared" si="74"/>
        <x:v>3.637978807091713E-12</x:v>
      </x:c>
      <x:c r="Y121" s="418"/>
      <x:c r="Z121" s="304" t="s">
        <x:v>233</x:v>
      </x:c>
      <x:c r="AA121" s="417"/>
      <x:c r="AB121" s="304" t="s">
        <x:v>1734</x:v>
      </x:c>
      <x:c r="AC121" s="417"/>
      <x:c r="AD121" s="1050">
        <x:v>0</x:v>
      </x:c>
      <x:c r="AE121" s="417"/>
      <x:c r="AF121" s="416">
        <x:f t="shared" si="75"/>
        <x:v>0</x:v>
      </x:c>
      <x:c r="AG121" s="167"/>
      <x:c r="AH121" s="183">
        <x:v>283</x:v>
      </x:c>
      <x:c r="AI121" s="183"/>
    </x:row>
    <x:row r="122" spans="2:35">
      <x:c r="B122" s="183">
        <x:f t="shared" si="76"/>
        <x:v>106</x:v>
      </x:c>
      <x:c r="C122" s="296" t="s">
        <x:v>1680</x:v>
      </x:c>
      <x:c r="D122" s="296" t="s">
        <x:v>1678</x:v>
      </x:c>
      <x:c r="E122" s="296" t="s">
        <x:v>1248</x:v>
      </x:c>
      <x:c r="F122" s="419">
        <x:v>3196441.64</x:v>
      </x:c>
      <x:c r="G122" s="416">
        <x:f t="shared" si="66"/>
        <x:v>1118754.574</x:v>
      </x:c>
      <x:c r="H122" s="419">
        <x:v>271697.53940000001</x:v>
      </x:c>
      <x:c r="I122" s="416">
        <x:f t="shared" si="67"/>
        <x:v>-95094.138789999997</x:v>
      </x:c>
      <x:c r="J122" s="416">
        <x:f t="shared" si="68"/>
        <x:v>1295357.9746100002</x:v>
      </x:c>
      <x:c r="K122" s="437"/>
      <x:c r="L122" s="419">
        <x:f t="shared" si="69"/>
        <x:v>3196441.64</x:v>
      </x:c>
      <x:c r="M122" s="416">
        <x:f t="shared" si="70"/>
        <x:v>671252.74439999997</x:v>
      </x:c>
      <x:c r="N122" s="419">
        <x:v>271697.53940000001</x:v>
      </x:c>
      <x:c r="O122" s="416">
        <x:f t="shared" si="71"/>
        <x:v>-57056.483273999998</x:v>
      </x:c>
      <x:c r="P122" s="416">
        <x:f t="shared" si="72"/>
        <x:v>885893.80052599998</x:v>
      </x:c>
      <x:c r="Q122" s="416"/>
      <x:c r="R122" s="416">
        <x:f t="shared" si="73"/>
        <x:v>409464.17408400017</x:v>
      </x:c>
      <x:c r="S122" s="437"/>
      <x:c r="T122" s="419">
        <x:v>409464.17408400006</x:v>
      </x:c>
      <x:c r="U122" s="437"/>
      <x:c r="V122" s="419">
        <x:v>0</x:v>
      </x:c>
      <x:c r="W122" s="437"/>
      <x:c r="X122" s="416">
        <x:f t="shared" si="74"/>
        <x:v>1.1641532182693481E-10</x:v>
      </x:c>
      <x:c r="Y122" s="418"/>
      <x:c r="Z122" s="304" t="s">
        <x:v>233</x:v>
      </x:c>
      <x:c r="AA122" s="417"/>
      <x:c r="AB122" s="304" t="s">
        <x:v>1734</x:v>
      </x:c>
      <x:c r="AC122" s="417"/>
      <x:c r="AD122" s="1050">
        <x:v>0</x:v>
      </x:c>
      <x:c r="AE122" s="417"/>
      <x:c r="AF122" s="416">
        <x:f t="shared" si="75"/>
        <x:v>0</x:v>
      </x:c>
      <x:c r="AG122" s="167"/>
      <x:c r="AH122" s="183">
        <x:v>283</x:v>
      </x:c>
      <x:c r="AI122" s="183"/>
    </x:row>
    <x:row r="123" spans="2:35">
      <x:c r="B123" s="183">
        <x:f t="shared" si="76"/>
        <x:v>107</x:v>
      </x:c>
      <x:c r="C123" s="296" t="s">
        <x:v>1681</x:v>
      </x:c>
      <x:c r="D123" s="296" t="s">
        <x:v>1678</x:v>
      </x:c>
      <x:c r="E123" s="296" t="s">
        <x:v>1248</x:v>
      </x:c>
      <x:c r="F123" s="419">
        <x:v>6914606.4699999997</x:v>
      </x:c>
      <x:c r="G123" s="416">
        <x:f t="shared" si="66"/>
        <x:v>2420112.2644999996</x:v>
      </x:c>
      <x:c r="H123" s="419">
        <x:v>587741.54995000002</x:v>
      </x:c>
      <x:c r="I123" s="416">
        <x:f t="shared" si="67"/>
        <x:v>-205709.54248249999</x:v>
      </x:c>
      <x:c r="J123" s="416">
        <x:f t="shared" si="68"/>
        <x:v>2802144.2719674995</x:v>
      </x:c>
      <x:c r="K123" s="437"/>
      <x:c r="L123" s="419">
        <x:f t="shared" si="69"/>
        <x:v>6914606.4699999997</x:v>
      </x:c>
      <x:c r="M123" s="416">
        <x:f t="shared" si="70"/>
        <x:v>1452067.3587</x:v>
      </x:c>
      <x:c r="N123" s="419">
        <x:v>587741.54995000002</x:v>
      </x:c>
      <x:c r="O123" s="416">
        <x:f t="shared" si="71"/>
        <x:v>-123425.72548949999</x:v>
      </x:c>
      <x:c r="P123" s="416">
        <x:f t="shared" si="72"/>
        <x:v>1916383.1831605001</x:v>
      </x:c>
      <x:c r="Q123" s="416"/>
      <x:c r="R123" s="416">
        <x:f t="shared" si="73"/>
        <x:v>885761.08880699938</x:v>
      </x:c>
      <x:c r="S123" s="437"/>
      <x:c r="T123" s="419">
        <x:v>885761.08880700008</x:v>
      </x:c>
      <x:c r="U123" s="437"/>
      <x:c r="V123" s="419">
        <x:v>0</x:v>
      </x:c>
      <x:c r="W123" s="437"/>
      <x:c r="X123" s="416">
        <x:f t="shared" si="74"/>
        <x:v>-6.9849193096160889E-10</x:v>
      </x:c>
      <x:c r="Y123" s="418"/>
      <x:c r="Z123" s="304" t="s">
        <x:v>233</x:v>
      </x:c>
      <x:c r="AA123" s="417"/>
      <x:c r="AB123" s="304" t="s">
        <x:v>1734</x:v>
      </x:c>
      <x:c r="AC123" s="417"/>
      <x:c r="AD123" s="1050">
        <x:v>0</x:v>
      </x:c>
      <x:c r="AE123" s="417"/>
      <x:c r="AF123" s="416">
        <x:f t="shared" si="75"/>
        <x:v>0</x:v>
      </x:c>
      <x:c r="AG123" s="167"/>
      <x:c r="AH123" s="183">
        <x:v>283</x:v>
      </x:c>
      <x:c r="AI123" s="183"/>
    </x:row>
    <x:row r="124" spans="2:35">
      <x:c r="B124" s="183">
        <x:f t="shared" si="76"/>
        <x:v>108</x:v>
      </x:c>
      <x:c r="C124" s="296" t="s">
        <x:v>1682</x:v>
      </x:c>
      <x:c r="D124" s="296" t="s">
        <x:v>1678</x:v>
      </x:c>
      <x:c r="E124" s="296" t="s">
        <x:v>1248</x:v>
      </x:c>
      <x:c r="F124" s="419">
        <x:v>1313273.56</x:v>
      </x:c>
      <x:c r="G124" s="416">
        <x:f t="shared" si="66"/>
        <x:v>459645.74599999998</x:v>
      </x:c>
      <x:c r="H124" s="419">
        <x:v>111628.25260000001</x:v>
      </x:c>
      <x:c r="I124" s="416">
        <x:f t="shared" si="67"/>
        <x:v>-39069.88841</x:v>
      </x:c>
      <x:c r="J124" s="416">
        <x:f t="shared" si="68"/>
        <x:v>532204.11019000004</x:v>
      </x:c>
      <x:c r="K124" s="437"/>
      <x:c r="L124" s="419">
        <x:f t="shared" si="69"/>
        <x:v>1313273.56</x:v>
      </x:c>
      <x:c r="M124" s="416">
        <x:f t="shared" si="70"/>
        <x:v>275787.44760000001</x:v>
      </x:c>
      <x:c r="N124" s="419">
        <x:v>111628.25260000001</x:v>
      </x:c>
      <x:c r="O124" s="416">
        <x:f t="shared" si="71"/>
        <x:v>-23441.933046000002</x:v>
      </x:c>
      <x:c r="P124" s="416">
        <x:f t="shared" si="72"/>
        <x:v>363973.767154</x:v>
      </x:c>
      <x:c r="Q124" s="416"/>
      <x:c r="R124" s="416">
        <x:f t="shared" si="73"/>
        <x:v>168230.34303600003</x:v>
      </x:c>
      <x:c r="S124" s="437"/>
      <x:c r="T124" s="419">
        <x:v>168230.34303600003</x:v>
      </x:c>
      <x:c r="U124" s="437"/>
      <x:c r="V124" s="419">
        <x:v>0</x:v>
      </x:c>
      <x:c r="W124" s="437"/>
      <x:c r="X124" s="416">
        <x:f t="shared" si="74"/>
        <x:v>0</x:v>
      </x:c>
      <x:c r="Y124" s="418"/>
      <x:c r="Z124" s="304" t="s">
        <x:v>1736</x:v>
      </x:c>
      <x:c r="AA124" s="417"/>
      <x:c r="AB124" s="304" t="s">
        <x:v>1734</x:v>
      </x:c>
      <x:c r="AC124" s="417"/>
      <x:c r="AD124" s="1050">
        <x:v>0</x:v>
      </x:c>
      <x:c r="AE124" s="417"/>
      <x:c r="AF124" s="416">
        <x:f t="shared" si="75"/>
        <x:v>0</x:v>
      </x:c>
      <x:c r="AG124" s="167"/>
      <x:c r="AH124" s="183">
        <x:v>283</x:v>
      </x:c>
      <x:c r="AI124" s="183"/>
    </x:row>
    <x:row r="125" spans="2:35">
      <x:c r="B125" s="183">
        <x:f t="shared" si="76"/>
        <x:v>109</x:v>
      </x:c>
      <x:c r="C125" s="296" t="s">
        <x:v>1683</x:v>
      </x:c>
      <x:c r="D125" s="296" t="s">
        <x:v>1684</x:v>
      </x:c>
      <x:c r="E125" s="296" t="s">
        <x:v>1248</x:v>
      </x:c>
      <x:c r="F125" s="419">
        <x:v>-196896679.87</x:v>
      </x:c>
      <x:c r="G125" s="416">
        <x:f t="shared" si="66"/>
        <x:v>-68913837.954500005</x:v>
      </x:c>
      <x:c r="H125" s="419">
        <x:v>-16736217.788950002</x:v>
      </x:c>
      <x:c r="I125" s="416">
        <x:f t="shared" si="67"/>
        <x:v>5857676.2261325</x:v>
      </x:c>
      <x:c r="J125" s="416">
        <x:f t="shared" si="68"/>
        <x:v>-79792379.517317504</x:v>
      </x:c>
      <x:c r="K125" s="437"/>
      <x:c r="L125" s="419">
        <x:f t="shared" si="69"/>
        <x:v>-196896679.87</x:v>
      </x:c>
      <x:c r="M125" s="416">
        <x:f t="shared" si="70"/>
        <x:v>-41348302.772699997</x:v>
      </x:c>
      <x:c r="N125" s="419">
        <x:v>-16736217.788950002</x:v>
      </x:c>
      <x:c r="O125" s="416">
        <x:f t="shared" si="71"/>
        <x:v>3514605.7356795003</x:v>
      </x:c>
      <x:c r="P125" s="416">
        <x:f t="shared" si="72"/>
        <x:v>-54569914.825970501</x:v>
      </x:c>
      <x:c r="Q125" s="416"/>
      <x:c r="R125" s="416">
        <x:f t="shared" si="73"/>
        <x:v>-25222464.691347003</x:v>
      </x:c>
      <x:c r="S125" s="437"/>
      <x:c r="T125" s="419">
        <x:v>0</x:v>
      </x:c>
      <x:c r="U125" s="437"/>
      <x:c r="V125" s="419">
        <x:v>0</x:v>
      </x:c>
      <x:c r="W125" s="437"/>
      <x:c r="X125" s="416">
        <x:f t="shared" si="74"/>
        <x:v>-25222464.691347003</x:v>
      </x:c>
      <x:c r="Y125" s="418"/>
      <x:c r="Z125" s="304" t="s">
        <x:v>233</x:v>
      </x:c>
      <x:c r="AA125" s="417"/>
      <x:c r="AB125" s="304" t="s">
        <x:v>1737</x:v>
      </x:c>
      <x:c r="AC125" s="417"/>
      <x:c r="AD125" s="1050">
        <x:v>6.0801999999999995E-2</x:v>
      </x:c>
      <x:c r="AE125" s="417"/>
      <x:c r="AF125" s="416">
        <x:f t="shared" si="75"/>
        <x:v>-1533576.2981632804</x:v>
      </x:c>
      <x:c r="AG125" s="167"/>
      <x:c r="AH125" s="183">
        <x:v>283</x:v>
      </x:c>
      <x:c r="AI125" s="183"/>
    </x:row>
    <x:row r="126" spans="2:35">
      <x:c r="B126" s="183">
        <x:f t="shared" si="76"/>
        <x:v>110</x:v>
      </x:c>
      <x:c r="C126" s="296" t="s">
        <x:v>1685</x:v>
      </x:c>
      <x:c r="D126" s="296" t="s">
        <x:v>1686</x:v>
      </x:c>
      <x:c r="E126" s="296" t="s">
        <x:v>1248</x:v>
      </x:c>
      <x:c r="F126" s="419">
        <x:v>-22946357.990000002</x:v>
      </x:c>
      <x:c r="G126" s="416">
        <x:f t="shared" si="66"/>
        <x:v>-8031225.2965000002</x:v>
      </x:c>
      <x:c r="H126" s="419">
        <x:v>-1950440.4291500002</x:v>
      </x:c>
      <x:c r="I126" s="416">
        <x:f t="shared" si="67"/>
        <x:v>682654.15020250005</x:v>
      </x:c>
      <x:c r="J126" s="416">
        <x:f t="shared" si="68"/>
        <x:v>-9299011.5754475016</x:v>
      </x:c>
      <x:c r="K126" s="437"/>
      <x:c r="L126" s="419">
        <x:f t="shared" si="69"/>
        <x:v>-22946357.990000002</x:v>
      </x:c>
      <x:c r="M126" s="416">
        <x:f t="shared" si="70"/>
        <x:v>-4818735.1779000005</x:v>
      </x:c>
      <x:c r="N126" s="419">
        <x:v>-1950440.4291500002</x:v>
      </x:c>
      <x:c r="O126" s="416">
        <x:f t="shared" si="71"/>
        <x:v>409592.49012150004</x:v>
      </x:c>
      <x:c r="P126" s="416">
        <x:f t="shared" si="72"/>
        <x:v>-6359583.1169285011</x:v>
      </x:c>
      <x:c r="Q126" s="416"/>
      <x:c r="R126" s="416">
        <x:f t="shared" si="73"/>
        <x:v>-2939428.4585190006</x:v>
      </x:c>
      <x:c r="S126" s="437"/>
      <x:c r="T126" s="419">
        <x:v>0</x:v>
      </x:c>
      <x:c r="U126" s="437"/>
      <x:c r="V126" s="419">
        <x:v>0</x:v>
      </x:c>
      <x:c r="W126" s="437"/>
      <x:c r="X126" s="416">
        <x:f t="shared" si="74"/>
        <x:v>-2939428.4585190006</x:v>
      </x:c>
      <x:c r="Y126" s="418"/>
      <x:c r="Z126" s="304" t="s">
        <x:v>1738</x:v>
      </x:c>
      <x:c r="AA126" s="417"/>
      <x:c r="AB126" s="304" t="s">
        <x:v>1734</x:v>
      </x:c>
      <x:c r="AC126" s="417"/>
      <x:c r="AD126" s="1050">
        <x:v>0</x:v>
      </x:c>
      <x:c r="AE126" s="417"/>
      <x:c r="AF126" s="416">
        <x:f t="shared" si="75"/>
        <x:v>0</x:v>
      </x:c>
      <x:c r="AG126" s="167"/>
      <x:c r="AH126" s="183">
        <x:v>283</x:v>
      </x:c>
      <x:c r="AI126" s="183"/>
    </x:row>
    <x:row r="127" spans="2:35">
      <x:c r="B127" s="183">
        <x:f t="shared" si="76"/>
        <x:v>111</x:v>
      </x:c>
      <x:c r="C127" s="296" t="s">
        <x:v>1687</x:v>
      </x:c>
      <x:c r="D127" s="296" t="s">
        <x:v>1688</x:v>
      </x:c>
      <x:c r="E127" s="296" t="s">
        <x:v>1248</x:v>
      </x:c>
      <x:c r="F127" s="419">
        <x:v>-6719421.7000000002</x:v>
      </x:c>
      <x:c r="G127" s="416">
        <x:f t="shared" si="66"/>
        <x:v>-2351797.5949999997</x:v>
      </x:c>
      <x:c r="H127" s="419">
        <x:v>-571150.84450000001</x:v>
      </x:c>
      <x:c r="I127" s="416">
        <x:f t="shared" si="67"/>
        <x:v>199902.795575</x:v>
      </x:c>
      <x:c r="J127" s="416">
        <x:f t="shared" si="68"/>
        <x:v>-2723045.643925</x:v>
      </x:c>
      <x:c r="K127" s="437"/>
      <x:c r="L127" s="419">
        <x:f t="shared" si="69"/>
        <x:v>-6719421.7000000002</x:v>
      </x:c>
      <x:c r="M127" s="416">
        <x:f t="shared" si="70"/>
        <x:v>-1411078.557</x:v>
      </x:c>
      <x:c r="N127" s="419">
        <x:v>-571150.84450000001</x:v>
      </x:c>
      <x:c r="O127" s="416">
        <x:f t="shared" si="71"/>
        <x:v>119941.677345</x:v>
      </x:c>
      <x:c r="P127" s="416">
        <x:f t="shared" si="72"/>
        <x:v>-1862287.7241550002</x:v>
      </x:c>
      <x:c r="Q127" s="416"/>
      <x:c r="R127" s="416">
        <x:f t="shared" si="73"/>
        <x:v>-860757.9197699998</x:v>
      </x:c>
      <x:c r="S127" s="437"/>
      <x:c r="T127" s="419">
        <x:v>0</x:v>
      </x:c>
      <x:c r="U127" s="437"/>
      <x:c r="V127" s="419">
        <x:v>0</x:v>
      </x:c>
      <x:c r="W127" s="437"/>
      <x:c r="X127" s="416">
        <x:f t="shared" si="74"/>
        <x:v>-860757.9197699998</x:v>
      </x:c>
      <x:c r="Y127" s="418"/>
      <x:c r="Z127" s="304" t="s">
        <x:v>1735</x:v>
      </x:c>
      <x:c r="AA127" s="417"/>
      <x:c r="AB127" s="304" t="s">
        <x:v>1734</x:v>
      </x:c>
      <x:c r="AC127" s="417"/>
      <x:c r="AD127" s="1050">
        <x:v>0</x:v>
      </x:c>
      <x:c r="AE127" s="417"/>
      <x:c r="AF127" s="416">
        <x:f t="shared" si="75"/>
        <x:v>0</x:v>
      </x:c>
      <x:c r="AG127" s="167"/>
      <x:c r="AH127" s="183">
        <x:v>283</x:v>
      </x:c>
      <x:c r="AI127" s="183"/>
    </x:row>
    <x:row r="128" spans="2:35">
      <x:c r="B128" s="183">
        <x:f t="shared" si="76"/>
        <x:v>112</x:v>
      </x:c>
      <x:c r="C128" s="296" t="s">
        <x:v>1689</x:v>
      </x:c>
      <x:c r="D128" s="296" t="s">
        <x:v>1688</x:v>
      </x:c>
      <x:c r="E128" s="296" t="s">
        <x:v>1248</x:v>
      </x:c>
      <x:c r="F128" s="419">
        <x:v>-510837.07</x:v>
      </x:c>
      <x:c r="G128" s="416">
        <x:f t="shared" si="66"/>
        <x:v>-178792.97449999998</x:v>
      </x:c>
      <x:c r="H128" s="419">
        <x:v>-43421.150950000003</x:v>
      </x:c>
      <x:c r="I128" s="416">
        <x:f t="shared" si="67"/>
        <x:v>15197.4028325</x:v>
      </x:c>
      <x:c r="J128" s="416">
        <x:f t="shared" si="68"/>
        <x:v>-207016.7226175</x:v>
      </x:c>
      <x:c r="K128" s="437"/>
      <x:c r="L128" s="419">
        <x:f t="shared" si="69"/>
        <x:v>-510837.07</x:v>
      </x:c>
      <x:c r="M128" s="416">
        <x:f t="shared" si="70"/>
        <x:v>-107275.7847</x:v>
      </x:c>
      <x:c r="N128" s="419">
        <x:v>-43421.150950000003</x:v>
      </x:c>
      <x:c r="O128" s="416">
        <x:f t="shared" si="71"/>
        <x:v>9118.4416995000011</x:v>
      </x:c>
      <x:c r="P128" s="416">
        <x:f t="shared" si="72"/>
        <x:v>-141578.49395050001</x:v>
      </x:c>
      <x:c r="Q128" s="416"/>
      <x:c r="R128" s="416">
        <x:f t="shared" si="73"/>
        <x:v>-65438.228666999988</x:v>
      </x:c>
      <x:c r="S128" s="437"/>
      <x:c r="T128" s="419">
        <x:v>0</x:v>
      </x:c>
      <x:c r="U128" s="437"/>
      <x:c r="V128" s="419">
        <x:v>0</x:v>
      </x:c>
      <x:c r="W128" s="437"/>
      <x:c r="X128" s="416">
        <x:f t="shared" si="74"/>
        <x:v>-65438.228666999988</x:v>
      </x:c>
      <x:c r="Y128" s="418"/>
      <x:c r="Z128" s="304" t="s">
        <x:v>1738</x:v>
      </x:c>
      <x:c r="AA128" s="417"/>
      <x:c r="AB128" s="304" t="s">
        <x:v>1737</x:v>
      </x:c>
      <x:c r="AC128" s="417"/>
      <x:c r="AD128" s="1050">
        <x:v>0.31493199999999999</x:v>
      </x:c>
      <x:c r="AE128" s="417"/>
      <x:c r="AF128" s="416">
        <x:f t="shared" si="75"/>
        <x:v>-20608.592230555641</x:v>
      </x:c>
      <x:c r="AG128" s="167"/>
      <x:c r="AH128" s="183">
        <x:v>283</x:v>
      </x:c>
      <x:c r="AI128" s="183"/>
    </x:row>
    <x:row r="129" spans="2:35">
      <x:c r="B129" s="183">
        <x:f t="shared" si="76"/>
        <x:v>113</x:v>
      </x:c>
      <x:c r="C129" s="296" t="s">
        <x:v>1690</x:v>
      </x:c>
      <x:c r="D129" s="296" t="s">
        <x:v>1688</x:v>
      </x:c>
      <x:c r="E129" s="296" t="s">
        <x:v>1248</x:v>
      </x:c>
      <x:c r="F129" s="419">
        <x:v>-443834.4</x:v>
      </x:c>
      <x:c r="G129" s="416">
        <x:f t="shared" si="66"/>
        <x:v>-155342.04</x:v>
      </x:c>
      <x:c r="H129" s="419">
        <x:v>-37725.924000000006</x:v>
      </x:c>
      <x:c r="I129" s="416">
        <x:f t="shared" si="67"/>
        <x:v>13204.073400000001</x:v>
      </x:c>
      <x:c r="J129" s="416">
        <x:f t="shared" si="68"/>
        <x:v>-179863.89060000001</x:v>
      </x:c>
      <x:c r="K129" s="437"/>
      <x:c r="L129" s="419">
        <x:f t="shared" si="69"/>
        <x:v>-443834.4</x:v>
      </x:c>
      <x:c r="M129" s="416">
        <x:f t="shared" si="70"/>
        <x:v>-93205.224000000002</x:v>
      </x:c>
      <x:c r="N129" s="419">
        <x:v>-37725.924000000006</x:v>
      </x:c>
      <x:c r="O129" s="416">
        <x:f t="shared" si="71"/>
        <x:v>7922.4440400000012</x:v>
      </x:c>
      <x:c r="P129" s="416">
        <x:f t="shared" si="72"/>
        <x:v>-123008.70396000001</x:v>
      </x:c>
      <x:c r="Q129" s="416"/>
      <x:c r="R129" s="416">
        <x:f t="shared" si="73"/>
        <x:v>-56855.18664</x:v>
      </x:c>
      <x:c r="S129" s="437"/>
      <x:c r="T129" s="419">
        <x:v>0</x:v>
      </x:c>
      <x:c r="U129" s="437"/>
      <x:c r="V129" s="419">
        <x:v>0</x:v>
      </x:c>
      <x:c r="W129" s="437"/>
      <x:c r="X129" s="416">
        <x:f t="shared" si="74"/>
        <x:v>-56855.18664</x:v>
      </x:c>
      <x:c r="Y129" s="418"/>
      <x:c r="Z129" s="304" t="s">
        <x:v>1738</x:v>
      </x:c>
      <x:c r="AA129" s="417"/>
      <x:c r="AB129" s="304" t="s">
        <x:v>1737</x:v>
      </x:c>
      <x:c r="AC129" s="417"/>
      <x:c r="AD129" s="1050">
        <x:v>0.31493199999999999</x:v>
      </x:c>
      <x:c r="AE129" s="417"/>
      <x:c r="AF129" s="416">
        <x:f t="shared" si="75"/>
        <x:v>-17905.517638908481</x:v>
      </x:c>
      <x:c r="AG129" s="167"/>
      <x:c r="AH129" s="183">
        <x:v>283</x:v>
      </x:c>
      <x:c r="AI129" s="183"/>
    </x:row>
    <x:row r="130" spans="2:35">
      <x:c r="B130" s="183">
        <x:f t="shared" si="76"/>
        <x:v>114</x:v>
      </x:c>
      <x:c r="C130" s="296" t="s">
        <x:v>1691</x:v>
      </x:c>
      <x:c r="D130" s="296" t="s">
        <x:v>1612</x:v>
      </x:c>
      <x:c r="E130" s="296" t="s">
        <x:v>1248</x:v>
      </x:c>
      <x:c r="F130" s="419">
        <x:v>-56498499.810000002</x:v>
      </x:c>
      <x:c r="G130" s="416">
        <x:f t="shared" si="66"/>
        <x:v>-19774474.933499999</x:v>
      </x:c>
      <x:c r="H130" s="419">
        <x:v>-4802372.4838500004</x:v>
      </x:c>
      <x:c r="I130" s="416">
        <x:f t="shared" si="67"/>
        <x:v>1680830.3693475001</x:v>
      </x:c>
      <x:c r="J130" s="416">
        <x:f t="shared" si="68"/>
        <x:v>-22896017.0480025</x:v>
      </x:c>
      <x:c r="K130" s="437"/>
      <x:c r="L130" s="419">
        <x:f t="shared" si="69"/>
        <x:v>-56498499.810000002</x:v>
      </x:c>
      <x:c r="M130" s="416">
        <x:f t="shared" si="70"/>
        <x:v>-11864684.960100001</x:v>
      </x:c>
      <x:c r="N130" s="419">
        <x:v>-4802372.4838500004</x:v>
      </x:c>
      <x:c r="O130" s="416">
        <x:f t="shared" si="71"/>
        <x:v>1008498.2216085</x:v>
      </x:c>
      <x:c r="P130" s="416">
        <x:f t="shared" si="72"/>
        <x:v>-15658559.2223415</x:v>
      </x:c>
      <x:c r="Q130" s="416"/>
      <x:c r="R130" s="416">
        <x:f t="shared" si="73"/>
        <x:v>-7237457.8256609999</x:v>
      </x:c>
      <x:c r="S130" s="437"/>
      <x:c r="T130" s="419">
        <x:v>0</x:v>
      </x:c>
      <x:c r="U130" s="437"/>
      <x:c r="V130" s="419">
        <x:v>0</x:v>
      </x:c>
      <x:c r="W130" s="437"/>
      <x:c r="X130" s="416">
        <x:f t="shared" si="74"/>
        <x:v>-7237457.8256609999</x:v>
      </x:c>
      <x:c r="Y130" s="418"/>
      <x:c r="Z130" s="304" t="s">
        <x:v>1736</x:v>
      </x:c>
      <x:c r="AA130" s="417"/>
      <x:c r="AB130" s="304" t="s">
        <x:v>1734</x:v>
      </x:c>
      <x:c r="AC130" s="417"/>
      <x:c r="AD130" s="1050">
        <x:v>0</x:v>
      </x:c>
      <x:c r="AE130" s="417"/>
      <x:c r="AF130" s="416">
        <x:f t="shared" si="75"/>
        <x:v>0</x:v>
      </x:c>
      <x:c r="AG130" s="167"/>
      <x:c r="AH130" s="183">
        <x:v>283</x:v>
      </x:c>
      <x:c r="AI130" s="183"/>
    </x:row>
    <x:row r="131" spans="2:35">
      <x:c r="B131" s="183">
        <x:f t="shared" si="76"/>
        <x:v>115</x:v>
      </x:c>
      <x:c r="C131" s="296" t="s">
        <x:v>1692</x:v>
      </x:c>
      <x:c r="D131" s="296" t="s">
        <x:v>1693</x:v>
      </x:c>
      <x:c r="E131" s="296" t="s">
        <x:v>1248</x:v>
      </x:c>
      <x:c r="F131" s="419">
        <x:v>-7549595</x:v>
      </x:c>
      <x:c r="G131" s="416">
        <x:f t="shared" si="66"/>
        <x:v>-2642358.25</x:v>
      </x:c>
      <x:c r="H131" s="419">
        <x:v>-641715.57500000007</x:v>
      </x:c>
      <x:c r="I131" s="416">
        <x:f t="shared" si="67"/>
        <x:v>224600.45125000001</x:v>
      </x:c>
      <x:c r="J131" s="416">
        <x:f t="shared" si="68"/>
        <x:v>-3059473.3737500003</x:v>
      </x:c>
      <x:c r="K131" s="437"/>
      <x:c r="L131" s="419">
        <x:f t="shared" si="69"/>
        <x:v>-7549595</x:v>
      </x:c>
      <x:c r="M131" s="416">
        <x:f t="shared" si="70"/>
        <x:v>-1585414.95</x:v>
      </x:c>
      <x:c r="N131" s="419">
        <x:v>-641715.57500000007</x:v>
      </x:c>
      <x:c r="O131" s="416">
        <x:f t="shared" si="71"/>
        <x:v>134760.27075</x:v>
      </x:c>
      <x:c r="P131" s="416">
        <x:f t="shared" si="72"/>
        <x:v>-2092370.25425</x:v>
      </x:c>
      <x:c r="Q131" s="416"/>
      <x:c r="R131" s="416">
        <x:f t="shared" si="73"/>
        <x:v>-967103.11950000026</x:v>
      </x:c>
      <x:c r="S131" s="437"/>
      <x:c r="T131" s="419">
        <x:v>0</x:v>
      </x:c>
      <x:c r="U131" s="437"/>
      <x:c r="V131" s="419">
        <x:v>0</x:v>
      </x:c>
      <x:c r="W131" s="437"/>
      <x:c r="X131" s="416">
        <x:f t="shared" si="74"/>
        <x:v>-967103.11950000026</x:v>
      </x:c>
      <x:c r="Y131" s="418"/>
      <x:c r="Z131" s="304" t="s">
        <x:v>975</x:v>
      </x:c>
      <x:c r="AA131" s="417"/>
      <x:c r="AB131" s="304" t="s">
        <x:v>1737</x:v>
      </x:c>
      <x:c r="AC131" s="417"/>
      <x:c r="AD131" s="1050">
        <x:v>1</x:v>
      </x:c>
      <x:c r="AE131" s="417"/>
      <x:c r="AF131" s="416">
        <x:f t="shared" si="75"/>
        <x:v>-967103.11950000026</x:v>
      </x:c>
      <x:c r="AG131" s="167"/>
      <x:c r="AH131" s="183">
        <x:v>283</x:v>
      </x:c>
      <x:c r="AI131" s="183"/>
    </x:row>
    <x:row r="132" spans="2:35">
      <x:c r="B132" s="183">
        <x:f t="shared" si="76"/>
        <x:v>116</x:v>
      </x:c>
      <x:c r="C132" s="296" t="s">
        <x:v>1694</x:v>
      </x:c>
      <x:c r="D132" s="296" t="s">
        <x:v>1695</x:v>
      </x:c>
      <x:c r="E132" s="296" t="s">
        <x:v>1248</x:v>
      </x:c>
      <x:c r="F132" s="419">
        <x:v>-653578.25</x:v>
      </x:c>
      <x:c r="G132" s="416">
        <x:f t="shared" si="66"/>
        <x:v>-228752.38749999998</x:v>
      </x:c>
      <x:c r="H132" s="419">
        <x:v>-55554.151250000003</x:v>
      </x:c>
      <x:c r="I132" s="416">
        <x:f t="shared" si="67"/>
        <x:v>19443.952937499998</x:v>
      </x:c>
      <x:c r="J132" s="416">
        <x:f t="shared" si="68"/>
        <x:v>-264862.58581249998</x:v>
      </x:c>
      <x:c r="K132" s="437"/>
      <x:c r="L132" s="419">
        <x:f t="shared" si="69"/>
        <x:v>-653578.25</x:v>
      </x:c>
      <x:c r="M132" s="416">
        <x:f t="shared" si="70"/>
        <x:v>-137251.4325</x:v>
      </x:c>
      <x:c r="N132" s="419">
        <x:v>-55554.151250000003</x:v>
      </x:c>
      <x:c r="O132" s="416">
        <x:f t="shared" si="71"/>
        <x:v>11666.371762500001</x:v>
      </x:c>
      <x:c r="P132" s="416">
        <x:f t="shared" si="72"/>
        <x:v>-181139.21198749999</x:v>
      </x:c>
      <x:c r="Q132" s="416"/>
      <x:c r="R132" s="416">
        <x:f t="shared" si="73"/>
        <x:v>-83723.373824999988</x:v>
      </x:c>
      <x:c r="S132" s="437"/>
      <x:c r="T132" s="419">
        <x:v>0</x:v>
      </x:c>
      <x:c r="U132" s="437"/>
      <x:c r="V132" s="419">
        <x:v>0</x:v>
      </x:c>
      <x:c r="W132" s="437"/>
      <x:c r="X132" s="416">
        <x:f t="shared" si="74"/>
        <x:v>-83723.373824999988</x:v>
      </x:c>
      <x:c r="Y132" s="418"/>
      <x:c r="Z132" s="304" t="s">
        <x:v>1738</x:v>
      </x:c>
      <x:c r="AA132" s="417"/>
      <x:c r="AB132" s="304" t="s">
        <x:v>1737</x:v>
      </x:c>
      <x:c r="AC132" s="417"/>
      <x:c r="AD132" s="1050">
        <x:v>0</x:v>
      </x:c>
      <x:c r="AE132" s="417"/>
      <x:c r="AF132" s="416">
        <x:f t="shared" si="75"/>
        <x:v>0</x:v>
      </x:c>
      <x:c r="AG132" s="167"/>
      <x:c r="AH132" s="183">
        <x:v>283</x:v>
      </x:c>
      <x:c r="AI132" s="183"/>
    </x:row>
    <x:row r="133" spans="2:35">
      <x:c r="B133" s="183">
        <x:f t="shared" si="76"/>
        <x:v>117</x:v>
      </x:c>
      <x:c r="C133" s="296" t="s">
        <x:v>1696</x:v>
      </x:c>
      <x:c r="D133" s="296" t="s">
        <x:v>1695</x:v>
      </x:c>
      <x:c r="E133" s="296" t="s">
        <x:v>1248</x:v>
      </x:c>
      <x:c r="F133" s="419">
        <x:v>-24070683.079999998</x:v>
      </x:c>
      <x:c r="G133" s="416">
        <x:f t="shared" si="66"/>
        <x:v>-8424739.0779999997</x:v>
      </x:c>
      <x:c r="H133" s="419">
        <x:v>-2046008.0618</x:v>
      </x:c>
      <x:c r="I133" s="416">
        <x:f t="shared" si="67"/>
        <x:v>716102.82163000002</x:v>
      </x:c>
      <x:c r="J133" s="416">
        <x:f t="shared" si="68"/>
        <x:v>-9754644.3181699999</x:v>
      </x:c>
      <x:c r="K133" s="437"/>
      <x:c r="L133" s="419">
        <x:f t="shared" si="69"/>
        <x:v>-24070683.079999998</x:v>
      </x:c>
      <x:c r="M133" s="416">
        <x:f t="shared" si="70"/>
        <x:v>-5054843.4467999991</x:v>
      </x:c>
      <x:c r="N133" s="419">
        <x:v>-2046008.0618</x:v>
      </x:c>
      <x:c r="O133" s="416">
        <x:f t="shared" si="71"/>
        <x:v>429661.69297799998</x:v>
      </x:c>
      <x:c r="P133" s="416">
        <x:f t="shared" si="72"/>
        <x:v>-6671189.8156219991</x:v>
      </x:c>
      <x:c r="Q133" s="416"/>
      <x:c r="R133" s="416">
        <x:f t="shared" si="73"/>
        <x:v>-3083454.5025480008</x:v>
      </x:c>
      <x:c r="S133" s="437"/>
      <x:c r="T133" s="419">
        <x:v>0</x:v>
      </x:c>
      <x:c r="U133" s="437"/>
      <x:c r="V133" s="419">
        <x:v>0</x:v>
      </x:c>
      <x:c r="W133" s="437"/>
      <x:c r="X133" s="416">
        <x:f t="shared" si="74"/>
        <x:v>-3083454.5025480008</x:v>
      </x:c>
      <x:c r="Y133" s="418"/>
      <x:c r="Z133" s="304" t="s">
        <x:v>1736</x:v>
      </x:c>
      <x:c r="AA133" s="417"/>
      <x:c r="AB133" s="304" t="s">
        <x:v>1734</x:v>
      </x:c>
      <x:c r="AC133" s="417"/>
      <x:c r="AD133" s="1050">
        <x:v>0</x:v>
      </x:c>
      <x:c r="AE133" s="417"/>
      <x:c r="AF133" s="416">
        <x:f t="shared" si="75"/>
        <x:v>0</x:v>
      </x:c>
      <x:c r="AG133" s="167"/>
      <x:c r="AH133" s="183">
        <x:v>283</x:v>
      </x:c>
      <x:c r="AI133" s="183"/>
    </x:row>
    <x:row r="134" spans="2:35">
      <x:c r="B134" s="183">
        <x:f t="shared" si="76"/>
        <x:v>118</x:v>
      </x:c>
      <x:c r="C134" s="296" t="s">
        <x:v>1697</x:v>
      </x:c>
      <x:c r="D134" s="296" t="s">
        <x:v>1695</x:v>
      </x:c>
      <x:c r="E134" s="296" t="s">
        <x:v>1248</x:v>
      </x:c>
      <x:c r="F134" s="419">
        <x:v>-65234695.509999998</x:v>
      </x:c>
      <x:c r="G134" s="416">
        <x:f t="shared" si="66"/>
        <x:v>-22832143.428499997</x:v>
      </x:c>
      <x:c r="H134" s="419">
        <x:v>-5544949.1183500001</x:v>
      </x:c>
      <x:c r="I134" s="416">
        <x:f t="shared" si="67"/>
        <x:v>1940732.1914224999</x:v>
      </x:c>
      <x:c r="J134" s="416">
        <x:f t="shared" si="68"/>
        <x:v>-26436360.355427496</x:v>
      </x:c>
      <x:c r="K134" s="437"/>
      <x:c r="L134" s="419">
        <x:f t="shared" si="69"/>
        <x:v>-65234695.509999998</x:v>
      </x:c>
      <x:c r="M134" s="416">
        <x:f t="shared" si="70"/>
        <x:v>-13699286.0571</x:v>
      </x:c>
      <x:c r="N134" s="419">
        <x:v>-5544949.1183500001</x:v>
      </x:c>
      <x:c r="O134" s="416">
        <x:f t="shared" si="71"/>
        <x:v>1164439.3148534999</x:v>
      </x:c>
      <x:c r="P134" s="416">
        <x:f t="shared" si="72"/>
        <x:v>-18079795.8605965</x:v>
      </x:c>
      <x:c r="Q134" s="416"/>
      <x:c r="R134" s="416">
        <x:f t="shared" si="73"/>
        <x:v>-8356564.4948309958</x:v>
      </x:c>
      <x:c r="S134" s="437"/>
      <x:c r="T134" s="419">
        <x:v>0</x:v>
      </x:c>
      <x:c r="U134" s="437"/>
      <x:c r="V134" s="419">
        <x:v>0</x:v>
      </x:c>
      <x:c r="W134" s="437"/>
      <x:c r="X134" s="416">
        <x:f t="shared" si="74"/>
        <x:v>-8356564.4948309958</x:v>
      </x:c>
      <x:c r="Y134" s="418"/>
      <x:c r="Z134" s="304" t="s">
        <x:v>1735</x:v>
      </x:c>
      <x:c r="AA134" s="417"/>
      <x:c r="AB134" s="304" t="s">
        <x:v>1734</x:v>
      </x:c>
      <x:c r="AC134" s="417"/>
      <x:c r="AD134" s="1050">
        <x:v>0</x:v>
      </x:c>
      <x:c r="AE134" s="417"/>
      <x:c r="AF134" s="416">
        <x:f t="shared" si="75"/>
        <x:v>0</x:v>
      </x:c>
      <x:c r="AG134" s="167"/>
      <x:c r="AH134" s="183">
        <x:v>283</x:v>
      </x:c>
      <x:c r="AI134" s="183"/>
    </x:row>
    <x:row r="135" spans="2:35">
      <x:c r="B135" s="183">
        <x:f t="shared" si="76"/>
        <x:v>119</x:v>
      </x:c>
      <x:c r="C135" s="296" t="s">
        <x:v>1698</x:v>
      </x:c>
      <x:c r="D135" s="296" t="s">
        <x:v>1695</x:v>
      </x:c>
      <x:c r="E135" s="296" t="s">
        <x:v>1248</x:v>
      </x:c>
      <x:c r="F135" s="419">
        <x:v>-4171436.91</x:v>
      </x:c>
      <x:c r="G135" s="416">
        <x:f t="shared" si="66"/>
        <x:v>-1460002.9184999999</x:v>
      </x:c>
      <x:c r="H135" s="419">
        <x:v>-354572.13735000003</x:v>
      </x:c>
      <x:c r="I135" s="416">
        <x:f t="shared" si="67"/>
        <x:v>124100.24807250001</x:v>
      </x:c>
      <x:c r="J135" s="416">
        <x:f t="shared" si="68"/>
        <x:v>-1690474.8077774998</x:v>
      </x:c>
      <x:c r="K135" s="437"/>
      <x:c r="L135" s="419">
        <x:f t="shared" si="69"/>
        <x:v>-4171436.91</x:v>
      </x:c>
      <x:c r="M135" s="416">
        <x:f t="shared" si="70"/>
        <x:v>-876001.75109999999</x:v>
      </x:c>
      <x:c r="N135" s="419">
        <x:v>-354572.13735000003</x:v>
      </x:c>
      <x:c r="O135" s="416">
        <x:f t="shared" si="71"/>
        <x:v>74460.148843500006</x:v>
      </x:c>
      <x:c r="P135" s="416">
        <x:f t="shared" si="72"/>
        <x:v>-1156113.7396064999</x:v>
      </x:c>
      <x:c r="Q135" s="416"/>
      <x:c r="R135" s="416">
        <x:f t="shared" si="73"/>
        <x:v>-534361.06817099988</x:v>
      </x:c>
      <x:c r="S135" s="437"/>
      <x:c r="T135" s="419">
        <x:v>0</x:v>
      </x:c>
      <x:c r="U135" s="437"/>
      <x:c r="V135" s="419">
        <x:v>0</x:v>
      </x:c>
      <x:c r="W135" s="437"/>
      <x:c r="X135" s="416">
        <x:f t="shared" si="74"/>
        <x:v>-534361.06817099988</x:v>
      </x:c>
      <x:c r="Y135" s="418"/>
      <x:c r="Z135" s="304" t="s">
        <x:v>1736</x:v>
      </x:c>
      <x:c r="AA135" s="417"/>
      <x:c r="AB135" s="304" t="s">
        <x:v>1734</x:v>
      </x:c>
      <x:c r="AC135" s="417"/>
      <x:c r="AD135" s="1050">
        <x:v>0</x:v>
      </x:c>
      <x:c r="AE135" s="417"/>
      <x:c r="AF135" s="416">
        <x:f t="shared" si="75"/>
        <x:v>0</x:v>
      </x:c>
      <x:c r="AG135" s="167"/>
      <x:c r="AH135" s="183">
        <x:v>283</x:v>
      </x:c>
      <x:c r="AI135" s="183"/>
    </x:row>
    <x:row r="136" spans="2:35">
      <x:c r="B136" s="183">
        <x:f t="shared" si="76"/>
        <x:v>120</x:v>
      </x:c>
      <x:c r="C136" s="296" t="s">
        <x:v>1699</x:v>
      </x:c>
      <x:c r="D136" s="296" t="s">
        <x:v>1695</x:v>
      </x:c>
      <x:c r="E136" s="296" t="s">
        <x:v>1248</x:v>
      </x:c>
      <x:c r="F136" s="419">
        <x:v>-2895921.43</x:v>
      </x:c>
      <x:c r="G136" s="416">
        <x:f t="shared" si="66"/>
        <x:v>-1013572.5005</x:v>
      </x:c>
      <x:c r="H136" s="419">
        <x:v>-246153.32155000002</x:v>
      </x:c>
      <x:c r="I136" s="416">
        <x:f t="shared" si="67"/>
        <x:v>86153.662542500009</x:v>
      </x:c>
      <x:c r="J136" s="416">
        <x:f t="shared" si="68"/>
        <x:v>-1173572.1595075</x:v>
      </x:c>
      <x:c r="K136" s="437"/>
      <x:c r="L136" s="419">
        <x:f t="shared" si="69"/>
        <x:v>-2895921.43</x:v>
      </x:c>
      <x:c r="M136" s="416">
        <x:f t="shared" si="70"/>
        <x:v>-608143.50029999996</x:v>
      </x:c>
      <x:c r="N136" s="419">
        <x:v>-246153.32155000002</x:v>
      </x:c>
      <x:c r="O136" s="416">
        <x:f t="shared" si="71"/>
        <x:v>51692.1975255</x:v>
      </x:c>
      <x:c r="P136" s="416">
        <x:f t="shared" si="72"/>
        <x:v>-802604.62432449998</x:v>
      </x:c>
      <x:c r="Q136" s="416"/>
      <x:c r="R136" s="416">
        <x:f t="shared" si="73"/>
        <x:v>-370967.53518300003</x:v>
      </x:c>
      <x:c r="S136" s="437"/>
      <x:c r="T136" s="419">
        <x:v>0</x:v>
      </x:c>
      <x:c r="U136" s="437"/>
      <x:c r="V136" s="419">
        <x:v>0</x:v>
      </x:c>
      <x:c r="W136" s="437"/>
      <x:c r="X136" s="416">
        <x:f t="shared" si="74"/>
        <x:v>-370967.53518300003</x:v>
      </x:c>
      <x:c r="Y136" s="418"/>
      <x:c r="Z136" s="304" t="s">
        <x:v>1735</x:v>
      </x:c>
      <x:c r="AA136" s="417"/>
      <x:c r="AB136" s="304" t="s">
        <x:v>1734</x:v>
      </x:c>
      <x:c r="AC136" s="417"/>
      <x:c r="AD136" s="1050">
        <x:v>0</x:v>
      </x:c>
      <x:c r="AE136" s="417"/>
      <x:c r="AF136" s="416">
        <x:f t="shared" si="75"/>
        <x:v>0</x:v>
      </x:c>
      <x:c r="AG136" s="167"/>
      <x:c r="AH136" s="183">
        <x:v>283</x:v>
      </x:c>
      <x:c r="AI136" s="183"/>
    </x:row>
    <x:row r="137" spans="2:35">
      <x:c r="B137" s="183">
        <x:f t="shared" si="76"/>
        <x:v>121</x:v>
      </x:c>
      <x:c r="C137" s="296" t="s">
        <x:v>1700</x:v>
      </x:c>
      <x:c r="D137" s="296" t="s">
        <x:v>1695</x:v>
      </x:c>
      <x:c r="E137" s="296" t="s">
        <x:v>1248</x:v>
      </x:c>
      <x:c r="F137" s="419">
        <x:v>273083.28999999998</x:v>
      </x:c>
      <x:c r="G137" s="416">
        <x:f t="shared" si="66"/>
        <x:v>95579.151499999993</x:v>
      </x:c>
      <x:c r="H137" s="419">
        <x:v>23212.07965</x:v>
      </x:c>
      <x:c r="I137" s="416">
        <x:f t="shared" si="67"/>
        <x:v>-8124.2278774999995</x:v>
      </x:c>
      <x:c r="J137" s="416">
        <x:f t="shared" si="68"/>
        <x:v>110667.00327249999</x:v>
      </x:c>
      <x:c r="K137" s="437"/>
      <x:c r="L137" s="419">
        <x:f t="shared" si="69"/>
        <x:v>273083.28999999998</x:v>
      </x:c>
      <x:c r="M137" s="416">
        <x:f t="shared" si="70"/>
        <x:v>57347.490899999997</x:v>
      </x:c>
      <x:c r="N137" s="419">
        <x:v>23212.07965</x:v>
      </x:c>
      <x:c r="O137" s="416">
        <x:f t="shared" si="71"/>
        <x:v>-4874.5367264999995</x:v>
      </x:c>
      <x:c r="P137" s="416">
        <x:f t="shared" si="72"/>
        <x:v>75685.033823500009</x:v>
      </x:c>
      <x:c r="Q137" s="416"/>
      <x:c r="R137" s="416">
        <x:f t="shared" si="73"/>
        <x:v>34981.969448999982</x:v>
      </x:c>
      <x:c r="S137" s="437"/>
      <x:c r="T137" s="419">
        <x:v>0</x:v>
      </x:c>
      <x:c r="U137" s="437"/>
      <x:c r="V137" s="419">
        <x:v>0</x:v>
      </x:c>
      <x:c r="W137" s="437"/>
      <x:c r="X137" s="416">
        <x:f t="shared" si="74"/>
        <x:v>34981.969448999982</x:v>
      </x:c>
      <x:c r="Y137" s="418"/>
      <x:c r="Z137" s="304" t="s">
        <x:v>1738</x:v>
      </x:c>
      <x:c r="AA137" s="417"/>
      <x:c r="AB137" s="304" t="s">
        <x:v>1737</x:v>
      </x:c>
      <x:c r="AC137" s="417"/>
      <x:c r="AD137" s="1051">
        <x:v>0</x:v>
      </x:c>
      <x:c r="AE137" s="417"/>
      <x:c r="AF137" s="416">
        <x:f t="shared" si="75"/>
        <x:v>0</x:v>
      </x:c>
      <x:c r="AG137" s="167"/>
      <x:c r="AH137" s="183">
        <x:v>283</x:v>
      </x:c>
      <x:c r="AI137" s="183"/>
    </x:row>
    <x:row r="138" spans="2:35">
      <x:c r="B138" s="183">
        <x:f t="shared" si="76"/>
        <x:v>122</x:v>
      </x:c>
      <x:c r="C138" s="296" t="s">
        <x:v>1701</x:v>
      </x:c>
      <x:c r="D138" s="296" t="s">
        <x:v>1695</x:v>
      </x:c>
      <x:c r="E138" s="296" t="s">
        <x:v>1248</x:v>
      </x:c>
      <x:c r="F138" s="419">
        <x:v>-8153327.2599999998</x:v>
      </x:c>
      <x:c r="G138" s="416">
        <x:f t="shared" si="66"/>
        <x:v>-2853664.5409999997</x:v>
      </x:c>
      <x:c r="H138" s="419">
        <x:v>-693032.81709999999</x:v>
      </x:c>
      <x:c r="I138" s="416">
        <x:f t="shared" si="67"/>
        <x:v>242561.48598499998</x:v>
      </x:c>
      <x:c r="J138" s="416">
        <x:f t="shared" si="68"/>
        <x:v>-3304135.8721149997</x:v>
      </x:c>
      <x:c r="K138" s="437"/>
      <x:c r="L138" s="419">
        <x:f t="shared" si="69"/>
        <x:v>-8153327.2599999998</x:v>
      </x:c>
      <x:c r="M138" s="416">
        <x:f t="shared" si="70"/>
        <x:v>-1712198.7245999998</x:v>
      </x:c>
      <x:c r="N138" s="419">
        <x:v>-693032.81709999999</x:v>
      </x:c>
      <x:c r="O138" s="416">
        <x:f t="shared" si="71"/>
        <x:v>145536.89159099999</x:v>
      </x:c>
      <x:c r="P138" s="416">
        <x:f t="shared" si="72"/>
        <x:v>-2259694.650109</x:v>
      </x:c>
      <x:c r="Q138" s="416"/>
      <x:c r="R138" s="416">
        <x:f t="shared" si="73"/>
        <x:v>-1044441.2220059996</x:v>
      </x:c>
      <x:c r="S138" s="437"/>
      <x:c r="T138" s="419">
        <x:v>0</x:v>
      </x:c>
      <x:c r="U138" s="437"/>
      <x:c r="V138" s="419">
        <x:v>0</x:v>
      </x:c>
      <x:c r="W138" s="437"/>
      <x:c r="X138" s="416">
        <x:f t="shared" si="74"/>
        <x:v>-1044441.2220059996</x:v>
      </x:c>
      <x:c r="Y138" s="418"/>
      <x:c r="Z138" s="304" t="s">
        <x:v>1735</x:v>
      </x:c>
      <x:c r="AA138" s="417"/>
      <x:c r="AB138" s="304" t="s">
        <x:v>1734</x:v>
      </x:c>
      <x:c r="AC138" s="417"/>
      <x:c r="AD138" s="1050">
        <x:v>0</x:v>
      </x:c>
      <x:c r="AE138" s="417"/>
      <x:c r="AF138" s="416">
        <x:f t="shared" si="75"/>
        <x:v>0</x:v>
      </x:c>
      <x:c r="AG138" s="167"/>
      <x:c r="AH138" s="183">
        <x:v>283</x:v>
      </x:c>
      <x:c r="AI138" s="183"/>
    </x:row>
    <x:row r="139" spans="2:35">
      <x:c r="B139" s="183">
        <x:f t="shared" si="76"/>
        <x:v>123</x:v>
      </x:c>
      <x:c r="C139" s="296" t="s">
        <x:v>1702</x:v>
      </x:c>
      <x:c r="D139" s="296" t="s">
        <x:v>1695</x:v>
      </x:c>
      <x:c r="E139" s="296" t="s">
        <x:v>1248</x:v>
      </x:c>
      <x:c r="F139" s="419">
        <x:v>-4564994.5999999996</x:v>
      </x:c>
      <x:c r="G139" s="416">
        <x:f t="shared" si="66"/>
        <x:v>-1597748.1099999999</x:v>
      </x:c>
      <x:c r="H139" s="419">
        <x:v>-388024.54099999997</x:v>
      </x:c>
      <x:c r="I139" s="416">
        <x:f t="shared" si="67"/>
        <x:v>135808.58934999999</x:v>
      </x:c>
      <x:c r="J139" s="416">
        <x:f t="shared" si="68"/>
        <x:v>-1849964.0616499998</x:v>
      </x:c>
      <x:c r="K139" s="437"/>
      <x:c r="L139" s="419">
        <x:f t="shared" si="69"/>
        <x:v>-4564994.5999999996</x:v>
      </x:c>
      <x:c r="M139" s="416">
        <x:f t="shared" si="70"/>
        <x:v>-958648.86599999992</x:v>
      </x:c>
      <x:c r="N139" s="419">
        <x:v>-388024.54099999997</x:v>
      </x:c>
      <x:c r="O139" s="416">
        <x:f t="shared" si="71"/>
        <x:v>81485.153609999994</x:v>
      </x:c>
      <x:c r="P139" s="416">
        <x:f t="shared" si="72"/>
        <x:v>-1265188.25339</x:v>
      </x:c>
      <x:c r="Q139" s="416"/>
      <x:c r="R139" s="416">
        <x:f t="shared" si="73"/>
        <x:v>-584775.80825999985</x:v>
      </x:c>
      <x:c r="S139" s="437"/>
      <x:c r="T139" s="419">
        <x:v>0</x:v>
      </x:c>
      <x:c r="U139" s="437"/>
      <x:c r="V139" s="419">
        <x:v>0</x:v>
      </x:c>
      <x:c r="W139" s="437"/>
      <x:c r="X139" s="416">
        <x:f t="shared" si="74"/>
        <x:v>-584775.80825999985</x:v>
      </x:c>
      <x:c r="Y139" s="418"/>
      <x:c r="Z139" s="304" t="s">
        <x:v>1735</x:v>
      </x:c>
      <x:c r="AA139" s="417"/>
      <x:c r="AB139" s="304" t="s">
        <x:v>1734</x:v>
      </x:c>
      <x:c r="AC139" s="417"/>
      <x:c r="AD139" s="1050">
        <x:v>0</x:v>
      </x:c>
      <x:c r="AE139" s="417"/>
      <x:c r="AF139" s="416">
        <x:f t="shared" si="75"/>
        <x:v>0</x:v>
      </x:c>
      <x:c r="AG139" s="167"/>
      <x:c r="AH139" s="183">
        <x:v>283</x:v>
      </x:c>
      <x:c r="AI139" s="183"/>
    </x:row>
    <x:row r="140" spans="2:35">
      <x:c r="B140" s="183">
        <x:f t="shared" si="76"/>
        <x:v>124</x:v>
      </x:c>
      <x:c r="C140" s="296" t="s">
        <x:v>1703</x:v>
      </x:c>
      <x:c r="D140" s="296" t="s">
        <x:v>1695</x:v>
      </x:c>
      <x:c r="E140" s="296" t="s">
        <x:v>1248</x:v>
      </x:c>
      <x:c r="F140" s="419">
        <x:v>-8922463.8499999996</x:v>
      </x:c>
      <x:c r="G140" s="416">
        <x:f t="shared" si="66"/>
        <x:v>-3122862.3474999997</x:v>
      </x:c>
      <x:c r="H140" s="419">
        <x:v>-758409.42725000007</x:v>
      </x:c>
      <x:c r="I140" s="416">
        <x:f t="shared" si="67"/>
        <x:v>265443.29953750002</x:v>
      </x:c>
      <x:c r="J140" s="416">
        <x:f t="shared" si="68"/>
        <x:v>-3615828.4752125</x:v>
      </x:c>
      <x:c r="K140" s="437"/>
      <x:c r="L140" s="419">
        <x:f t="shared" si="69"/>
        <x:v>-8922463.8499999996</x:v>
      </x:c>
      <x:c r="M140" s="416">
        <x:f t="shared" si="70"/>
        <x:v>-1873717.4084999999</x:v>
      </x:c>
      <x:c r="N140" s="419">
        <x:v>-758409.42725000007</x:v>
      </x:c>
      <x:c r="O140" s="416">
        <x:f t="shared" si="71"/>
        <x:v>159265.97972250002</x:v>
      </x:c>
      <x:c r="P140" s="416">
        <x:f t="shared" si="72"/>
        <x:v>-2472860.8560275002</x:v>
      </x:c>
      <x:c r="Q140" s="416"/>
      <x:c r="R140" s="416">
        <x:f t="shared" si="73"/>
        <x:v>-1142967.6191849997</x:v>
      </x:c>
      <x:c r="S140" s="437"/>
      <x:c r="T140" s="419">
        <x:v>0</x:v>
      </x:c>
      <x:c r="U140" s="437"/>
      <x:c r="V140" s="419">
        <x:v>0</x:v>
      </x:c>
      <x:c r="W140" s="437"/>
      <x:c r="X140" s="416">
        <x:f t="shared" si="74"/>
        <x:v>-1142967.6191849997</x:v>
      </x:c>
      <x:c r="Y140" s="418"/>
      <x:c r="Z140" s="304" t="s">
        <x:v>1736</x:v>
      </x:c>
      <x:c r="AA140" s="417"/>
      <x:c r="AB140" s="304" t="s">
        <x:v>1734</x:v>
      </x:c>
      <x:c r="AC140" s="417"/>
      <x:c r="AD140" s="1050">
        <x:v>0</x:v>
      </x:c>
      <x:c r="AE140" s="417"/>
      <x:c r="AF140" s="416">
        <x:f t="shared" si="75"/>
        <x:v>0</x:v>
      </x:c>
      <x:c r="AG140" s="167"/>
      <x:c r="AH140" s="183">
        <x:v>283</x:v>
      </x:c>
      <x:c r="AI140" s="183"/>
    </x:row>
    <x:row r="141" spans="2:35">
      <x:c r="B141" s="183">
        <x:f t="shared" si="76"/>
        <x:v>125</x:v>
      </x:c>
      <x:c r="C141" s="296" t="s">
        <x:v>1703</x:v>
      </x:c>
      <x:c r="D141" s="296" t="s">
        <x:v>1695</x:v>
      </x:c>
      <x:c r="E141" s="296" t="s">
        <x:v>1248</x:v>
      </x:c>
      <x:c r="F141" s="419">
        <x:v>-871249.9</x:v>
      </x:c>
      <x:c r="G141" s="416">
        <x:f t="shared" si="66"/>
        <x:v>-304937.46499999997</x:v>
      </x:c>
      <x:c r="H141" s="419">
        <x:v>-74056.241500000004</x:v>
      </x:c>
      <x:c r="I141" s="416">
        <x:f t="shared" si="67"/>
        <x:v>25919.684525000001</x:v>
      </x:c>
      <x:c r="J141" s="416">
        <x:f t="shared" si="68"/>
        <x:v>-353074.02197499998</x:v>
      </x:c>
      <x:c r="K141" s="437"/>
      <x:c r="L141" s="419">
        <x:f t="shared" si="69"/>
        <x:v>-871249.9</x:v>
      </x:c>
      <x:c r="M141" s="416">
        <x:f t="shared" si="70"/>
        <x:v>-182962.47899999999</x:v>
      </x:c>
      <x:c r="N141" s="419">
        <x:v>-74056.241500000004</x:v>
      </x:c>
      <x:c r="O141" s="416">
        <x:f t="shared" si="71"/>
        <x:v>15551.810715</x:v>
      </x:c>
      <x:c r="P141" s="416">
        <x:f t="shared" si="72"/>
        <x:v>-241466.909785</x:v>
      </x:c>
      <x:c r="Q141" s="416"/>
      <x:c r="R141" s="416">
        <x:f t="shared" si="73"/>
        <x:v>-111607.11218999999</x:v>
      </x:c>
      <x:c r="S141" s="437"/>
      <x:c r="T141" s="419">
        <x:v>0</x:v>
      </x:c>
      <x:c r="U141" s="437"/>
      <x:c r="V141" s="419">
        <x:v>0</x:v>
      </x:c>
      <x:c r="W141" s="437"/>
      <x:c r="X141" s="416">
        <x:f t="shared" si="74"/>
        <x:v>-111607.11218999999</x:v>
      </x:c>
      <x:c r="Y141" s="418"/>
      <x:c r="Z141" s="304" t="s">
        <x:v>1735</x:v>
      </x:c>
      <x:c r="AA141" s="417"/>
      <x:c r="AB141" s="304" t="s">
        <x:v>1734</x:v>
      </x:c>
      <x:c r="AC141" s="417"/>
      <x:c r="AD141" s="1050">
        <x:v>0</x:v>
      </x:c>
      <x:c r="AE141" s="417"/>
      <x:c r="AF141" s="416">
        <x:f t="shared" si="75"/>
        <x:v>0</x:v>
      </x:c>
      <x:c r="AG141" s="167"/>
      <x:c r="AH141" s="183">
        <x:v>283</x:v>
      </x:c>
      <x:c r="AI141" s="183"/>
    </x:row>
    <x:row r="142" spans="2:35">
      <x:c r="B142" s="183">
        <x:f t="shared" si="76"/>
        <x:v>126</x:v>
      </x:c>
      <x:c r="C142" s="296" t="s">
        <x:v>1704</x:v>
      </x:c>
      <x:c r="D142" s="296" t="s">
        <x:v>1695</x:v>
      </x:c>
      <x:c r="E142" s="296" t="s">
        <x:v>1248</x:v>
      </x:c>
      <x:c r="F142" s="419">
        <x:v>-8185596.8899999997</x:v>
      </x:c>
      <x:c r="G142" s="416">
        <x:f t="shared" si="66"/>
        <x:v>-2864958.9114999999</x:v>
      </x:c>
      <x:c r="H142" s="419">
        <x:v>-695775.73565000005</x:v>
      </x:c>
      <x:c r="I142" s="416">
        <x:f t="shared" si="67"/>
        <x:v>243521.50747750001</x:v>
      </x:c>
      <x:c r="J142" s="416">
        <x:f t="shared" si="68"/>
        <x:v>-3317213.1396725001</x:v>
      </x:c>
      <x:c r="K142" s="437"/>
      <x:c r="L142" s="419">
        <x:f t="shared" si="69"/>
        <x:v>-8185596.8899999997</x:v>
      </x:c>
      <x:c r="M142" s="416">
        <x:f t="shared" si="70"/>
        <x:v>-1718975.3468999998</x:v>
      </x:c>
      <x:c r="N142" s="419">
        <x:v>-695775.73565000005</x:v>
      </x:c>
      <x:c r="O142" s="416">
        <x:f t="shared" si="71"/>
        <x:v>146112.90448650002</x:v>
      </x:c>
      <x:c r="P142" s="416">
        <x:f t="shared" si="72"/>
        <x:v>-2268638.1780634997</x:v>
      </x:c>
      <x:c r="Q142" s="416"/>
      <x:c r="R142" s="416">
        <x:f t="shared" si="73"/>
        <x:v>-1048574.9616090003</x:v>
      </x:c>
      <x:c r="S142" s="437"/>
      <x:c r="T142" s="419">
        <x:v>0</x:v>
      </x:c>
      <x:c r="U142" s="437"/>
      <x:c r="V142" s="419">
        <x:v>0</x:v>
      </x:c>
      <x:c r="W142" s="437"/>
      <x:c r="X142" s="416">
        <x:f t="shared" si="74"/>
        <x:v>-1048574.9616090003</x:v>
      </x:c>
      <x:c r="Y142" s="418"/>
      <x:c r="Z142" s="304" t="s">
        <x:v>233</x:v>
      </x:c>
      <x:c r="AA142" s="417"/>
      <x:c r="AB142" s="304" t="s">
        <x:v>1737</x:v>
      </x:c>
      <x:c r="AC142" s="417"/>
      <x:c r="AD142" s="1050">
        <x:v>6.0801999999999995E-2</x:v>
      </x:c>
      <x:c r="AE142" s="417"/>
      <x:c r="AF142" s="416">
        <x:f t="shared" si="75"/>
        <x:v>-63755.454815750432</x:v>
      </x:c>
      <x:c r="AG142" s="167"/>
      <x:c r="AH142" s="183">
        <x:v>283</x:v>
      </x:c>
      <x:c r="AI142" s="183"/>
    </x:row>
    <x:row r="143" spans="2:35">
      <x:c r="B143" s="183">
        <x:f t="shared" si="76"/>
        <x:v>127</x:v>
      </x:c>
      <x:c r="C143" s="296" t="s">
        <x:v>1705</x:v>
      </x:c>
      <x:c r="D143" s="296" t="s">
        <x:v>1695</x:v>
      </x:c>
      <x:c r="E143" s="296" t="s">
        <x:v>1248</x:v>
      </x:c>
      <x:c r="F143" s="419">
        <x:v>-8413844.8900000006</x:v>
      </x:c>
      <x:c r="G143" s="416">
        <x:f t="shared" si="66"/>
        <x:v>-2944845.7115000002</x:v>
      </x:c>
      <x:c r="H143" s="419">
        <x:v>-715176.81565000012</x:v>
      </x:c>
      <x:c r="I143" s="416">
        <x:f t="shared" si="67"/>
        <x:v>250311.88547750004</x:v>
      </x:c>
      <x:c r="J143" s="416">
        <x:f t="shared" si="68"/>
        <x:v>-3409710.6416725004</x:v>
      </x:c>
      <x:c r="K143" s="437"/>
      <x:c r="L143" s="419">
        <x:f t="shared" si="69"/>
        <x:v>-8413844.8900000006</x:v>
      </x:c>
      <x:c r="M143" s="416">
        <x:f t="shared" si="70"/>
        <x:v>-1766907.4269000001</x:v>
      </x:c>
      <x:c r="N143" s="419">
        <x:v>-715176.81565000012</x:v>
      </x:c>
      <x:c r="O143" s="416">
        <x:f t="shared" si="71"/>
        <x:v>150187.13128650002</x:v>
      </x:c>
      <x:c r="P143" s="416">
        <x:f t="shared" si="72"/>
        <x:v>-2331897.1112635001</x:v>
      </x:c>
      <x:c r="Q143" s="416"/>
      <x:c r="R143" s="416">
        <x:f t="shared" si="73"/>
        <x:v>-1077813.5304090003</x:v>
      </x:c>
      <x:c r="S143" s="437"/>
      <x:c r="T143" s="419">
        <x:v>0</x:v>
      </x:c>
      <x:c r="U143" s="437"/>
      <x:c r="V143" s="419">
        <x:v>0</x:v>
      </x:c>
      <x:c r="W143" s="437"/>
      <x:c r="X143" s="416">
        <x:f t="shared" si="74"/>
        <x:v>-1077813.5304090003</x:v>
      </x:c>
      <x:c r="Y143" s="418"/>
      <x:c r="Z143" s="304" t="s">
        <x:v>1736</x:v>
      </x:c>
      <x:c r="AA143" s="417"/>
      <x:c r="AB143" s="304" t="s">
        <x:v>1734</x:v>
      </x:c>
      <x:c r="AC143" s="417"/>
      <x:c r="AD143" s="1050">
        <x:v>0</x:v>
      </x:c>
      <x:c r="AE143" s="417"/>
      <x:c r="AF143" s="416">
        <x:f t="shared" si="75"/>
        <x:v>0</x:v>
      </x:c>
      <x:c r="AG143" s="167"/>
      <x:c r="AH143" s="183">
        <x:v>283</x:v>
      </x:c>
      <x:c r="AI143" s="183"/>
    </x:row>
    <x:row r="144" spans="2:35">
      <x:c r="B144" s="183">
        <x:f t="shared" si="76"/>
        <x:v>128</x:v>
      </x:c>
      <x:c r="C144" s="296" t="s">
        <x:v>1706</x:v>
      </x:c>
      <x:c r="D144" s="296" t="s">
        <x:v>1695</x:v>
      </x:c>
      <x:c r="E144" s="296" t="s">
        <x:v>1248</x:v>
      </x:c>
      <x:c r="F144" s="419">
        <x:v>-353648.88</x:v>
      </x:c>
      <x:c r="G144" s="416">
        <x:f t="shared" si="66"/>
        <x:v>-123777.10799999999</x:v>
      </x:c>
      <x:c r="H144" s="419">
        <x:v>-30060.154800000004</x:v>
      </x:c>
      <x:c r="I144" s="416">
        <x:f t="shared" si="67"/>
        <x:v>10521.054180000001</x:v>
      </x:c>
      <x:c r="J144" s="416">
        <x:f t="shared" si="68"/>
        <x:v>-143316.20861999999</x:v>
      </x:c>
      <x:c r="K144" s="437"/>
      <x:c r="L144" s="419">
        <x:f t="shared" si="69"/>
        <x:v>-353648.88</x:v>
      </x:c>
      <x:c r="M144" s="416">
        <x:f t="shared" si="70"/>
        <x:v>-74266.264800000004</x:v>
      </x:c>
      <x:c r="N144" s="419">
        <x:v>-30060.154800000004</x:v>
      </x:c>
      <x:c r="O144" s="416">
        <x:f t="shared" si="71"/>
        <x:v>6312.6325080000006</x:v>
      </x:c>
      <x:c r="P144" s="416">
        <x:f t="shared" si="72"/>
        <x:v>-98013.787092000013</x:v>
      </x:c>
      <x:c r="Q144" s="416"/>
      <x:c r="R144" s="416">
        <x:f t="shared" si="73"/>
        <x:v>-45302.421527999977</x:v>
      </x:c>
      <x:c r="S144" s="437"/>
      <x:c r="T144" s="419">
        <x:v>0</x:v>
      </x:c>
      <x:c r="U144" s="437"/>
      <x:c r="V144" s="419">
        <x:v>0</x:v>
      </x:c>
      <x:c r="W144" s="437"/>
      <x:c r="X144" s="416">
        <x:f t="shared" si="74"/>
        <x:v>-45302.421527999977</x:v>
      </x:c>
      <x:c r="Y144" s="418"/>
      <x:c r="Z144" s="304" t="s">
        <x:v>1736</x:v>
      </x:c>
      <x:c r="AA144" s="417"/>
      <x:c r="AB144" s="304" t="s">
        <x:v>1734</x:v>
      </x:c>
      <x:c r="AC144" s="417"/>
      <x:c r="AD144" s="1050">
        <x:v>0</x:v>
      </x:c>
      <x:c r="AE144" s="417"/>
      <x:c r="AF144" s="416">
        <x:f t="shared" si="75"/>
        <x:v>0</x:v>
      </x:c>
      <x:c r="AG144" s="167"/>
      <x:c r="AH144" s="183">
        <x:v>283</x:v>
      </x:c>
      <x:c r="AI144" s="183"/>
    </x:row>
    <x:row r="145" spans="2:35">
      <x:c r="B145" s="183">
        <x:f t="shared" si="76"/>
        <x:v>129</x:v>
      </x:c>
      <x:c r="C145" s="296" t="s">
        <x:v>1707</x:v>
      </x:c>
      <x:c r="D145" s="296" t="s">
        <x:v>1695</x:v>
      </x:c>
      <x:c r="E145" s="296" t="s">
        <x:v>1248</x:v>
      </x:c>
      <x:c r="F145" s="419">
        <x:v>-559450.77</x:v>
      </x:c>
      <x:c r="G145" s="416">
        <x:f t="shared" si="66"/>
        <x:v>-195807.76949999999</x:v>
      </x:c>
      <x:c r="H145" s="419">
        <x:v>-47553.315450000002</x:v>
      </x:c>
      <x:c r="I145" s="416">
        <x:f t="shared" si="67"/>
        <x:v>16643.6604075</x:v>
      </x:c>
      <x:c r="J145" s="416">
        <x:f t="shared" si="68"/>
        <x:v>-226717.4245425</x:v>
      </x:c>
      <x:c r="K145" s="437"/>
      <x:c r="L145" s="419">
        <x:f t="shared" si="69"/>
        <x:v>-559450.77</x:v>
      </x:c>
      <x:c r="M145" s="416">
        <x:f t="shared" si="70"/>
        <x:v>-117484.6617</x:v>
      </x:c>
      <x:c r="N145" s="419">
        <x:v>-47553.315450000002</x:v>
      </x:c>
      <x:c r="O145" s="416">
        <x:f t="shared" si="71"/>
        <x:v>9986.1962445000008</x:v>
      </x:c>
      <x:c r="P145" s="416">
        <x:f t="shared" si="72"/>
        <x:v>-155051.7809055</x:v>
      </x:c>
      <x:c r="Q145" s="416"/>
      <x:c r="R145" s="416">
        <x:f t="shared" si="73"/>
        <x:v>-71665.643637000001</x:v>
      </x:c>
      <x:c r="S145" s="437"/>
      <x:c r="T145" s="419">
        <x:v>0</x:v>
      </x:c>
      <x:c r="U145" s="437"/>
      <x:c r="V145" s="419">
        <x:v>0</x:v>
      </x:c>
      <x:c r="W145" s="437"/>
      <x:c r="X145" s="416">
        <x:f t="shared" si="74"/>
        <x:v>-71665.643637000001</x:v>
      </x:c>
      <x:c r="Y145" s="418"/>
      <x:c r="Z145" s="304" t="s">
        <x:v>1735</x:v>
      </x:c>
      <x:c r="AA145" s="417"/>
      <x:c r="AB145" s="304" t="s">
        <x:v>1734</x:v>
      </x:c>
      <x:c r="AC145" s="417"/>
      <x:c r="AD145" s="1050">
        <x:v>0</x:v>
      </x:c>
      <x:c r="AE145" s="417"/>
      <x:c r="AF145" s="416">
        <x:f t="shared" si="75"/>
        <x:v>0</x:v>
      </x:c>
      <x:c r="AG145" s="167"/>
      <x:c r="AH145" s="183">
        <x:v>283</x:v>
      </x:c>
      <x:c r="AI145" s="183"/>
    </x:row>
    <x:row r="146" spans="2:35">
      <x:c r="B146" s="183">
        <x:f t="shared" si="76"/>
        <x:v>130</x:v>
      </x:c>
      <x:c r="C146" s="296" t="s">
        <x:v>1708</x:v>
      </x:c>
      <x:c r="D146" s="296" t="s">
        <x:v>1695</x:v>
      </x:c>
      <x:c r="E146" s="296" t="s">
        <x:v>1248</x:v>
      </x:c>
      <x:c r="F146" s="419">
        <x:v>-13123093.93</x:v>
      </x:c>
      <x:c r="G146" s="416">
        <x:f t="shared" si="66"/>
        <x:v>-4593082.8754999992</x:v>
      </x:c>
      <x:c r="H146" s="419">
        <x:v>-1115462.9840500001</x:v>
      </x:c>
      <x:c r="I146" s="416">
        <x:f t="shared" si="67"/>
        <x:v>390412.04441750003</x:v>
      </x:c>
      <x:c r="J146" s="416">
        <x:f t="shared" si="68"/>
        <x:v>-5318133.8151324987</x:v>
      </x:c>
      <x:c r="K146" s="437"/>
      <x:c r="L146" s="419">
        <x:f t="shared" si="69"/>
        <x:v>-13123093.93</x:v>
      </x:c>
      <x:c r="M146" s="416">
        <x:f t="shared" si="70"/>
        <x:v>-2755849.7253</x:v>
      </x:c>
      <x:c r="N146" s="419">
        <x:v>-1115462.9840500001</x:v>
      </x:c>
      <x:c r="O146" s="416">
        <x:f t="shared" si="71"/>
        <x:v>234247.2266505</x:v>
      </x:c>
      <x:c r="P146" s="416">
        <x:f t="shared" si="72"/>
        <x:v>-3637065.4826994999</x:v>
      </x:c>
      <x:c r="Q146" s="416"/>
      <x:c r="R146" s="416">
        <x:f t="shared" si="73"/>
        <x:v>-1681068.3324329988</x:v>
      </x:c>
      <x:c r="S146" s="437"/>
      <x:c r="T146" s="419">
        <x:v>0</x:v>
      </x:c>
      <x:c r="U146" s="437"/>
      <x:c r="V146" s="419">
        <x:v>0</x:v>
      </x:c>
      <x:c r="W146" s="437"/>
      <x:c r="X146" s="416">
        <x:f t="shared" si="74"/>
        <x:v>-1681068.3324329988</x:v>
      </x:c>
      <x:c r="Y146" s="418"/>
      <x:c r="Z146" s="304" t="s">
        <x:v>1736</x:v>
      </x:c>
      <x:c r="AA146" s="417"/>
      <x:c r="AB146" s="304" t="s">
        <x:v>1734</x:v>
      </x:c>
      <x:c r="AC146" s="417"/>
      <x:c r="AD146" s="1050">
        <x:v>0</x:v>
      </x:c>
      <x:c r="AE146" s="417"/>
      <x:c r="AF146" s="416">
        <x:f t="shared" si="75"/>
        <x:v>0</x:v>
      </x:c>
      <x:c r="AG146" s="167"/>
      <x:c r="AH146" s="183">
        <x:v>283</x:v>
      </x:c>
      <x:c r="AI146" s="183"/>
    </x:row>
    <x:row r="147" spans="2:35">
      <x:c r="B147" s="183">
        <x:f t="shared" si="76"/>
        <x:v>131</x:v>
      </x:c>
      <x:c r="C147" s="296" t="s">
        <x:v>1709</x:v>
      </x:c>
      <x:c r="D147" s="296" t="s">
        <x:v>1695</x:v>
      </x:c>
      <x:c r="E147" s="296" t="s">
        <x:v>1248</x:v>
      </x:c>
      <x:c r="F147" s="419">
        <x:v>-454445.5</x:v>
      </x:c>
      <x:c r="G147" s="416">
        <x:f t="shared" ref="G147:G170" si="77">F147*0.35</x:f>
        <x:v>-159055.92499999999</x:v>
      </x:c>
      <x:c r="H147" s="419">
        <x:v>-38627.8675</x:v>
      </x:c>
      <x:c r="I147" s="416">
        <x:f t="shared" ref="I147:I170" si="78">H147*-0.35</x:f>
        <x:v>13519.753624999999</x:v>
      </x:c>
      <x:c r="J147" s="416">
        <x:f t="shared" ref="J147:J170" si="79">G147+H147+I147</x:f>
        <x:v>-184164.03887499997</x:v>
      </x:c>
      <x:c r="K147" s="437"/>
      <x:c r="L147" s="419">
        <x:f t="shared" ref="L147:L169" si="80">F147</x:f>
        <x:v>-454445.5</x:v>
      </x:c>
      <x:c r="M147" s="416">
        <x:f t="shared" ref="M147:M170" si="81">L147*0.21</x:f>
        <x:v>-95433.554999999993</x:v>
      </x:c>
      <x:c r="N147" s="419">
        <x:v>-38627.8675</x:v>
      </x:c>
      <x:c r="O147" s="416">
        <x:f t="shared" ref="O147:O170" si="82">N147*-0.21</x:f>
        <x:v>8111.852175</x:v>
      </x:c>
      <x:c r="P147" s="416">
        <x:f t="shared" ref="P147:P170" si="83">M147+N147+O147</x:f>
        <x:v>-125949.57032499998</x:v>
      </x:c>
      <x:c r="Q147" s="416"/>
      <x:c r="R147" s="416">
        <x:f t="shared" ref="R147:R170" si="84">J147-P147</x:f>
        <x:v>-58214.468549999991</x:v>
      </x:c>
      <x:c r="S147" s="437"/>
      <x:c r="T147" s="419">
        <x:v>0</x:v>
      </x:c>
      <x:c r="U147" s="437"/>
      <x:c r="V147" s="419">
        <x:v>0</x:v>
      </x:c>
      <x:c r="W147" s="437"/>
      <x:c r="X147" s="416">
        <x:f t="shared" ref="X147:X170" si="85">R147-T147-V147</x:f>
        <x:v>-58214.468549999991</x:v>
      </x:c>
      <x:c r="Y147" s="418"/>
      <x:c r="Z147" s="304" t="s">
        <x:v>1738</x:v>
      </x:c>
      <x:c r="AA147" s="417"/>
      <x:c r="AB147" s="304" t="s">
        <x:v>1737</x:v>
      </x:c>
      <x:c r="AC147" s="417"/>
      <x:c r="AD147" s="1051">
        <x:v>0</x:v>
      </x:c>
      <x:c r="AE147" s="417"/>
      <x:c r="AF147" s="416">
        <x:f t="shared" ref="AF147:AF170" si="86">X147*AD147</x:f>
        <x:v>0</x:v>
      </x:c>
      <x:c r="AG147" s="167"/>
      <x:c r="AH147" s="183">
        <x:v>283</x:v>
      </x:c>
      <x:c r="AI147" s="183"/>
    </x:row>
    <x:row r="148" spans="2:35">
      <x:c r="B148" s="183">
        <x:f t="shared" si="76"/>
        <x:v>132</x:v>
      </x:c>
      <x:c r="C148" s="296" t="s">
        <x:v>1710</x:v>
      </x:c>
      <x:c r="D148" s="296" t="s">
        <x:v>1695</x:v>
      </x:c>
      <x:c r="E148" s="296" t="s">
        <x:v>1248</x:v>
      </x:c>
      <x:c r="F148" s="419">
        <x:v>3762977</x:v>
      </x:c>
      <x:c r="G148" s="416">
        <x:f t="shared" si="77"/>
        <x:v>1317041.95</x:v>
      </x:c>
      <x:c r="H148" s="419">
        <x:v>319853.04500000004</x:v>
      </x:c>
      <x:c r="I148" s="416">
        <x:f t="shared" si="78"/>
        <x:v>-111948.56575000001</x:v>
      </x:c>
      <x:c r="J148" s="416">
        <x:f t="shared" si="79"/>
        <x:v>1524946.42925</x:v>
      </x:c>
      <x:c r="K148" s="437"/>
      <x:c r="L148" s="419">
        <x:f t="shared" si="80"/>
        <x:v>3762977</x:v>
      </x:c>
      <x:c r="M148" s="416">
        <x:f t="shared" si="81"/>
        <x:v>790225.16999999993</x:v>
      </x:c>
      <x:c r="N148" s="419">
        <x:v>319853.04500000004</x:v>
      </x:c>
      <x:c r="O148" s="416">
        <x:f t="shared" si="82"/>
        <x:v>-67169.139450000002</x:v>
      </x:c>
      <x:c r="P148" s="416">
        <x:f t="shared" si="83"/>
        <x:v>1042909.0755499998</x:v>
      </x:c>
      <x:c r="Q148" s="416"/>
      <x:c r="R148" s="416">
        <x:f t="shared" si="84"/>
        <x:v>482037.35370000021</x:v>
      </x:c>
      <x:c r="S148" s="437"/>
      <x:c r="T148" s="419">
        <x:v>0</x:v>
      </x:c>
      <x:c r="U148" s="437"/>
      <x:c r="V148" s="419">
        <x:v>0</x:v>
      </x:c>
      <x:c r="W148" s="437"/>
      <x:c r="X148" s="416">
        <x:f t="shared" si="85"/>
        <x:v>482037.35370000021</x:v>
      </x:c>
      <x:c r="Y148" s="418"/>
      <x:c r="Z148" s="304" t="s">
        <x:v>1736</x:v>
      </x:c>
      <x:c r="AA148" s="417"/>
      <x:c r="AB148" s="304" t="s">
        <x:v>1734</x:v>
      </x:c>
      <x:c r="AC148" s="417"/>
      <x:c r="AD148" s="1050">
        <x:v>0</x:v>
      </x:c>
      <x:c r="AE148" s="417"/>
      <x:c r="AF148" s="416">
        <x:f t="shared" si="86"/>
        <x:v>0</x:v>
      </x:c>
      <x:c r="AG148" s="167"/>
      <x:c r="AH148" s="183">
        <x:v>283</x:v>
      </x:c>
      <x:c r="AI148" s="183"/>
    </x:row>
    <x:row r="149" spans="2:35">
      <x:c r="B149" s="183">
        <x:f t="shared" si="76"/>
        <x:v>133</x:v>
      </x:c>
      <x:c r="C149" s="296" t="s">
        <x:v>1711</x:v>
      </x:c>
      <x:c r="D149" s="296" t="s">
        <x:v>1712</x:v>
      </x:c>
      <x:c r="E149" s="296" t="s">
        <x:v>1248</x:v>
      </x:c>
      <x:c r="F149" s="419">
        <x:v>-5079637.71</x:v>
      </x:c>
      <x:c r="G149" s="416">
        <x:f t="shared" si="77"/>
        <x:v>-1777873.1984999999</x:v>
      </x:c>
      <x:c r="H149" s="419">
        <x:v>-431769.20535</x:v>
      </x:c>
      <x:c r="I149" s="416">
        <x:f t="shared" si="78"/>
        <x:v>151119.2218725</x:v>
      </x:c>
      <x:c r="J149" s="416">
        <x:f t="shared" si="79"/>
        <x:v>-2058523.1819775</x:v>
      </x:c>
      <x:c r="K149" s="437"/>
      <x:c r="L149" s="419">
        <x:f t="shared" si="80"/>
        <x:v>-5079637.71</x:v>
      </x:c>
      <x:c r="M149" s="416">
        <x:f t="shared" si="81"/>
        <x:v>-1066723.9191000001</x:v>
      </x:c>
      <x:c r="N149" s="419">
        <x:v>-431769.20535</x:v>
      </x:c>
      <x:c r="O149" s="416">
        <x:f t="shared" si="82"/>
        <x:v>90671.53312349999</x:v>
      </x:c>
      <x:c r="P149" s="416">
        <x:f t="shared" si="83"/>
        <x:v>-1407821.5913265001</x:v>
      </x:c>
      <x:c r="Q149" s="416"/>
      <x:c r="R149" s="416">
        <x:f t="shared" si="84"/>
        <x:v>-650701.59065099992</x:v>
      </x:c>
      <x:c r="S149" s="437"/>
      <x:c r="T149" s="419">
        <x:v>0</x:v>
      </x:c>
      <x:c r="U149" s="437"/>
      <x:c r="V149" s="419">
        <x:v>0</x:v>
      </x:c>
      <x:c r="W149" s="437"/>
      <x:c r="X149" s="416">
        <x:f t="shared" si="85"/>
        <x:v>-650701.59065099992</x:v>
      </x:c>
      <x:c r="Y149" s="418"/>
      <x:c r="Z149" s="304" t="s">
        <x:v>1736</x:v>
      </x:c>
      <x:c r="AA149" s="417"/>
      <x:c r="AB149" s="304" t="s">
        <x:v>1734</x:v>
      </x:c>
      <x:c r="AC149" s="417"/>
      <x:c r="AD149" s="1050">
        <x:v>0</x:v>
      </x:c>
      <x:c r="AE149" s="417"/>
      <x:c r="AF149" s="416">
        <x:f t="shared" si="86"/>
        <x:v>0</x:v>
      </x:c>
      <x:c r="AG149" s="167"/>
      <x:c r="AH149" s="183">
        <x:v>283</x:v>
      </x:c>
      <x:c r="AI149" s="183"/>
    </x:row>
    <x:row r="150" spans="2:35">
      <x:c r="B150" s="183">
        <x:f t="shared" si="76"/>
        <x:v>134</x:v>
      </x:c>
      <x:c r="C150" s="296" t="s">
        <x:v>1713</x:v>
      </x:c>
      <x:c r="D150" s="296" t="s">
        <x:v>1614</x:v>
      </x:c>
      <x:c r="E150" s="296" t="s">
        <x:v>1248</x:v>
      </x:c>
      <x:c r="F150" s="419">
        <x:v>-34891471.530000001</x:v>
      </x:c>
      <x:c r="G150" s="416">
        <x:f t="shared" si="77"/>
        <x:v>-12212015.035499999</x:v>
      </x:c>
      <x:c r="H150" s="419">
        <x:v>-2965775.0800500005</x:v>
      </x:c>
      <x:c r="I150" s="416">
        <x:f t="shared" si="78"/>
        <x:v>1038021.2780175001</x:v>
      </x:c>
      <x:c r="J150" s="416">
        <x:f t="shared" si="79"/>
        <x:v>-14139768.8375325</x:v>
      </x:c>
      <x:c r="K150" s="437"/>
      <x:c r="L150" s="419">
        <x:f t="shared" si="80"/>
        <x:v>-34891471.530000001</x:v>
      </x:c>
      <x:c r="M150" s="416">
        <x:f t="shared" si="81"/>
        <x:v>-7327209.0213000001</x:v>
      </x:c>
      <x:c r="N150" s="419">
        <x:v>-2965775.0800500005</x:v>
      </x:c>
      <x:c r="O150" s="416">
        <x:f t="shared" si="82"/>
        <x:v>622812.76681050006</x:v>
      </x:c>
      <x:c r="P150" s="416">
        <x:f t="shared" si="83"/>
        <x:v>-9670171.3345394991</x:v>
      </x:c>
      <x:c r="Q150" s="416"/>
      <x:c r="R150" s="416">
        <x:f t="shared" si="84"/>
        <x:v>-4469597.5029930007</x:v>
      </x:c>
      <x:c r="S150" s="437"/>
      <x:c r="T150" s="419">
        <x:v>0</x:v>
      </x:c>
      <x:c r="U150" s="437"/>
      <x:c r="V150" s="419">
        <x:v>0</x:v>
      </x:c>
      <x:c r="W150" s="437"/>
      <x:c r="X150" s="416">
        <x:f t="shared" si="85"/>
        <x:v>-4469597.5029930007</x:v>
      </x:c>
      <x:c r="Y150" s="418"/>
      <x:c r="Z150" s="304" t="s">
        <x:v>1738</x:v>
      </x:c>
      <x:c r="AA150" s="417"/>
      <x:c r="AB150" s="304" t="s">
        <x:v>1737</x:v>
      </x:c>
      <x:c r="AC150" s="417"/>
      <x:c r="AD150" s="1050">
        <x:v>0</x:v>
      </x:c>
      <x:c r="AE150" s="417"/>
      <x:c r="AF150" s="416">
        <x:f t="shared" si="86"/>
        <x:v>0</x:v>
      </x:c>
      <x:c r="AG150" s="167"/>
      <x:c r="AH150" s="183">
        <x:v>283</x:v>
      </x:c>
      <x:c r="AI150" s="183"/>
    </x:row>
    <x:row r="151" spans="2:35">
      <x:c r="B151" s="183">
        <x:f t="shared" si="76"/>
        <x:v>135</x:v>
      </x:c>
      <x:c r="C151" s="296" t="s">
        <x:v>1714</x:v>
      </x:c>
      <x:c r="D151" s="296" t="s">
        <x:v>1614</x:v>
      </x:c>
      <x:c r="E151" s="296" t="s">
        <x:v>1248</x:v>
      </x:c>
      <x:c r="F151" s="419">
        <x:v>6566664.9500000002</x:v>
      </x:c>
      <x:c r="G151" s="416">
        <x:f t="shared" si="77"/>
        <x:v>2298332.7324999999</x:v>
      </x:c>
      <x:c r="H151" s="419">
        <x:v>558166.52075000003</x:v>
      </x:c>
      <x:c r="I151" s="416">
        <x:f t="shared" si="78"/>
        <x:v>-195358.2822625</x:v>
      </x:c>
      <x:c r="J151" s="416">
        <x:f t="shared" si="79"/>
        <x:v>2661140.9709875002</x:v>
      </x:c>
      <x:c r="K151" s="437"/>
      <x:c r="L151" s="419">
        <x:f t="shared" si="80"/>
        <x:v>6566664.9500000002</x:v>
      </x:c>
      <x:c r="M151" s="416">
        <x:f t="shared" si="81"/>
        <x:v>1378999.6395</x:v>
      </x:c>
      <x:c r="N151" s="419">
        <x:v>558166.52075000003</x:v>
      </x:c>
      <x:c r="O151" s="416">
        <x:f t="shared" si="82"/>
        <x:v>-117214.9693575</x:v>
      </x:c>
      <x:c r="P151" s="416">
        <x:f t="shared" si="83"/>
        <x:v>1819951.1908925001</x:v>
      </x:c>
      <x:c r="Q151" s="416"/>
      <x:c r="R151" s="416">
        <x:f t="shared" si="84"/>
        <x:v>841189.78009500005</x:v>
      </x:c>
      <x:c r="S151" s="437"/>
      <x:c r="T151" s="419">
        <x:v>0</x:v>
      </x:c>
      <x:c r="U151" s="437"/>
      <x:c r="V151" s="419">
        <x:v>0</x:v>
      </x:c>
      <x:c r="W151" s="437"/>
      <x:c r="X151" s="416">
        <x:f t="shared" si="85"/>
        <x:v>841189.78009500005</x:v>
      </x:c>
      <x:c r="Y151" s="418"/>
      <x:c r="Z151" s="304" t="s">
        <x:v>1735</x:v>
      </x:c>
      <x:c r="AA151" s="417"/>
      <x:c r="AB151" s="304" t="s">
        <x:v>1734</x:v>
      </x:c>
      <x:c r="AC151" s="417"/>
      <x:c r="AD151" s="1050">
        <x:v>0</x:v>
      </x:c>
      <x:c r="AE151" s="417"/>
      <x:c r="AF151" s="416">
        <x:f t="shared" si="86"/>
        <x:v>0</x:v>
      </x:c>
      <x:c r="AG151" s="167"/>
      <x:c r="AH151" s="183">
        <x:v>283</x:v>
      </x:c>
      <x:c r="AI151" s="183"/>
    </x:row>
    <x:row r="152" spans="2:35">
      <x:c r="B152" s="183">
        <x:f t="shared" si="76"/>
        <x:v>136</x:v>
      </x:c>
      <x:c r="C152" s="296" t="s">
        <x:v>1715</x:v>
      </x:c>
      <x:c r="D152" s="296" t="s">
        <x:v>1614</x:v>
      </x:c>
      <x:c r="E152" s="296" t="s">
        <x:v>1248</x:v>
      </x:c>
      <x:c r="F152" s="419">
        <x:v>3421999.71</x:v>
      </x:c>
      <x:c r="G152" s="416">
        <x:f t="shared" si="77"/>
        <x:v>1197699.8984999999</x:v>
      </x:c>
      <x:c r="H152" s="419">
        <x:v>290869.97535000002</x:v>
      </x:c>
      <x:c r="I152" s="416">
        <x:f t="shared" si="78"/>
        <x:v>-101804.49137250001</x:v>
      </x:c>
      <x:c r="J152" s="416">
        <x:f t="shared" si="79"/>
        <x:v>1386765.3824774998</x:v>
      </x:c>
      <x:c r="K152" s="437"/>
      <x:c r="L152" s="419">
        <x:f t="shared" si="80"/>
        <x:v>3421999.71</x:v>
      </x:c>
      <x:c r="M152" s="416">
        <x:f t="shared" si="81"/>
        <x:v>718619.93909999996</x:v>
      </x:c>
      <x:c r="N152" s="419">
        <x:v>290869.97535000002</x:v>
      </x:c>
      <x:c r="O152" s="416">
        <x:f t="shared" si="82"/>
        <x:v>-61082.694823500002</x:v>
      </x:c>
      <x:c r="P152" s="416">
        <x:f t="shared" si="83"/>
        <x:v>948407.21962650004</x:v>
      </x:c>
      <x:c r="Q152" s="416"/>
      <x:c r="R152" s="416">
        <x:f t="shared" si="84"/>
        <x:v>438358.16285099974</x:v>
      </x:c>
      <x:c r="S152" s="437"/>
      <x:c r="T152" s="419">
        <x:v>0</x:v>
      </x:c>
      <x:c r="U152" s="437"/>
      <x:c r="V152" s="419">
        <x:v>0</x:v>
      </x:c>
      <x:c r="W152" s="437"/>
      <x:c r="X152" s="416">
        <x:f t="shared" si="85"/>
        <x:v>438358.16285099974</x:v>
      </x:c>
      <x:c r="Y152" s="418"/>
      <x:c r="Z152" s="304" t="s">
        <x:v>1736</x:v>
      </x:c>
      <x:c r="AA152" s="417"/>
      <x:c r="AB152" s="304" t="s">
        <x:v>1734</x:v>
      </x:c>
      <x:c r="AC152" s="417"/>
      <x:c r="AD152" s="1050">
        <x:v>0</x:v>
      </x:c>
      <x:c r="AE152" s="417"/>
      <x:c r="AF152" s="416">
        <x:f t="shared" si="86"/>
        <x:v>0</x:v>
      </x:c>
      <x:c r="AG152" s="167"/>
      <x:c r="AH152" s="183">
        <x:v>283</x:v>
      </x:c>
      <x:c r="AI152" s="183"/>
    </x:row>
    <x:row r="153" spans="2:35">
      <x:c r="B153" s="183">
        <x:f t="shared" si="76"/>
        <x:v>137</x:v>
      </x:c>
      <x:c r="C153" s="296" t="s">
        <x:v>1716</x:v>
      </x:c>
      <x:c r="D153" s="296" t="s">
        <x:v>1614</x:v>
      </x:c>
      <x:c r="E153" s="296" t="s">
        <x:v>1248</x:v>
      </x:c>
      <x:c r="F153" s="419">
        <x:v>-22183141.48</x:v>
      </x:c>
      <x:c r="G153" s="416">
        <x:f t="shared" si="77"/>
        <x:v>-7764099.5179999992</x:v>
      </x:c>
      <x:c r="H153" s="419">
        <x:v>-1885567.0258000002</x:v>
      </x:c>
      <x:c r="I153" s="416">
        <x:f t="shared" si="78"/>
        <x:v>659948.45903000003</x:v>
      </x:c>
      <x:c r="J153" s="416">
        <x:f t="shared" si="79"/>
        <x:v>-8989718.0847699996</x:v>
      </x:c>
      <x:c r="K153" s="437"/>
      <x:c r="L153" s="419">
        <x:f t="shared" si="80"/>
        <x:v>-22183141.48</x:v>
      </x:c>
      <x:c r="M153" s="416">
        <x:f t="shared" si="81"/>
        <x:v>-4658459.7107999995</x:v>
      </x:c>
      <x:c r="N153" s="419">
        <x:v>-1885567.0258000002</x:v>
      </x:c>
      <x:c r="O153" s="416">
        <x:f t="shared" si="82"/>
        <x:v>395969.07541800005</x:v>
      </x:c>
      <x:c r="P153" s="416">
        <x:f t="shared" si="83"/>
        <x:v>-6148057.6611819994</x:v>
      </x:c>
      <x:c r="Q153" s="416"/>
      <x:c r="R153" s="416">
        <x:f t="shared" si="84"/>
        <x:v>-2841660.4235880002</x:v>
      </x:c>
      <x:c r="S153" s="437"/>
      <x:c r="T153" s="419">
        <x:v>0</x:v>
      </x:c>
      <x:c r="U153" s="437"/>
      <x:c r="V153" s="419">
        <x:v>0</x:v>
      </x:c>
      <x:c r="W153" s="437"/>
      <x:c r="X153" s="416">
        <x:f t="shared" si="85"/>
        <x:v>-2841660.4235880002</x:v>
      </x:c>
      <x:c r="Y153" s="418"/>
      <x:c r="Z153" s="304" t="s">
        <x:v>1738</x:v>
      </x:c>
      <x:c r="AA153" s="417"/>
      <x:c r="AB153" s="304" t="s">
        <x:v>1737</x:v>
      </x:c>
      <x:c r="AC153" s="417"/>
      <x:c r="AD153" s="1050">
        <x:v>0</x:v>
      </x:c>
      <x:c r="AE153" s="417"/>
      <x:c r="AF153" s="416">
        <x:f t="shared" si="86"/>
        <x:v>0</x:v>
      </x:c>
      <x:c r="AG153" s="167"/>
      <x:c r="AH153" s="183">
        <x:v>283</x:v>
      </x:c>
      <x:c r="AI153" s="183"/>
    </x:row>
    <x:row r="154" spans="2:35">
      <x:c r="B154" s="183">
        <x:f t="shared" si="76"/>
        <x:v>138</x:v>
      </x:c>
      <x:c r="C154" s="296" t="s">
        <x:v>1717</x:v>
      </x:c>
      <x:c r="D154" s="296" t="s">
        <x:v>1614</x:v>
      </x:c>
      <x:c r="E154" s="296" t="s">
        <x:v>1248</x:v>
      </x:c>
      <x:c r="F154" s="419">
        <x:v>-265986.48</x:v>
      </x:c>
      <x:c r="G154" s="416">
        <x:f t="shared" si="77"/>
        <x:v>-93095.267999999982</x:v>
      </x:c>
      <x:c r="H154" s="419">
        <x:v>-22608.8508</x:v>
      </x:c>
      <x:c r="I154" s="416">
        <x:f t="shared" si="78"/>
        <x:v>7913.0977799999991</x:v>
      </x:c>
      <x:c r="J154" s="416">
        <x:f t="shared" si="79"/>
        <x:v>-107791.02101999999</x:v>
      </x:c>
      <x:c r="K154" s="437"/>
      <x:c r="L154" s="419">
        <x:f t="shared" si="80"/>
        <x:v>-265986.48</x:v>
      </x:c>
      <x:c r="M154" s="416">
        <x:f t="shared" si="81"/>
        <x:v>-55857.160799999991</x:v>
      </x:c>
      <x:c r="N154" s="419">
        <x:v>-22608.8508</x:v>
      </x:c>
      <x:c r="O154" s="416">
        <x:f t="shared" si="82"/>
        <x:v>4747.8586679999999</x:v>
      </x:c>
      <x:c r="P154" s="416">
        <x:f t="shared" si="83"/>
        <x:v>-73718.152931999997</x:v>
      </x:c>
      <x:c r="Q154" s="416"/>
      <x:c r="R154" s="416">
        <x:f t="shared" si="84"/>
        <x:v>-34072.868087999988</x:v>
      </x:c>
      <x:c r="S154" s="437"/>
      <x:c r="T154" s="419">
        <x:v>0</x:v>
      </x:c>
      <x:c r="U154" s="437"/>
      <x:c r="V154" s="419">
        <x:v>0</x:v>
      </x:c>
      <x:c r="W154" s="437"/>
      <x:c r="X154" s="416">
        <x:f t="shared" si="85"/>
        <x:v>-34072.868087999988</x:v>
      </x:c>
      <x:c r="Y154" s="418"/>
      <x:c r="Z154" s="304" t="s">
        <x:v>1738</x:v>
      </x:c>
      <x:c r="AA154" s="417"/>
      <x:c r="AB154" s="304" t="s">
        <x:v>1737</x:v>
      </x:c>
      <x:c r="AC154" s="417"/>
      <x:c r="AD154" s="1050">
        <x:v>0</x:v>
      </x:c>
      <x:c r="AE154" s="417"/>
      <x:c r="AF154" s="416">
        <x:f t="shared" si="86"/>
        <x:v>0</x:v>
      </x:c>
      <x:c r="AG154" s="167"/>
      <x:c r="AH154" s="183">
        <x:v>283</x:v>
      </x:c>
      <x:c r="AI154" s="183"/>
    </x:row>
    <x:row r="155" spans="2:35">
      <x:c r="B155" s="183">
        <x:f t="shared" si="76"/>
        <x:v>139</x:v>
      </x:c>
      <x:c r="C155" s="296" t="s">
        <x:v>1718</x:v>
      </x:c>
      <x:c r="D155" s="296" t="s">
        <x:v>1614</x:v>
      </x:c>
      <x:c r="E155" s="296" t="s">
        <x:v>1248</x:v>
      </x:c>
      <x:c r="F155" s="419">
        <x:v>-85416.6</x:v>
      </x:c>
      <x:c r="G155" s="416">
        <x:f t="shared" si="77"/>
        <x:v>-29895.81</x:v>
      </x:c>
      <x:c r="H155" s="419">
        <x:v>-7260.411000000001</x:v>
      </x:c>
      <x:c r="I155" s="416">
        <x:f t="shared" si="78"/>
        <x:v>2541.1438500000004</x:v>
      </x:c>
      <x:c r="J155" s="416">
        <x:f t="shared" si="79"/>
        <x:v>-34615.077150000005</x:v>
      </x:c>
      <x:c r="K155" s="437"/>
      <x:c r="L155" s="419">
        <x:f t="shared" si="80"/>
        <x:v>-85416.6</x:v>
      </x:c>
      <x:c r="M155" s="416">
        <x:f t="shared" si="81"/>
        <x:v>-17937.486000000001</x:v>
      </x:c>
      <x:c r="N155" s="419">
        <x:v>-7260.411000000001</x:v>
      </x:c>
      <x:c r="O155" s="416">
        <x:f t="shared" si="82"/>
        <x:v>1524.68631</x:v>
      </x:c>
      <x:c r="P155" s="416">
        <x:f t="shared" si="83"/>
        <x:v>-23673.21069</x:v>
      </x:c>
      <x:c r="Q155" s="416"/>
      <x:c r="R155" s="416">
        <x:f t="shared" si="84"/>
        <x:v>-10941.866460000005</x:v>
      </x:c>
      <x:c r="S155" s="437"/>
      <x:c r="T155" s="419">
        <x:v>0</x:v>
      </x:c>
      <x:c r="U155" s="437"/>
      <x:c r="V155" s="419">
        <x:v>0</x:v>
      </x:c>
      <x:c r="W155" s="437"/>
      <x:c r="X155" s="416">
        <x:f t="shared" si="85"/>
        <x:v>-10941.866460000005</x:v>
      </x:c>
      <x:c r="Y155" s="418"/>
      <x:c r="Z155" s="304" t="s">
        <x:v>1735</x:v>
      </x:c>
      <x:c r="AA155" s="417"/>
      <x:c r="AB155" s="304" t="s">
        <x:v>1734</x:v>
      </x:c>
      <x:c r="AC155" s="417"/>
      <x:c r="AD155" s="1050">
        <x:v>0</x:v>
      </x:c>
      <x:c r="AE155" s="417"/>
      <x:c r="AF155" s="416">
        <x:f t="shared" si="86"/>
        <x:v>0</x:v>
      </x:c>
      <x:c r="AG155" s="167"/>
      <x:c r="AH155" s="183">
        <x:v>283</x:v>
      </x:c>
      <x:c r="AI155" s="183"/>
    </x:row>
    <x:row r="156" spans="2:35">
      <x:c r="B156" s="183">
        <x:f t="shared" si="76"/>
        <x:v>140</x:v>
      </x:c>
      <x:c r="C156" s="296" t="s">
        <x:v>1719</x:v>
      </x:c>
      <x:c r="D156" s="296" t="s">
        <x:v>1614</x:v>
      </x:c>
      <x:c r="E156" s="296" t="s">
        <x:v>1248</x:v>
      </x:c>
      <x:c r="F156" s="419">
        <x:v>34891471.530000001</x:v>
      </x:c>
      <x:c r="G156" s="416">
        <x:f t="shared" si="77"/>
        <x:v>12212015.035499999</x:v>
      </x:c>
      <x:c r="H156" s="419">
        <x:v>2965775.0800500005</x:v>
      </x:c>
      <x:c r="I156" s="416">
        <x:f t="shared" si="78"/>
        <x:v>-1038021.2780175001</x:v>
      </x:c>
      <x:c r="J156" s="416">
        <x:f t="shared" si="79"/>
        <x:v>14139768.8375325</x:v>
      </x:c>
      <x:c r="K156" s="437"/>
      <x:c r="L156" s="419">
        <x:f t="shared" si="80"/>
        <x:v>34891471.530000001</x:v>
      </x:c>
      <x:c r="M156" s="416">
        <x:f t="shared" si="81"/>
        <x:v>7327209.0213000001</x:v>
      </x:c>
      <x:c r="N156" s="419">
        <x:v>2965775.0800500005</x:v>
      </x:c>
      <x:c r="O156" s="416">
        <x:f t="shared" si="82"/>
        <x:v>-622812.76681050006</x:v>
      </x:c>
      <x:c r="P156" s="416">
        <x:f t="shared" si="83"/>
        <x:v>9670171.3345394991</x:v>
      </x:c>
      <x:c r="Q156" s="416"/>
      <x:c r="R156" s="416">
        <x:f t="shared" si="84"/>
        <x:v>4469597.5029930007</x:v>
      </x:c>
      <x:c r="S156" s="437"/>
      <x:c r="T156" s="419">
        <x:v>0</x:v>
      </x:c>
      <x:c r="U156" s="437"/>
      <x:c r="V156" s="419">
        <x:v>0</x:v>
      </x:c>
      <x:c r="W156" s="437"/>
      <x:c r="X156" s="416">
        <x:f t="shared" si="85"/>
        <x:v>4469597.5029930007</x:v>
      </x:c>
      <x:c r="Y156" s="418"/>
      <x:c r="Z156" s="304" t="s">
        <x:v>1738</x:v>
      </x:c>
      <x:c r="AA156" s="417"/>
      <x:c r="AB156" s="304" t="s">
        <x:v>1737</x:v>
      </x:c>
      <x:c r="AC156" s="417"/>
      <x:c r="AD156" s="1050">
        <x:v>0</x:v>
      </x:c>
      <x:c r="AE156" s="417"/>
      <x:c r="AF156" s="416">
        <x:f t="shared" si="86"/>
        <x:v>0</x:v>
      </x:c>
      <x:c r="AG156" s="167"/>
      <x:c r="AH156" s="183">
        <x:v>283</x:v>
      </x:c>
      <x:c r="AI156" s="183"/>
    </x:row>
    <x:row r="157" spans="2:35">
      <x:c r="B157" s="183">
        <x:f t="shared" si="76"/>
        <x:v>141</x:v>
      </x:c>
      <x:c r="C157" s="296" t="s">
        <x:v>1720</x:v>
      </x:c>
      <x:c r="D157" s="296" t="s">
        <x:v>1614</x:v>
      </x:c>
      <x:c r="E157" s="296" t="s">
        <x:v>1248</x:v>
      </x:c>
      <x:c r="F157" s="419">
        <x:v>22949489.68</x:v>
      </x:c>
      <x:c r="G157" s="416">
        <x:f t="shared" si="77"/>
        <x:v>8032321.3879999993</x:v>
      </x:c>
      <x:c r="H157" s="419">
        <x:v>1950706.6228</x:v>
      </x:c>
      <x:c r="I157" s="416">
        <x:f t="shared" si="78"/>
        <x:v>-682747.31797999993</x:v>
      </x:c>
      <x:c r="J157" s="416">
        <x:f t="shared" si="79"/>
        <x:v>9300280.6928199995</x:v>
      </x:c>
      <x:c r="K157" s="437"/>
      <x:c r="L157" s="419">
        <x:f t="shared" si="80"/>
        <x:v>22949489.68</x:v>
      </x:c>
      <x:c r="M157" s="416">
        <x:f t="shared" si="81"/>
        <x:v>4819392.8328</x:v>
      </x:c>
      <x:c r="N157" s="419">
        <x:v>1950706.6228</x:v>
      </x:c>
      <x:c r="O157" s="416">
        <x:f t="shared" si="82"/>
        <x:v>-409648.39078799996</x:v>
      </x:c>
      <x:c r="P157" s="416">
        <x:f t="shared" si="83"/>
        <x:v>6360451.0648119999</x:v>
      </x:c>
      <x:c r="Q157" s="416"/>
      <x:c r="R157" s="416">
        <x:f t="shared" si="84"/>
        <x:v>2939829.6280079996</x:v>
      </x:c>
      <x:c r="S157" s="437"/>
      <x:c r="T157" s="419">
        <x:v>0</x:v>
      </x:c>
      <x:c r="U157" s="437"/>
      <x:c r="V157" s="419">
        <x:v>0</x:v>
      </x:c>
      <x:c r="W157" s="437"/>
      <x:c r="X157" s="416">
        <x:f t="shared" si="85"/>
        <x:v>2939829.6280079996</x:v>
      </x:c>
      <x:c r="Y157" s="418"/>
      <x:c r="Z157" s="304" t="s">
        <x:v>1738</x:v>
      </x:c>
      <x:c r="AA157" s="417"/>
      <x:c r="AB157" s="304" t="s">
        <x:v>1737</x:v>
      </x:c>
      <x:c r="AC157" s="417"/>
      <x:c r="AD157" s="1050">
        <x:v>0</x:v>
      </x:c>
      <x:c r="AE157" s="417"/>
      <x:c r="AF157" s="416">
        <x:f t="shared" si="86"/>
        <x:v>0</x:v>
      </x:c>
      <x:c r="AG157" s="167"/>
      <x:c r="AH157" s="183">
        <x:v>283</x:v>
      </x:c>
      <x:c r="AI157" s="183"/>
    </x:row>
    <x:row r="158" spans="2:35">
      <x:c r="B158" s="183">
        <x:f t="shared" si="76"/>
        <x:v>142</x:v>
      </x:c>
      <x:c r="C158" s="296" t="s">
        <x:v>1721</x:v>
      </x:c>
      <x:c r="D158" s="296" t="s">
        <x:v>1614</x:v>
      </x:c>
      <x:c r="E158" s="296" t="s">
        <x:v>1248</x:v>
      </x:c>
      <x:c r="F158" s="419">
        <x:v>392189</x:v>
      </x:c>
      <x:c r="G158" s="416">
        <x:f t="shared" si="77"/>
        <x:v>137266.15</x:v>
      </x:c>
      <x:c r="H158" s="419">
        <x:v>33336.065000000002</x:v>
      </x:c>
      <x:c r="I158" s="416">
        <x:f t="shared" si="78"/>
        <x:v>-11667.62275</x:v>
      </x:c>
      <x:c r="J158" s="416">
        <x:f t="shared" si="79"/>
        <x:v>158934.59224999999</x:v>
      </x:c>
      <x:c r="K158" s="437"/>
      <x:c r="L158" s="419">
        <x:f t="shared" si="80"/>
        <x:v>392189</x:v>
      </x:c>
      <x:c r="M158" s="416">
        <x:f t="shared" si="81"/>
        <x:v>82359.69</x:v>
      </x:c>
      <x:c r="N158" s="419">
        <x:v>33336.065000000002</x:v>
      </x:c>
      <x:c r="O158" s="416">
        <x:f t="shared" si="82"/>
        <x:v>-7000.5736500000003</x:v>
      </x:c>
      <x:c r="P158" s="416">
        <x:f t="shared" si="83"/>
        <x:v>108695.18135</x:v>
      </x:c>
      <x:c r="Q158" s="416"/>
      <x:c r="R158" s="416">
        <x:f t="shared" si="84"/>
        <x:v>50239.410899999988</x:v>
      </x:c>
      <x:c r="S158" s="437"/>
      <x:c r="T158" s="419">
        <x:v>0</x:v>
      </x:c>
      <x:c r="U158" s="437"/>
      <x:c r="V158" s="419">
        <x:v>0</x:v>
      </x:c>
      <x:c r="W158" s="437"/>
      <x:c r="X158" s="416">
        <x:f t="shared" si="85"/>
        <x:v>50239.410899999988</x:v>
      </x:c>
      <x:c r="Y158" s="418"/>
      <x:c r="Z158" s="304" t="s">
        <x:v>1735</x:v>
      </x:c>
      <x:c r="AA158" s="417"/>
      <x:c r="AB158" s="304" t="s">
        <x:v>1734</x:v>
      </x:c>
      <x:c r="AC158" s="417"/>
      <x:c r="AD158" s="1050">
        <x:v>0</x:v>
      </x:c>
      <x:c r="AE158" s="417"/>
      <x:c r="AF158" s="416">
        <x:f t="shared" si="86"/>
        <x:v>0</x:v>
      </x:c>
      <x:c r="AG158" s="167"/>
      <x:c r="AH158" s="183">
        <x:v>283</x:v>
      </x:c>
      <x:c r="AI158" s="183"/>
    </x:row>
    <x:row r="159" spans="2:35">
      <x:c r="B159" s="183">
        <x:f t="shared" si="76"/>
        <x:v>143</x:v>
      </x:c>
      <x:c r="C159" s="296" t="s">
        <x:v>1722</x:v>
      </x:c>
      <x:c r="D159" s="296" t="s">
        <x:v>1614</x:v>
      </x:c>
      <x:c r="E159" s="296" t="s">
        <x:v>1248</x:v>
      </x:c>
      <x:c r="F159" s="419">
        <x:v>-45151.92</x:v>
      </x:c>
      <x:c r="G159" s="416">
        <x:f t="shared" si="77"/>
        <x:v>-15803.171999999999</x:v>
      </x:c>
      <x:c r="H159" s="419">
        <x:v>-3837.9132</x:v>
      </x:c>
      <x:c r="I159" s="416">
        <x:f t="shared" si="78"/>
        <x:v>1343.2696199999998</x:v>
      </x:c>
      <x:c r="J159" s="416">
        <x:f t="shared" si="79"/>
        <x:v>-18297.815579999999</x:v>
      </x:c>
      <x:c r="K159" s="437"/>
      <x:c r="L159" s="419">
        <x:f t="shared" si="80"/>
        <x:v>-45151.92</x:v>
      </x:c>
      <x:c r="M159" s="416">
        <x:f t="shared" si="81"/>
        <x:v>-9481.9031999999988</x:v>
      </x:c>
      <x:c r="N159" s="419">
        <x:v>-3837.9132</x:v>
      </x:c>
      <x:c r="O159" s="416">
        <x:f t="shared" si="82"/>
        <x:v>805.961772</x:v>
      </x:c>
      <x:c r="P159" s="416">
        <x:f t="shared" si="83"/>
        <x:v>-12513.854627999999</x:v>
      </x:c>
      <x:c r="Q159" s="416"/>
      <x:c r="R159" s="416">
        <x:f t="shared" si="84"/>
        <x:v>-5783.9609519999995</x:v>
      </x:c>
      <x:c r="S159" s="437"/>
      <x:c r="T159" s="419">
        <x:v>0</x:v>
      </x:c>
      <x:c r="U159" s="437"/>
      <x:c r="V159" s="419">
        <x:v>0</x:v>
      </x:c>
      <x:c r="W159" s="437"/>
      <x:c r="X159" s="416">
        <x:f t="shared" si="85"/>
        <x:v>-5783.9609519999995</x:v>
      </x:c>
      <x:c r="Y159" s="418"/>
      <x:c r="Z159" s="304" t="s">
        <x:v>1735</x:v>
      </x:c>
      <x:c r="AA159" s="417"/>
      <x:c r="AB159" s="304" t="s">
        <x:v>1734</x:v>
      </x:c>
      <x:c r="AC159" s="417"/>
      <x:c r="AD159" s="1050">
        <x:v>0</x:v>
      </x:c>
      <x:c r="AE159" s="417"/>
      <x:c r="AF159" s="416">
        <x:f t="shared" si="86"/>
        <x:v>0</x:v>
      </x:c>
      <x:c r="AG159" s="167"/>
      <x:c r="AH159" s="183">
        <x:v>283</x:v>
      </x:c>
      <x:c r="AI159" s="183"/>
    </x:row>
    <x:row r="160" spans="2:35">
      <x:c r="B160" s="183">
        <x:f t="shared" si="76"/>
        <x:v>144</x:v>
      </x:c>
      <x:c r="C160" s="296" t="s">
        <x:v>1723</x:v>
      </x:c>
      <x:c r="D160" s="296" t="s">
        <x:v>1614</x:v>
      </x:c>
      <x:c r="E160" s="296" t="s">
        <x:v>1248</x:v>
      </x:c>
      <x:c r="F160" s="419">
        <x:v>-1069750</x:v>
      </x:c>
      <x:c r="G160" s="416">
        <x:f t="shared" si="77"/>
        <x:v>-374412.5</x:v>
      </x:c>
      <x:c r="H160" s="419">
        <x:v>-90928.75</x:v>
      </x:c>
      <x:c r="I160" s="416">
        <x:f t="shared" si="78"/>
        <x:v>31825.062499999996</x:v>
      </x:c>
      <x:c r="J160" s="416">
        <x:f t="shared" si="79"/>
        <x:v>-433516.1875</x:v>
      </x:c>
      <x:c r="K160" s="437"/>
      <x:c r="L160" s="419">
        <x:f t="shared" si="80"/>
        <x:v>-1069750</x:v>
      </x:c>
      <x:c r="M160" s="416">
        <x:f t="shared" si="81"/>
        <x:v>-224647.5</x:v>
      </x:c>
      <x:c r="N160" s="419">
        <x:v>-90928.75</x:v>
      </x:c>
      <x:c r="O160" s="416">
        <x:f t="shared" si="82"/>
        <x:v>19095.037499999999</x:v>
      </x:c>
      <x:c r="P160" s="416">
        <x:f t="shared" si="83"/>
        <x:v>-296481.21250000002</x:v>
      </x:c>
      <x:c r="Q160" s="416"/>
      <x:c r="R160" s="416">
        <x:f t="shared" si="84"/>
        <x:v>-137034.97499999998</x:v>
      </x:c>
      <x:c r="S160" s="437"/>
      <x:c r="T160" s="419">
        <x:v>0</x:v>
      </x:c>
      <x:c r="U160" s="437"/>
      <x:c r="V160" s="419">
        <x:v>0</x:v>
      </x:c>
      <x:c r="W160" s="437"/>
      <x:c r="X160" s="416">
        <x:f t="shared" si="85"/>
        <x:v>-137034.97499999998</x:v>
      </x:c>
      <x:c r="Y160" s="418"/>
      <x:c r="Z160" s="304" t="s">
        <x:v>1735</x:v>
      </x:c>
      <x:c r="AA160" s="417"/>
      <x:c r="AB160" s="304" t="s">
        <x:v>1734</x:v>
      </x:c>
      <x:c r="AC160" s="417"/>
      <x:c r="AD160" s="1050">
        <x:v>0</x:v>
      </x:c>
      <x:c r="AE160" s="417"/>
      <x:c r="AF160" s="416">
        <x:f t="shared" si="86"/>
        <x:v>0</x:v>
      </x:c>
      <x:c r="AG160" s="167"/>
      <x:c r="AH160" s="183">
        <x:v>283</x:v>
      </x:c>
      <x:c r="AI160" s="183"/>
    </x:row>
    <x:row r="161" spans="2:35">
      <x:c r="B161" s="183">
        <x:f t="shared" si="76"/>
        <x:v>145</x:v>
      </x:c>
      <x:c r="C161" s="296" t="s">
        <x:v>1724</x:v>
      </x:c>
      <x:c r="D161" s="296" t="s">
        <x:v>1614</x:v>
      </x:c>
      <x:c r="E161" s="296" t="s">
        <x:v>1248</x:v>
      </x:c>
      <x:c r="F161" s="419">
        <x:v>265986.48</x:v>
      </x:c>
      <x:c r="G161" s="416">
        <x:f t="shared" si="77"/>
        <x:v>93095.267999999982</x:v>
      </x:c>
      <x:c r="H161" s="419">
        <x:v>22608.8508</x:v>
      </x:c>
      <x:c r="I161" s="416">
        <x:f t="shared" si="78"/>
        <x:v>-7913.0977799999991</x:v>
      </x:c>
      <x:c r="J161" s="416">
        <x:f t="shared" si="79"/>
        <x:v>107791.02101999999</x:v>
      </x:c>
      <x:c r="K161" s="437"/>
      <x:c r="L161" s="419">
        <x:f t="shared" si="80"/>
        <x:v>265986.48</x:v>
      </x:c>
      <x:c r="M161" s="416">
        <x:f t="shared" si="81"/>
        <x:v>55857.160799999991</x:v>
      </x:c>
      <x:c r="N161" s="419">
        <x:v>22608.8508</x:v>
      </x:c>
      <x:c r="O161" s="416">
        <x:f t="shared" si="82"/>
        <x:v>-4747.8586679999999</x:v>
      </x:c>
      <x:c r="P161" s="416">
        <x:f t="shared" si="83"/>
        <x:v>73718.152931999997</x:v>
      </x:c>
      <x:c r="Q161" s="416"/>
      <x:c r="R161" s="416">
        <x:f t="shared" si="84"/>
        <x:v>34072.868087999988</x:v>
      </x:c>
      <x:c r="S161" s="437"/>
      <x:c r="T161" s="419">
        <x:v>0</x:v>
      </x:c>
      <x:c r="U161" s="437"/>
      <x:c r="V161" s="419">
        <x:v>0</x:v>
      </x:c>
      <x:c r="W161" s="437"/>
      <x:c r="X161" s="416">
        <x:f t="shared" si="85"/>
        <x:v>34072.868087999988</x:v>
      </x:c>
      <x:c r="Y161" s="418"/>
      <x:c r="Z161" s="304" t="s">
        <x:v>1738</x:v>
      </x:c>
      <x:c r="AA161" s="417"/>
      <x:c r="AB161" s="304" t="s">
        <x:v>1737</x:v>
      </x:c>
      <x:c r="AC161" s="417"/>
      <x:c r="AD161" s="1050">
        <x:v>0</x:v>
      </x:c>
      <x:c r="AE161" s="417"/>
      <x:c r="AF161" s="416">
        <x:f t="shared" si="86"/>
        <x:v>0</x:v>
      </x:c>
      <x:c r="AG161" s="167"/>
      <x:c r="AH161" s="183">
        <x:v>283</x:v>
      </x:c>
      <x:c r="AI161" s="183"/>
    </x:row>
    <x:row r="162" spans="2:35">
      <x:c r="B162" s="183">
        <x:f t="shared" si="76"/>
        <x:v>146</x:v>
      </x:c>
      <x:c r="C162" s="296" t="s">
        <x:v>1725</x:v>
      </x:c>
      <x:c r="D162" s="296" t="s">
        <x:v>1614</x:v>
      </x:c>
      <x:c r="E162" s="296" t="s">
        <x:v>1248</x:v>
      </x:c>
      <x:c r="F162" s="419">
        <x:v>85416.6</x:v>
      </x:c>
      <x:c r="G162" s="416">
        <x:f t="shared" si="77"/>
        <x:v>29895.81</x:v>
      </x:c>
      <x:c r="H162" s="419">
        <x:v>7260.411000000001</x:v>
      </x:c>
      <x:c r="I162" s="416">
        <x:f t="shared" si="78"/>
        <x:v>-2541.1438500000004</x:v>
      </x:c>
      <x:c r="J162" s="416">
        <x:f t="shared" si="79"/>
        <x:v>34615.077150000005</x:v>
      </x:c>
      <x:c r="K162" s="437"/>
      <x:c r="L162" s="419">
        <x:f t="shared" si="80"/>
        <x:v>85416.6</x:v>
      </x:c>
      <x:c r="M162" s="416">
        <x:f t="shared" si="81"/>
        <x:v>17937.486000000001</x:v>
      </x:c>
      <x:c r="N162" s="419">
        <x:v>7260.411000000001</x:v>
      </x:c>
      <x:c r="O162" s="416">
        <x:f t="shared" si="82"/>
        <x:v>-1524.68631</x:v>
      </x:c>
      <x:c r="P162" s="416">
        <x:f t="shared" si="83"/>
        <x:v>23673.21069</x:v>
      </x:c>
      <x:c r="Q162" s="416"/>
      <x:c r="R162" s="416">
        <x:f t="shared" si="84"/>
        <x:v>10941.866460000005</x:v>
      </x:c>
      <x:c r="S162" s="437"/>
      <x:c r="T162" s="419">
        <x:v>0</x:v>
      </x:c>
      <x:c r="U162" s="437"/>
      <x:c r="V162" s="419">
        <x:v>0</x:v>
      </x:c>
      <x:c r="W162" s="437"/>
      <x:c r="X162" s="416">
        <x:f t="shared" si="85"/>
        <x:v>10941.866460000005</x:v>
      </x:c>
      <x:c r="Y162" s="418"/>
      <x:c r="Z162" s="304" t="s">
        <x:v>1735</x:v>
      </x:c>
      <x:c r="AA162" s="417"/>
      <x:c r="AB162" s="304" t="s">
        <x:v>1734</x:v>
      </x:c>
      <x:c r="AC162" s="417"/>
      <x:c r="AD162" s="1050">
        <x:v>0</x:v>
      </x:c>
      <x:c r="AE162" s="417"/>
      <x:c r="AF162" s="416">
        <x:f t="shared" si="86"/>
        <x:v>0</x:v>
      </x:c>
      <x:c r="AG162" s="167"/>
      <x:c r="AH162" s="183">
        <x:v>283</x:v>
      </x:c>
      <x:c r="AI162" s="183"/>
    </x:row>
    <x:row r="163" spans="2:35">
      <x:c r="B163" s="183">
        <x:f t="shared" si="76"/>
        <x:v>147</x:v>
      </x:c>
      <x:c r="C163" s="296" t="s">
        <x:v>1726</x:v>
      </x:c>
      <x:c r="D163" s="296" t="s">
        <x:v>1614</x:v>
      </x:c>
      <x:c r="E163" s="296" t="s">
        <x:v>1248</x:v>
      </x:c>
      <x:c r="F163" s="419">
        <x:v>-2355125.9300000002</x:v>
      </x:c>
      <x:c r="G163" s="416">
        <x:f t="shared" si="77"/>
        <x:v>-824294.07550000004</x:v>
      </x:c>
      <x:c r="H163" s="419">
        <x:v>-200185.70405000003</x:v>
      </x:c>
      <x:c r="I163" s="416">
        <x:f t="shared" si="78"/>
        <x:v>70064.996417500006</x:v>
      </x:c>
      <x:c r="J163" s="416">
        <x:f t="shared" si="79"/>
        <x:v>-954414.78313250013</x:v>
      </x:c>
      <x:c r="K163" s="437"/>
      <x:c r="L163" s="419">
        <x:f t="shared" si="80"/>
        <x:v>-2355125.9300000002</x:v>
      </x:c>
      <x:c r="M163" s="416">
        <x:f t="shared" si="81"/>
        <x:v>-494576.44530000002</x:v>
      </x:c>
      <x:c r="N163" s="419">
        <x:v>-200185.70405000003</x:v>
      </x:c>
      <x:c r="O163" s="416">
        <x:f t="shared" si="82"/>
        <x:v>42038.997850500004</x:v>
      </x:c>
      <x:c r="P163" s="416">
        <x:f t="shared" si="83"/>
        <x:v>-652723.15149950003</x:v>
      </x:c>
      <x:c r="Q163" s="416"/>
      <x:c r="R163" s="416">
        <x:f t="shared" si="84"/>
        <x:v>-301691.6316330001</x:v>
      </x:c>
      <x:c r="S163" s="437"/>
      <x:c r="T163" s="419">
        <x:v>0</x:v>
      </x:c>
      <x:c r="U163" s="437"/>
      <x:c r="V163" s="419">
        <x:v>0</x:v>
      </x:c>
      <x:c r="W163" s="437"/>
      <x:c r="X163" s="416">
        <x:f t="shared" si="85"/>
        <x:v>-301691.6316330001</x:v>
      </x:c>
      <x:c r="Y163" s="418"/>
      <x:c r="Z163" s="304" t="s">
        <x:v>1736</x:v>
      </x:c>
      <x:c r="AA163" s="417"/>
      <x:c r="AB163" s="304" t="s">
        <x:v>1734</x:v>
      </x:c>
      <x:c r="AC163" s="417"/>
      <x:c r="AD163" s="1050">
        <x:v>0</x:v>
      </x:c>
      <x:c r="AE163" s="417"/>
      <x:c r="AF163" s="416">
        <x:f t="shared" si="86"/>
        <x:v>0</x:v>
      </x:c>
      <x:c r="AG163" s="167"/>
      <x:c r="AH163" s="183">
        <x:v>283</x:v>
      </x:c>
      <x:c r="AI163" s="183"/>
    </x:row>
    <x:row r="164" spans="2:35">
      <x:c r="B164" s="183">
        <x:f t="shared" si="76"/>
        <x:v>148</x:v>
      </x:c>
      <x:c r="C164" s="296" t="s">
        <x:v>1727</x:v>
      </x:c>
      <x:c r="D164" s="296" t="s">
        <x:v>1614</x:v>
      </x:c>
      <x:c r="E164" s="296" t="s">
        <x:v>1248</x:v>
      </x:c>
      <x:c r="F164" s="419">
        <x:v>-1043276.76</x:v>
      </x:c>
      <x:c r="G164" s="416">
        <x:f t="shared" si="77"/>
        <x:v>-365146.86599999998</x:v>
      </x:c>
      <x:c r="H164" s="419">
        <x:v>-88678.524600000004</x:v>
      </x:c>
      <x:c r="I164" s="416">
        <x:f t="shared" si="78"/>
        <x:v>31037.483609999999</x:v>
      </x:c>
      <x:c r="J164" s="416">
        <x:f t="shared" si="79"/>
        <x:v>-422787.90698999999</x:v>
      </x:c>
      <x:c r="K164" s="437"/>
      <x:c r="L164" s="419">
        <x:f t="shared" si="80"/>
        <x:v>-1043276.76</x:v>
      </x:c>
      <x:c r="M164" s="416">
        <x:f t="shared" si="81"/>
        <x:v>-219088.11960000001</x:v>
      </x:c>
      <x:c r="N164" s="419">
        <x:v>-88678.524600000004</x:v>
      </x:c>
      <x:c r="O164" s="416">
        <x:f t="shared" si="82"/>
        <x:v>18622.490166</x:v>
      </x:c>
      <x:c r="P164" s="416">
        <x:f t="shared" si="83"/>
        <x:v>-289144.15403400001</x:v>
      </x:c>
      <x:c r="Q164" s="416"/>
      <x:c r="R164" s="416">
        <x:f t="shared" si="84"/>
        <x:v>-133643.75295599998</x:v>
      </x:c>
      <x:c r="S164" s="437"/>
      <x:c r="T164" s="419">
        <x:v>0</x:v>
      </x:c>
      <x:c r="U164" s="437"/>
      <x:c r="V164" s="419">
        <x:v>0</x:v>
      </x:c>
      <x:c r="W164" s="437"/>
      <x:c r="X164" s="416">
        <x:f t="shared" si="85"/>
        <x:v>-133643.75295599998</x:v>
      </x:c>
      <x:c r="Y164" s="418"/>
      <x:c r="Z164" s="304" t="s">
        <x:v>1735</x:v>
      </x:c>
      <x:c r="AA164" s="417"/>
      <x:c r="AB164" s="304" t="s">
        <x:v>1734</x:v>
      </x:c>
      <x:c r="AC164" s="417"/>
      <x:c r="AD164" s="1050">
        <x:v>0</x:v>
      </x:c>
      <x:c r="AE164" s="417"/>
      <x:c r="AF164" s="416">
        <x:f t="shared" si="86"/>
        <x:v>0</x:v>
      </x:c>
      <x:c r="AG164" s="167"/>
      <x:c r="AH164" s="183">
        <x:v>283</x:v>
      </x:c>
      <x:c r="AI164" s="183"/>
    </x:row>
    <x:row r="165" spans="2:35">
      <x:c r="B165" s="183">
        <x:f t="shared" si="76"/>
        <x:v>149</x:v>
      </x:c>
      <x:c r="C165" s="296" t="s">
        <x:v>1728</x:v>
      </x:c>
      <x:c r="D165" s="296" t="s">
        <x:v>1614</x:v>
      </x:c>
      <x:c r="E165" s="296" t="s">
        <x:v>1248</x:v>
      </x:c>
      <x:c r="F165" s="419">
        <x:v>-6566664.9500000002</x:v>
      </x:c>
      <x:c r="G165" s="416">
        <x:f t="shared" si="77"/>
        <x:v>-2298332.7324999999</x:v>
      </x:c>
      <x:c r="H165" s="419">
        <x:v>-558166.52075000003</x:v>
      </x:c>
      <x:c r="I165" s="416">
        <x:f t="shared" si="78"/>
        <x:v>195358.2822625</x:v>
      </x:c>
      <x:c r="J165" s="416">
        <x:f t="shared" si="79"/>
        <x:v>-2661140.9709875002</x:v>
      </x:c>
      <x:c r="K165" s="437"/>
      <x:c r="L165" s="419">
        <x:f t="shared" si="80"/>
        <x:v>-6566664.9500000002</x:v>
      </x:c>
      <x:c r="M165" s="416">
        <x:f t="shared" si="81"/>
        <x:v>-1378999.6395</x:v>
      </x:c>
      <x:c r="N165" s="419">
        <x:v>-558166.52075000003</x:v>
      </x:c>
      <x:c r="O165" s="416">
        <x:f t="shared" si="82"/>
        <x:v>117214.9693575</x:v>
      </x:c>
      <x:c r="P165" s="416">
        <x:f t="shared" si="83"/>
        <x:v>-1819951.1908925001</x:v>
      </x:c>
      <x:c r="Q165" s="416"/>
      <x:c r="R165" s="416">
        <x:f t="shared" si="84"/>
        <x:v>-841189.78009500005</x:v>
      </x:c>
      <x:c r="S165" s="437"/>
      <x:c r="T165" s="419">
        <x:v>0</x:v>
      </x:c>
      <x:c r="U165" s="437"/>
      <x:c r="V165" s="419">
        <x:v>0</x:v>
      </x:c>
      <x:c r="W165" s="437"/>
      <x:c r="X165" s="416">
        <x:f t="shared" si="85"/>
        <x:v>-841189.78009500005</x:v>
      </x:c>
      <x:c r="Y165" s="418"/>
      <x:c r="Z165" s="304" t="s">
        <x:v>1735</x:v>
      </x:c>
      <x:c r="AA165" s="417"/>
      <x:c r="AB165" s="304" t="s">
        <x:v>1734</x:v>
      </x:c>
      <x:c r="AC165" s="417"/>
      <x:c r="AD165" s="1050">
        <x:v>0</x:v>
      </x:c>
      <x:c r="AE165" s="417"/>
      <x:c r="AF165" s="416">
        <x:f t="shared" si="86"/>
        <x:v>0</x:v>
      </x:c>
      <x:c r="AG165" s="167"/>
      <x:c r="AH165" s="183">
        <x:v>283</x:v>
      </x:c>
      <x:c r="AI165" s="183"/>
    </x:row>
    <x:row r="166" spans="2:35">
      <x:c r="B166" s="183">
        <x:f t="shared" si="76"/>
        <x:v>150</x:v>
      </x:c>
      <x:c r="C166" s="296" t="s">
        <x:v>1729</x:v>
      </x:c>
      <x:c r="D166" s="296" t="s">
        <x:v>1614</x:v>
      </x:c>
      <x:c r="E166" s="296" t="s">
        <x:v>1248</x:v>
      </x:c>
      <x:c r="F166" s="419">
        <x:v>-3421999.71</x:v>
      </x:c>
      <x:c r="G166" s="416">
        <x:f t="shared" si="77"/>
        <x:v>-1197699.8984999999</x:v>
      </x:c>
      <x:c r="H166" s="419">
        <x:v>-290869.97535000002</x:v>
      </x:c>
      <x:c r="I166" s="416">
        <x:f t="shared" si="78"/>
        <x:v>101804.49137250001</x:v>
      </x:c>
      <x:c r="J166" s="416">
        <x:f t="shared" si="79"/>
        <x:v>-1386765.3824774998</x:v>
      </x:c>
      <x:c r="K166" s="437"/>
      <x:c r="L166" s="419">
        <x:f t="shared" si="80"/>
        <x:v>-3421999.71</x:v>
      </x:c>
      <x:c r="M166" s="416">
        <x:f t="shared" si="81"/>
        <x:v>-718619.93909999996</x:v>
      </x:c>
      <x:c r="N166" s="419">
        <x:v>-290869.97535000002</x:v>
      </x:c>
      <x:c r="O166" s="416">
        <x:f t="shared" si="82"/>
        <x:v>61082.694823500002</x:v>
      </x:c>
      <x:c r="P166" s="416">
        <x:f t="shared" si="83"/>
        <x:v>-948407.21962650004</x:v>
      </x:c>
      <x:c r="Q166" s="416"/>
      <x:c r="R166" s="416">
        <x:f t="shared" si="84"/>
        <x:v>-438358.16285099974</x:v>
      </x:c>
      <x:c r="S166" s="437"/>
      <x:c r="T166" s="419">
        <x:v>0</x:v>
      </x:c>
      <x:c r="U166" s="437"/>
      <x:c r="V166" s="419">
        <x:v>0</x:v>
      </x:c>
      <x:c r="W166" s="437"/>
      <x:c r="X166" s="416">
        <x:f t="shared" si="85"/>
        <x:v>-438358.16285099974</x:v>
      </x:c>
      <x:c r="Y166" s="418"/>
      <x:c r="Z166" s="304" t="s">
        <x:v>1736</x:v>
      </x:c>
      <x:c r="AA166" s="417"/>
      <x:c r="AB166" s="304" t="s">
        <x:v>1734</x:v>
      </x:c>
      <x:c r="AC166" s="417"/>
      <x:c r="AD166" s="1050">
        <x:v>0</x:v>
      </x:c>
      <x:c r="AE166" s="417"/>
      <x:c r="AF166" s="416">
        <x:f t="shared" si="86"/>
        <x:v>0</x:v>
      </x:c>
      <x:c r="AG166" s="167"/>
      <x:c r="AH166" s="183">
        <x:v>283</x:v>
      </x:c>
      <x:c r="AI166" s="183"/>
    </x:row>
    <x:row r="167" spans="2:35">
      <x:c r="B167" s="183">
        <x:f t="shared" si="76"/>
        <x:v>151</x:v>
      </x:c>
      <x:c r="C167" s="296" t="s">
        <x:v>1730</x:v>
      </x:c>
      <x:c r="D167" s="296" t="s">
        <x:v>1614</x:v>
      </x:c>
      <x:c r="E167" s="296" t="s">
        <x:v>1248</x:v>
      </x:c>
      <x:c r="F167" s="419">
        <x:v>-495686.6</x:v>
      </x:c>
      <x:c r="G167" s="416">
        <x:f t="shared" si="77"/>
        <x:v>-173490.30999999997</x:v>
      </x:c>
      <x:c r="H167" s="419">
        <x:v>-42133.361000000004</x:v>
      </x:c>
      <x:c r="I167" s="416">
        <x:f t="shared" si="78"/>
        <x:v>14746.67635</x:v>
      </x:c>
      <x:c r="J167" s="416">
        <x:f t="shared" si="79"/>
        <x:v>-200876.99464999998</x:v>
      </x:c>
      <x:c r="K167" s="437"/>
      <x:c r="L167" s="419">
        <x:f t="shared" si="80"/>
        <x:v>-495686.6</x:v>
      </x:c>
      <x:c r="M167" s="416">
        <x:f t="shared" si="81"/>
        <x:v>-104094.18599999999</x:v>
      </x:c>
      <x:c r="N167" s="419">
        <x:v>-42133.361000000004</x:v>
      </x:c>
      <x:c r="O167" s="416">
        <x:f t="shared" si="82"/>
        <x:v>8848.0058100000006</x:v>
      </x:c>
      <x:c r="P167" s="416">
        <x:f t="shared" si="83"/>
        <x:v>-137379.54118999999</x:v>
      </x:c>
      <x:c r="Q167" s="416"/>
      <x:c r="R167" s="416">
        <x:f t="shared" si="84"/>
        <x:v>-63497.45345999999</x:v>
      </x:c>
      <x:c r="S167" s="437"/>
      <x:c r="T167" s="419">
        <x:v>0</x:v>
      </x:c>
      <x:c r="U167" s="437"/>
      <x:c r="V167" s="419">
        <x:v>0</x:v>
      </x:c>
      <x:c r="W167" s="437"/>
      <x:c r="X167" s="416">
        <x:f t="shared" si="85"/>
        <x:v>-63497.45345999999</x:v>
      </x:c>
      <x:c r="Y167" s="418"/>
      <x:c r="Z167" s="304" t="s">
        <x:v>1735</x:v>
      </x:c>
      <x:c r="AA167" s="417"/>
      <x:c r="AB167" s="304" t="s">
        <x:v>1734</x:v>
      </x:c>
      <x:c r="AC167" s="417"/>
      <x:c r="AD167" s="1050">
        <x:v>0</x:v>
      </x:c>
      <x:c r="AE167" s="417"/>
      <x:c r="AF167" s="416">
        <x:f t="shared" si="86"/>
        <x:v>0</x:v>
      </x:c>
      <x:c r="AG167" s="167"/>
      <x:c r="AH167" s="183">
        <x:v>283</x:v>
      </x:c>
      <x:c r="AI167" s="183"/>
    </x:row>
    <x:row r="168" spans="2:35">
      <x:c r="B168" s="183">
        <x:f t="shared" si="76"/>
        <x:v>152</x:v>
      </x:c>
      <x:c r="C168" s="296" t="s">
        <x:v>1731</x:v>
      </x:c>
      <x:c r="D168" s="296" t="s">
        <x:v>1614</x:v>
      </x:c>
      <x:c r="E168" s="296" t="s">
        <x:v>1248</x:v>
      </x:c>
      <x:c r="F168" s="419">
        <x:v>3834182.64</x:v>
      </x:c>
      <x:c r="G168" s="416">
        <x:f t="shared" si="77"/>
        <x:v>1341963.9239999999</x:v>
      </x:c>
      <x:c r="H168" s="419">
        <x:v>325905.52440000005</x:v>
      </x:c>
      <x:c r="I168" s="416">
        <x:f t="shared" si="78"/>
        <x:v>-114066.93354000001</x:v>
      </x:c>
      <x:c r="J168" s="416">
        <x:f t="shared" si="79"/>
        <x:v>1553802.5148599998</x:v>
      </x:c>
      <x:c r="K168" s="437"/>
      <x:c r="L168" s="419">
        <x:f t="shared" si="80"/>
        <x:v>3834182.64</x:v>
      </x:c>
      <x:c r="M168" s="416">
        <x:f t="shared" si="81"/>
        <x:v>805178.35439999995</x:v>
      </x:c>
      <x:c r="N168" s="419">
        <x:v>325905.52440000005</x:v>
      </x:c>
      <x:c r="O168" s="416">
        <x:f t="shared" si="82"/>
        <x:v>-68440.160124000002</x:v>
      </x:c>
      <x:c r="P168" s="416">
        <x:f t="shared" si="83"/>
        <x:v>1062643.7186760001</x:v>
      </x:c>
      <x:c r="Q168" s="416"/>
      <x:c r="R168" s="416">
        <x:f t="shared" si="84"/>
        <x:v>491158.79618399963</x:v>
      </x:c>
      <x:c r="S168" s="437"/>
      <x:c r="T168" s="419">
        <x:v>491158.79618400009</x:v>
      </x:c>
      <x:c r="U168" s="437"/>
      <x:c r="V168" s="419">
        <x:v>0</x:v>
      </x:c>
      <x:c r="W168" s="437"/>
      <x:c r="X168" s="416">
        <x:f t="shared" si="85"/>
        <x:v>-4.6566128730773926E-10</x:v>
      </x:c>
      <x:c r="Y168" s="418"/>
      <x:c r="Z168" s="304" t="s">
        <x:v>1736</x:v>
      </x:c>
      <x:c r="AA168" s="417"/>
      <x:c r="AB168" s="304" t="s">
        <x:v>1734</x:v>
      </x:c>
      <x:c r="AC168" s="417"/>
      <x:c r="AD168" s="1050">
        <x:v>0</x:v>
      </x:c>
      <x:c r="AE168" s="417"/>
      <x:c r="AF168" s="416">
        <x:f t="shared" si="86"/>
        <x:v>0</x:v>
      </x:c>
      <x:c r="AG168" s="167"/>
      <x:c r="AH168" s="183">
        <x:v>283</x:v>
      </x:c>
      <x:c r="AI168" s="183"/>
    </x:row>
    <x:row r="169" spans="2:35">
      <x:c r="B169" s="183">
        <x:f t="shared" si="76"/>
        <x:v>153</x:v>
      </x:c>
      <x:c r="C169" s="296" t="s">
        <x:v>1732</x:v>
      </x:c>
      <x:c r="D169" s="296" t="s">
        <x:v>1614</x:v>
      </x:c>
      <x:c r="E169" s="296" t="s">
        <x:v>1248</x:v>
      </x:c>
      <x:c r="F169" s="419">
        <x:v>2662472.04</x:v>
      </x:c>
      <x:c r="G169" s="416">
        <x:f t="shared" si="77"/>
        <x:v>931865.21399999992</x:v>
      </x:c>
      <x:c r="H169" s="419">
        <x:v>226310.12340000001</x:v>
      </x:c>
      <x:c r="I169" s="416">
        <x:f t="shared" si="78"/>
        <x:v>-79208.543189999997</x:v>
      </x:c>
      <x:c r="J169" s="416">
        <x:f t="shared" si="79"/>
        <x:v>1078966.79421</x:v>
      </x:c>
      <x:c r="K169" s="437"/>
      <x:c r="L169" s="419">
        <x:f t="shared" si="80"/>
        <x:v>2662472.04</x:v>
      </x:c>
      <x:c r="M169" s="416">
        <x:f t="shared" si="81"/>
        <x:v>559119.12840000005</x:v>
      </x:c>
      <x:c r="N169" s="419">
        <x:v>226310.12340000001</x:v>
      </x:c>
      <x:c r="O169" s="416">
        <x:f t="shared" si="82"/>
        <x:v>-47525.125914000004</x:v>
      </x:c>
      <x:c r="P169" s="416">
        <x:f t="shared" si="83"/>
        <x:v>737904.12588600011</x:v>
      </x:c>
      <x:c r="Q169" s="416"/>
      <x:c r="R169" s="416">
        <x:f t="shared" si="84"/>
        <x:v>341062.66832399985</x:v>
      </x:c>
      <x:c r="S169" s="437"/>
      <x:c r="T169" s="419">
        <x:v>0</x:v>
      </x:c>
      <x:c r="U169" s="437"/>
      <x:c r="V169" s="419">
        <x:v>0</x:v>
      </x:c>
      <x:c r="W169" s="437"/>
      <x:c r="X169" s="416">
        <x:f t="shared" si="85"/>
        <x:v>341062.66832399985</x:v>
      </x:c>
      <x:c r="Y169" s="418"/>
      <x:c r="Z169" s="304" t="s">
        <x:v>1735</x:v>
      </x:c>
      <x:c r="AA169" s="417"/>
      <x:c r="AB169" s="304" t="s">
        <x:v>1734</x:v>
      </x:c>
      <x:c r="AC169" s="417"/>
      <x:c r="AD169" s="1050">
        <x:v>0</x:v>
      </x:c>
      <x:c r="AE169" s="417"/>
      <x:c r="AF169" s="416">
        <x:f t="shared" si="86"/>
        <x:v>0</x:v>
      </x:c>
      <x:c r="AG169" s="167"/>
      <x:c r="AH169" s="183">
        <x:v>283</x:v>
      </x:c>
      <x:c r="AI169" s="183"/>
    </x:row>
    <x:row r="170" spans="2:35">
      <x:c r="B170" s="183">
        <x:f t="shared" si="76"/>
        <x:v>154</x:v>
      </x:c>
      <x:c r="C170" s="296" t="s">
        <x:v>1733</x:v>
      </x:c>
      <x:c r="D170" s="296" t="s">
        <x:v>1614</x:v>
      </x:c>
      <x:c r="E170" s="296" t="s">
        <x:v>1248</x:v>
      </x:c>
      <x:c r="F170" s="419">
        <x:v>6948.4400000000014</x:v>
      </x:c>
      <x:c r="G170" s="416">
        <x:f t="shared" si="77"/>
        <x:v>2431.9540000000002</x:v>
      </x:c>
      <x:c r="H170" s="419">
        <x:v>0</x:v>
      </x:c>
      <x:c r="I170" s="416">
        <x:f t="shared" si="78"/>
        <x:v>0</x:v>
      </x:c>
      <x:c r="J170" s="416">
        <x:f t="shared" si="79"/>
        <x:v>2431.9540000000002</x:v>
      </x:c>
      <x:c r="K170" s="437"/>
      <x:c r="L170" s="419">
        <x:f>F170</x:f>
        <x:v>6948.4400000000014</x:v>
      </x:c>
      <x:c r="M170" s="416">
        <x:f t="shared" si="81"/>
        <x:v>1459.1724000000002</x:v>
      </x:c>
      <x:c r="N170" s="419">
        <x:v>0</x:v>
      </x:c>
      <x:c r="O170" s="416">
        <x:f t="shared" si="82"/>
        <x:v>0</x:v>
      </x:c>
      <x:c r="P170" s="416">
        <x:f t="shared" si="83"/>
        <x:v>1459.1724000000002</x:v>
      </x:c>
      <x:c r="Q170" s="416"/>
      <x:c r="R170" s="416">
        <x:f t="shared" si="84"/>
        <x:v>972.78160000000003</x:v>
      </x:c>
      <x:c r="S170" s="437"/>
      <x:c r="T170" s="419"/>
      <x:c r="U170" s="437"/>
      <x:c r="V170" s="419">
        <x:v>0</x:v>
      </x:c>
      <x:c r="W170" s="437"/>
      <x:c r="X170" s="416">
        <x:f t="shared" si="85"/>
        <x:v>972.78160000000003</x:v>
      </x:c>
      <x:c r="Y170" s="418"/>
      <x:c r="Z170" s="304" t="s">
        <x:v>1738</x:v>
      </x:c>
      <x:c r="AA170" s="417"/>
      <x:c r="AB170" s="304" t="s">
        <x:v>1737</x:v>
      </x:c>
      <x:c r="AC170" s="417"/>
      <x:c r="AD170" s="1050">
        <x:v>0.32958000000000004</x:v>
      </x:c>
      <x:c r="AE170" s="417"/>
      <x:c r="AF170" s="416">
        <x:f t="shared" si="86"/>
        <x:v>320.60935972800007</x:v>
      </x:c>
      <x:c r="AG170" s="167"/>
      <x:c r="AH170" s="183">
        <x:v>283</x:v>
      </x:c>
      <x:c r="AI170" s="183"/>
    </x:row>
    <x:row r="171" spans="2:35">
      <x:c r="B171" s="183">
        <x:f t="shared" si="76"/>
        <x:v>155</x:v>
      </x:c>
      <x:c r="C171" s="438" t="s">
        <x:v>1312</x:v>
      </x:c>
      <x:c r="D171" s="304"/>
      <x:c r="E171" s="304"/>
      <x:c r="F171" s="439">
        <x:f>SUM(F115:F170)</x:f>
        <x:v>-434497428.26000005</x:v>
      </x:c>
      <x:c r="G171" s="439">
        <x:f>SUM(G115:G170)</x:f>
        <x:v>-152074099.89100003</x:v>
      </x:c>
      <x:c r="H171" s="439">
        <x:f>SUM(H115:H170)</x:f>
        <x:v>-36932872.01949998</x:v>
      </x:c>
      <x:c r="I171" s="439">
        <x:f>SUM(I115:I170)</x:f>
        <x:v>12926505.206824999</x:v>
      </x:c>
      <x:c r="J171" s="439">
        <x:f>SUM(J115:J170)</x:f>
        <x:v>-176080466.703675</x:v>
      </x:c>
      <x:c r="K171" s="440"/>
      <x:c r="L171" s="439">
        <x:f>SUM(L115:L170)</x:f>
        <x:v>-434497428.26000005</x:v>
      </x:c>
      <x:c r="M171" s="439">
        <x:f>SUM(M115:M170)</x:f>
        <x:v>-91244459.93460004</x:v>
      </x:c>
      <x:c r="N171" s="439">
        <x:f>SUM(N115:N170)</x:f>
        <x:v>-36932872.01949998</x:v>
      </x:c>
      <x:c r="O171" s="439">
        <x:f>SUM(O115:O170)</x:f>
        <x:v>7755903.1240950013</x:v>
      </x:c>
      <x:c r="P171" s="439">
        <x:f>SUM(P115:P170)</x:f>
        <x:v>-120421428.83000496</x:v>
      </x:c>
      <x:c r="R171" s="439">
        <x:f>SUM(R115:R170)</x:f>
        <x:v>-55659037.873670004</x:v>
      </x:c>
      <x:c r="S171" s="440"/>
      <x:c r="T171" s="439">
        <x:f>SUM(T115:T170)</x:f>
        <x:v>2104895.1733110002</x:v>
      </x:c>
      <x:c r="U171" s="440"/>
      <x:c r="V171" s="439">
        <x:f>SUM(V115:V170)</x:f>
        <x:v>0</x:v>
      </x:c>
      <x:c r="W171" s="440"/>
      <x:c r="X171" s="439">
        <x:f>SUM(X115:X170)</x:f>
        <x:v>-57763933.046981007</x:v>
      </x:c>
      <x:c r="Y171" s="440"/>
      <x:c r="Z171" s="304"/>
      <x:c r="AA171" s="441"/>
      <x:c r="AB171" s="304"/>
      <x:c r="AC171" s="441"/>
      <x:c r="AD171" s="441"/>
      <x:c r="AE171" s="441"/>
      <x:c r="AF171" s="439">
        <x:f>SUM(AF115:AF170)</x:f>
        <x:v>-2583952.3407537979</x:v>
      </x:c>
      <x:c r="AG171" s="441"/>
      <x:c r="AH171" s="183"/>
      <x:c r="AI171" s="183"/>
    </x:row>
    <x:row r="172" spans="2:35">
      <x:c r="B172" s="183"/>
      <x:c r="D172" s="325"/>
      <x:c r="F172" s="443"/>
      <x:c r="G172" s="443"/>
      <x:c r="H172" s="443"/>
      <x:c r="I172" s="443"/>
      <x:c r="J172" s="443"/>
      <x:c r="K172" s="441"/>
      <x:c r="P172" s="443"/>
      <x:c r="R172" s="443"/>
      <x:c r="S172" s="441"/>
      <x:c r="T172" s="443"/>
      <x:c r="U172" s="441"/>
      <x:c r="V172" s="443"/>
      <x:c r="W172" s="441"/>
      <x:c r="X172" s="443"/>
      <x:c r="Y172" s="441"/>
      <x:c r="AA172" s="441"/>
      <x:c r="AC172" s="441"/>
      <x:c r="AD172" s="441"/>
      <x:c r="AE172" s="441"/>
      <x:c r="AF172" s="443"/>
      <x:c r="AG172" s="441"/>
      <x:c r="AH172" s="326"/>
      <x:c r="AI172" s="326"/>
    </x:row>
    <x:row r="173" spans="2:35" ht="13.5" thickBot="1">
      <x:c r="B173" s="183">
        <x:f>B171+1</x:f>
        <x:v>156</x:v>
      </x:c>
      <x:c r="C173" s="438" t="s">
        <x:v>1313</x:v>
      </x:c>
      <x:c r="D173" s="325"/>
      <x:c r="E173" s="327"/>
      <x:c r="F173" s="444">
        <x:f>F92+F112+F171</x:f>
        <x:v>-3003383190.0100007</x:v>
      </x:c>
      <x:c r="G173" s="444">
        <x:f>G92+G112+G171</x:f>
        <x:v>-1051184116.5035</x:v>
      </x:c>
      <x:c r="H173" s="444">
        <x:f>H92+H112+H171</x:f>
        <x:v>-167736623.35159099</x:v>
      </x:c>
      <x:c r="I173" s="444">
        <x:f>I92+I112+I171</x:f>
        <x:v>58707818.173056871</x:v>
      </x:c>
      <x:c r="J173" s="444">
        <x:f>J92+J112+J171</x:f>
        <x:v>-1160212921.6820345</x:v>
      </x:c>
      <x:c r="K173" s="441"/>
      <x:c r="L173" s="444">
        <x:f>L92+L112+L171</x:f>
        <x:v>-2460213114.5108066</x:v>
      </x:c>
      <x:c r="M173" s="444">
        <x:f>M92+M112+M171</x:f>
        <x:v>-516644754.04726917</x:v>
      </x:c>
      <x:c r="N173" s="444">
        <x:f>N92+N112+N171</x:f>
        <x:v>-121567166.93415949</x:v>
      </x:c>
      <x:c r="O173" s="444">
        <x:f>O92+O112+O171</x:f>
        <x:v>25529105.056173503</x:v>
      </x:c>
      <x:c r="P173" s="444">
        <x:f>P92+P112+P171</x:f>
        <x:v>-612682815.92525518</x:v>
      </x:c>
      <x:c r="R173" s="444">
        <x:f>R92+R112+R171</x:f>
        <x:v>-547530105.75677896</x:v>
      </x:c>
      <x:c r="S173" s="441"/>
      <x:c r="T173" s="444">
        <x:f>T92+T112+T171</x:f>
        <x:v>-105818260.97758481</x:v>
      </x:c>
      <x:c r="U173" s="441"/>
      <x:c r="V173" s="444">
        <x:f>V92+V112+V171</x:f>
        <x:v>-162064307.34658164</x:v>
      </x:c>
      <x:c r="W173" s="441"/>
      <x:c r="X173" s="444">
        <x:f>X92+X112+X171</x:f>
        <x:v>-279647537.43261254</x:v>
      </x:c>
      <x:c r="Y173" s="441"/>
      <x:c r="Z173" s="327"/>
      <x:c r="AA173" s="441"/>
      <x:c r="AB173" s="327"/>
      <x:c r="AC173" s="441"/>
      <x:c r="AD173" s="441"/>
      <x:c r="AE173" s="441"/>
      <x:c r="AF173" s="444">
        <x:f>AF92+AF112+AF171</x:f>
        <x:v>-82894078.959160656</x:v>
      </x:c>
      <x:c r="AG173" s="441"/>
      <x:c r="AH173" s="326"/>
      <x:c r="AI173" s="326"/>
    </x:row>
    <x:row r="174" spans="2:35" ht="15.75" customHeight="1" thickTop="1">
      <x:c r="F174" s="443"/>
      <x:c r="G174" s="443"/>
      <x:c r="H174" s="443"/>
      <x:c r="I174" s="443"/>
    </x:row>
    <x:row r="175" spans="2:35" ht="15.75" customHeight="1">
      <x:c r="F175" s="443"/>
      <x:c r="G175" s="443"/>
      <x:c r="H175" s="443"/>
      <x:c r="I175" s="443"/>
    </x:row>
    <x:row r="176" spans="2:35">
      <x:c r="F176" s="443"/>
      <x:c r="G176" s="443"/>
      <x:c r="H176" s="443"/>
      <x:c r="I176" s="443"/>
      <x:c r="V176" s="328" t="s">
        <x:v>1254</x:v>
      </x:c>
      <x:c r="X176" s="297">
        <x:f>SUMIF($E:$E,$V$176,X:X)</x:f>
        <x:v>-95853322.601287723</x:v>
      </x:c>
      <x:c r="AF176" s="297">
        <x:f>SUMIF($E:$E,$V$176,AF:AF)</x:f>
        <x:v>-31591338.062932417</x:v>
      </x:c>
    </x:row>
    <x:row r="177" spans="1:35" ht="15.75" customHeight="1">
      <x:c r="B177" s="327"/>
      <x:c r="V177" s="329"/>
      <x:c r="X177" s="424"/>
      <x:c r="AF177" s="424"/>
    </x:row>
    <x:row r="178" spans="1:35">
      <x:c r="V178" s="328" t="s">
        <x:v>1252</x:v>
      </x:c>
      <x:c r="X178" s="424">
        <x:f>SUMIF($E:$E,$V$178,X:X)</x:f>
        <x:v>-127546724.80523546</x:v>
      </x:c>
      <x:c r="AF178" s="424">
        <x:f>SUMIF($E:$E,$V$178,AF:AF)</x:f>
        <x:v>-46442704.063265227</x:v>
      </x:c>
    </x:row>
    <x:row r="179" spans="1:35" ht="15.75" customHeight="1">
      <x:c r="V179" s="328" t="s">
        <x:v>1248</x:v>
      </x:c>
      <x:c r="X179" s="424">
        <x:f>SUMIF($E:$E,$V$179,X:X)</x:f>
        <x:v>-56247490.026089348</x:v>
      </x:c>
      <x:c r="AF179" s="424">
        <x:f>SUMIF($E:$E,$V$179,AF:AF)</x:f>
        <x:v>-4860036.8329630112</x:v>
      </x:c>
    </x:row>
    <x:row r="180" spans="1:35" ht="5.0999999999999996" customHeight="1">
      <x:c r="V180" s="167"/>
      <x:c r="X180" s="424"/>
      <x:c r="AF180" s="424"/>
    </x:row>
    <x:row r="181" spans="1:35" ht="15.75" customHeight="1">
      <x:c r="F181" s="1041"/>
      <x:c r="G181" s="1041"/>
      <x:c r="H181" s="1041"/>
      <x:c r="I181" s="1041"/>
      <x:c r="J181" s="1041"/>
      <x:c r="K181" s="1041"/>
      <x:c r="L181" s="1041"/>
      <x:c r="M181" s="1041"/>
      <x:c r="N181" s="1041"/>
      <x:c r="O181" s="1041"/>
      <x:c r="P181" s="1041"/>
      <x:c r="Q181" s="1041"/>
      <x:c r="R181" s="1041"/>
      <x:c r="V181" s="330" t="s">
        <x:v>1314</x:v>
      </x:c>
      <x:c r="X181" s="313">
        <x:f>SUM(X178:X180)</x:f>
        <x:v>-183794214.83132482</x:v>
      </x:c>
      <x:c r="AF181" s="313">
        <x:f>SUM(AF178:AF180)</x:f>
        <x:v>-51302740.896228239</x:v>
      </x:c>
    </x:row>
    <x:row r="182" spans="1:35">
      <x:c r="F182" s="1041"/>
      <x:c r="G182" s="1041"/>
      <x:c r="H182" s="1041"/>
      <x:c r="I182" s="1041"/>
      <x:c r="J182" s="1041"/>
      <x:c r="K182" s="1041"/>
      <x:c r="L182" s="1041"/>
      <x:c r="M182" s="1041"/>
      <x:c r="N182" s="1041"/>
      <x:c r="O182" s="1041"/>
      <x:c r="P182" s="1041"/>
      <x:c r="Q182" s="1041"/>
      <x:c r="R182" s="1041"/>
      <x:c r="V182" s="329"/>
      <x:c r="X182" s="424"/>
      <x:c r="AF182" s="424"/>
    </x:row>
    <x:row r="183" spans="1:35" ht="15.75" customHeight="1" thickBot="1">
      <x:c r="B183" s="331"/>
      <x:c r="V183" s="330" t="s">
        <x:v>1315</x:v>
      </x:c>
      <x:c r="X183" s="316">
        <x:f>X176+X181</x:f>
        <x:v>-279647537.43261254</x:v>
      </x:c>
      <x:c r="AF183" s="316">
        <x:f>AF176+AF181</x:f>
        <x:v>-82894078.959160656</x:v>
      </x:c>
    </x:row>
    <x:row r="184" spans="1:35" ht="15.75" customHeight="1" thickTop="1">
      <x:c r="B184" s="331"/>
      <x:c r="V184" s="330"/>
      <x:c r="X184" s="424"/>
      <x:c r="AF184" s="424"/>
    </x:row>
    <x:row r="185" spans="1:35" ht="15.75" customHeight="1">
      <x:c r="A185" s="204"/>
      <x:c r="B185" s="452" t="s">
        <x:v>1270</x:v>
      </x:c>
      <x:c r="C185" s="204"/>
      <x:c r="D185" s="204"/>
      <x:c r="E185" s="204"/>
      <x:c r="F185" s="204"/>
      <x:c r="G185" s="204"/>
      <x:c r="H185" s="204"/>
      <x:c r="I185" s="204"/>
      <x:c r="J185" s="204"/>
      <x:c r="K185" s="204"/>
      <x:c r="L185" s="204"/>
      <x:c r="M185" s="204"/>
      <x:c r="N185" s="204"/>
      <x:c r="O185" s="204"/>
      <x:c r="P185" s="204"/>
      <x:c r="Q185" s="204"/>
      <x:c r="R185" s="204"/>
      <x:c r="S185" s="204"/>
      <x:c r="T185" s="204"/>
      <x:c r="U185" s="204"/>
      <x:c r="V185" s="204"/>
      <x:c r="W185" s="204"/>
      <x:c r="X185" s="204"/>
      <x:c r="Y185" s="204"/>
      <x:c r="Z185" s="204"/>
      <x:c r="AA185" s="204"/>
      <x:c r="AB185" s="204"/>
      <x:c r="AC185" s="204"/>
      <x:c r="AD185" s="204"/>
      <x:c r="AE185" s="204"/>
      <x:c r="AF185" s="204"/>
      <x:c r="AG185" s="204"/>
      <x:c r="AH185" s="204"/>
      <x:c r="AI185" s="204"/>
    </x:row>
    <x:row r="186" spans="1:35">
      <x:c r="B186" s="332"/>
      <x:c r="C186" s="332"/>
      <x:c r="D186" s="332"/>
      <x:c r="Z186" s="428"/>
      <x:c r="AB186" s="428"/>
      <x:c r="AH186" s="428"/>
      <x:c r="AI186" s="428"/>
    </x:row>
    <x:row r="187" spans="1:35" ht="15.75" customHeight="1">
      <x:c r="B187" s="1631" t="s">
        <x:v>1316</x:v>
      </x:c>
      <x:c r="C187" s="1631"/>
      <x:c r="D187" s="1631"/>
      <x:c r="V187" s="333"/>
      <x:c r="X187" s="416"/>
      <x:c r="AF187" s="416"/>
      <x:c r="AH187" s="428"/>
      <x:c r="AI187" s="430"/>
    </x:row>
    <x:row r="188" spans="1:35" ht="15.75" customHeight="1">
      <x:c r="B188" s="1631"/>
      <x:c r="C188" s="1631"/>
      <x:c r="D188" s="1631"/>
      <x:c r="V188" s="333"/>
      <x:c r="X188" s="416"/>
      <x:c r="AF188" s="416"/>
      <x:c r="AH188" s="428"/>
      <x:c r="AI188" s="430"/>
    </x:row>
    <x:row r="189" spans="1:35" ht="15.75" customHeight="1">
      <x:c r="B189" s="1631"/>
      <x:c r="C189" s="1631"/>
      <x:c r="D189" s="1631"/>
      <x:c r="V189" s="333"/>
      <x:c r="X189" s="416"/>
      <x:c r="AF189" s="416"/>
      <x:c r="AH189" s="428"/>
      <x:c r="AI189" s="430"/>
    </x:row>
    <x:row r="190" spans="1:35" ht="15.75" customHeight="1">
      <x:c r="B190" s="1631"/>
      <x:c r="C190" s="1631"/>
      <x:c r="D190" s="1631"/>
      <x:c r="V190" s="333"/>
      <x:c r="X190" s="416"/>
      <x:c r="AF190" s="416"/>
      <x:c r="AH190" s="428"/>
      <x:c r="AI190" s="430"/>
    </x:row>
    <x:row r="191" spans="1:35" ht="15.75" customHeight="1">
      <x:c r="B191" s="1631"/>
      <x:c r="C191" s="1631"/>
      <x:c r="D191" s="1631"/>
      <x:c r="V191" s="333"/>
      <x:c r="X191" s="416"/>
      <x:c r="AF191" s="416"/>
      <x:c r="AH191" s="428"/>
      <x:c r="AI191" s="430"/>
    </x:row>
    <x:row r="192" spans="1:35" ht="15.75" customHeight="1">
      <x:c r="B192" s="1631"/>
      <x:c r="C192" s="1631"/>
      <x:c r="D192" s="1631"/>
      <x:c r="V192" s="333"/>
      <x:c r="X192" s="416"/>
      <x:c r="AF192" s="416"/>
      <x:c r="AH192" s="428"/>
      <x:c r="AI192" s="430"/>
    </x:row>
    <x:row r="193" spans="1:35" ht="15.75" customHeight="1">
      <x:c r="B193" s="1631"/>
      <x:c r="C193" s="1631"/>
      <x:c r="D193" s="1631"/>
      <x:c r="V193" s="333"/>
      <x:c r="X193" s="416"/>
      <x:c r="AF193" s="416"/>
      <x:c r="AH193" s="428"/>
      <x:c r="AI193" s="430"/>
    </x:row>
    <x:row r="194" spans="1:35" ht="15.75" customHeight="1">
      <x:c r="B194" s="1631"/>
      <x:c r="C194" s="1631"/>
      <x:c r="D194" s="1631"/>
      <x:c r="V194" s="333"/>
      <x:c r="X194" s="416"/>
      <x:c r="AF194" s="416"/>
      <x:c r="AH194" s="428"/>
      <x:c r="AI194" s="430"/>
    </x:row>
    <x:row r="195" spans="1:35" ht="15.75" customHeight="1">
      <x:c r="B195" s="1631"/>
      <x:c r="C195" s="1631"/>
      <x:c r="D195" s="1631"/>
      <x:c r="V195" s="333"/>
      <x:c r="X195" s="416"/>
      <x:c r="AF195" s="416"/>
      <x:c r="AH195" s="428"/>
      <x:c r="AI195" s="430"/>
    </x:row>
    <x:row r="196" spans="1:35" ht="15.75" customHeight="1">
      <x:c r="B196" s="1631"/>
      <x:c r="C196" s="1631"/>
      <x:c r="D196" s="1631"/>
      <x:c r="V196" s="333"/>
      <x:c r="X196" s="416"/>
      <x:c r="AF196" s="416"/>
      <x:c r="AH196" s="428"/>
      <x:c r="AI196" s="430"/>
    </x:row>
    <x:row r="197" spans="1:35">
      <x:c r="B197" s="1631"/>
      <x:c r="C197" s="1631"/>
      <x:c r="D197" s="1631"/>
      <x:c r="V197" s="333"/>
      <x:c r="X197" s="416"/>
      <x:c r="AF197" s="416"/>
      <x:c r="AH197" s="428"/>
      <x:c r="AI197" s="430"/>
    </x:row>
    <x:row r="198" spans="1:35">
      <x:c r="B198" s="1624" t="s">
        <x:v>1317</x:v>
      </x:c>
      <x:c r="C198" s="1624"/>
      <x:c r="D198" s="1624"/>
      <x:c r="E198" s="334"/>
      <x:c r="F198" s="334"/>
      <x:c r="G198" s="334"/>
      <x:c r="H198" s="334"/>
      <x:c r="I198" s="334"/>
      <x:c r="J198" s="334"/>
      <x:c r="K198" s="334"/>
      <x:c r="L198" s="334"/>
      <x:c r="M198" s="334"/>
      <x:c r="N198" s="334"/>
      <x:c r="O198" s="334"/>
      <x:c r="Z198" s="428"/>
      <x:c r="AB198" s="428"/>
      <x:c r="AH198" s="428"/>
      <x:c r="AI198" s="428"/>
    </x:row>
    <x:row r="199" spans="1:35">
      <x:c r="B199" s="1624"/>
      <x:c r="C199" s="1624"/>
      <x:c r="D199" s="1624"/>
      <x:c r="E199" s="334"/>
      <x:c r="F199" s="334"/>
      <x:c r="G199" s="334"/>
      <x:c r="H199" s="334"/>
      <x:c r="I199" s="334"/>
      <x:c r="J199" s="334"/>
      <x:c r="K199" s="334"/>
      <x:c r="L199" s="334"/>
      <x:c r="M199" s="334"/>
      <x:c r="N199" s="334"/>
      <x:c r="O199" s="334"/>
    </x:row>
    <x:row r="200" spans="1:35">
      <x:c r="B200" s="1423"/>
      <x:c r="C200" s="1423"/>
      <x:c r="D200" s="1423"/>
      <x:c r="E200" s="334"/>
      <x:c r="F200" s="334"/>
      <x:c r="G200" s="334"/>
      <x:c r="H200" s="334"/>
      <x:c r="I200" s="334"/>
      <x:c r="J200" s="334"/>
      <x:c r="K200" s="334"/>
      <x:c r="L200" s="334"/>
      <x:c r="M200" s="334"/>
      <x:c r="N200" s="334"/>
      <x:c r="O200" s="334"/>
    </x:row>
    <x:row r="201" spans="1:35" ht="12.75" customHeight="1">
      <x:c r="B201" s="1624" t="s">
        <x:v>1318</x:v>
      </x:c>
      <x:c r="C201" s="1624"/>
      <x:c r="D201" s="1624"/>
      <x:c r="E201" s="334"/>
      <x:c r="F201" s="334"/>
      <x:c r="G201" s="334"/>
      <x:c r="H201" s="334"/>
      <x:c r="I201" s="334"/>
      <x:c r="J201" s="334"/>
      <x:c r="K201" s="334"/>
      <x:c r="L201" s="334"/>
      <x:c r="M201" s="334"/>
      <x:c r="N201" s="334"/>
      <x:c r="O201" s="334"/>
    </x:row>
    <x:row r="202" spans="1:35">
      <x:c r="B202" s="332"/>
      <x:c r="C202" s="332"/>
      <x:c r="D202" s="332"/>
    </x:row>
    <x:row r="203" spans="1:35" ht="15.75" customHeight="1">
      <x:c r="A203" s="204"/>
      <x:c r="B203" s="452" t="s">
        <x:v>848</x:v>
      </x:c>
      <x:c r="C203" s="204"/>
      <x:c r="D203" s="204"/>
      <x:c r="E203" s="204"/>
      <x:c r="F203" s="204"/>
      <x:c r="G203" s="204"/>
      <x:c r="H203" s="204"/>
      <x:c r="I203" s="204"/>
      <x:c r="J203" s="204"/>
      <x:c r="K203" s="204"/>
      <x:c r="L203" s="204"/>
      <x:c r="M203" s="204"/>
      <x:c r="N203" s="204"/>
      <x:c r="O203" s="204"/>
      <x:c r="P203" s="204"/>
      <x:c r="Q203" s="204"/>
      <x:c r="R203" s="204"/>
      <x:c r="S203" s="204"/>
      <x:c r="T203" s="204"/>
      <x:c r="U203" s="204"/>
      <x:c r="V203" s="204"/>
      <x:c r="W203" s="204"/>
      <x:c r="X203" s="204"/>
      <x:c r="Y203" s="204"/>
      <x:c r="Z203" s="204"/>
      <x:c r="AA203" s="204"/>
      <x:c r="AB203" s="204"/>
      <x:c r="AC203" s="204"/>
      <x:c r="AD203" s="204"/>
      <x:c r="AE203" s="204"/>
      <x:c r="AF203" s="204"/>
      <x:c r="AG203" s="204"/>
      <x:c r="AH203" s="204"/>
      <x:c r="AI203" s="204"/>
    </x:row>
    <x:row r="204" spans="1:35">
      <x:c r="B204" s="332"/>
      <x:c r="C204" s="332"/>
      <x:c r="D204" s="332"/>
    </x:row>
    <x:row r="205" spans="1:35" ht="15.75" customHeight="1">
      <x:c r="B205" s="1440" t="s">
        <x:v>9</x:v>
      </x:c>
      <x:c r="C205" s="1630" t="s">
        <x:v>1319</x:v>
      </x:c>
      <x:c r="D205" s="1630"/>
      <x:c r="X205" s="445"/>
    </x:row>
    <x:row r="206" spans="1:35" ht="15.75" customHeight="1">
      <x:c r="B206" s="1440"/>
      <x:c r="C206" s="1630"/>
      <x:c r="D206" s="1630"/>
      <x:c r="X206" s="445"/>
    </x:row>
    <x:row r="207" spans="1:35" ht="15.75" customHeight="1">
      <x:c r="B207" s="1440"/>
      <x:c r="C207" s="1630"/>
      <x:c r="D207" s="1630"/>
      <x:c r="X207" s="445"/>
    </x:row>
    <x:row r="208" spans="1:35" ht="15.75" customHeight="1">
      <x:c r="B208" s="1440"/>
      <x:c r="C208" s="1630"/>
      <x:c r="D208" s="1630"/>
      <x:c r="X208" s="445"/>
    </x:row>
    <x:row r="209" spans="1:162" ht="15.75" customHeight="1">
      <x:c r="B209" s="1441" t="s">
        <x:v>10</x:v>
      </x:c>
      <x:c r="C209" s="1631" t="s">
        <x:v>1320</x:v>
      </x:c>
      <x:c r="D209" s="1631"/>
    </x:row>
    <x:row r="210" spans="1:162">
      <x:c r="B210" s="1442"/>
      <x:c r="C210" s="1631"/>
      <x:c r="D210" s="1631"/>
    </x:row>
    <x:row r="212" spans="1:162" ht="15.75" customHeight="1">
      <x:c r="A212" s="84" t="s">
        <x:v>446</x:v>
      </x:c>
      <x:c r="B212" s="446"/>
      <x:c r="C212" s="447"/>
      <x:c r="D212" s="448"/>
      <x:c r="E212" s="448"/>
      <x:c r="F212" s="449"/>
      <x:c r="G212" s="448"/>
      <x:c r="H212" s="448"/>
      <x:c r="I212" s="448"/>
      <x:c r="J212" s="448"/>
      <x:c r="K212" s="448"/>
      <x:c r="L212" s="448"/>
      <x:c r="M212" s="448"/>
      <x:c r="N212" s="448"/>
      <x:c r="O212" s="448"/>
      <x:c r="P212" s="448"/>
      <x:c r="Q212" s="448"/>
      <x:c r="R212" s="448"/>
      <x:c r="S212" s="448"/>
      <x:c r="T212" s="448"/>
      <x:c r="U212" s="448"/>
      <x:c r="V212" s="448"/>
      <x:c r="W212" s="448"/>
      <x:c r="X212" s="448"/>
      <x:c r="Y212" s="448"/>
      <x:c r="Z212" s="448"/>
      <x:c r="AA212" s="448"/>
      <x:c r="AB212" s="448"/>
      <x:c r="AC212" s="448"/>
      <x:c r="AD212" s="448"/>
      <x:c r="AE212" s="448"/>
      <x:c r="AF212" s="448"/>
      <x:c r="AG212" s="448"/>
      <x:c r="AH212" s="448"/>
      <x:c r="AI212" s="448"/>
    </x:row>
    <x:row r="214" spans="1:162" ht="15.75" customHeight="1"/>
    <x:row r="216" spans="1:162" ht="15.75" customHeight="1"/>
    <x:row r="218" spans="1:162" ht="15.75" customHeight="1"/>
    <x:row r="220" spans="1:162" s="430" customFormat="1" ht="15.75" customHeight="1">
      <x:c r="F220" s="428"/>
      <x:c r="G220" s="428"/>
      <x:c r="H220" s="428"/>
      <x:c r="I220" s="428"/>
      <x:c r="J220" s="428"/>
      <x:c r="K220" s="428"/>
      <x:c r="L220" s="428"/>
      <x:c r="M220" s="428"/>
      <x:c r="N220" s="428"/>
      <x:c r="O220" s="428"/>
      <x:c r="P220" s="428"/>
      <x:c r="Q220" s="428"/>
      <x:c r="R220" s="428"/>
      <x:c r="S220" s="428"/>
      <x:c r="T220" s="428"/>
      <x:c r="U220" s="428"/>
      <x:c r="V220" s="428"/>
      <x:c r="W220" s="428"/>
      <x:c r="X220" s="428"/>
      <x:c r="Y220" s="428"/>
      <x:c r="AA220" s="428"/>
      <x:c r="AC220" s="428"/>
      <x:c r="AD220" s="428"/>
      <x:c r="AE220" s="428"/>
      <x:c r="AF220" s="428"/>
      <x:c r="AG220" s="428"/>
      <x:c r="AH220" s="429"/>
      <x:c r="AI220" s="429"/>
      <x:c r="AJ220" s="428"/>
      <x:c r="AK220" s="428"/>
      <x:c r="AL220" s="428"/>
      <x:c r="AM220" s="428"/>
      <x:c r="AN220" s="428"/>
      <x:c r="AO220" s="428"/>
      <x:c r="AP220" s="428"/>
      <x:c r="AQ220" s="428"/>
      <x:c r="AR220" s="428"/>
      <x:c r="AS220" s="428"/>
      <x:c r="AT220" s="428"/>
      <x:c r="AU220" s="428"/>
      <x:c r="AV220" s="428"/>
      <x:c r="AW220" s="428"/>
      <x:c r="AX220" s="428"/>
      <x:c r="AY220" s="428"/>
      <x:c r="AZ220" s="428"/>
      <x:c r="BA220" s="428"/>
      <x:c r="BB220" s="428"/>
      <x:c r="BC220" s="428"/>
      <x:c r="BD220" s="428"/>
      <x:c r="BE220" s="428"/>
      <x:c r="BF220" s="428"/>
      <x:c r="BG220" s="428"/>
      <x:c r="BH220" s="428"/>
      <x:c r="BI220" s="428"/>
      <x:c r="BJ220" s="428"/>
      <x:c r="BK220" s="428"/>
      <x:c r="BL220" s="428"/>
      <x:c r="BM220" s="428"/>
      <x:c r="BN220" s="428"/>
      <x:c r="BO220" s="428"/>
      <x:c r="BP220" s="428"/>
      <x:c r="BQ220" s="428"/>
      <x:c r="BR220" s="428"/>
      <x:c r="BS220" s="428"/>
      <x:c r="BT220" s="428"/>
      <x:c r="BU220" s="428"/>
      <x:c r="BV220" s="428"/>
      <x:c r="BW220" s="428"/>
      <x:c r="BX220" s="428"/>
      <x:c r="BY220" s="428"/>
      <x:c r="BZ220" s="428"/>
      <x:c r="CA220" s="428"/>
      <x:c r="CB220" s="428"/>
      <x:c r="CC220" s="428"/>
      <x:c r="CD220" s="428"/>
      <x:c r="CE220" s="428"/>
      <x:c r="CF220" s="428"/>
      <x:c r="CG220" s="428"/>
      <x:c r="CH220" s="428"/>
      <x:c r="CI220" s="428"/>
      <x:c r="CJ220" s="428"/>
      <x:c r="CK220" s="428"/>
      <x:c r="CL220" s="428"/>
      <x:c r="CM220" s="428"/>
      <x:c r="CN220" s="428"/>
      <x:c r="CO220" s="428"/>
      <x:c r="CP220" s="428"/>
      <x:c r="CQ220" s="428"/>
      <x:c r="CR220" s="428"/>
      <x:c r="CS220" s="428"/>
      <x:c r="CT220" s="428"/>
      <x:c r="CU220" s="428"/>
      <x:c r="CV220" s="428"/>
      <x:c r="CW220" s="428"/>
      <x:c r="CX220" s="428"/>
      <x:c r="CY220" s="428"/>
      <x:c r="CZ220" s="428"/>
      <x:c r="DA220" s="428"/>
      <x:c r="DB220" s="428"/>
      <x:c r="DC220" s="428"/>
      <x:c r="DD220" s="428"/>
      <x:c r="DE220" s="428"/>
      <x:c r="DF220" s="428"/>
      <x:c r="DG220" s="428"/>
      <x:c r="DH220" s="428"/>
      <x:c r="DI220" s="428"/>
      <x:c r="DJ220" s="428"/>
      <x:c r="DK220" s="428"/>
      <x:c r="DL220" s="428"/>
      <x:c r="DM220" s="428"/>
      <x:c r="DN220" s="428"/>
      <x:c r="DO220" s="428"/>
      <x:c r="DP220" s="428"/>
      <x:c r="DQ220" s="428"/>
      <x:c r="DR220" s="428"/>
      <x:c r="DS220" s="428"/>
      <x:c r="DT220" s="428"/>
      <x:c r="DU220" s="428"/>
      <x:c r="DV220" s="428"/>
      <x:c r="DW220" s="428"/>
      <x:c r="DX220" s="428"/>
      <x:c r="DY220" s="428"/>
      <x:c r="DZ220" s="428"/>
      <x:c r="EA220" s="428"/>
      <x:c r="EB220" s="428"/>
      <x:c r="EC220" s="428"/>
      <x:c r="ED220" s="428"/>
      <x:c r="EE220" s="428"/>
      <x:c r="EF220" s="428"/>
      <x:c r="EG220" s="428"/>
      <x:c r="EH220" s="428"/>
      <x:c r="EI220" s="428"/>
      <x:c r="EJ220" s="428"/>
      <x:c r="EK220" s="428"/>
      <x:c r="EL220" s="428"/>
      <x:c r="EM220" s="428"/>
      <x:c r="EN220" s="428"/>
      <x:c r="EO220" s="428"/>
      <x:c r="EP220" s="428"/>
      <x:c r="EQ220" s="428"/>
      <x:c r="ER220" s="428"/>
      <x:c r="ES220" s="428"/>
      <x:c r="ET220" s="428"/>
      <x:c r="EU220" s="428"/>
      <x:c r="EV220" s="428"/>
      <x:c r="EW220" s="428"/>
      <x:c r="EX220" s="428"/>
      <x:c r="EY220" s="428"/>
      <x:c r="EZ220" s="428"/>
      <x:c r="FA220" s="428"/>
      <x:c r="FB220" s="428"/>
      <x:c r="FC220" s="428"/>
      <x:c r="FD220" s="428"/>
      <x:c r="FE220" s="428"/>
      <x:c r="FF220" s="428"/>
    </x:row>
    <x:row r="222" spans="1:162" s="430" customFormat="1" ht="15.75" customHeight="1">
      <x:c r="F222" s="428"/>
      <x:c r="G222" s="428"/>
      <x:c r="H222" s="428"/>
      <x:c r="I222" s="428"/>
      <x:c r="J222" s="428"/>
      <x:c r="K222" s="428"/>
      <x:c r="L222" s="428"/>
      <x:c r="M222" s="428"/>
      <x:c r="N222" s="428"/>
      <x:c r="O222" s="428"/>
      <x:c r="P222" s="428"/>
      <x:c r="Q222" s="428"/>
      <x:c r="R222" s="428"/>
      <x:c r="S222" s="428"/>
      <x:c r="T222" s="428"/>
      <x:c r="U222" s="428"/>
      <x:c r="V222" s="428"/>
      <x:c r="W222" s="428"/>
      <x:c r="X222" s="428"/>
      <x:c r="Y222" s="428"/>
      <x:c r="AA222" s="428"/>
      <x:c r="AC222" s="428"/>
      <x:c r="AD222" s="428"/>
      <x:c r="AE222" s="428"/>
      <x:c r="AF222" s="428"/>
      <x:c r="AG222" s="428"/>
      <x:c r="AH222" s="429"/>
      <x:c r="AI222" s="429"/>
      <x:c r="AJ222" s="428"/>
      <x:c r="AK222" s="428"/>
      <x:c r="AL222" s="428"/>
      <x:c r="AM222" s="428"/>
      <x:c r="AN222" s="428"/>
      <x:c r="AO222" s="428"/>
      <x:c r="AP222" s="428"/>
      <x:c r="AQ222" s="428"/>
      <x:c r="AR222" s="428"/>
      <x:c r="AS222" s="428"/>
      <x:c r="AT222" s="428"/>
      <x:c r="AU222" s="428"/>
      <x:c r="AV222" s="428"/>
      <x:c r="AW222" s="428"/>
      <x:c r="AX222" s="428"/>
      <x:c r="AY222" s="428"/>
      <x:c r="AZ222" s="428"/>
      <x:c r="BA222" s="428"/>
      <x:c r="BB222" s="428"/>
      <x:c r="BC222" s="428"/>
      <x:c r="BD222" s="428"/>
      <x:c r="BE222" s="428"/>
      <x:c r="BF222" s="428"/>
      <x:c r="BG222" s="428"/>
      <x:c r="BH222" s="428"/>
      <x:c r="BI222" s="428"/>
      <x:c r="BJ222" s="428"/>
      <x:c r="BK222" s="428"/>
      <x:c r="BL222" s="428"/>
      <x:c r="BM222" s="428"/>
      <x:c r="BN222" s="428"/>
      <x:c r="BO222" s="428"/>
      <x:c r="BP222" s="428"/>
      <x:c r="BQ222" s="428"/>
      <x:c r="BR222" s="428"/>
      <x:c r="BS222" s="428"/>
      <x:c r="BT222" s="428"/>
      <x:c r="BU222" s="428"/>
      <x:c r="BV222" s="428"/>
      <x:c r="BW222" s="428"/>
      <x:c r="BX222" s="428"/>
      <x:c r="BY222" s="428"/>
      <x:c r="BZ222" s="428"/>
      <x:c r="CA222" s="428"/>
      <x:c r="CB222" s="428"/>
      <x:c r="CC222" s="428"/>
      <x:c r="CD222" s="428"/>
      <x:c r="CE222" s="428"/>
      <x:c r="CF222" s="428"/>
      <x:c r="CG222" s="428"/>
      <x:c r="CH222" s="428"/>
      <x:c r="CI222" s="428"/>
      <x:c r="CJ222" s="428"/>
      <x:c r="CK222" s="428"/>
      <x:c r="CL222" s="428"/>
      <x:c r="CM222" s="428"/>
      <x:c r="CN222" s="428"/>
      <x:c r="CO222" s="428"/>
      <x:c r="CP222" s="428"/>
      <x:c r="CQ222" s="428"/>
      <x:c r="CR222" s="428"/>
      <x:c r="CS222" s="428"/>
      <x:c r="CT222" s="428"/>
      <x:c r="CU222" s="428"/>
      <x:c r="CV222" s="428"/>
      <x:c r="CW222" s="428"/>
      <x:c r="CX222" s="428"/>
      <x:c r="CY222" s="428"/>
      <x:c r="CZ222" s="428"/>
      <x:c r="DA222" s="428"/>
      <x:c r="DB222" s="428"/>
      <x:c r="DC222" s="428"/>
      <x:c r="DD222" s="428"/>
      <x:c r="DE222" s="428"/>
      <x:c r="DF222" s="428"/>
      <x:c r="DG222" s="428"/>
      <x:c r="DH222" s="428"/>
      <x:c r="DI222" s="428"/>
      <x:c r="DJ222" s="428"/>
      <x:c r="DK222" s="428"/>
      <x:c r="DL222" s="428"/>
      <x:c r="DM222" s="428"/>
      <x:c r="DN222" s="428"/>
      <x:c r="DO222" s="428"/>
      <x:c r="DP222" s="428"/>
      <x:c r="DQ222" s="428"/>
      <x:c r="DR222" s="428"/>
      <x:c r="DS222" s="428"/>
      <x:c r="DT222" s="428"/>
      <x:c r="DU222" s="428"/>
      <x:c r="DV222" s="428"/>
      <x:c r="DW222" s="428"/>
      <x:c r="DX222" s="428"/>
      <x:c r="DY222" s="428"/>
      <x:c r="DZ222" s="428"/>
      <x:c r="EA222" s="428"/>
      <x:c r="EB222" s="428"/>
      <x:c r="EC222" s="428"/>
      <x:c r="ED222" s="428"/>
      <x:c r="EE222" s="428"/>
      <x:c r="EF222" s="428"/>
      <x:c r="EG222" s="428"/>
      <x:c r="EH222" s="428"/>
      <x:c r="EI222" s="428"/>
      <x:c r="EJ222" s="428"/>
      <x:c r="EK222" s="428"/>
      <x:c r="EL222" s="428"/>
      <x:c r="EM222" s="428"/>
      <x:c r="EN222" s="428"/>
      <x:c r="EO222" s="428"/>
      <x:c r="EP222" s="428"/>
      <x:c r="EQ222" s="428"/>
      <x:c r="ER222" s="428"/>
      <x:c r="ES222" s="428"/>
      <x:c r="ET222" s="428"/>
      <x:c r="EU222" s="428"/>
      <x:c r="EV222" s="428"/>
      <x:c r="EW222" s="428"/>
      <x:c r="EX222" s="428"/>
      <x:c r="EY222" s="428"/>
      <x:c r="EZ222" s="428"/>
      <x:c r="FA222" s="428"/>
      <x:c r="FB222" s="428"/>
      <x:c r="FC222" s="428"/>
      <x:c r="FD222" s="428"/>
      <x:c r="FE222" s="428"/>
      <x:c r="FF222" s="428"/>
    </x:row>
    <x:row r="224" spans="1:162" s="430" customFormat="1" ht="15.75" customHeight="1">
      <x:c r="F224" s="428"/>
      <x:c r="G224" s="428"/>
      <x:c r="H224" s="428"/>
      <x:c r="I224" s="428"/>
      <x:c r="J224" s="428"/>
      <x:c r="K224" s="428"/>
      <x:c r="L224" s="428"/>
      <x:c r="M224" s="428"/>
      <x:c r="N224" s="428"/>
      <x:c r="O224" s="428"/>
      <x:c r="P224" s="428"/>
      <x:c r="Q224" s="428"/>
      <x:c r="R224" s="428"/>
      <x:c r="S224" s="428"/>
      <x:c r="T224" s="428"/>
      <x:c r="U224" s="428"/>
      <x:c r="V224" s="428"/>
      <x:c r="W224" s="428"/>
      <x:c r="X224" s="428"/>
      <x:c r="Y224" s="428"/>
      <x:c r="AA224" s="428"/>
      <x:c r="AC224" s="428"/>
      <x:c r="AD224" s="428"/>
      <x:c r="AE224" s="428"/>
      <x:c r="AF224" s="428"/>
      <x:c r="AG224" s="428"/>
      <x:c r="AH224" s="429"/>
      <x:c r="AI224" s="429"/>
      <x:c r="AJ224" s="428"/>
      <x:c r="AK224" s="428"/>
      <x:c r="AL224" s="428"/>
      <x:c r="AM224" s="428"/>
      <x:c r="AN224" s="428"/>
      <x:c r="AO224" s="428"/>
      <x:c r="AP224" s="428"/>
      <x:c r="AQ224" s="428"/>
      <x:c r="AR224" s="428"/>
      <x:c r="AS224" s="428"/>
      <x:c r="AT224" s="428"/>
      <x:c r="AU224" s="428"/>
      <x:c r="AV224" s="428"/>
      <x:c r="AW224" s="428"/>
      <x:c r="AX224" s="428"/>
      <x:c r="AY224" s="428"/>
      <x:c r="AZ224" s="428"/>
      <x:c r="BA224" s="428"/>
      <x:c r="BB224" s="428"/>
      <x:c r="BC224" s="428"/>
      <x:c r="BD224" s="428"/>
      <x:c r="BE224" s="428"/>
      <x:c r="BF224" s="428"/>
      <x:c r="BG224" s="428"/>
      <x:c r="BH224" s="428"/>
      <x:c r="BI224" s="428"/>
      <x:c r="BJ224" s="428"/>
      <x:c r="BK224" s="428"/>
      <x:c r="BL224" s="428"/>
      <x:c r="BM224" s="428"/>
      <x:c r="BN224" s="428"/>
      <x:c r="BO224" s="428"/>
      <x:c r="BP224" s="428"/>
      <x:c r="BQ224" s="428"/>
      <x:c r="BR224" s="428"/>
      <x:c r="BS224" s="428"/>
      <x:c r="BT224" s="428"/>
      <x:c r="BU224" s="428"/>
      <x:c r="BV224" s="428"/>
      <x:c r="BW224" s="428"/>
      <x:c r="BX224" s="428"/>
      <x:c r="BY224" s="428"/>
      <x:c r="BZ224" s="428"/>
      <x:c r="CA224" s="428"/>
      <x:c r="CB224" s="428"/>
      <x:c r="CC224" s="428"/>
      <x:c r="CD224" s="428"/>
      <x:c r="CE224" s="428"/>
      <x:c r="CF224" s="428"/>
      <x:c r="CG224" s="428"/>
      <x:c r="CH224" s="428"/>
      <x:c r="CI224" s="428"/>
      <x:c r="CJ224" s="428"/>
      <x:c r="CK224" s="428"/>
      <x:c r="CL224" s="428"/>
      <x:c r="CM224" s="428"/>
      <x:c r="CN224" s="428"/>
      <x:c r="CO224" s="428"/>
      <x:c r="CP224" s="428"/>
      <x:c r="CQ224" s="428"/>
      <x:c r="CR224" s="428"/>
      <x:c r="CS224" s="428"/>
      <x:c r="CT224" s="428"/>
      <x:c r="CU224" s="428"/>
      <x:c r="CV224" s="428"/>
      <x:c r="CW224" s="428"/>
      <x:c r="CX224" s="428"/>
      <x:c r="CY224" s="428"/>
      <x:c r="CZ224" s="428"/>
      <x:c r="DA224" s="428"/>
      <x:c r="DB224" s="428"/>
      <x:c r="DC224" s="428"/>
      <x:c r="DD224" s="428"/>
      <x:c r="DE224" s="428"/>
      <x:c r="DF224" s="428"/>
      <x:c r="DG224" s="428"/>
      <x:c r="DH224" s="428"/>
      <x:c r="DI224" s="428"/>
      <x:c r="DJ224" s="428"/>
      <x:c r="DK224" s="428"/>
      <x:c r="DL224" s="428"/>
      <x:c r="DM224" s="428"/>
      <x:c r="DN224" s="428"/>
      <x:c r="DO224" s="428"/>
      <x:c r="DP224" s="428"/>
      <x:c r="DQ224" s="428"/>
      <x:c r="DR224" s="428"/>
      <x:c r="DS224" s="428"/>
      <x:c r="DT224" s="428"/>
      <x:c r="DU224" s="428"/>
      <x:c r="DV224" s="428"/>
      <x:c r="DW224" s="428"/>
      <x:c r="DX224" s="428"/>
      <x:c r="DY224" s="428"/>
      <x:c r="DZ224" s="428"/>
      <x:c r="EA224" s="428"/>
      <x:c r="EB224" s="428"/>
      <x:c r="EC224" s="428"/>
      <x:c r="ED224" s="428"/>
      <x:c r="EE224" s="428"/>
      <x:c r="EF224" s="428"/>
      <x:c r="EG224" s="428"/>
      <x:c r="EH224" s="428"/>
      <x:c r="EI224" s="428"/>
      <x:c r="EJ224" s="428"/>
      <x:c r="EK224" s="428"/>
      <x:c r="EL224" s="428"/>
      <x:c r="EM224" s="428"/>
      <x:c r="EN224" s="428"/>
      <x:c r="EO224" s="428"/>
      <x:c r="EP224" s="428"/>
      <x:c r="EQ224" s="428"/>
      <x:c r="ER224" s="428"/>
      <x:c r="ES224" s="428"/>
      <x:c r="ET224" s="428"/>
      <x:c r="EU224" s="428"/>
      <x:c r="EV224" s="428"/>
      <x:c r="EW224" s="428"/>
      <x:c r="EX224" s="428"/>
      <x:c r="EY224" s="428"/>
      <x:c r="EZ224" s="428"/>
      <x:c r="FA224" s="428"/>
      <x:c r="FB224" s="428"/>
      <x:c r="FC224" s="428"/>
      <x:c r="FD224" s="428"/>
      <x:c r="FE224" s="428"/>
      <x:c r="FF224" s="428"/>
    </x:row>
    <x:row r="226" spans="6:162" s="430" customFormat="1" ht="15.75" customHeight="1">
      <x:c r="F226" s="428"/>
      <x:c r="G226" s="428"/>
      <x:c r="H226" s="428"/>
      <x:c r="I226" s="428"/>
      <x:c r="J226" s="428"/>
      <x:c r="K226" s="428"/>
      <x:c r="L226" s="428"/>
      <x:c r="M226" s="428"/>
      <x:c r="N226" s="428"/>
      <x:c r="O226" s="428"/>
      <x:c r="P226" s="428"/>
      <x:c r="Q226" s="428"/>
      <x:c r="R226" s="428"/>
      <x:c r="S226" s="428"/>
      <x:c r="T226" s="428"/>
      <x:c r="U226" s="428"/>
      <x:c r="V226" s="428"/>
      <x:c r="W226" s="428"/>
      <x:c r="X226" s="428"/>
      <x:c r="Y226" s="428"/>
      <x:c r="AA226" s="428"/>
      <x:c r="AC226" s="428"/>
      <x:c r="AD226" s="428"/>
      <x:c r="AE226" s="428"/>
      <x:c r="AF226" s="428"/>
      <x:c r="AG226" s="428"/>
      <x:c r="AH226" s="429"/>
      <x:c r="AI226" s="429"/>
      <x:c r="AJ226" s="428"/>
      <x:c r="AK226" s="428"/>
      <x:c r="AL226" s="428"/>
      <x:c r="AM226" s="428"/>
      <x:c r="AN226" s="428"/>
      <x:c r="AO226" s="428"/>
      <x:c r="AP226" s="428"/>
      <x:c r="AQ226" s="428"/>
      <x:c r="AR226" s="428"/>
      <x:c r="AS226" s="428"/>
      <x:c r="AT226" s="428"/>
      <x:c r="AU226" s="428"/>
      <x:c r="AV226" s="428"/>
      <x:c r="AW226" s="428"/>
      <x:c r="AX226" s="428"/>
      <x:c r="AY226" s="428"/>
      <x:c r="AZ226" s="428"/>
      <x:c r="BA226" s="428"/>
      <x:c r="BB226" s="428"/>
      <x:c r="BC226" s="428"/>
      <x:c r="BD226" s="428"/>
      <x:c r="BE226" s="428"/>
      <x:c r="BF226" s="428"/>
      <x:c r="BG226" s="428"/>
      <x:c r="BH226" s="428"/>
      <x:c r="BI226" s="428"/>
      <x:c r="BJ226" s="428"/>
      <x:c r="BK226" s="428"/>
      <x:c r="BL226" s="428"/>
      <x:c r="BM226" s="428"/>
      <x:c r="BN226" s="428"/>
      <x:c r="BO226" s="428"/>
      <x:c r="BP226" s="428"/>
      <x:c r="BQ226" s="428"/>
      <x:c r="BR226" s="428"/>
      <x:c r="BS226" s="428"/>
      <x:c r="BT226" s="428"/>
      <x:c r="BU226" s="428"/>
      <x:c r="BV226" s="428"/>
      <x:c r="BW226" s="428"/>
      <x:c r="BX226" s="428"/>
      <x:c r="BY226" s="428"/>
      <x:c r="BZ226" s="428"/>
      <x:c r="CA226" s="428"/>
      <x:c r="CB226" s="428"/>
      <x:c r="CC226" s="428"/>
      <x:c r="CD226" s="428"/>
      <x:c r="CE226" s="428"/>
      <x:c r="CF226" s="428"/>
      <x:c r="CG226" s="428"/>
      <x:c r="CH226" s="428"/>
      <x:c r="CI226" s="428"/>
      <x:c r="CJ226" s="428"/>
      <x:c r="CK226" s="428"/>
      <x:c r="CL226" s="428"/>
      <x:c r="CM226" s="428"/>
      <x:c r="CN226" s="428"/>
      <x:c r="CO226" s="428"/>
      <x:c r="CP226" s="428"/>
      <x:c r="CQ226" s="428"/>
      <x:c r="CR226" s="428"/>
      <x:c r="CS226" s="428"/>
      <x:c r="CT226" s="428"/>
      <x:c r="CU226" s="428"/>
      <x:c r="CV226" s="428"/>
      <x:c r="CW226" s="428"/>
      <x:c r="CX226" s="428"/>
      <x:c r="CY226" s="428"/>
      <x:c r="CZ226" s="428"/>
      <x:c r="DA226" s="428"/>
      <x:c r="DB226" s="428"/>
      <x:c r="DC226" s="428"/>
      <x:c r="DD226" s="428"/>
      <x:c r="DE226" s="428"/>
      <x:c r="DF226" s="428"/>
      <x:c r="DG226" s="428"/>
      <x:c r="DH226" s="428"/>
      <x:c r="DI226" s="428"/>
      <x:c r="DJ226" s="428"/>
      <x:c r="DK226" s="428"/>
      <x:c r="DL226" s="428"/>
      <x:c r="DM226" s="428"/>
      <x:c r="DN226" s="428"/>
      <x:c r="DO226" s="428"/>
      <x:c r="DP226" s="428"/>
      <x:c r="DQ226" s="428"/>
      <x:c r="DR226" s="428"/>
      <x:c r="DS226" s="428"/>
      <x:c r="DT226" s="428"/>
      <x:c r="DU226" s="428"/>
      <x:c r="DV226" s="428"/>
      <x:c r="DW226" s="428"/>
      <x:c r="DX226" s="428"/>
      <x:c r="DY226" s="428"/>
      <x:c r="DZ226" s="428"/>
      <x:c r="EA226" s="428"/>
      <x:c r="EB226" s="428"/>
      <x:c r="EC226" s="428"/>
      <x:c r="ED226" s="428"/>
      <x:c r="EE226" s="428"/>
      <x:c r="EF226" s="428"/>
      <x:c r="EG226" s="428"/>
      <x:c r="EH226" s="428"/>
      <x:c r="EI226" s="428"/>
      <x:c r="EJ226" s="428"/>
      <x:c r="EK226" s="428"/>
      <x:c r="EL226" s="428"/>
      <x:c r="EM226" s="428"/>
      <x:c r="EN226" s="428"/>
      <x:c r="EO226" s="428"/>
      <x:c r="EP226" s="428"/>
      <x:c r="EQ226" s="428"/>
      <x:c r="ER226" s="428"/>
      <x:c r="ES226" s="428"/>
      <x:c r="ET226" s="428"/>
      <x:c r="EU226" s="428"/>
      <x:c r="EV226" s="428"/>
      <x:c r="EW226" s="428"/>
      <x:c r="EX226" s="428"/>
      <x:c r="EY226" s="428"/>
      <x:c r="EZ226" s="428"/>
      <x:c r="FA226" s="428"/>
      <x:c r="FB226" s="428"/>
      <x:c r="FC226" s="428"/>
      <x:c r="FD226" s="428"/>
      <x:c r="FE226" s="428"/>
      <x:c r="FF226" s="428"/>
    </x:row>
    <x:row r="228" spans="6:162" s="430" customFormat="1" ht="15.75" customHeight="1">
      <x:c r="F228" s="428"/>
      <x:c r="G228" s="428"/>
      <x:c r="H228" s="428"/>
      <x:c r="I228" s="428"/>
      <x:c r="J228" s="428"/>
      <x:c r="K228" s="428"/>
      <x:c r="L228" s="428"/>
      <x:c r="M228" s="428"/>
      <x:c r="N228" s="428"/>
      <x:c r="O228" s="428"/>
      <x:c r="P228" s="428"/>
      <x:c r="Q228" s="428"/>
      <x:c r="R228" s="428"/>
      <x:c r="S228" s="428"/>
      <x:c r="T228" s="428"/>
      <x:c r="U228" s="428"/>
      <x:c r="V228" s="428"/>
      <x:c r="W228" s="428"/>
      <x:c r="X228" s="428"/>
      <x:c r="Y228" s="428"/>
      <x:c r="AA228" s="428"/>
      <x:c r="AC228" s="428"/>
      <x:c r="AD228" s="428"/>
      <x:c r="AE228" s="428"/>
      <x:c r="AF228" s="428"/>
      <x:c r="AG228" s="428"/>
      <x:c r="AH228" s="429"/>
      <x:c r="AI228" s="429"/>
      <x:c r="AJ228" s="428"/>
      <x:c r="AK228" s="428"/>
      <x:c r="AL228" s="428"/>
      <x:c r="AM228" s="428"/>
      <x:c r="AN228" s="428"/>
      <x:c r="AO228" s="428"/>
      <x:c r="AP228" s="428"/>
      <x:c r="AQ228" s="428"/>
      <x:c r="AR228" s="428"/>
      <x:c r="AS228" s="428"/>
      <x:c r="AT228" s="428"/>
      <x:c r="AU228" s="428"/>
      <x:c r="AV228" s="428"/>
      <x:c r="AW228" s="428"/>
      <x:c r="AX228" s="428"/>
      <x:c r="AY228" s="428"/>
      <x:c r="AZ228" s="428"/>
      <x:c r="BA228" s="428"/>
      <x:c r="BB228" s="428"/>
      <x:c r="BC228" s="428"/>
      <x:c r="BD228" s="428"/>
      <x:c r="BE228" s="428"/>
      <x:c r="BF228" s="428"/>
      <x:c r="BG228" s="428"/>
      <x:c r="BH228" s="428"/>
      <x:c r="BI228" s="428"/>
      <x:c r="BJ228" s="428"/>
      <x:c r="BK228" s="428"/>
      <x:c r="BL228" s="428"/>
      <x:c r="BM228" s="428"/>
      <x:c r="BN228" s="428"/>
      <x:c r="BO228" s="428"/>
      <x:c r="BP228" s="428"/>
      <x:c r="BQ228" s="428"/>
      <x:c r="BR228" s="428"/>
      <x:c r="BS228" s="428"/>
      <x:c r="BT228" s="428"/>
      <x:c r="BU228" s="428"/>
      <x:c r="BV228" s="428"/>
      <x:c r="BW228" s="428"/>
      <x:c r="BX228" s="428"/>
      <x:c r="BY228" s="428"/>
      <x:c r="BZ228" s="428"/>
      <x:c r="CA228" s="428"/>
      <x:c r="CB228" s="428"/>
      <x:c r="CC228" s="428"/>
      <x:c r="CD228" s="428"/>
      <x:c r="CE228" s="428"/>
      <x:c r="CF228" s="428"/>
      <x:c r="CG228" s="428"/>
      <x:c r="CH228" s="428"/>
      <x:c r="CI228" s="428"/>
      <x:c r="CJ228" s="428"/>
      <x:c r="CK228" s="428"/>
      <x:c r="CL228" s="428"/>
      <x:c r="CM228" s="428"/>
      <x:c r="CN228" s="428"/>
      <x:c r="CO228" s="428"/>
      <x:c r="CP228" s="428"/>
      <x:c r="CQ228" s="428"/>
      <x:c r="CR228" s="428"/>
      <x:c r="CS228" s="428"/>
      <x:c r="CT228" s="428"/>
      <x:c r="CU228" s="428"/>
      <x:c r="CV228" s="428"/>
      <x:c r="CW228" s="428"/>
      <x:c r="CX228" s="428"/>
      <x:c r="CY228" s="428"/>
      <x:c r="CZ228" s="428"/>
      <x:c r="DA228" s="428"/>
      <x:c r="DB228" s="428"/>
      <x:c r="DC228" s="428"/>
      <x:c r="DD228" s="428"/>
      <x:c r="DE228" s="428"/>
      <x:c r="DF228" s="428"/>
      <x:c r="DG228" s="428"/>
      <x:c r="DH228" s="428"/>
      <x:c r="DI228" s="428"/>
      <x:c r="DJ228" s="428"/>
      <x:c r="DK228" s="428"/>
      <x:c r="DL228" s="428"/>
      <x:c r="DM228" s="428"/>
      <x:c r="DN228" s="428"/>
      <x:c r="DO228" s="428"/>
      <x:c r="DP228" s="428"/>
      <x:c r="DQ228" s="428"/>
      <x:c r="DR228" s="428"/>
      <x:c r="DS228" s="428"/>
      <x:c r="DT228" s="428"/>
      <x:c r="DU228" s="428"/>
      <x:c r="DV228" s="428"/>
      <x:c r="DW228" s="428"/>
      <x:c r="DX228" s="428"/>
      <x:c r="DY228" s="428"/>
      <x:c r="DZ228" s="428"/>
      <x:c r="EA228" s="428"/>
      <x:c r="EB228" s="428"/>
      <x:c r="EC228" s="428"/>
      <x:c r="ED228" s="428"/>
      <x:c r="EE228" s="428"/>
      <x:c r="EF228" s="428"/>
      <x:c r="EG228" s="428"/>
      <x:c r="EH228" s="428"/>
      <x:c r="EI228" s="428"/>
      <x:c r="EJ228" s="428"/>
      <x:c r="EK228" s="428"/>
      <x:c r="EL228" s="428"/>
      <x:c r="EM228" s="428"/>
      <x:c r="EN228" s="428"/>
      <x:c r="EO228" s="428"/>
      <x:c r="EP228" s="428"/>
      <x:c r="EQ228" s="428"/>
      <x:c r="ER228" s="428"/>
      <x:c r="ES228" s="428"/>
      <x:c r="ET228" s="428"/>
      <x:c r="EU228" s="428"/>
      <x:c r="EV228" s="428"/>
      <x:c r="EW228" s="428"/>
      <x:c r="EX228" s="428"/>
      <x:c r="EY228" s="428"/>
      <x:c r="EZ228" s="428"/>
      <x:c r="FA228" s="428"/>
      <x:c r="FB228" s="428"/>
      <x:c r="FC228" s="428"/>
      <x:c r="FD228" s="428"/>
      <x:c r="FE228" s="428"/>
      <x:c r="FF228" s="428"/>
    </x:row>
    <x:row r="230" spans="6:162" s="430" customFormat="1" ht="15.75" customHeight="1">
      <x:c r="F230" s="428"/>
      <x:c r="G230" s="428"/>
      <x:c r="H230" s="428"/>
      <x:c r="I230" s="428"/>
      <x:c r="J230" s="428"/>
      <x:c r="K230" s="428"/>
      <x:c r="L230" s="428"/>
      <x:c r="M230" s="428"/>
      <x:c r="N230" s="428"/>
      <x:c r="O230" s="428"/>
      <x:c r="P230" s="428"/>
      <x:c r="Q230" s="428"/>
      <x:c r="R230" s="428"/>
      <x:c r="S230" s="428"/>
      <x:c r="T230" s="428"/>
      <x:c r="U230" s="428"/>
      <x:c r="V230" s="428"/>
      <x:c r="W230" s="428"/>
      <x:c r="X230" s="428"/>
      <x:c r="Y230" s="428"/>
      <x:c r="AA230" s="428"/>
      <x:c r="AC230" s="428"/>
      <x:c r="AD230" s="428"/>
      <x:c r="AE230" s="428"/>
      <x:c r="AF230" s="428"/>
      <x:c r="AG230" s="428"/>
      <x:c r="AH230" s="429"/>
      <x:c r="AI230" s="429"/>
      <x:c r="AJ230" s="428"/>
      <x:c r="AK230" s="428"/>
      <x:c r="AL230" s="428"/>
      <x:c r="AM230" s="428"/>
      <x:c r="AN230" s="428"/>
      <x:c r="AO230" s="428"/>
      <x:c r="AP230" s="428"/>
      <x:c r="AQ230" s="428"/>
      <x:c r="AR230" s="428"/>
      <x:c r="AS230" s="428"/>
      <x:c r="AT230" s="428"/>
      <x:c r="AU230" s="428"/>
      <x:c r="AV230" s="428"/>
      <x:c r="AW230" s="428"/>
      <x:c r="AX230" s="428"/>
      <x:c r="AY230" s="428"/>
      <x:c r="AZ230" s="428"/>
      <x:c r="BA230" s="428"/>
      <x:c r="BB230" s="428"/>
      <x:c r="BC230" s="428"/>
      <x:c r="BD230" s="428"/>
      <x:c r="BE230" s="428"/>
      <x:c r="BF230" s="428"/>
      <x:c r="BG230" s="428"/>
      <x:c r="BH230" s="428"/>
      <x:c r="BI230" s="428"/>
      <x:c r="BJ230" s="428"/>
      <x:c r="BK230" s="428"/>
      <x:c r="BL230" s="428"/>
      <x:c r="BM230" s="428"/>
      <x:c r="BN230" s="428"/>
      <x:c r="BO230" s="428"/>
      <x:c r="BP230" s="428"/>
      <x:c r="BQ230" s="428"/>
      <x:c r="BR230" s="428"/>
      <x:c r="BS230" s="428"/>
      <x:c r="BT230" s="428"/>
      <x:c r="BU230" s="428"/>
      <x:c r="BV230" s="428"/>
      <x:c r="BW230" s="428"/>
      <x:c r="BX230" s="428"/>
      <x:c r="BY230" s="428"/>
      <x:c r="BZ230" s="428"/>
      <x:c r="CA230" s="428"/>
      <x:c r="CB230" s="428"/>
      <x:c r="CC230" s="428"/>
      <x:c r="CD230" s="428"/>
      <x:c r="CE230" s="428"/>
      <x:c r="CF230" s="428"/>
      <x:c r="CG230" s="428"/>
      <x:c r="CH230" s="428"/>
      <x:c r="CI230" s="428"/>
      <x:c r="CJ230" s="428"/>
      <x:c r="CK230" s="428"/>
      <x:c r="CL230" s="428"/>
      <x:c r="CM230" s="428"/>
      <x:c r="CN230" s="428"/>
      <x:c r="CO230" s="428"/>
      <x:c r="CP230" s="428"/>
      <x:c r="CQ230" s="428"/>
      <x:c r="CR230" s="428"/>
      <x:c r="CS230" s="428"/>
      <x:c r="CT230" s="428"/>
      <x:c r="CU230" s="428"/>
      <x:c r="CV230" s="428"/>
      <x:c r="CW230" s="428"/>
      <x:c r="CX230" s="428"/>
      <x:c r="CY230" s="428"/>
      <x:c r="CZ230" s="428"/>
      <x:c r="DA230" s="428"/>
      <x:c r="DB230" s="428"/>
      <x:c r="DC230" s="428"/>
      <x:c r="DD230" s="428"/>
      <x:c r="DE230" s="428"/>
      <x:c r="DF230" s="428"/>
      <x:c r="DG230" s="428"/>
      <x:c r="DH230" s="428"/>
      <x:c r="DI230" s="428"/>
      <x:c r="DJ230" s="428"/>
      <x:c r="DK230" s="428"/>
      <x:c r="DL230" s="428"/>
      <x:c r="DM230" s="428"/>
      <x:c r="DN230" s="428"/>
      <x:c r="DO230" s="428"/>
      <x:c r="DP230" s="428"/>
      <x:c r="DQ230" s="428"/>
      <x:c r="DR230" s="428"/>
      <x:c r="DS230" s="428"/>
      <x:c r="DT230" s="428"/>
      <x:c r="DU230" s="428"/>
      <x:c r="DV230" s="428"/>
      <x:c r="DW230" s="428"/>
      <x:c r="DX230" s="428"/>
      <x:c r="DY230" s="428"/>
      <x:c r="DZ230" s="428"/>
      <x:c r="EA230" s="428"/>
      <x:c r="EB230" s="428"/>
      <x:c r="EC230" s="428"/>
      <x:c r="ED230" s="428"/>
      <x:c r="EE230" s="428"/>
      <x:c r="EF230" s="428"/>
      <x:c r="EG230" s="428"/>
      <x:c r="EH230" s="428"/>
      <x:c r="EI230" s="428"/>
      <x:c r="EJ230" s="428"/>
      <x:c r="EK230" s="428"/>
      <x:c r="EL230" s="428"/>
      <x:c r="EM230" s="428"/>
      <x:c r="EN230" s="428"/>
      <x:c r="EO230" s="428"/>
      <x:c r="EP230" s="428"/>
      <x:c r="EQ230" s="428"/>
      <x:c r="ER230" s="428"/>
      <x:c r="ES230" s="428"/>
      <x:c r="ET230" s="428"/>
      <x:c r="EU230" s="428"/>
      <x:c r="EV230" s="428"/>
      <x:c r="EW230" s="428"/>
      <x:c r="EX230" s="428"/>
      <x:c r="EY230" s="428"/>
      <x:c r="EZ230" s="428"/>
      <x:c r="FA230" s="428"/>
      <x:c r="FB230" s="428"/>
      <x:c r="FC230" s="428"/>
      <x:c r="FD230" s="428"/>
      <x:c r="FE230" s="428"/>
      <x:c r="FF230" s="428"/>
    </x:row>
    <x:row r="232" spans="6:162" s="430" customFormat="1" ht="15.75" customHeight="1">
      <x:c r="F232" s="428"/>
      <x:c r="G232" s="428"/>
      <x:c r="H232" s="428"/>
      <x:c r="I232" s="428"/>
      <x:c r="J232" s="428"/>
      <x:c r="K232" s="428"/>
      <x:c r="L232" s="428"/>
      <x:c r="M232" s="428"/>
      <x:c r="N232" s="428"/>
      <x:c r="O232" s="428"/>
      <x:c r="P232" s="428"/>
      <x:c r="Q232" s="428"/>
      <x:c r="R232" s="428"/>
      <x:c r="S232" s="428"/>
      <x:c r="T232" s="428"/>
      <x:c r="U232" s="428"/>
      <x:c r="V232" s="428"/>
      <x:c r="W232" s="428"/>
      <x:c r="X232" s="428"/>
      <x:c r="Y232" s="428"/>
      <x:c r="AA232" s="428"/>
      <x:c r="AC232" s="428"/>
      <x:c r="AD232" s="428"/>
      <x:c r="AE232" s="428"/>
      <x:c r="AF232" s="428"/>
      <x:c r="AG232" s="428"/>
      <x:c r="AH232" s="429"/>
      <x:c r="AI232" s="429"/>
      <x:c r="AJ232" s="428"/>
      <x:c r="AK232" s="428"/>
      <x:c r="AL232" s="428"/>
      <x:c r="AM232" s="428"/>
      <x:c r="AN232" s="428"/>
      <x:c r="AO232" s="428"/>
      <x:c r="AP232" s="428"/>
      <x:c r="AQ232" s="428"/>
      <x:c r="AR232" s="428"/>
      <x:c r="AS232" s="428"/>
      <x:c r="AT232" s="428"/>
      <x:c r="AU232" s="428"/>
      <x:c r="AV232" s="428"/>
      <x:c r="AW232" s="428"/>
      <x:c r="AX232" s="428"/>
      <x:c r="AY232" s="428"/>
      <x:c r="AZ232" s="428"/>
      <x:c r="BA232" s="428"/>
      <x:c r="BB232" s="428"/>
      <x:c r="BC232" s="428"/>
      <x:c r="BD232" s="428"/>
      <x:c r="BE232" s="428"/>
      <x:c r="BF232" s="428"/>
      <x:c r="BG232" s="428"/>
      <x:c r="BH232" s="428"/>
      <x:c r="BI232" s="428"/>
      <x:c r="BJ232" s="428"/>
      <x:c r="BK232" s="428"/>
      <x:c r="BL232" s="428"/>
      <x:c r="BM232" s="428"/>
      <x:c r="BN232" s="428"/>
      <x:c r="BO232" s="428"/>
      <x:c r="BP232" s="428"/>
      <x:c r="BQ232" s="428"/>
      <x:c r="BR232" s="428"/>
      <x:c r="BS232" s="428"/>
      <x:c r="BT232" s="428"/>
      <x:c r="BU232" s="428"/>
      <x:c r="BV232" s="428"/>
      <x:c r="BW232" s="428"/>
      <x:c r="BX232" s="428"/>
      <x:c r="BY232" s="428"/>
      <x:c r="BZ232" s="428"/>
      <x:c r="CA232" s="428"/>
      <x:c r="CB232" s="428"/>
      <x:c r="CC232" s="428"/>
      <x:c r="CD232" s="428"/>
      <x:c r="CE232" s="428"/>
      <x:c r="CF232" s="428"/>
      <x:c r="CG232" s="428"/>
      <x:c r="CH232" s="428"/>
      <x:c r="CI232" s="428"/>
      <x:c r="CJ232" s="428"/>
      <x:c r="CK232" s="428"/>
      <x:c r="CL232" s="428"/>
      <x:c r="CM232" s="428"/>
      <x:c r="CN232" s="428"/>
      <x:c r="CO232" s="428"/>
      <x:c r="CP232" s="428"/>
      <x:c r="CQ232" s="428"/>
      <x:c r="CR232" s="428"/>
      <x:c r="CS232" s="428"/>
      <x:c r="CT232" s="428"/>
      <x:c r="CU232" s="428"/>
      <x:c r="CV232" s="428"/>
      <x:c r="CW232" s="428"/>
      <x:c r="CX232" s="428"/>
      <x:c r="CY232" s="428"/>
      <x:c r="CZ232" s="428"/>
      <x:c r="DA232" s="428"/>
      <x:c r="DB232" s="428"/>
      <x:c r="DC232" s="428"/>
      <x:c r="DD232" s="428"/>
      <x:c r="DE232" s="428"/>
      <x:c r="DF232" s="428"/>
      <x:c r="DG232" s="428"/>
      <x:c r="DH232" s="428"/>
      <x:c r="DI232" s="428"/>
      <x:c r="DJ232" s="428"/>
      <x:c r="DK232" s="428"/>
      <x:c r="DL232" s="428"/>
      <x:c r="DM232" s="428"/>
      <x:c r="DN232" s="428"/>
      <x:c r="DO232" s="428"/>
      <x:c r="DP232" s="428"/>
      <x:c r="DQ232" s="428"/>
      <x:c r="DR232" s="428"/>
      <x:c r="DS232" s="428"/>
      <x:c r="DT232" s="428"/>
      <x:c r="DU232" s="428"/>
      <x:c r="DV232" s="428"/>
      <x:c r="DW232" s="428"/>
      <x:c r="DX232" s="428"/>
      <x:c r="DY232" s="428"/>
      <x:c r="DZ232" s="428"/>
      <x:c r="EA232" s="428"/>
      <x:c r="EB232" s="428"/>
      <x:c r="EC232" s="428"/>
      <x:c r="ED232" s="428"/>
      <x:c r="EE232" s="428"/>
      <x:c r="EF232" s="428"/>
      <x:c r="EG232" s="428"/>
      <x:c r="EH232" s="428"/>
      <x:c r="EI232" s="428"/>
      <x:c r="EJ232" s="428"/>
      <x:c r="EK232" s="428"/>
      <x:c r="EL232" s="428"/>
      <x:c r="EM232" s="428"/>
      <x:c r="EN232" s="428"/>
      <x:c r="EO232" s="428"/>
      <x:c r="EP232" s="428"/>
      <x:c r="EQ232" s="428"/>
      <x:c r="ER232" s="428"/>
      <x:c r="ES232" s="428"/>
      <x:c r="ET232" s="428"/>
      <x:c r="EU232" s="428"/>
      <x:c r="EV232" s="428"/>
      <x:c r="EW232" s="428"/>
      <x:c r="EX232" s="428"/>
      <x:c r="EY232" s="428"/>
      <x:c r="EZ232" s="428"/>
      <x:c r="FA232" s="428"/>
      <x:c r="FB232" s="428"/>
      <x:c r="FC232" s="428"/>
      <x:c r="FD232" s="428"/>
      <x:c r="FE232" s="428"/>
      <x:c r="FF232" s="428"/>
    </x:row>
    <x:row r="234" spans="6:162" s="430" customFormat="1" ht="15.75" customHeight="1">
      <x:c r="F234" s="428"/>
      <x:c r="G234" s="428"/>
      <x:c r="H234" s="428"/>
      <x:c r="I234" s="428"/>
      <x:c r="J234" s="428"/>
      <x:c r="K234" s="428"/>
      <x:c r="L234" s="428"/>
      <x:c r="M234" s="428"/>
      <x:c r="N234" s="428"/>
      <x:c r="O234" s="428"/>
      <x:c r="P234" s="428"/>
      <x:c r="Q234" s="428"/>
      <x:c r="R234" s="428"/>
      <x:c r="S234" s="428"/>
      <x:c r="T234" s="428"/>
      <x:c r="U234" s="428"/>
      <x:c r="V234" s="428"/>
      <x:c r="W234" s="428"/>
      <x:c r="X234" s="428"/>
      <x:c r="Y234" s="428"/>
      <x:c r="AA234" s="428"/>
      <x:c r="AC234" s="428"/>
      <x:c r="AD234" s="428"/>
      <x:c r="AE234" s="428"/>
      <x:c r="AF234" s="428"/>
      <x:c r="AG234" s="428"/>
      <x:c r="AH234" s="429"/>
      <x:c r="AI234" s="429"/>
      <x:c r="AJ234" s="428"/>
      <x:c r="AK234" s="428"/>
      <x:c r="AL234" s="428"/>
      <x:c r="AM234" s="428"/>
      <x:c r="AN234" s="428"/>
      <x:c r="AO234" s="428"/>
      <x:c r="AP234" s="428"/>
      <x:c r="AQ234" s="428"/>
      <x:c r="AR234" s="428"/>
      <x:c r="AS234" s="428"/>
      <x:c r="AT234" s="428"/>
      <x:c r="AU234" s="428"/>
      <x:c r="AV234" s="428"/>
      <x:c r="AW234" s="428"/>
      <x:c r="AX234" s="428"/>
      <x:c r="AY234" s="428"/>
      <x:c r="AZ234" s="428"/>
      <x:c r="BA234" s="428"/>
      <x:c r="BB234" s="428"/>
      <x:c r="BC234" s="428"/>
      <x:c r="BD234" s="428"/>
      <x:c r="BE234" s="428"/>
      <x:c r="BF234" s="428"/>
      <x:c r="BG234" s="428"/>
      <x:c r="BH234" s="428"/>
      <x:c r="BI234" s="428"/>
      <x:c r="BJ234" s="428"/>
      <x:c r="BK234" s="428"/>
      <x:c r="BL234" s="428"/>
      <x:c r="BM234" s="428"/>
      <x:c r="BN234" s="428"/>
      <x:c r="BO234" s="428"/>
      <x:c r="BP234" s="428"/>
      <x:c r="BQ234" s="428"/>
      <x:c r="BR234" s="428"/>
      <x:c r="BS234" s="428"/>
      <x:c r="BT234" s="428"/>
      <x:c r="BU234" s="428"/>
      <x:c r="BV234" s="428"/>
      <x:c r="BW234" s="428"/>
      <x:c r="BX234" s="428"/>
      <x:c r="BY234" s="428"/>
      <x:c r="BZ234" s="428"/>
      <x:c r="CA234" s="428"/>
      <x:c r="CB234" s="428"/>
      <x:c r="CC234" s="428"/>
      <x:c r="CD234" s="428"/>
      <x:c r="CE234" s="428"/>
      <x:c r="CF234" s="428"/>
      <x:c r="CG234" s="428"/>
      <x:c r="CH234" s="428"/>
      <x:c r="CI234" s="428"/>
      <x:c r="CJ234" s="428"/>
      <x:c r="CK234" s="428"/>
      <x:c r="CL234" s="428"/>
      <x:c r="CM234" s="428"/>
      <x:c r="CN234" s="428"/>
      <x:c r="CO234" s="428"/>
      <x:c r="CP234" s="428"/>
      <x:c r="CQ234" s="428"/>
      <x:c r="CR234" s="428"/>
      <x:c r="CS234" s="428"/>
      <x:c r="CT234" s="428"/>
      <x:c r="CU234" s="428"/>
      <x:c r="CV234" s="428"/>
      <x:c r="CW234" s="428"/>
      <x:c r="CX234" s="428"/>
      <x:c r="CY234" s="428"/>
      <x:c r="CZ234" s="428"/>
      <x:c r="DA234" s="428"/>
      <x:c r="DB234" s="428"/>
      <x:c r="DC234" s="428"/>
      <x:c r="DD234" s="428"/>
      <x:c r="DE234" s="428"/>
      <x:c r="DF234" s="428"/>
      <x:c r="DG234" s="428"/>
      <x:c r="DH234" s="428"/>
      <x:c r="DI234" s="428"/>
      <x:c r="DJ234" s="428"/>
      <x:c r="DK234" s="428"/>
      <x:c r="DL234" s="428"/>
      <x:c r="DM234" s="428"/>
      <x:c r="DN234" s="428"/>
      <x:c r="DO234" s="428"/>
      <x:c r="DP234" s="428"/>
      <x:c r="DQ234" s="428"/>
      <x:c r="DR234" s="428"/>
      <x:c r="DS234" s="428"/>
      <x:c r="DT234" s="428"/>
      <x:c r="DU234" s="428"/>
      <x:c r="DV234" s="428"/>
      <x:c r="DW234" s="428"/>
      <x:c r="DX234" s="428"/>
      <x:c r="DY234" s="428"/>
      <x:c r="DZ234" s="428"/>
      <x:c r="EA234" s="428"/>
      <x:c r="EB234" s="428"/>
      <x:c r="EC234" s="428"/>
      <x:c r="ED234" s="428"/>
      <x:c r="EE234" s="428"/>
      <x:c r="EF234" s="428"/>
      <x:c r="EG234" s="428"/>
      <x:c r="EH234" s="428"/>
      <x:c r="EI234" s="428"/>
      <x:c r="EJ234" s="428"/>
      <x:c r="EK234" s="428"/>
      <x:c r="EL234" s="428"/>
      <x:c r="EM234" s="428"/>
      <x:c r="EN234" s="428"/>
      <x:c r="EO234" s="428"/>
      <x:c r="EP234" s="428"/>
      <x:c r="EQ234" s="428"/>
      <x:c r="ER234" s="428"/>
      <x:c r="ES234" s="428"/>
      <x:c r="ET234" s="428"/>
      <x:c r="EU234" s="428"/>
      <x:c r="EV234" s="428"/>
      <x:c r="EW234" s="428"/>
      <x:c r="EX234" s="428"/>
      <x:c r="EY234" s="428"/>
      <x:c r="EZ234" s="428"/>
      <x:c r="FA234" s="428"/>
      <x:c r="FB234" s="428"/>
      <x:c r="FC234" s="428"/>
      <x:c r="FD234" s="428"/>
      <x:c r="FE234" s="428"/>
      <x:c r="FF234" s="428"/>
    </x:row>
    <x:row r="236" spans="6:162" s="430" customFormat="1" ht="15.75" customHeight="1">
      <x:c r="F236" s="428"/>
      <x:c r="G236" s="428"/>
      <x:c r="H236" s="428"/>
      <x:c r="I236" s="428"/>
      <x:c r="J236" s="428"/>
      <x:c r="K236" s="428"/>
      <x:c r="L236" s="428"/>
      <x:c r="M236" s="428"/>
      <x:c r="N236" s="428"/>
      <x:c r="O236" s="428"/>
      <x:c r="P236" s="428"/>
      <x:c r="Q236" s="428"/>
      <x:c r="R236" s="428"/>
      <x:c r="S236" s="428"/>
      <x:c r="T236" s="428"/>
      <x:c r="U236" s="428"/>
      <x:c r="V236" s="428"/>
      <x:c r="W236" s="428"/>
      <x:c r="X236" s="428"/>
      <x:c r="Y236" s="428"/>
      <x:c r="AA236" s="428"/>
      <x:c r="AC236" s="428"/>
      <x:c r="AD236" s="428"/>
      <x:c r="AE236" s="428"/>
      <x:c r="AF236" s="428"/>
      <x:c r="AG236" s="428"/>
      <x:c r="AH236" s="429"/>
      <x:c r="AI236" s="429"/>
      <x:c r="AJ236" s="428"/>
      <x:c r="AK236" s="428"/>
      <x:c r="AL236" s="428"/>
      <x:c r="AM236" s="428"/>
      <x:c r="AN236" s="428"/>
      <x:c r="AO236" s="428"/>
      <x:c r="AP236" s="428"/>
      <x:c r="AQ236" s="428"/>
      <x:c r="AR236" s="428"/>
      <x:c r="AS236" s="428"/>
      <x:c r="AT236" s="428"/>
      <x:c r="AU236" s="428"/>
      <x:c r="AV236" s="428"/>
      <x:c r="AW236" s="428"/>
      <x:c r="AX236" s="428"/>
      <x:c r="AY236" s="428"/>
      <x:c r="AZ236" s="428"/>
      <x:c r="BA236" s="428"/>
      <x:c r="BB236" s="428"/>
      <x:c r="BC236" s="428"/>
      <x:c r="BD236" s="428"/>
      <x:c r="BE236" s="428"/>
      <x:c r="BF236" s="428"/>
      <x:c r="BG236" s="428"/>
      <x:c r="BH236" s="428"/>
      <x:c r="BI236" s="428"/>
      <x:c r="BJ236" s="428"/>
      <x:c r="BK236" s="428"/>
      <x:c r="BL236" s="428"/>
      <x:c r="BM236" s="428"/>
      <x:c r="BN236" s="428"/>
      <x:c r="BO236" s="428"/>
      <x:c r="BP236" s="428"/>
      <x:c r="BQ236" s="428"/>
      <x:c r="BR236" s="428"/>
      <x:c r="BS236" s="428"/>
      <x:c r="BT236" s="428"/>
      <x:c r="BU236" s="428"/>
      <x:c r="BV236" s="428"/>
      <x:c r="BW236" s="428"/>
      <x:c r="BX236" s="428"/>
      <x:c r="BY236" s="428"/>
      <x:c r="BZ236" s="428"/>
      <x:c r="CA236" s="428"/>
      <x:c r="CB236" s="428"/>
      <x:c r="CC236" s="428"/>
      <x:c r="CD236" s="428"/>
      <x:c r="CE236" s="428"/>
      <x:c r="CF236" s="428"/>
      <x:c r="CG236" s="428"/>
      <x:c r="CH236" s="428"/>
      <x:c r="CI236" s="428"/>
      <x:c r="CJ236" s="428"/>
      <x:c r="CK236" s="428"/>
      <x:c r="CL236" s="428"/>
      <x:c r="CM236" s="428"/>
      <x:c r="CN236" s="428"/>
      <x:c r="CO236" s="428"/>
      <x:c r="CP236" s="428"/>
      <x:c r="CQ236" s="428"/>
      <x:c r="CR236" s="428"/>
      <x:c r="CS236" s="428"/>
      <x:c r="CT236" s="428"/>
      <x:c r="CU236" s="428"/>
      <x:c r="CV236" s="428"/>
      <x:c r="CW236" s="428"/>
      <x:c r="CX236" s="428"/>
      <x:c r="CY236" s="428"/>
      <x:c r="CZ236" s="428"/>
      <x:c r="DA236" s="428"/>
      <x:c r="DB236" s="428"/>
      <x:c r="DC236" s="428"/>
      <x:c r="DD236" s="428"/>
      <x:c r="DE236" s="428"/>
      <x:c r="DF236" s="428"/>
      <x:c r="DG236" s="428"/>
      <x:c r="DH236" s="428"/>
      <x:c r="DI236" s="428"/>
      <x:c r="DJ236" s="428"/>
      <x:c r="DK236" s="428"/>
      <x:c r="DL236" s="428"/>
      <x:c r="DM236" s="428"/>
      <x:c r="DN236" s="428"/>
      <x:c r="DO236" s="428"/>
      <x:c r="DP236" s="428"/>
      <x:c r="DQ236" s="428"/>
      <x:c r="DR236" s="428"/>
      <x:c r="DS236" s="428"/>
      <x:c r="DT236" s="428"/>
      <x:c r="DU236" s="428"/>
      <x:c r="DV236" s="428"/>
      <x:c r="DW236" s="428"/>
      <x:c r="DX236" s="428"/>
      <x:c r="DY236" s="428"/>
      <x:c r="DZ236" s="428"/>
      <x:c r="EA236" s="428"/>
      <x:c r="EB236" s="428"/>
      <x:c r="EC236" s="428"/>
      <x:c r="ED236" s="428"/>
      <x:c r="EE236" s="428"/>
      <x:c r="EF236" s="428"/>
      <x:c r="EG236" s="428"/>
      <x:c r="EH236" s="428"/>
      <x:c r="EI236" s="428"/>
      <x:c r="EJ236" s="428"/>
      <x:c r="EK236" s="428"/>
      <x:c r="EL236" s="428"/>
      <x:c r="EM236" s="428"/>
      <x:c r="EN236" s="428"/>
      <x:c r="EO236" s="428"/>
      <x:c r="EP236" s="428"/>
      <x:c r="EQ236" s="428"/>
      <x:c r="ER236" s="428"/>
      <x:c r="ES236" s="428"/>
      <x:c r="ET236" s="428"/>
      <x:c r="EU236" s="428"/>
      <x:c r="EV236" s="428"/>
      <x:c r="EW236" s="428"/>
      <x:c r="EX236" s="428"/>
      <x:c r="EY236" s="428"/>
      <x:c r="EZ236" s="428"/>
      <x:c r="FA236" s="428"/>
      <x:c r="FB236" s="428"/>
      <x:c r="FC236" s="428"/>
      <x:c r="FD236" s="428"/>
      <x:c r="FE236" s="428"/>
      <x:c r="FF236" s="428"/>
    </x:row>
    <x:row r="238" spans="6:162" s="430" customFormat="1" ht="15.75" customHeight="1">
      <x:c r="F238" s="428"/>
      <x:c r="G238" s="428"/>
      <x:c r="H238" s="428"/>
      <x:c r="I238" s="428"/>
      <x:c r="J238" s="428"/>
      <x:c r="K238" s="428"/>
      <x:c r="L238" s="428"/>
      <x:c r="M238" s="428"/>
      <x:c r="N238" s="428"/>
      <x:c r="O238" s="428"/>
      <x:c r="P238" s="428"/>
      <x:c r="Q238" s="428"/>
      <x:c r="R238" s="428"/>
      <x:c r="S238" s="428"/>
      <x:c r="T238" s="428"/>
      <x:c r="U238" s="428"/>
      <x:c r="V238" s="428"/>
      <x:c r="W238" s="428"/>
      <x:c r="X238" s="428"/>
      <x:c r="Y238" s="428"/>
      <x:c r="AA238" s="428"/>
      <x:c r="AC238" s="428"/>
      <x:c r="AD238" s="428"/>
      <x:c r="AE238" s="428"/>
      <x:c r="AF238" s="428"/>
      <x:c r="AG238" s="428"/>
      <x:c r="AH238" s="429"/>
      <x:c r="AI238" s="429"/>
      <x:c r="AJ238" s="428"/>
      <x:c r="AK238" s="428"/>
      <x:c r="AL238" s="428"/>
      <x:c r="AM238" s="428"/>
      <x:c r="AN238" s="428"/>
      <x:c r="AO238" s="428"/>
      <x:c r="AP238" s="428"/>
      <x:c r="AQ238" s="428"/>
      <x:c r="AR238" s="428"/>
      <x:c r="AS238" s="428"/>
      <x:c r="AT238" s="428"/>
      <x:c r="AU238" s="428"/>
      <x:c r="AV238" s="428"/>
      <x:c r="AW238" s="428"/>
      <x:c r="AX238" s="428"/>
      <x:c r="AY238" s="428"/>
      <x:c r="AZ238" s="428"/>
      <x:c r="BA238" s="428"/>
      <x:c r="BB238" s="428"/>
      <x:c r="BC238" s="428"/>
      <x:c r="BD238" s="428"/>
      <x:c r="BE238" s="428"/>
      <x:c r="BF238" s="428"/>
      <x:c r="BG238" s="428"/>
      <x:c r="BH238" s="428"/>
      <x:c r="BI238" s="428"/>
      <x:c r="BJ238" s="428"/>
      <x:c r="BK238" s="428"/>
      <x:c r="BL238" s="428"/>
      <x:c r="BM238" s="428"/>
      <x:c r="BN238" s="428"/>
      <x:c r="BO238" s="428"/>
      <x:c r="BP238" s="428"/>
      <x:c r="BQ238" s="428"/>
      <x:c r="BR238" s="428"/>
      <x:c r="BS238" s="428"/>
      <x:c r="BT238" s="428"/>
      <x:c r="BU238" s="428"/>
      <x:c r="BV238" s="428"/>
      <x:c r="BW238" s="428"/>
      <x:c r="BX238" s="428"/>
      <x:c r="BY238" s="428"/>
      <x:c r="BZ238" s="428"/>
      <x:c r="CA238" s="428"/>
      <x:c r="CB238" s="428"/>
      <x:c r="CC238" s="428"/>
      <x:c r="CD238" s="428"/>
      <x:c r="CE238" s="428"/>
      <x:c r="CF238" s="428"/>
      <x:c r="CG238" s="428"/>
      <x:c r="CH238" s="428"/>
      <x:c r="CI238" s="428"/>
      <x:c r="CJ238" s="428"/>
      <x:c r="CK238" s="428"/>
      <x:c r="CL238" s="428"/>
      <x:c r="CM238" s="428"/>
      <x:c r="CN238" s="428"/>
      <x:c r="CO238" s="428"/>
      <x:c r="CP238" s="428"/>
      <x:c r="CQ238" s="428"/>
      <x:c r="CR238" s="428"/>
      <x:c r="CS238" s="428"/>
      <x:c r="CT238" s="428"/>
      <x:c r="CU238" s="428"/>
      <x:c r="CV238" s="428"/>
      <x:c r="CW238" s="428"/>
      <x:c r="CX238" s="428"/>
      <x:c r="CY238" s="428"/>
      <x:c r="CZ238" s="428"/>
      <x:c r="DA238" s="428"/>
      <x:c r="DB238" s="428"/>
      <x:c r="DC238" s="428"/>
      <x:c r="DD238" s="428"/>
      <x:c r="DE238" s="428"/>
      <x:c r="DF238" s="428"/>
      <x:c r="DG238" s="428"/>
      <x:c r="DH238" s="428"/>
      <x:c r="DI238" s="428"/>
      <x:c r="DJ238" s="428"/>
      <x:c r="DK238" s="428"/>
      <x:c r="DL238" s="428"/>
      <x:c r="DM238" s="428"/>
      <x:c r="DN238" s="428"/>
      <x:c r="DO238" s="428"/>
      <x:c r="DP238" s="428"/>
      <x:c r="DQ238" s="428"/>
      <x:c r="DR238" s="428"/>
      <x:c r="DS238" s="428"/>
      <x:c r="DT238" s="428"/>
      <x:c r="DU238" s="428"/>
      <x:c r="DV238" s="428"/>
      <x:c r="DW238" s="428"/>
      <x:c r="DX238" s="428"/>
      <x:c r="DY238" s="428"/>
      <x:c r="DZ238" s="428"/>
      <x:c r="EA238" s="428"/>
      <x:c r="EB238" s="428"/>
      <x:c r="EC238" s="428"/>
      <x:c r="ED238" s="428"/>
      <x:c r="EE238" s="428"/>
      <x:c r="EF238" s="428"/>
      <x:c r="EG238" s="428"/>
      <x:c r="EH238" s="428"/>
      <x:c r="EI238" s="428"/>
      <x:c r="EJ238" s="428"/>
      <x:c r="EK238" s="428"/>
      <x:c r="EL238" s="428"/>
      <x:c r="EM238" s="428"/>
      <x:c r="EN238" s="428"/>
      <x:c r="EO238" s="428"/>
      <x:c r="EP238" s="428"/>
      <x:c r="EQ238" s="428"/>
      <x:c r="ER238" s="428"/>
      <x:c r="ES238" s="428"/>
      <x:c r="ET238" s="428"/>
      <x:c r="EU238" s="428"/>
      <x:c r="EV238" s="428"/>
      <x:c r="EW238" s="428"/>
      <x:c r="EX238" s="428"/>
      <x:c r="EY238" s="428"/>
      <x:c r="EZ238" s="428"/>
      <x:c r="FA238" s="428"/>
      <x:c r="FB238" s="428"/>
      <x:c r="FC238" s="428"/>
      <x:c r="FD238" s="428"/>
      <x:c r="FE238" s="428"/>
      <x:c r="FF238" s="428"/>
    </x:row>
    <x:row r="240" spans="6:162" s="430" customFormat="1" ht="15.75" customHeight="1">
      <x:c r="F240" s="428"/>
      <x:c r="G240" s="428"/>
      <x:c r="H240" s="428"/>
      <x:c r="I240" s="428"/>
      <x:c r="J240" s="428"/>
      <x:c r="K240" s="428"/>
      <x:c r="L240" s="428"/>
      <x:c r="M240" s="428"/>
      <x:c r="N240" s="428"/>
      <x:c r="O240" s="428"/>
      <x:c r="P240" s="428"/>
      <x:c r="Q240" s="428"/>
      <x:c r="R240" s="428"/>
      <x:c r="S240" s="428"/>
      <x:c r="T240" s="428"/>
      <x:c r="U240" s="428"/>
      <x:c r="V240" s="428"/>
      <x:c r="W240" s="428"/>
      <x:c r="X240" s="428"/>
      <x:c r="Y240" s="428"/>
      <x:c r="AA240" s="428"/>
      <x:c r="AC240" s="428"/>
      <x:c r="AD240" s="428"/>
      <x:c r="AE240" s="428"/>
      <x:c r="AF240" s="428"/>
      <x:c r="AG240" s="428"/>
      <x:c r="AH240" s="429"/>
      <x:c r="AI240" s="429"/>
      <x:c r="AJ240" s="428"/>
      <x:c r="AK240" s="428"/>
      <x:c r="AL240" s="428"/>
      <x:c r="AM240" s="428"/>
      <x:c r="AN240" s="428"/>
      <x:c r="AO240" s="428"/>
      <x:c r="AP240" s="428"/>
      <x:c r="AQ240" s="428"/>
      <x:c r="AR240" s="428"/>
      <x:c r="AS240" s="428"/>
      <x:c r="AT240" s="428"/>
      <x:c r="AU240" s="428"/>
      <x:c r="AV240" s="428"/>
      <x:c r="AW240" s="428"/>
      <x:c r="AX240" s="428"/>
      <x:c r="AY240" s="428"/>
      <x:c r="AZ240" s="428"/>
      <x:c r="BA240" s="428"/>
      <x:c r="BB240" s="428"/>
      <x:c r="BC240" s="428"/>
      <x:c r="BD240" s="428"/>
      <x:c r="BE240" s="428"/>
      <x:c r="BF240" s="428"/>
      <x:c r="BG240" s="428"/>
      <x:c r="BH240" s="428"/>
      <x:c r="BI240" s="428"/>
      <x:c r="BJ240" s="428"/>
      <x:c r="BK240" s="428"/>
      <x:c r="BL240" s="428"/>
      <x:c r="BM240" s="428"/>
      <x:c r="BN240" s="428"/>
      <x:c r="BO240" s="428"/>
      <x:c r="BP240" s="428"/>
      <x:c r="BQ240" s="428"/>
      <x:c r="BR240" s="428"/>
      <x:c r="BS240" s="428"/>
      <x:c r="BT240" s="428"/>
      <x:c r="BU240" s="428"/>
      <x:c r="BV240" s="428"/>
      <x:c r="BW240" s="428"/>
      <x:c r="BX240" s="428"/>
      <x:c r="BY240" s="428"/>
      <x:c r="BZ240" s="428"/>
      <x:c r="CA240" s="428"/>
      <x:c r="CB240" s="428"/>
      <x:c r="CC240" s="428"/>
      <x:c r="CD240" s="428"/>
      <x:c r="CE240" s="428"/>
      <x:c r="CF240" s="428"/>
      <x:c r="CG240" s="428"/>
      <x:c r="CH240" s="428"/>
      <x:c r="CI240" s="428"/>
      <x:c r="CJ240" s="428"/>
      <x:c r="CK240" s="428"/>
      <x:c r="CL240" s="428"/>
      <x:c r="CM240" s="428"/>
      <x:c r="CN240" s="428"/>
      <x:c r="CO240" s="428"/>
      <x:c r="CP240" s="428"/>
      <x:c r="CQ240" s="428"/>
      <x:c r="CR240" s="428"/>
      <x:c r="CS240" s="428"/>
      <x:c r="CT240" s="428"/>
      <x:c r="CU240" s="428"/>
      <x:c r="CV240" s="428"/>
      <x:c r="CW240" s="428"/>
      <x:c r="CX240" s="428"/>
      <x:c r="CY240" s="428"/>
      <x:c r="CZ240" s="428"/>
      <x:c r="DA240" s="428"/>
      <x:c r="DB240" s="428"/>
      <x:c r="DC240" s="428"/>
      <x:c r="DD240" s="428"/>
      <x:c r="DE240" s="428"/>
      <x:c r="DF240" s="428"/>
      <x:c r="DG240" s="428"/>
      <x:c r="DH240" s="428"/>
      <x:c r="DI240" s="428"/>
      <x:c r="DJ240" s="428"/>
      <x:c r="DK240" s="428"/>
      <x:c r="DL240" s="428"/>
      <x:c r="DM240" s="428"/>
      <x:c r="DN240" s="428"/>
      <x:c r="DO240" s="428"/>
      <x:c r="DP240" s="428"/>
      <x:c r="DQ240" s="428"/>
      <x:c r="DR240" s="428"/>
      <x:c r="DS240" s="428"/>
      <x:c r="DT240" s="428"/>
      <x:c r="DU240" s="428"/>
      <x:c r="DV240" s="428"/>
      <x:c r="DW240" s="428"/>
      <x:c r="DX240" s="428"/>
      <x:c r="DY240" s="428"/>
      <x:c r="DZ240" s="428"/>
      <x:c r="EA240" s="428"/>
      <x:c r="EB240" s="428"/>
      <x:c r="EC240" s="428"/>
      <x:c r="ED240" s="428"/>
      <x:c r="EE240" s="428"/>
      <x:c r="EF240" s="428"/>
      <x:c r="EG240" s="428"/>
      <x:c r="EH240" s="428"/>
      <x:c r="EI240" s="428"/>
      <x:c r="EJ240" s="428"/>
      <x:c r="EK240" s="428"/>
      <x:c r="EL240" s="428"/>
      <x:c r="EM240" s="428"/>
      <x:c r="EN240" s="428"/>
      <x:c r="EO240" s="428"/>
      <x:c r="EP240" s="428"/>
      <x:c r="EQ240" s="428"/>
      <x:c r="ER240" s="428"/>
      <x:c r="ES240" s="428"/>
      <x:c r="ET240" s="428"/>
      <x:c r="EU240" s="428"/>
      <x:c r="EV240" s="428"/>
      <x:c r="EW240" s="428"/>
      <x:c r="EX240" s="428"/>
      <x:c r="EY240" s="428"/>
      <x:c r="EZ240" s="428"/>
      <x:c r="FA240" s="428"/>
      <x:c r="FB240" s="428"/>
      <x:c r="FC240" s="428"/>
      <x:c r="FD240" s="428"/>
      <x:c r="FE240" s="428"/>
      <x:c r="FF240" s="428"/>
    </x:row>
    <x:row r="242" spans="6:162" s="430" customFormat="1" ht="15.75" customHeight="1">
      <x:c r="F242" s="428"/>
      <x:c r="G242" s="428"/>
      <x:c r="H242" s="428"/>
      <x:c r="I242" s="428"/>
      <x:c r="J242" s="428"/>
      <x:c r="K242" s="428"/>
      <x:c r="L242" s="428"/>
      <x:c r="M242" s="428"/>
      <x:c r="N242" s="428"/>
      <x:c r="O242" s="428"/>
      <x:c r="P242" s="428"/>
      <x:c r="Q242" s="428"/>
      <x:c r="R242" s="428"/>
      <x:c r="S242" s="428"/>
      <x:c r="T242" s="428"/>
      <x:c r="U242" s="428"/>
      <x:c r="V242" s="428"/>
      <x:c r="W242" s="428"/>
      <x:c r="X242" s="428"/>
      <x:c r="Y242" s="428"/>
      <x:c r="AA242" s="428"/>
      <x:c r="AC242" s="428"/>
      <x:c r="AD242" s="428"/>
      <x:c r="AE242" s="428"/>
      <x:c r="AF242" s="428"/>
      <x:c r="AG242" s="428"/>
      <x:c r="AH242" s="429"/>
      <x:c r="AI242" s="429"/>
      <x:c r="AJ242" s="428"/>
      <x:c r="AK242" s="428"/>
      <x:c r="AL242" s="428"/>
      <x:c r="AM242" s="428"/>
      <x:c r="AN242" s="428"/>
      <x:c r="AO242" s="428"/>
      <x:c r="AP242" s="428"/>
      <x:c r="AQ242" s="428"/>
      <x:c r="AR242" s="428"/>
      <x:c r="AS242" s="428"/>
      <x:c r="AT242" s="428"/>
      <x:c r="AU242" s="428"/>
      <x:c r="AV242" s="428"/>
      <x:c r="AW242" s="428"/>
      <x:c r="AX242" s="428"/>
      <x:c r="AY242" s="428"/>
      <x:c r="AZ242" s="428"/>
      <x:c r="BA242" s="428"/>
      <x:c r="BB242" s="428"/>
      <x:c r="BC242" s="428"/>
      <x:c r="BD242" s="428"/>
      <x:c r="BE242" s="428"/>
      <x:c r="BF242" s="428"/>
      <x:c r="BG242" s="428"/>
      <x:c r="BH242" s="428"/>
      <x:c r="BI242" s="428"/>
      <x:c r="BJ242" s="428"/>
      <x:c r="BK242" s="428"/>
      <x:c r="BL242" s="428"/>
      <x:c r="BM242" s="428"/>
      <x:c r="BN242" s="428"/>
      <x:c r="BO242" s="428"/>
      <x:c r="BP242" s="428"/>
      <x:c r="BQ242" s="428"/>
      <x:c r="BR242" s="428"/>
      <x:c r="BS242" s="428"/>
      <x:c r="BT242" s="428"/>
      <x:c r="BU242" s="428"/>
      <x:c r="BV242" s="428"/>
      <x:c r="BW242" s="428"/>
      <x:c r="BX242" s="428"/>
      <x:c r="BY242" s="428"/>
      <x:c r="BZ242" s="428"/>
      <x:c r="CA242" s="428"/>
      <x:c r="CB242" s="428"/>
      <x:c r="CC242" s="428"/>
      <x:c r="CD242" s="428"/>
      <x:c r="CE242" s="428"/>
      <x:c r="CF242" s="428"/>
      <x:c r="CG242" s="428"/>
      <x:c r="CH242" s="428"/>
      <x:c r="CI242" s="428"/>
      <x:c r="CJ242" s="428"/>
      <x:c r="CK242" s="428"/>
      <x:c r="CL242" s="428"/>
      <x:c r="CM242" s="428"/>
      <x:c r="CN242" s="428"/>
      <x:c r="CO242" s="428"/>
      <x:c r="CP242" s="428"/>
      <x:c r="CQ242" s="428"/>
      <x:c r="CR242" s="428"/>
      <x:c r="CS242" s="428"/>
      <x:c r="CT242" s="428"/>
      <x:c r="CU242" s="428"/>
      <x:c r="CV242" s="428"/>
      <x:c r="CW242" s="428"/>
      <x:c r="CX242" s="428"/>
      <x:c r="CY242" s="428"/>
      <x:c r="CZ242" s="428"/>
      <x:c r="DA242" s="428"/>
      <x:c r="DB242" s="428"/>
      <x:c r="DC242" s="428"/>
      <x:c r="DD242" s="428"/>
      <x:c r="DE242" s="428"/>
      <x:c r="DF242" s="428"/>
      <x:c r="DG242" s="428"/>
      <x:c r="DH242" s="428"/>
      <x:c r="DI242" s="428"/>
      <x:c r="DJ242" s="428"/>
      <x:c r="DK242" s="428"/>
      <x:c r="DL242" s="428"/>
      <x:c r="DM242" s="428"/>
      <x:c r="DN242" s="428"/>
      <x:c r="DO242" s="428"/>
      <x:c r="DP242" s="428"/>
      <x:c r="DQ242" s="428"/>
      <x:c r="DR242" s="428"/>
      <x:c r="DS242" s="428"/>
      <x:c r="DT242" s="428"/>
      <x:c r="DU242" s="428"/>
      <x:c r="DV242" s="428"/>
      <x:c r="DW242" s="428"/>
      <x:c r="DX242" s="428"/>
      <x:c r="DY242" s="428"/>
      <x:c r="DZ242" s="428"/>
      <x:c r="EA242" s="428"/>
      <x:c r="EB242" s="428"/>
      <x:c r="EC242" s="428"/>
      <x:c r="ED242" s="428"/>
      <x:c r="EE242" s="428"/>
      <x:c r="EF242" s="428"/>
      <x:c r="EG242" s="428"/>
      <x:c r="EH242" s="428"/>
      <x:c r="EI242" s="428"/>
      <x:c r="EJ242" s="428"/>
      <x:c r="EK242" s="428"/>
      <x:c r="EL242" s="428"/>
      <x:c r="EM242" s="428"/>
      <x:c r="EN242" s="428"/>
      <x:c r="EO242" s="428"/>
      <x:c r="EP242" s="428"/>
      <x:c r="EQ242" s="428"/>
      <x:c r="ER242" s="428"/>
      <x:c r="ES242" s="428"/>
      <x:c r="ET242" s="428"/>
      <x:c r="EU242" s="428"/>
      <x:c r="EV242" s="428"/>
      <x:c r="EW242" s="428"/>
      <x:c r="EX242" s="428"/>
      <x:c r="EY242" s="428"/>
      <x:c r="EZ242" s="428"/>
      <x:c r="FA242" s="428"/>
      <x:c r="FB242" s="428"/>
      <x:c r="FC242" s="428"/>
      <x:c r="FD242" s="428"/>
      <x:c r="FE242" s="428"/>
      <x:c r="FF242" s="428"/>
    </x:row>
    <x:row r="244" spans="6:162" s="430" customFormat="1" ht="15.75" customHeight="1">
      <x:c r="F244" s="428"/>
      <x:c r="G244" s="428"/>
      <x:c r="H244" s="428"/>
      <x:c r="I244" s="428"/>
      <x:c r="J244" s="428"/>
      <x:c r="K244" s="428"/>
      <x:c r="L244" s="428"/>
      <x:c r="M244" s="428"/>
      <x:c r="N244" s="428"/>
      <x:c r="O244" s="428"/>
      <x:c r="P244" s="428"/>
      <x:c r="Q244" s="428"/>
      <x:c r="R244" s="428"/>
      <x:c r="S244" s="428"/>
      <x:c r="T244" s="428"/>
      <x:c r="U244" s="428"/>
      <x:c r="V244" s="428"/>
      <x:c r="W244" s="428"/>
      <x:c r="X244" s="428"/>
      <x:c r="Y244" s="428"/>
      <x:c r="AA244" s="428"/>
      <x:c r="AC244" s="428"/>
      <x:c r="AD244" s="428"/>
      <x:c r="AE244" s="428"/>
      <x:c r="AF244" s="428"/>
      <x:c r="AG244" s="428"/>
      <x:c r="AH244" s="429"/>
      <x:c r="AI244" s="429"/>
      <x:c r="AJ244" s="428"/>
      <x:c r="AK244" s="428"/>
      <x:c r="AL244" s="428"/>
      <x:c r="AM244" s="428"/>
      <x:c r="AN244" s="428"/>
      <x:c r="AO244" s="428"/>
      <x:c r="AP244" s="428"/>
      <x:c r="AQ244" s="428"/>
      <x:c r="AR244" s="428"/>
      <x:c r="AS244" s="428"/>
      <x:c r="AT244" s="428"/>
      <x:c r="AU244" s="428"/>
      <x:c r="AV244" s="428"/>
      <x:c r="AW244" s="428"/>
      <x:c r="AX244" s="428"/>
      <x:c r="AY244" s="428"/>
      <x:c r="AZ244" s="428"/>
      <x:c r="BA244" s="428"/>
      <x:c r="BB244" s="428"/>
      <x:c r="BC244" s="428"/>
      <x:c r="BD244" s="428"/>
      <x:c r="BE244" s="428"/>
      <x:c r="BF244" s="428"/>
      <x:c r="BG244" s="428"/>
      <x:c r="BH244" s="428"/>
      <x:c r="BI244" s="428"/>
      <x:c r="BJ244" s="428"/>
      <x:c r="BK244" s="428"/>
      <x:c r="BL244" s="428"/>
      <x:c r="BM244" s="428"/>
      <x:c r="BN244" s="428"/>
      <x:c r="BO244" s="428"/>
      <x:c r="BP244" s="428"/>
      <x:c r="BQ244" s="428"/>
      <x:c r="BR244" s="428"/>
      <x:c r="BS244" s="428"/>
      <x:c r="BT244" s="428"/>
      <x:c r="BU244" s="428"/>
      <x:c r="BV244" s="428"/>
      <x:c r="BW244" s="428"/>
      <x:c r="BX244" s="428"/>
      <x:c r="BY244" s="428"/>
      <x:c r="BZ244" s="428"/>
      <x:c r="CA244" s="428"/>
      <x:c r="CB244" s="428"/>
      <x:c r="CC244" s="428"/>
      <x:c r="CD244" s="428"/>
      <x:c r="CE244" s="428"/>
      <x:c r="CF244" s="428"/>
      <x:c r="CG244" s="428"/>
      <x:c r="CH244" s="428"/>
      <x:c r="CI244" s="428"/>
      <x:c r="CJ244" s="428"/>
      <x:c r="CK244" s="428"/>
      <x:c r="CL244" s="428"/>
      <x:c r="CM244" s="428"/>
      <x:c r="CN244" s="428"/>
      <x:c r="CO244" s="428"/>
      <x:c r="CP244" s="428"/>
      <x:c r="CQ244" s="428"/>
      <x:c r="CR244" s="428"/>
      <x:c r="CS244" s="428"/>
      <x:c r="CT244" s="428"/>
      <x:c r="CU244" s="428"/>
      <x:c r="CV244" s="428"/>
      <x:c r="CW244" s="428"/>
      <x:c r="CX244" s="428"/>
      <x:c r="CY244" s="428"/>
      <x:c r="CZ244" s="428"/>
      <x:c r="DA244" s="428"/>
      <x:c r="DB244" s="428"/>
      <x:c r="DC244" s="428"/>
      <x:c r="DD244" s="428"/>
      <x:c r="DE244" s="428"/>
      <x:c r="DF244" s="428"/>
      <x:c r="DG244" s="428"/>
      <x:c r="DH244" s="428"/>
      <x:c r="DI244" s="428"/>
      <x:c r="DJ244" s="428"/>
      <x:c r="DK244" s="428"/>
      <x:c r="DL244" s="428"/>
      <x:c r="DM244" s="428"/>
      <x:c r="DN244" s="428"/>
      <x:c r="DO244" s="428"/>
      <x:c r="DP244" s="428"/>
      <x:c r="DQ244" s="428"/>
      <x:c r="DR244" s="428"/>
      <x:c r="DS244" s="428"/>
      <x:c r="DT244" s="428"/>
      <x:c r="DU244" s="428"/>
      <x:c r="DV244" s="428"/>
      <x:c r="DW244" s="428"/>
      <x:c r="DX244" s="428"/>
      <x:c r="DY244" s="428"/>
      <x:c r="DZ244" s="428"/>
      <x:c r="EA244" s="428"/>
      <x:c r="EB244" s="428"/>
      <x:c r="EC244" s="428"/>
      <x:c r="ED244" s="428"/>
      <x:c r="EE244" s="428"/>
      <x:c r="EF244" s="428"/>
      <x:c r="EG244" s="428"/>
      <x:c r="EH244" s="428"/>
      <x:c r="EI244" s="428"/>
      <x:c r="EJ244" s="428"/>
      <x:c r="EK244" s="428"/>
      <x:c r="EL244" s="428"/>
      <x:c r="EM244" s="428"/>
      <x:c r="EN244" s="428"/>
      <x:c r="EO244" s="428"/>
      <x:c r="EP244" s="428"/>
      <x:c r="EQ244" s="428"/>
      <x:c r="ER244" s="428"/>
      <x:c r="ES244" s="428"/>
      <x:c r="ET244" s="428"/>
      <x:c r="EU244" s="428"/>
      <x:c r="EV244" s="428"/>
      <x:c r="EW244" s="428"/>
      <x:c r="EX244" s="428"/>
      <x:c r="EY244" s="428"/>
      <x:c r="EZ244" s="428"/>
      <x:c r="FA244" s="428"/>
      <x:c r="FB244" s="428"/>
      <x:c r="FC244" s="428"/>
      <x:c r="FD244" s="428"/>
      <x:c r="FE244" s="428"/>
      <x:c r="FF244" s="428"/>
    </x:row>
    <x:row r="246" spans="6:162" s="430" customFormat="1" ht="15.75" customHeight="1">
      <x:c r="F246" s="428"/>
      <x:c r="G246" s="428"/>
      <x:c r="H246" s="428"/>
      <x:c r="I246" s="428"/>
      <x:c r="J246" s="428"/>
      <x:c r="K246" s="428"/>
      <x:c r="L246" s="428"/>
      <x:c r="M246" s="428"/>
      <x:c r="N246" s="428"/>
      <x:c r="O246" s="428"/>
      <x:c r="P246" s="428"/>
      <x:c r="Q246" s="428"/>
      <x:c r="R246" s="428"/>
      <x:c r="S246" s="428"/>
      <x:c r="T246" s="428"/>
      <x:c r="U246" s="428"/>
      <x:c r="V246" s="428"/>
      <x:c r="W246" s="428"/>
      <x:c r="X246" s="428"/>
      <x:c r="Y246" s="428"/>
      <x:c r="AA246" s="428"/>
      <x:c r="AC246" s="428"/>
      <x:c r="AD246" s="428"/>
      <x:c r="AE246" s="428"/>
      <x:c r="AF246" s="428"/>
      <x:c r="AG246" s="428"/>
      <x:c r="AH246" s="429"/>
      <x:c r="AI246" s="429"/>
      <x:c r="AJ246" s="428"/>
      <x:c r="AK246" s="428"/>
      <x:c r="AL246" s="428"/>
      <x:c r="AM246" s="428"/>
      <x:c r="AN246" s="428"/>
      <x:c r="AO246" s="428"/>
      <x:c r="AP246" s="428"/>
      <x:c r="AQ246" s="428"/>
      <x:c r="AR246" s="428"/>
      <x:c r="AS246" s="428"/>
      <x:c r="AT246" s="428"/>
      <x:c r="AU246" s="428"/>
      <x:c r="AV246" s="428"/>
      <x:c r="AW246" s="428"/>
      <x:c r="AX246" s="428"/>
      <x:c r="AY246" s="428"/>
      <x:c r="AZ246" s="428"/>
      <x:c r="BA246" s="428"/>
      <x:c r="BB246" s="428"/>
      <x:c r="BC246" s="428"/>
      <x:c r="BD246" s="428"/>
      <x:c r="BE246" s="428"/>
      <x:c r="BF246" s="428"/>
      <x:c r="BG246" s="428"/>
      <x:c r="BH246" s="428"/>
      <x:c r="BI246" s="428"/>
      <x:c r="BJ246" s="428"/>
      <x:c r="BK246" s="428"/>
      <x:c r="BL246" s="428"/>
      <x:c r="BM246" s="428"/>
      <x:c r="BN246" s="428"/>
      <x:c r="BO246" s="428"/>
      <x:c r="BP246" s="428"/>
      <x:c r="BQ246" s="428"/>
      <x:c r="BR246" s="428"/>
      <x:c r="BS246" s="428"/>
      <x:c r="BT246" s="428"/>
      <x:c r="BU246" s="428"/>
      <x:c r="BV246" s="428"/>
      <x:c r="BW246" s="428"/>
      <x:c r="BX246" s="428"/>
      <x:c r="BY246" s="428"/>
      <x:c r="BZ246" s="428"/>
      <x:c r="CA246" s="428"/>
      <x:c r="CB246" s="428"/>
      <x:c r="CC246" s="428"/>
      <x:c r="CD246" s="428"/>
      <x:c r="CE246" s="428"/>
      <x:c r="CF246" s="428"/>
      <x:c r="CG246" s="428"/>
      <x:c r="CH246" s="428"/>
      <x:c r="CI246" s="428"/>
      <x:c r="CJ246" s="428"/>
      <x:c r="CK246" s="428"/>
      <x:c r="CL246" s="428"/>
      <x:c r="CM246" s="428"/>
      <x:c r="CN246" s="428"/>
      <x:c r="CO246" s="428"/>
      <x:c r="CP246" s="428"/>
      <x:c r="CQ246" s="428"/>
      <x:c r="CR246" s="428"/>
      <x:c r="CS246" s="428"/>
      <x:c r="CT246" s="428"/>
      <x:c r="CU246" s="428"/>
      <x:c r="CV246" s="428"/>
      <x:c r="CW246" s="428"/>
      <x:c r="CX246" s="428"/>
      <x:c r="CY246" s="428"/>
      <x:c r="CZ246" s="428"/>
      <x:c r="DA246" s="428"/>
      <x:c r="DB246" s="428"/>
      <x:c r="DC246" s="428"/>
      <x:c r="DD246" s="428"/>
      <x:c r="DE246" s="428"/>
      <x:c r="DF246" s="428"/>
      <x:c r="DG246" s="428"/>
      <x:c r="DH246" s="428"/>
      <x:c r="DI246" s="428"/>
      <x:c r="DJ246" s="428"/>
      <x:c r="DK246" s="428"/>
      <x:c r="DL246" s="428"/>
      <x:c r="DM246" s="428"/>
      <x:c r="DN246" s="428"/>
      <x:c r="DO246" s="428"/>
      <x:c r="DP246" s="428"/>
      <x:c r="DQ246" s="428"/>
      <x:c r="DR246" s="428"/>
      <x:c r="DS246" s="428"/>
      <x:c r="DT246" s="428"/>
      <x:c r="DU246" s="428"/>
      <x:c r="DV246" s="428"/>
      <x:c r="DW246" s="428"/>
      <x:c r="DX246" s="428"/>
      <x:c r="DY246" s="428"/>
      <x:c r="DZ246" s="428"/>
      <x:c r="EA246" s="428"/>
      <x:c r="EB246" s="428"/>
      <x:c r="EC246" s="428"/>
      <x:c r="ED246" s="428"/>
      <x:c r="EE246" s="428"/>
      <x:c r="EF246" s="428"/>
      <x:c r="EG246" s="428"/>
      <x:c r="EH246" s="428"/>
      <x:c r="EI246" s="428"/>
      <x:c r="EJ246" s="428"/>
      <x:c r="EK246" s="428"/>
      <x:c r="EL246" s="428"/>
      <x:c r="EM246" s="428"/>
      <x:c r="EN246" s="428"/>
      <x:c r="EO246" s="428"/>
      <x:c r="EP246" s="428"/>
      <x:c r="EQ246" s="428"/>
      <x:c r="ER246" s="428"/>
      <x:c r="ES246" s="428"/>
      <x:c r="ET246" s="428"/>
      <x:c r="EU246" s="428"/>
      <x:c r="EV246" s="428"/>
      <x:c r="EW246" s="428"/>
      <x:c r="EX246" s="428"/>
      <x:c r="EY246" s="428"/>
      <x:c r="EZ246" s="428"/>
      <x:c r="FA246" s="428"/>
      <x:c r="FB246" s="428"/>
      <x:c r="FC246" s="428"/>
      <x:c r="FD246" s="428"/>
      <x:c r="FE246" s="428"/>
      <x:c r="FF246" s="428"/>
    </x:row>
    <x:row r="248" spans="6:162" s="430" customFormat="1" ht="15.75" customHeight="1">
      <x:c r="F248" s="428"/>
      <x:c r="G248" s="428"/>
      <x:c r="H248" s="428"/>
      <x:c r="I248" s="428"/>
      <x:c r="J248" s="428"/>
      <x:c r="K248" s="428"/>
      <x:c r="L248" s="428"/>
      <x:c r="M248" s="428"/>
      <x:c r="N248" s="428"/>
      <x:c r="O248" s="428"/>
      <x:c r="P248" s="428"/>
      <x:c r="Q248" s="428"/>
      <x:c r="R248" s="428"/>
      <x:c r="S248" s="428"/>
      <x:c r="T248" s="428"/>
      <x:c r="U248" s="428"/>
      <x:c r="V248" s="428"/>
      <x:c r="W248" s="428"/>
      <x:c r="X248" s="428"/>
      <x:c r="Y248" s="428"/>
      <x:c r="AA248" s="428"/>
      <x:c r="AC248" s="428"/>
      <x:c r="AD248" s="428"/>
      <x:c r="AE248" s="428"/>
      <x:c r="AF248" s="428"/>
      <x:c r="AG248" s="428"/>
      <x:c r="AH248" s="429"/>
      <x:c r="AI248" s="429"/>
      <x:c r="AJ248" s="428"/>
      <x:c r="AK248" s="428"/>
      <x:c r="AL248" s="428"/>
      <x:c r="AM248" s="428"/>
      <x:c r="AN248" s="428"/>
      <x:c r="AO248" s="428"/>
      <x:c r="AP248" s="428"/>
      <x:c r="AQ248" s="428"/>
      <x:c r="AR248" s="428"/>
      <x:c r="AS248" s="428"/>
      <x:c r="AT248" s="428"/>
      <x:c r="AU248" s="428"/>
      <x:c r="AV248" s="428"/>
      <x:c r="AW248" s="428"/>
      <x:c r="AX248" s="428"/>
      <x:c r="AY248" s="428"/>
      <x:c r="AZ248" s="428"/>
      <x:c r="BA248" s="428"/>
      <x:c r="BB248" s="428"/>
      <x:c r="BC248" s="428"/>
      <x:c r="BD248" s="428"/>
      <x:c r="BE248" s="428"/>
      <x:c r="BF248" s="428"/>
      <x:c r="BG248" s="428"/>
      <x:c r="BH248" s="428"/>
      <x:c r="BI248" s="428"/>
      <x:c r="BJ248" s="428"/>
      <x:c r="BK248" s="428"/>
      <x:c r="BL248" s="428"/>
      <x:c r="BM248" s="428"/>
      <x:c r="BN248" s="428"/>
      <x:c r="BO248" s="428"/>
      <x:c r="BP248" s="428"/>
      <x:c r="BQ248" s="428"/>
      <x:c r="BR248" s="428"/>
      <x:c r="BS248" s="428"/>
      <x:c r="BT248" s="428"/>
      <x:c r="BU248" s="428"/>
      <x:c r="BV248" s="428"/>
      <x:c r="BW248" s="428"/>
      <x:c r="BX248" s="428"/>
      <x:c r="BY248" s="428"/>
      <x:c r="BZ248" s="428"/>
      <x:c r="CA248" s="428"/>
      <x:c r="CB248" s="428"/>
      <x:c r="CC248" s="428"/>
      <x:c r="CD248" s="428"/>
      <x:c r="CE248" s="428"/>
      <x:c r="CF248" s="428"/>
      <x:c r="CG248" s="428"/>
      <x:c r="CH248" s="428"/>
      <x:c r="CI248" s="428"/>
      <x:c r="CJ248" s="428"/>
      <x:c r="CK248" s="428"/>
      <x:c r="CL248" s="428"/>
      <x:c r="CM248" s="428"/>
      <x:c r="CN248" s="428"/>
      <x:c r="CO248" s="428"/>
      <x:c r="CP248" s="428"/>
      <x:c r="CQ248" s="428"/>
      <x:c r="CR248" s="428"/>
      <x:c r="CS248" s="428"/>
      <x:c r="CT248" s="428"/>
      <x:c r="CU248" s="428"/>
      <x:c r="CV248" s="428"/>
      <x:c r="CW248" s="428"/>
      <x:c r="CX248" s="428"/>
      <x:c r="CY248" s="428"/>
      <x:c r="CZ248" s="428"/>
      <x:c r="DA248" s="428"/>
      <x:c r="DB248" s="428"/>
      <x:c r="DC248" s="428"/>
      <x:c r="DD248" s="428"/>
      <x:c r="DE248" s="428"/>
      <x:c r="DF248" s="428"/>
      <x:c r="DG248" s="428"/>
      <x:c r="DH248" s="428"/>
      <x:c r="DI248" s="428"/>
      <x:c r="DJ248" s="428"/>
      <x:c r="DK248" s="428"/>
      <x:c r="DL248" s="428"/>
      <x:c r="DM248" s="428"/>
      <x:c r="DN248" s="428"/>
      <x:c r="DO248" s="428"/>
      <x:c r="DP248" s="428"/>
      <x:c r="DQ248" s="428"/>
      <x:c r="DR248" s="428"/>
      <x:c r="DS248" s="428"/>
      <x:c r="DT248" s="428"/>
      <x:c r="DU248" s="428"/>
      <x:c r="DV248" s="428"/>
      <x:c r="DW248" s="428"/>
      <x:c r="DX248" s="428"/>
      <x:c r="DY248" s="428"/>
      <x:c r="DZ248" s="428"/>
      <x:c r="EA248" s="428"/>
      <x:c r="EB248" s="428"/>
      <x:c r="EC248" s="428"/>
      <x:c r="ED248" s="428"/>
      <x:c r="EE248" s="428"/>
      <x:c r="EF248" s="428"/>
      <x:c r="EG248" s="428"/>
      <x:c r="EH248" s="428"/>
      <x:c r="EI248" s="428"/>
      <x:c r="EJ248" s="428"/>
      <x:c r="EK248" s="428"/>
      <x:c r="EL248" s="428"/>
      <x:c r="EM248" s="428"/>
      <x:c r="EN248" s="428"/>
      <x:c r="EO248" s="428"/>
      <x:c r="EP248" s="428"/>
      <x:c r="EQ248" s="428"/>
      <x:c r="ER248" s="428"/>
      <x:c r="ES248" s="428"/>
      <x:c r="ET248" s="428"/>
      <x:c r="EU248" s="428"/>
      <x:c r="EV248" s="428"/>
      <x:c r="EW248" s="428"/>
      <x:c r="EX248" s="428"/>
      <x:c r="EY248" s="428"/>
      <x:c r="EZ248" s="428"/>
      <x:c r="FA248" s="428"/>
      <x:c r="FB248" s="428"/>
      <x:c r="FC248" s="428"/>
      <x:c r="FD248" s="428"/>
      <x:c r="FE248" s="428"/>
      <x:c r="FF248" s="428"/>
    </x:row>
    <x:row r="250" spans="6:162" s="430" customFormat="1" ht="15.75" customHeight="1">
      <x:c r="F250" s="428"/>
      <x:c r="G250" s="428"/>
      <x:c r="H250" s="428"/>
      <x:c r="I250" s="428"/>
      <x:c r="J250" s="428"/>
      <x:c r="K250" s="428"/>
      <x:c r="L250" s="428"/>
      <x:c r="M250" s="428"/>
      <x:c r="N250" s="428"/>
      <x:c r="O250" s="428"/>
      <x:c r="P250" s="428"/>
      <x:c r="Q250" s="428"/>
      <x:c r="R250" s="428"/>
      <x:c r="S250" s="428"/>
      <x:c r="T250" s="428"/>
      <x:c r="U250" s="428"/>
      <x:c r="V250" s="428"/>
      <x:c r="W250" s="428"/>
      <x:c r="X250" s="428"/>
      <x:c r="Y250" s="428"/>
      <x:c r="AA250" s="428"/>
      <x:c r="AC250" s="428"/>
      <x:c r="AD250" s="428"/>
      <x:c r="AE250" s="428"/>
      <x:c r="AF250" s="428"/>
      <x:c r="AG250" s="428"/>
      <x:c r="AH250" s="429"/>
      <x:c r="AI250" s="429"/>
      <x:c r="AJ250" s="428"/>
      <x:c r="AK250" s="428"/>
      <x:c r="AL250" s="428"/>
      <x:c r="AM250" s="428"/>
      <x:c r="AN250" s="428"/>
      <x:c r="AO250" s="428"/>
      <x:c r="AP250" s="428"/>
      <x:c r="AQ250" s="428"/>
      <x:c r="AR250" s="428"/>
      <x:c r="AS250" s="428"/>
      <x:c r="AT250" s="428"/>
      <x:c r="AU250" s="428"/>
      <x:c r="AV250" s="428"/>
      <x:c r="AW250" s="428"/>
      <x:c r="AX250" s="428"/>
      <x:c r="AY250" s="428"/>
      <x:c r="AZ250" s="428"/>
      <x:c r="BA250" s="428"/>
      <x:c r="BB250" s="428"/>
      <x:c r="BC250" s="428"/>
      <x:c r="BD250" s="428"/>
      <x:c r="BE250" s="428"/>
      <x:c r="BF250" s="428"/>
      <x:c r="BG250" s="428"/>
      <x:c r="BH250" s="428"/>
      <x:c r="BI250" s="428"/>
      <x:c r="BJ250" s="428"/>
      <x:c r="BK250" s="428"/>
      <x:c r="BL250" s="428"/>
      <x:c r="BM250" s="428"/>
      <x:c r="BN250" s="428"/>
      <x:c r="BO250" s="428"/>
      <x:c r="BP250" s="428"/>
      <x:c r="BQ250" s="428"/>
      <x:c r="BR250" s="428"/>
      <x:c r="BS250" s="428"/>
      <x:c r="BT250" s="428"/>
      <x:c r="BU250" s="428"/>
      <x:c r="BV250" s="428"/>
      <x:c r="BW250" s="428"/>
      <x:c r="BX250" s="428"/>
      <x:c r="BY250" s="428"/>
      <x:c r="BZ250" s="428"/>
      <x:c r="CA250" s="428"/>
      <x:c r="CB250" s="428"/>
      <x:c r="CC250" s="428"/>
      <x:c r="CD250" s="428"/>
      <x:c r="CE250" s="428"/>
      <x:c r="CF250" s="428"/>
      <x:c r="CG250" s="428"/>
      <x:c r="CH250" s="428"/>
      <x:c r="CI250" s="428"/>
      <x:c r="CJ250" s="428"/>
      <x:c r="CK250" s="428"/>
      <x:c r="CL250" s="428"/>
      <x:c r="CM250" s="428"/>
      <x:c r="CN250" s="428"/>
      <x:c r="CO250" s="428"/>
      <x:c r="CP250" s="428"/>
      <x:c r="CQ250" s="428"/>
      <x:c r="CR250" s="428"/>
      <x:c r="CS250" s="428"/>
      <x:c r="CT250" s="428"/>
      <x:c r="CU250" s="428"/>
      <x:c r="CV250" s="428"/>
      <x:c r="CW250" s="428"/>
      <x:c r="CX250" s="428"/>
      <x:c r="CY250" s="428"/>
      <x:c r="CZ250" s="428"/>
      <x:c r="DA250" s="428"/>
      <x:c r="DB250" s="428"/>
      <x:c r="DC250" s="428"/>
      <x:c r="DD250" s="428"/>
      <x:c r="DE250" s="428"/>
      <x:c r="DF250" s="428"/>
      <x:c r="DG250" s="428"/>
      <x:c r="DH250" s="428"/>
      <x:c r="DI250" s="428"/>
      <x:c r="DJ250" s="428"/>
      <x:c r="DK250" s="428"/>
      <x:c r="DL250" s="428"/>
      <x:c r="DM250" s="428"/>
      <x:c r="DN250" s="428"/>
      <x:c r="DO250" s="428"/>
      <x:c r="DP250" s="428"/>
      <x:c r="DQ250" s="428"/>
      <x:c r="DR250" s="428"/>
      <x:c r="DS250" s="428"/>
      <x:c r="DT250" s="428"/>
      <x:c r="DU250" s="428"/>
      <x:c r="DV250" s="428"/>
      <x:c r="DW250" s="428"/>
      <x:c r="DX250" s="428"/>
      <x:c r="DY250" s="428"/>
      <x:c r="DZ250" s="428"/>
      <x:c r="EA250" s="428"/>
      <x:c r="EB250" s="428"/>
      <x:c r="EC250" s="428"/>
      <x:c r="ED250" s="428"/>
      <x:c r="EE250" s="428"/>
      <x:c r="EF250" s="428"/>
      <x:c r="EG250" s="428"/>
      <x:c r="EH250" s="428"/>
      <x:c r="EI250" s="428"/>
      <x:c r="EJ250" s="428"/>
      <x:c r="EK250" s="428"/>
      <x:c r="EL250" s="428"/>
      <x:c r="EM250" s="428"/>
      <x:c r="EN250" s="428"/>
      <x:c r="EO250" s="428"/>
      <x:c r="EP250" s="428"/>
      <x:c r="EQ250" s="428"/>
      <x:c r="ER250" s="428"/>
      <x:c r="ES250" s="428"/>
      <x:c r="ET250" s="428"/>
      <x:c r="EU250" s="428"/>
      <x:c r="EV250" s="428"/>
      <x:c r="EW250" s="428"/>
      <x:c r="EX250" s="428"/>
      <x:c r="EY250" s="428"/>
      <x:c r="EZ250" s="428"/>
      <x:c r="FA250" s="428"/>
      <x:c r="FB250" s="428"/>
      <x:c r="FC250" s="428"/>
      <x:c r="FD250" s="428"/>
      <x:c r="FE250" s="428"/>
      <x:c r="FF250" s="428"/>
    </x:row>
    <x:row r="252" spans="6:162" s="430" customFormat="1" ht="15.75" customHeight="1">
      <x:c r="F252" s="428"/>
      <x:c r="G252" s="428"/>
      <x:c r="H252" s="428"/>
      <x:c r="I252" s="428"/>
      <x:c r="J252" s="428"/>
      <x:c r="K252" s="428"/>
      <x:c r="L252" s="428"/>
      <x:c r="M252" s="428"/>
      <x:c r="N252" s="428"/>
      <x:c r="O252" s="428"/>
      <x:c r="P252" s="428"/>
      <x:c r="Q252" s="428"/>
      <x:c r="R252" s="428"/>
      <x:c r="S252" s="428"/>
      <x:c r="T252" s="428"/>
      <x:c r="U252" s="428"/>
      <x:c r="V252" s="428"/>
      <x:c r="W252" s="428"/>
      <x:c r="X252" s="428"/>
      <x:c r="Y252" s="428"/>
      <x:c r="AA252" s="428"/>
      <x:c r="AC252" s="428"/>
      <x:c r="AD252" s="428"/>
      <x:c r="AE252" s="428"/>
      <x:c r="AF252" s="428"/>
      <x:c r="AG252" s="428"/>
      <x:c r="AH252" s="429"/>
      <x:c r="AI252" s="429"/>
      <x:c r="AJ252" s="428"/>
      <x:c r="AK252" s="428"/>
      <x:c r="AL252" s="428"/>
      <x:c r="AM252" s="428"/>
      <x:c r="AN252" s="428"/>
      <x:c r="AO252" s="428"/>
      <x:c r="AP252" s="428"/>
      <x:c r="AQ252" s="428"/>
      <x:c r="AR252" s="428"/>
      <x:c r="AS252" s="428"/>
      <x:c r="AT252" s="428"/>
      <x:c r="AU252" s="428"/>
      <x:c r="AV252" s="428"/>
      <x:c r="AW252" s="428"/>
      <x:c r="AX252" s="428"/>
      <x:c r="AY252" s="428"/>
      <x:c r="AZ252" s="428"/>
      <x:c r="BA252" s="428"/>
      <x:c r="BB252" s="428"/>
      <x:c r="BC252" s="428"/>
      <x:c r="BD252" s="428"/>
      <x:c r="BE252" s="428"/>
      <x:c r="BF252" s="428"/>
      <x:c r="BG252" s="428"/>
      <x:c r="BH252" s="428"/>
      <x:c r="BI252" s="428"/>
      <x:c r="BJ252" s="428"/>
      <x:c r="BK252" s="428"/>
      <x:c r="BL252" s="428"/>
      <x:c r="BM252" s="428"/>
      <x:c r="BN252" s="428"/>
      <x:c r="BO252" s="428"/>
      <x:c r="BP252" s="428"/>
      <x:c r="BQ252" s="428"/>
      <x:c r="BR252" s="428"/>
      <x:c r="BS252" s="428"/>
      <x:c r="BT252" s="428"/>
      <x:c r="BU252" s="428"/>
      <x:c r="BV252" s="428"/>
      <x:c r="BW252" s="428"/>
      <x:c r="BX252" s="428"/>
      <x:c r="BY252" s="428"/>
      <x:c r="BZ252" s="428"/>
      <x:c r="CA252" s="428"/>
      <x:c r="CB252" s="428"/>
      <x:c r="CC252" s="428"/>
      <x:c r="CD252" s="428"/>
      <x:c r="CE252" s="428"/>
      <x:c r="CF252" s="428"/>
      <x:c r="CG252" s="428"/>
      <x:c r="CH252" s="428"/>
      <x:c r="CI252" s="428"/>
      <x:c r="CJ252" s="428"/>
      <x:c r="CK252" s="428"/>
      <x:c r="CL252" s="428"/>
      <x:c r="CM252" s="428"/>
      <x:c r="CN252" s="428"/>
      <x:c r="CO252" s="428"/>
      <x:c r="CP252" s="428"/>
      <x:c r="CQ252" s="428"/>
      <x:c r="CR252" s="428"/>
      <x:c r="CS252" s="428"/>
      <x:c r="CT252" s="428"/>
      <x:c r="CU252" s="428"/>
      <x:c r="CV252" s="428"/>
      <x:c r="CW252" s="428"/>
      <x:c r="CX252" s="428"/>
      <x:c r="CY252" s="428"/>
      <x:c r="CZ252" s="428"/>
      <x:c r="DA252" s="428"/>
      <x:c r="DB252" s="428"/>
      <x:c r="DC252" s="428"/>
      <x:c r="DD252" s="428"/>
      <x:c r="DE252" s="428"/>
      <x:c r="DF252" s="428"/>
      <x:c r="DG252" s="428"/>
      <x:c r="DH252" s="428"/>
      <x:c r="DI252" s="428"/>
      <x:c r="DJ252" s="428"/>
      <x:c r="DK252" s="428"/>
      <x:c r="DL252" s="428"/>
      <x:c r="DM252" s="428"/>
      <x:c r="DN252" s="428"/>
      <x:c r="DO252" s="428"/>
      <x:c r="DP252" s="428"/>
      <x:c r="DQ252" s="428"/>
      <x:c r="DR252" s="428"/>
      <x:c r="DS252" s="428"/>
      <x:c r="DT252" s="428"/>
      <x:c r="DU252" s="428"/>
      <x:c r="DV252" s="428"/>
      <x:c r="DW252" s="428"/>
      <x:c r="DX252" s="428"/>
      <x:c r="DY252" s="428"/>
      <x:c r="DZ252" s="428"/>
      <x:c r="EA252" s="428"/>
      <x:c r="EB252" s="428"/>
      <x:c r="EC252" s="428"/>
      <x:c r="ED252" s="428"/>
      <x:c r="EE252" s="428"/>
      <x:c r="EF252" s="428"/>
      <x:c r="EG252" s="428"/>
      <x:c r="EH252" s="428"/>
      <x:c r="EI252" s="428"/>
      <x:c r="EJ252" s="428"/>
      <x:c r="EK252" s="428"/>
      <x:c r="EL252" s="428"/>
      <x:c r="EM252" s="428"/>
      <x:c r="EN252" s="428"/>
      <x:c r="EO252" s="428"/>
      <x:c r="EP252" s="428"/>
      <x:c r="EQ252" s="428"/>
      <x:c r="ER252" s="428"/>
      <x:c r="ES252" s="428"/>
      <x:c r="ET252" s="428"/>
      <x:c r="EU252" s="428"/>
      <x:c r="EV252" s="428"/>
      <x:c r="EW252" s="428"/>
      <x:c r="EX252" s="428"/>
      <x:c r="EY252" s="428"/>
      <x:c r="EZ252" s="428"/>
      <x:c r="FA252" s="428"/>
      <x:c r="FB252" s="428"/>
      <x:c r="FC252" s="428"/>
      <x:c r="FD252" s="428"/>
      <x:c r="FE252" s="428"/>
      <x:c r="FF252" s="428"/>
    </x:row>
    <x:row r="254" spans="6:162" s="430" customFormat="1" ht="15.75" customHeight="1">
      <x:c r="F254" s="428"/>
      <x:c r="G254" s="428"/>
      <x:c r="H254" s="428"/>
      <x:c r="I254" s="428"/>
      <x:c r="J254" s="428"/>
      <x:c r="K254" s="428"/>
      <x:c r="L254" s="428"/>
      <x:c r="M254" s="428"/>
      <x:c r="N254" s="428"/>
      <x:c r="O254" s="428"/>
      <x:c r="P254" s="428"/>
      <x:c r="Q254" s="428"/>
      <x:c r="R254" s="428"/>
      <x:c r="S254" s="428"/>
      <x:c r="T254" s="428"/>
      <x:c r="U254" s="428"/>
      <x:c r="V254" s="428"/>
      <x:c r="W254" s="428"/>
      <x:c r="X254" s="428"/>
      <x:c r="Y254" s="428"/>
      <x:c r="AA254" s="428"/>
      <x:c r="AC254" s="428"/>
      <x:c r="AD254" s="428"/>
      <x:c r="AE254" s="428"/>
      <x:c r="AF254" s="428"/>
      <x:c r="AG254" s="428"/>
      <x:c r="AH254" s="429"/>
      <x:c r="AI254" s="429"/>
      <x:c r="AJ254" s="428"/>
      <x:c r="AK254" s="428"/>
      <x:c r="AL254" s="428"/>
      <x:c r="AM254" s="428"/>
      <x:c r="AN254" s="428"/>
      <x:c r="AO254" s="428"/>
      <x:c r="AP254" s="428"/>
      <x:c r="AQ254" s="428"/>
      <x:c r="AR254" s="428"/>
      <x:c r="AS254" s="428"/>
      <x:c r="AT254" s="428"/>
      <x:c r="AU254" s="428"/>
      <x:c r="AV254" s="428"/>
      <x:c r="AW254" s="428"/>
      <x:c r="AX254" s="428"/>
      <x:c r="AY254" s="428"/>
      <x:c r="AZ254" s="428"/>
      <x:c r="BA254" s="428"/>
      <x:c r="BB254" s="428"/>
      <x:c r="BC254" s="428"/>
      <x:c r="BD254" s="428"/>
      <x:c r="BE254" s="428"/>
      <x:c r="BF254" s="428"/>
      <x:c r="BG254" s="428"/>
      <x:c r="BH254" s="428"/>
      <x:c r="BI254" s="428"/>
      <x:c r="BJ254" s="428"/>
      <x:c r="BK254" s="428"/>
      <x:c r="BL254" s="428"/>
      <x:c r="BM254" s="428"/>
      <x:c r="BN254" s="428"/>
      <x:c r="BO254" s="428"/>
      <x:c r="BP254" s="428"/>
      <x:c r="BQ254" s="428"/>
      <x:c r="BR254" s="428"/>
      <x:c r="BS254" s="428"/>
      <x:c r="BT254" s="428"/>
      <x:c r="BU254" s="428"/>
      <x:c r="BV254" s="428"/>
      <x:c r="BW254" s="428"/>
      <x:c r="BX254" s="428"/>
      <x:c r="BY254" s="428"/>
      <x:c r="BZ254" s="428"/>
      <x:c r="CA254" s="428"/>
      <x:c r="CB254" s="428"/>
      <x:c r="CC254" s="428"/>
      <x:c r="CD254" s="428"/>
      <x:c r="CE254" s="428"/>
      <x:c r="CF254" s="428"/>
      <x:c r="CG254" s="428"/>
      <x:c r="CH254" s="428"/>
      <x:c r="CI254" s="428"/>
      <x:c r="CJ254" s="428"/>
      <x:c r="CK254" s="428"/>
      <x:c r="CL254" s="428"/>
      <x:c r="CM254" s="428"/>
      <x:c r="CN254" s="428"/>
      <x:c r="CO254" s="428"/>
      <x:c r="CP254" s="428"/>
      <x:c r="CQ254" s="428"/>
      <x:c r="CR254" s="428"/>
      <x:c r="CS254" s="428"/>
      <x:c r="CT254" s="428"/>
      <x:c r="CU254" s="428"/>
      <x:c r="CV254" s="428"/>
      <x:c r="CW254" s="428"/>
      <x:c r="CX254" s="428"/>
      <x:c r="CY254" s="428"/>
      <x:c r="CZ254" s="428"/>
      <x:c r="DA254" s="428"/>
      <x:c r="DB254" s="428"/>
      <x:c r="DC254" s="428"/>
      <x:c r="DD254" s="428"/>
      <x:c r="DE254" s="428"/>
      <x:c r="DF254" s="428"/>
      <x:c r="DG254" s="428"/>
      <x:c r="DH254" s="428"/>
      <x:c r="DI254" s="428"/>
      <x:c r="DJ254" s="428"/>
      <x:c r="DK254" s="428"/>
      <x:c r="DL254" s="428"/>
      <x:c r="DM254" s="428"/>
      <x:c r="DN254" s="428"/>
      <x:c r="DO254" s="428"/>
      <x:c r="DP254" s="428"/>
      <x:c r="DQ254" s="428"/>
      <x:c r="DR254" s="428"/>
      <x:c r="DS254" s="428"/>
      <x:c r="DT254" s="428"/>
      <x:c r="DU254" s="428"/>
      <x:c r="DV254" s="428"/>
      <x:c r="DW254" s="428"/>
      <x:c r="DX254" s="428"/>
      <x:c r="DY254" s="428"/>
      <x:c r="DZ254" s="428"/>
      <x:c r="EA254" s="428"/>
      <x:c r="EB254" s="428"/>
      <x:c r="EC254" s="428"/>
      <x:c r="ED254" s="428"/>
      <x:c r="EE254" s="428"/>
      <x:c r="EF254" s="428"/>
      <x:c r="EG254" s="428"/>
      <x:c r="EH254" s="428"/>
      <x:c r="EI254" s="428"/>
      <x:c r="EJ254" s="428"/>
      <x:c r="EK254" s="428"/>
      <x:c r="EL254" s="428"/>
      <x:c r="EM254" s="428"/>
      <x:c r="EN254" s="428"/>
      <x:c r="EO254" s="428"/>
      <x:c r="EP254" s="428"/>
      <x:c r="EQ254" s="428"/>
      <x:c r="ER254" s="428"/>
      <x:c r="ES254" s="428"/>
      <x:c r="ET254" s="428"/>
      <x:c r="EU254" s="428"/>
      <x:c r="EV254" s="428"/>
      <x:c r="EW254" s="428"/>
      <x:c r="EX254" s="428"/>
      <x:c r="EY254" s="428"/>
      <x:c r="EZ254" s="428"/>
      <x:c r="FA254" s="428"/>
      <x:c r="FB254" s="428"/>
      <x:c r="FC254" s="428"/>
      <x:c r="FD254" s="428"/>
      <x:c r="FE254" s="428"/>
      <x:c r="FF254" s="428"/>
    </x:row>
    <x:row r="256" spans="6:162" s="430" customFormat="1" ht="15.75" customHeight="1">
      <x:c r="F256" s="428"/>
      <x:c r="G256" s="428"/>
      <x:c r="H256" s="428"/>
      <x:c r="I256" s="428"/>
      <x:c r="J256" s="428"/>
      <x:c r="K256" s="428"/>
      <x:c r="L256" s="428"/>
      <x:c r="M256" s="428"/>
      <x:c r="N256" s="428"/>
      <x:c r="O256" s="428"/>
      <x:c r="P256" s="428"/>
      <x:c r="Q256" s="428"/>
      <x:c r="R256" s="428"/>
      <x:c r="S256" s="428"/>
      <x:c r="T256" s="428"/>
      <x:c r="U256" s="428"/>
      <x:c r="V256" s="428"/>
      <x:c r="W256" s="428"/>
      <x:c r="X256" s="428"/>
      <x:c r="Y256" s="428"/>
      <x:c r="AA256" s="428"/>
      <x:c r="AC256" s="428"/>
      <x:c r="AD256" s="428"/>
      <x:c r="AE256" s="428"/>
      <x:c r="AF256" s="428"/>
      <x:c r="AG256" s="428"/>
      <x:c r="AH256" s="429"/>
      <x:c r="AI256" s="429"/>
      <x:c r="AJ256" s="428"/>
      <x:c r="AK256" s="428"/>
      <x:c r="AL256" s="428"/>
      <x:c r="AM256" s="428"/>
      <x:c r="AN256" s="428"/>
      <x:c r="AO256" s="428"/>
      <x:c r="AP256" s="428"/>
      <x:c r="AQ256" s="428"/>
      <x:c r="AR256" s="428"/>
      <x:c r="AS256" s="428"/>
      <x:c r="AT256" s="428"/>
      <x:c r="AU256" s="428"/>
      <x:c r="AV256" s="428"/>
      <x:c r="AW256" s="428"/>
      <x:c r="AX256" s="428"/>
      <x:c r="AY256" s="428"/>
      <x:c r="AZ256" s="428"/>
      <x:c r="BA256" s="428"/>
      <x:c r="BB256" s="428"/>
      <x:c r="BC256" s="428"/>
      <x:c r="BD256" s="428"/>
      <x:c r="BE256" s="428"/>
      <x:c r="BF256" s="428"/>
      <x:c r="BG256" s="428"/>
      <x:c r="BH256" s="428"/>
      <x:c r="BI256" s="428"/>
      <x:c r="BJ256" s="428"/>
      <x:c r="BK256" s="428"/>
      <x:c r="BL256" s="428"/>
      <x:c r="BM256" s="428"/>
      <x:c r="BN256" s="428"/>
      <x:c r="BO256" s="428"/>
      <x:c r="BP256" s="428"/>
      <x:c r="BQ256" s="428"/>
      <x:c r="BR256" s="428"/>
      <x:c r="BS256" s="428"/>
      <x:c r="BT256" s="428"/>
      <x:c r="BU256" s="428"/>
      <x:c r="BV256" s="428"/>
      <x:c r="BW256" s="428"/>
      <x:c r="BX256" s="428"/>
      <x:c r="BY256" s="428"/>
      <x:c r="BZ256" s="428"/>
      <x:c r="CA256" s="428"/>
      <x:c r="CB256" s="428"/>
      <x:c r="CC256" s="428"/>
      <x:c r="CD256" s="428"/>
      <x:c r="CE256" s="428"/>
      <x:c r="CF256" s="428"/>
      <x:c r="CG256" s="428"/>
      <x:c r="CH256" s="428"/>
      <x:c r="CI256" s="428"/>
      <x:c r="CJ256" s="428"/>
      <x:c r="CK256" s="428"/>
      <x:c r="CL256" s="428"/>
      <x:c r="CM256" s="428"/>
      <x:c r="CN256" s="428"/>
      <x:c r="CO256" s="428"/>
      <x:c r="CP256" s="428"/>
      <x:c r="CQ256" s="428"/>
      <x:c r="CR256" s="428"/>
      <x:c r="CS256" s="428"/>
      <x:c r="CT256" s="428"/>
      <x:c r="CU256" s="428"/>
      <x:c r="CV256" s="428"/>
      <x:c r="CW256" s="428"/>
      <x:c r="CX256" s="428"/>
      <x:c r="CY256" s="428"/>
      <x:c r="CZ256" s="428"/>
      <x:c r="DA256" s="428"/>
      <x:c r="DB256" s="428"/>
      <x:c r="DC256" s="428"/>
      <x:c r="DD256" s="428"/>
      <x:c r="DE256" s="428"/>
      <x:c r="DF256" s="428"/>
      <x:c r="DG256" s="428"/>
      <x:c r="DH256" s="428"/>
      <x:c r="DI256" s="428"/>
      <x:c r="DJ256" s="428"/>
      <x:c r="DK256" s="428"/>
      <x:c r="DL256" s="428"/>
      <x:c r="DM256" s="428"/>
      <x:c r="DN256" s="428"/>
      <x:c r="DO256" s="428"/>
      <x:c r="DP256" s="428"/>
      <x:c r="DQ256" s="428"/>
      <x:c r="DR256" s="428"/>
      <x:c r="DS256" s="428"/>
      <x:c r="DT256" s="428"/>
      <x:c r="DU256" s="428"/>
      <x:c r="DV256" s="428"/>
      <x:c r="DW256" s="428"/>
      <x:c r="DX256" s="428"/>
      <x:c r="DY256" s="428"/>
      <x:c r="DZ256" s="428"/>
      <x:c r="EA256" s="428"/>
      <x:c r="EB256" s="428"/>
      <x:c r="EC256" s="428"/>
      <x:c r="ED256" s="428"/>
      <x:c r="EE256" s="428"/>
      <x:c r="EF256" s="428"/>
      <x:c r="EG256" s="428"/>
      <x:c r="EH256" s="428"/>
      <x:c r="EI256" s="428"/>
      <x:c r="EJ256" s="428"/>
      <x:c r="EK256" s="428"/>
      <x:c r="EL256" s="428"/>
      <x:c r="EM256" s="428"/>
      <x:c r="EN256" s="428"/>
      <x:c r="EO256" s="428"/>
      <x:c r="EP256" s="428"/>
      <x:c r="EQ256" s="428"/>
      <x:c r="ER256" s="428"/>
      <x:c r="ES256" s="428"/>
      <x:c r="ET256" s="428"/>
      <x:c r="EU256" s="428"/>
      <x:c r="EV256" s="428"/>
      <x:c r="EW256" s="428"/>
      <x:c r="EX256" s="428"/>
      <x:c r="EY256" s="428"/>
      <x:c r="EZ256" s="428"/>
      <x:c r="FA256" s="428"/>
      <x:c r="FB256" s="428"/>
      <x:c r="FC256" s="428"/>
      <x:c r="FD256" s="428"/>
      <x:c r="FE256" s="428"/>
      <x:c r="FF256" s="428"/>
    </x:row>
    <x:row r="258" spans="6:162" s="430" customFormat="1" ht="15.75" customHeight="1">
      <x:c r="F258" s="428"/>
      <x:c r="G258" s="428"/>
      <x:c r="H258" s="428"/>
      <x:c r="I258" s="428"/>
      <x:c r="J258" s="428"/>
      <x:c r="K258" s="428"/>
      <x:c r="L258" s="428"/>
      <x:c r="M258" s="428"/>
      <x:c r="N258" s="428"/>
      <x:c r="O258" s="428"/>
      <x:c r="P258" s="428"/>
      <x:c r="Q258" s="428"/>
      <x:c r="R258" s="428"/>
      <x:c r="S258" s="428"/>
      <x:c r="T258" s="428"/>
      <x:c r="U258" s="428"/>
      <x:c r="V258" s="428"/>
      <x:c r="W258" s="428"/>
      <x:c r="X258" s="428"/>
      <x:c r="Y258" s="428"/>
      <x:c r="AA258" s="428"/>
      <x:c r="AC258" s="428"/>
      <x:c r="AD258" s="428"/>
      <x:c r="AE258" s="428"/>
      <x:c r="AF258" s="428"/>
      <x:c r="AG258" s="428"/>
      <x:c r="AH258" s="429"/>
      <x:c r="AI258" s="429"/>
      <x:c r="AJ258" s="428"/>
      <x:c r="AK258" s="428"/>
      <x:c r="AL258" s="428"/>
      <x:c r="AM258" s="428"/>
      <x:c r="AN258" s="428"/>
      <x:c r="AO258" s="428"/>
      <x:c r="AP258" s="428"/>
      <x:c r="AQ258" s="428"/>
      <x:c r="AR258" s="428"/>
      <x:c r="AS258" s="428"/>
      <x:c r="AT258" s="428"/>
      <x:c r="AU258" s="428"/>
      <x:c r="AV258" s="428"/>
      <x:c r="AW258" s="428"/>
      <x:c r="AX258" s="428"/>
      <x:c r="AY258" s="428"/>
      <x:c r="AZ258" s="428"/>
      <x:c r="BA258" s="428"/>
      <x:c r="BB258" s="428"/>
      <x:c r="BC258" s="428"/>
      <x:c r="BD258" s="428"/>
      <x:c r="BE258" s="428"/>
      <x:c r="BF258" s="428"/>
      <x:c r="BG258" s="428"/>
      <x:c r="BH258" s="428"/>
      <x:c r="BI258" s="428"/>
      <x:c r="BJ258" s="428"/>
      <x:c r="BK258" s="428"/>
      <x:c r="BL258" s="428"/>
      <x:c r="BM258" s="428"/>
      <x:c r="BN258" s="428"/>
      <x:c r="BO258" s="428"/>
      <x:c r="BP258" s="428"/>
      <x:c r="BQ258" s="428"/>
      <x:c r="BR258" s="428"/>
      <x:c r="BS258" s="428"/>
      <x:c r="BT258" s="428"/>
      <x:c r="BU258" s="428"/>
      <x:c r="BV258" s="428"/>
      <x:c r="BW258" s="428"/>
      <x:c r="BX258" s="428"/>
      <x:c r="BY258" s="428"/>
      <x:c r="BZ258" s="428"/>
      <x:c r="CA258" s="428"/>
      <x:c r="CB258" s="428"/>
      <x:c r="CC258" s="428"/>
      <x:c r="CD258" s="428"/>
      <x:c r="CE258" s="428"/>
      <x:c r="CF258" s="428"/>
      <x:c r="CG258" s="428"/>
      <x:c r="CH258" s="428"/>
      <x:c r="CI258" s="428"/>
      <x:c r="CJ258" s="428"/>
      <x:c r="CK258" s="428"/>
      <x:c r="CL258" s="428"/>
      <x:c r="CM258" s="428"/>
      <x:c r="CN258" s="428"/>
      <x:c r="CO258" s="428"/>
      <x:c r="CP258" s="428"/>
      <x:c r="CQ258" s="428"/>
      <x:c r="CR258" s="428"/>
      <x:c r="CS258" s="428"/>
      <x:c r="CT258" s="428"/>
      <x:c r="CU258" s="428"/>
      <x:c r="CV258" s="428"/>
      <x:c r="CW258" s="428"/>
      <x:c r="CX258" s="428"/>
      <x:c r="CY258" s="428"/>
      <x:c r="CZ258" s="428"/>
      <x:c r="DA258" s="428"/>
      <x:c r="DB258" s="428"/>
      <x:c r="DC258" s="428"/>
      <x:c r="DD258" s="428"/>
      <x:c r="DE258" s="428"/>
      <x:c r="DF258" s="428"/>
      <x:c r="DG258" s="428"/>
      <x:c r="DH258" s="428"/>
      <x:c r="DI258" s="428"/>
      <x:c r="DJ258" s="428"/>
      <x:c r="DK258" s="428"/>
      <x:c r="DL258" s="428"/>
      <x:c r="DM258" s="428"/>
      <x:c r="DN258" s="428"/>
      <x:c r="DO258" s="428"/>
      <x:c r="DP258" s="428"/>
      <x:c r="DQ258" s="428"/>
      <x:c r="DR258" s="428"/>
      <x:c r="DS258" s="428"/>
      <x:c r="DT258" s="428"/>
      <x:c r="DU258" s="428"/>
      <x:c r="DV258" s="428"/>
      <x:c r="DW258" s="428"/>
      <x:c r="DX258" s="428"/>
      <x:c r="DY258" s="428"/>
      <x:c r="DZ258" s="428"/>
      <x:c r="EA258" s="428"/>
      <x:c r="EB258" s="428"/>
      <x:c r="EC258" s="428"/>
      <x:c r="ED258" s="428"/>
      <x:c r="EE258" s="428"/>
      <x:c r="EF258" s="428"/>
      <x:c r="EG258" s="428"/>
      <x:c r="EH258" s="428"/>
      <x:c r="EI258" s="428"/>
      <x:c r="EJ258" s="428"/>
      <x:c r="EK258" s="428"/>
      <x:c r="EL258" s="428"/>
      <x:c r="EM258" s="428"/>
      <x:c r="EN258" s="428"/>
      <x:c r="EO258" s="428"/>
      <x:c r="EP258" s="428"/>
      <x:c r="EQ258" s="428"/>
      <x:c r="ER258" s="428"/>
      <x:c r="ES258" s="428"/>
      <x:c r="ET258" s="428"/>
      <x:c r="EU258" s="428"/>
      <x:c r="EV258" s="428"/>
      <x:c r="EW258" s="428"/>
      <x:c r="EX258" s="428"/>
      <x:c r="EY258" s="428"/>
      <x:c r="EZ258" s="428"/>
      <x:c r="FA258" s="428"/>
      <x:c r="FB258" s="428"/>
      <x:c r="FC258" s="428"/>
      <x:c r="FD258" s="428"/>
      <x:c r="FE258" s="428"/>
      <x:c r="FF258" s="428"/>
    </x:row>
    <x:row r="260" spans="6:162" s="430" customFormat="1" ht="15.75" customHeight="1">
      <x:c r="F260" s="428"/>
      <x:c r="G260" s="428"/>
      <x:c r="H260" s="428"/>
      <x:c r="I260" s="428"/>
      <x:c r="J260" s="428"/>
      <x:c r="K260" s="428"/>
      <x:c r="L260" s="428"/>
      <x:c r="M260" s="428"/>
      <x:c r="N260" s="428"/>
      <x:c r="O260" s="428"/>
      <x:c r="P260" s="428"/>
      <x:c r="Q260" s="428"/>
      <x:c r="R260" s="428"/>
      <x:c r="S260" s="428"/>
      <x:c r="T260" s="428"/>
      <x:c r="U260" s="428"/>
      <x:c r="V260" s="428"/>
      <x:c r="W260" s="428"/>
      <x:c r="X260" s="428"/>
      <x:c r="Y260" s="428"/>
      <x:c r="AA260" s="428"/>
      <x:c r="AC260" s="428"/>
      <x:c r="AD260" s="428"/>
      <x:c r="AE260" s="428"/>
      <x:c r="AF260" s="428"/>
      <x:c r="AG260" s="428"/>
      <x:c r="AH260" s="429"/>
      <x:c r="AI260" s="429"/>
      <x:c r="AJ260" s="428"/>
      <x:c r="AK260" s="428"/>
      <x:c r="AL260" s="428"/>
      <x:c r="AM260" s="428"/>
      <x:c r="AN260" s="428"/>
      <x:c r="AO260" s="428"/>
      <x:c r="AP260" s="428"/>
      <x:c r="AQ260" s="428"/>
      <x:c r="AR260" s="428"/>
      <x:c r="AS260" s="428"/>
      <x:c r="AT260" s="428"/>
      <x:c r="AU260" s="428"/>
      <x:c r="AV260" s="428"/>
      <x:c r="AW260" s="428"/>
      <x:c r="AX260" s="428"/>
      <x:c r="AY260" s="428"/>
      <x:c r="AZ260" s="428"/>
      <x:c r="BA260" s="428"/>
      <x:c r="BB260" s="428"/>
      <x:c r="BC260" s="428"/>
      <x:c r="BD260" s="428"/>
      <x:c r="BE260" s="428"/>
      <x:c r="BF260" s="428"/>
      <x:c r="BG260" s="428"/>
      <x:c r="BH260" s="428"/>
      <x:c r="BI260" s="428"/>
      <x:c r="BJ260" s="428"/>
      <x:c r="BK260" s="428"/>
      <x:c r="BL260" s="428"/>
      <x:c r="BM260" s="428"/>
      <x:c r="BN260" s="428"/>
      <x:c r="BO260" s="428"/>
      <x:c r="BP260" s="428"/>
      <x:c r="BQ260" s="428"/>
      <x:c r="BR260" s="428"/>
      <x:c r="BS260" s="428"/>
      <x:c r="BT260" s="428"/>
      <x:c r="BU260" s="428"/>
      <x:c r="BV260" s="428"/>
      <x:c r="BW260" s="428"/>
      <x:c r="BX260" s="428"/>
      <x:c r="BY260" s="428"/>
      <x:c r="BZ260" s="428"/>
      <x:c r="CA260" s="428"/>
      <x:c r="CB260" s="428"/>
      <x:c r="CC260" s="428"/>
      <x:c r="CD260" s="428"/>
      <x:c r="CE260" s="428"/>
      <x:c r="CF260" s="428"/>
      <x:c r="CG260" s="428"/>
      <x:c r="CH260" s="428"/>
      <x:c r="CI260" s="428"/>
      <x:c r="CJ260" s="428"/>
      <x:c r="CK260" s="428"/>
      <x:c r="CL260" s="428"/>
      <x:c r="CM260" s="428"/>
      <x:c r="CN260" s="428"/>
      <x:c r="CO260" s="428"/>
      <x:c r="CP260" s="428"/>
      <x:c r="CQ260" s="428"/>
      <x:c r="CR260" s="428"/>
      <x:c r="CS260" s="428"/>
      <x:c r="CT260" s="428"/>
      <x:c r="CU260" s="428"/>
      <x:c r="CV260" s="428"/>
      <x:c r="CW260" s="428"/>
      <x:c r="CX260" s="428"/>
      <x:c r="CY260" s="428"/>
      <x:c r="CZ260" s="428"/>
      <x:c r="DA260" s="428"/>
      <x:c r="DB260" s="428"/>
      <x:c r="DC260" s="428"/>
      <x:c r="DD260" s="428"/>
      <x:c r="DE260" s="428"/>
      <x:c r="DF260" s="428"/>
      <x:c r="DG260" s="428"/>
      <x:c r="DH260" s="428"/>
      <x:c r="DI260" s="428"/>
      <x:c r="DJ260" s="428"/>
      <x:c r="DK260" s="428"/>
      <x:c r="DL260" s="428"/>
      <x:c r="DM260" s="428"/>
      <x:c r="DN260" s="428"/>
      <x:c r="DO260" s="428"/>
      <x:c r="DP260" s="428"/>
      <x:c r="DQ260" s="428"/>
      <x:c r="DR260" s="428"/>
      <x:c r="DS260" s="428"/>
      <x:c r="DT260" s="428"/>
      <x:c r="DU260" s="428"/>
      <x:c r="DV260" s="428"/>
      <x:c r="DW260" s="428"/>
      <x:c r="DX260" s="428"/>
      <x:c r="DY260" s="428"/>
      <x:c r="DZ260" s="428"/>
      <x:c r="EA260" s="428"/>
      <x:c r="EB260" s="428"/>
      <x:c r="EC260" s="428"/>
      <x:c r="ED260" s="428"/>
      <x:c r="EE260" s="428"/>
      <x:c r="EF260" s="428"/>
      <x:c r="EG260" s="428"/>
      <x:c r="EH260" s="428"/>
      <x:c r="EI260" s="428"/>
      <x:c r="EJ260" s="428"/>
      <x:c r="EK260" s="428"/>
      <x:c r="EL260" s="428"/>
      <x:c r="EM260" s="428"/>
      <x:c r="EN260" s="428"/>
      <x:c r="EO260" s="428"/>
      <x:c r="EP260" s="428"/>
      <x:c r="EQ260" s="428"/>
      <x:c r="ER260" s="428"/>
      <x:c r="ES260" s="428"/>
      <x:c r="ET260" s="428"/>
      <x:c r="EU260" s="428"/>
      <x:c r="EV260" s="428"/>
      <x:c r="EW260" s="428"/>
      <x:c r="EX260" s="428"/>
      <x:c r="EY260" s="428"/>
      <x:c r="EZ260" s="428"/>
      <x:c r="FA260" s="428"/>
      <x:c r="FB260" s="428"/>
      <x:c r="FC260" s="428"/>
      <x:c r="FD260" s="428"/>
      <x:c r="FE260" s="428"/>
      <x:c r="FF260" s="428"/>
    </x:row>
    <x:row r="262" spans="6:162" s="430" customFormat="1" ht="15.75" customHeight="1">
      <x:c r="F262" s="428"/>
      <x:c r="G262" s="428"/>
      <x:c r="H262" s="428"/>
      <x:c r="I262" s="428"/>
      <x:c r="J262" s="428"/>
      <x:c r="K262" s="428"/>
      <x:c r="L262" s="428"/>
      <x:c r="M262" s="428"/>
      <x:c r="N262" s="428"/>
      <x:c r="O262" s="428"/>
      <x:c r="P262" s="428"/>
      <x:c r="Q262" s="428"/>
      <x:c r="R262" s="428"/>
      <x:c r="S262" s="428"/>
      <x:c r="T262" s="428"/>
      <x:c r="U262" s="428"/>
      <x:c r="V262" s="428"/>
      <x:c r="W262" s="428"/>
      <x:c r="X262" s="428"/>
      <x:c r="Y262" s="428"/>
      <x:c r="AA262" s="428"/>
      <x:c r="AC262" s="428"/>
      <x:c r="AD262" s="428"/>
      <x:c r="AE262" s="428"/>
      <x:c r="AF262" s="428"/>
      <x:c r="AG262" s="428"/>
      <x:c r="AH262" s="429"/>
      <x:c r="AI262" s="429"/>
      <x:c r="AJ262" s="428"/>
      <x:c r="AK262" s="428"/>
      <x:c r="AL262" s="428"/>
      <x:c r="AM262" s="428"/>
      <x:c r="AN262" s="428"/>
      <x:c r="AO262" s="428"/>
      <x:c r="AP262" s="428"/>
      <x:c r="AQ262" s="428"/>
      <x:c r="AR262" s="428"/>
      <x:c r="AS262" s="428"/>
      <x:c r="AT262" s="428"/>
      <x:c r="AU262" s="428"/>
      <x:c r="AV262" s="428"/>
      <x:c r="AW262" s="428"/>
      <x:c r="AX262" s="428"/>
      <x:c r="AY262" s="428"/>
      <x:c r="AZ262" s="428"/>
      <x:c r="BA262" s="428"/>
      <x:c r="BB262" s="428"/>
      <x:c r="BC262" s="428"/>
      <x:c r="BD262" s="428"/>
      <x:c r="BE262" s="428"/>
      <x:c r="BF262" s="428"/>
      <x:c r="BG262" s="428"/>
      <x:c r="BH262" s="428"/>
      <x:c r="BI262" s="428"/>
      <x:c r="BJ262" s="428"/>
      <x:c r="BK262" s="428"/>
      <x:c r="BL262" s="428"/>
      <x:c r="BM262" s="428"/>
      <x:c r="BN262" s="428"/>
      <x:c r="BO262" s="428"/>
      <x:c r="BP262" s="428"/>
      <x:c r="BQ262" s="428"/>
      <x:c r="BR262" s="428"/>
      <x:c r="BS262" s="428"/>
      <x:c r="BT262" s="428"/>
      <x:c r="BU262" s="428"/>
      <x:c r="BV262" s="428"/>
      <x:c r="BW262" s="428"/>
      <x:c r="BX262" s="428"/>
      <x:c r="BY262" s="428"/>
      <x:c r="BZ262" s="428"/>
      <x:c r="CA262" s="428"/>
      <x:c r="CB262" s="428"/>
      <x:c r="CC262" s="428"/>
      <x:c r="CD262" s="428"/>
      <x:c r="CE262" s="428"/>
      <x:c r="CF262" s="428"/>
      <x:c r="CG262" s="428"/>
      <x:c r="CH262" s="428"/>
      <x:c r="CI262" s="428"/>
      <x:c r="CJ262" s="428"/>
      <x:c r="CK262" s="428"/>
      <x:c r="CL262" s="428"/>
      <x:c r="CM262" s="428"/>
      <x:c r="CN262" s="428"/>
      <x:c r="CO262" s="428"/>
      <x:c r="CP262" s="428"/>
      <x:c r="CQ262" s="428"/>
      <x:c r="CR262" s="428"/>
      <x:c r="CS262" s="428"/>
      <x:c r="CT262" s="428"/>
      <x:c r="CU262" s="428"/>
      <x:c r="CV262" s="428"/>
      <x:c r="CW262" s="428"/>
      <x:c r="CX262" s="428"/>
      <x:c r="CY262" s="428"/>
      <x:c r="CZ262" s="428"/>
      <x:c r="DA262" s="428"/>
      <x:c r="DB262" s="428"/>
      <x:c r="DC262" s="428"/>
      <x:c r="DD262" s="428"/>
      <x:c r="DE262" s="428"/>
      <x:c r="DF262" s="428"/>
      <x:c r="DG262" s="428"/>
      <x:c r="DH262" s="428"/>
      <x:c r="DI262" s="428"/>
      <x:c r="DJ262" s="428"/>
      <x:c r="DK262" s="428"/>
      <x:c r="DL262" s="428"/>
      <x:c r="DM262" s="428"/>
      <x:c r="DN262" s="428"/>
      <x:c r="DO262" s="428"/>
      <x:c r="DP262" s="428"/>
      <x:c r="DQ262" s="428"/>
      <x:c r="DR262" s="428"/>
      <x:c r="DS262" s="428"/>
      <x:c r="DT262" s="428"/>
      <x:c r="DU262" s="428"/>
      <x:c r="DV262" s="428"/>
      <x:c r="DW262" s="428"/>
      <x:c r="DX262" s="428"/>
      <x:c r="DY262" s="428"/>
      <x:c r="DZ262" s="428"/>
      <x:c r="EA262" s="428"/>
      <x:c r="EB262" s="428"/>
      <x:c r="EC262" s="428"/>
      <x:c r="ED262" s="428"/>
      <x:c r="EE262" s="428"/>
      <x:c r="EF262" s="428"/>
      <x:c r="EG262" s="428"/>
      <x:c r="EH262" s="428"/>
      <x:c r="EI262" s="428"/>
      <x:c r="EJ262" s="428"/>
      <x:c r="EK262" s="428"/>
      <x:c r="EL262" s="428"/>
      <x:c r="EM262" s="428"/>
      <x:c r="EN262" s="428"/>
      <x:c r="EO262" s="428"/>
      <x:c r="EP262" s="428"/>
      <x:c r="EQ262" s="428"/>
      <x:c r="ER262" s="428"/>
      <x:c r="ES262" s="428"/>
      <x:c r="ET262" s="428"/>
      <x:c r="EU262" s="428"/>
      <x:c r="EV262" s="428"/>
      <x:c r="EW262" s="428"/>
      <x:c r="EX262" s="428"/>
      <x:c r="EY262" s="428"/>
      <x:c r="EZ262" s="428"/>
      <x:c r="FA262" s="428"/>
      <x:c r="FB262" s="428"/>
      <x:c r="FC262" s="428"/>
      <x:c r="FD262" s="428"/>
      <x:c r="FE262" s="428"/>
      <x:c r="FF262" s="428"/>
    </x:row>
    <x:row r="264" spans="6:162" s="430" customFormat="1" ht="15.75" customHeight="1">
      <x:c r="F264" s="428"/>
      <x:c r="G264" s="428"/>
      <x:c r="H264" s="428"/>
      <x:c r="I264" s="428"/>
      <x:c r="J264" s="428"/>
      <x:c r="K264" s="428"/>
      <x:c r="L264" s="428"/>
      <x:c r="M264" s="428"/>
      <x:c r="N264" s="428"/>
      <x:c r="O264" s="428"/>
      <x:c r="P264" s="428"/>
      <x:c r="Q264" s="428"/>
      <x:c r="R264" s="428"/>
      <x:c r="S264" s="428"/>
      <x:c r="T264" s="428"/>
      <x:c r="U264" s="428"/>
      <x:c r="V264" s="428"/>
      <x:c r="W264" s="428"/>
      <x:c r="X264" s="428"/>
      <x:c r="Y264" s="428"/>
      <x:c r="AA264" s="428"/>
      <x:c r="AC264" s="428"/>
      <x:c r="AD264" s="428"/>
      <x:c r="AE264" s="428"/>
      <x:c r="AF264" s="428"/>
      <x:c r="AG264" s="428"/>
      <x:c r="AH264" s="429"/>
      <x:c r="AI264" s="429"/>
      <x:c r="AJ264" s="428"/>
      <x:c r="AK264" s="428"/>
      <x:c r="AL264" s="428"/>
      <x:c r="AM264" s="428"/>
      <x:c r="AN264" s="428"/>
      <x:c r="AO264" s="428"/>
      <x:c r="AP264" s="428"/>
      <x:c r="AQ264" s="428"/>
      <x:c r="AR264" s="428"/>
      <x:c r="AS264" s="428"/>
      <x:c r="AT264" s="428"/>
      <x:c r="AU264" s="428"/>
      <x:c r="AV264" s="428"/>
      <x:c r="AW264" s="428"/>
      <x:c r="AX264" s="428"/>
      <x:c r="AY264" s="428"/>
      <x:c r="AZ264" s="428"/>
      <x:c r="BA264" s="428"/>
      <x:c r="BB264" s="428"/>
      <x:c r="BC264" s="428"/>
      <x:c r="BD264" s="428"/>
      <x:c r="BE264" s="428"/>
      <x:c r="BF264" s="428"/>
      <x:c r="BG264" s="428"/>
      <x:c r="BH264" s="428"/>
      <x:c r="BI264" s="428"/>
      <x:c r="BJ264" s="428"/>
      <x:c r="BK264" s="428"/>
      <x:c r="BL264" s="428"/>
      <x:c r="BM264" s="428"/>
      <x:c r="BN264" s="428"/>
      <x:c r="BO264" s="428"/>
      <x:c r="BP264" s="428"/>
      <x:c r="BQ264" s="428"/>
      <x:c r="BR264" s="428"/>
      <x:c r="BS264" s="428"/>
      <x:c r="BT264" s="428"/>
      <x:c r="BU264" s="428"/>
      <x:c r="BV264" s="428"/>
      <x:c r="BW264" s="428"/>
      <x:c r="BX264" s="428"/>
      <x:c r="BY264" s="428"/>
      <x:c r="BZ264" s="428"/>
      <x:c r="CA264" s="428"/>
      <x:c r="CB264" s="428"/>
      <x:c r="CC264" s="428"/>
      <x:c r="CD264" s="428"/>
      <x:c r="CE264" s="428"/>
      <x:c r="CF264" s="428"/>
      <x:c r="CG264" s="428"/>
      <x:c r="CH264" s="428"/>
      <x:c r="CI264" s="428"/>
      <x:c r="CJ264" s="428"/>
      <x:c r="CK264" s="428"/>
      <x:c r="CL264" s="428"/>
      <x:c r="CM264" s="428"/>
      <x:c r="CN264" s="428"/>
      <x:c r="CO264" s="428"/>
      <x:c r="CP264" s="428"/>
      <x:c r="CQ264" s="428"/>
      <x:c r="CR264" s="428"/>
      <x:c r="CS264" s="428"/>
      <x:c r="CT264" s="428"/>
      <x:c r="CU264" s="428"/>
      <x:c r="CV264" s="428"/>
      <x:c r="CW264" s="428"/>
      <x:c r="CX264" s="428"/>
      <x:c r="CY264" s="428"/>
      <x:c r="CZ264" s="428"/>
      <x:c r="DA264" s="428"/>
      <x:c r="DB264" s="428"/>
      <x:c r="DC264" s="428"/>
      <x:c r="DD264" s="428"/>
      <x:c r="DE264" s="428"/>
      <x:c r="DF264" s="428"/>
      <x:c r="DG264" s="428"/>
      <x:c r="DH264" s="428"/>
      <x:c r="DI264" s="428"/>
      <x:c r="DJ264" s="428"/>
      <x:c r="DK264" s="428"/>
      <x:c r="DL264" s="428"/>
      <x:c r="DM264" s="428"/>
      <x:c r="DN264" s="428"/>
      <x:c r="DO264" s="428"/>
      <x:c r="DP264" s="428"/>
      <x:c r="DQ264" s="428"/>
      <x:c r="DR264" s="428"/>
      <x:c r="DS264" s="428"/>
      <x:c r="DT264" s="428"/>
      <x:c r="DU264" s="428"/>
      <x:c r="DV264" s="428"/>
      <x:c r="DW264" s="428"/>
      <x:c r="DX264" s="428"/>
      <x:c r="DY264" s="428"/>
      <x:c r="DZ264" s="428"/>
      <x:c r="EA264" s="428"/>
      <x:c r="EB264" s="428"/>
      <x:c r="EC264" s="428"/>
      <x:c r="ED264" s="428"/>
      <x:c r="EE264" s="428"/>
      <x:c r="EF264" s="428"/>
      <x:c r="EG264" s="428"/>
      <x:c r="EH264" s="428"/>
      <x:c r="EI264" s="428"/>
      <x:c r="EJ264" s="428"/>
      <x:c r="EK264" s="428"/>
      <x:c r="EL264" s="428"/>
      <x:c r="EM264" s="428"/>
      <x:c r="EN264" s="428"/>
      <x:c r="EO264" s="428"/>
      <x:c r="EP264" s="428"/>
      <x:c r="EQ264" s="428"/>
      <x:c r="ER264" s="428"/>
      <x:c r="ES264" s="428"/>
      <x:c r="ET264" s="428"/>
      <x:c r="EU264" s="428"/>
      <x:c r="EV264" s="428"/>
      <x:c r="EW264" s="428"/>
      <x:c r="EX264" s="428"/>
      <x:c r="EY264" s="428"/>
      <x:c r="EZ264" s="428"/>
      <x:c r="FA264" s="428"/>
      <x:c r="FB264" s="428"/>
      <x:c r="FC264" s="428"/>
      <x:c r="FD264" s="428"/>
      <x:c r="FE264" s="428"/>
      <x:c r="FF264" s="428"/>
    </x:row>
    <x:row r="266" spans="6:162" s="430" customFormat="1" ht="15.75" customHeight="1">
      <x:c r="F266" s="428"/>
      <x:c r="G266" s="428"/>
      <x:c r="H266" s="428"/>
      <x:c r="I266" s="428"/>
      <x:c r="J266" s="428"/>
      <x:c r="K266" s="428"/>
      <x:c r="L266" s="428"/>
      <x:c r="M266" s="428"/>
      <x:c r="N266" s="428"/>
      <x:c r="O266" s="428"/>
      <x:c r="P266" s="428"/>
      <x:c r="Q266" s="428"/>
      <x:c r="R266" s="428"/>
      <x:c r="S266" s="428"/>
      <x:c r="T266" s="428"/>
      <x:c r="U266" s="428"/>
      <x:c r="V266" s="428"/>
      <x:c r="W266" s="428"/>
      <x:c r="X266" s="428"/>
      <x:c r="Y266" s="428"/>
      <x:c r="AA266" s="428"/>
      <x:c r="AC266" s="428"/>
      <x:c r="AD266" s="428"/>
      <x:c r="AE266" s="428"/>
      <x:c r="AF266" s="428"/>
      <x:c r="AG266" s="428"/>
      <x:c r="AH266" s="429"/>
      <x:c r="AI266" s="429"/>
      <x:c r="AJ266" s="428"/>
      <x:c r="AK266" s="428"/>
      <x:c r="AL266" s="428"/>
      <x:c r="AM266" s="428"/>
      <x:c r="AN266" s="428"/>
      <x:c r="AO266" s="428"/>
      <x:c r="AP266" s="428"/>
      <x:c r="AQ266" s="428"/>
      <x:c r="AR266" s="428"/>
      <x:c r="AS266" s="428"/>
      <x:c r="AT266" s="428"/>
      <x:c r="AU266" s="428"/>
      <x:c r="AV266" s="428"/>
      <x:c r="AW266" s="428"/>
      <x:c r="AX266" s="428"/>
      <x:c r="AY266" s="428"/>
      <x:c r="AZ266" s="428"/>
      <x:c r="BA266" s="428"/>
      <x:c r="BB266" s="428"/>
      <x:c r="BC266" s="428"/>
      <x:c r="BD266" s="428"/>
      <x:c r="BE266" s="428"/>
      <x:c r="BF266" s="428"/>
      <x:c r="BG266" s="428"/>
      <x:c r="BH266" s="428"/>
      <x:c r="BI266" s="428"/>
      <x:c r="BJ266" s="428"/>
      <x:c r="BK266" s="428"/>
      <x:c r="BL266" s="428"/>
      <x:c r="BM266" s="428"/>
      <x:c r="BN266" s="428"/>
      <x:c r="BO266" s="428"/>
      <x:c r="BP266" s="428"/>
      <x:c r="BQ266" s="428"/>
      <x:c r="BR266" s="428"/>
      <x:c r="BS266" s="428"/>
      <x:c r="BT266" s="428"/>
      <x:c r="BU266" s="428"/>
      <x:c r="BV266" s="428"/>
      <x:c r="BW266" s="428"/>
      <x:c r="BX266" s="428"/>
      <x:c r="BY266" s="428"/>
      <x:c r="BZ266" s="428"/>
      <x:c r="CA266" s="428"/>
      <x:c r="CB266" s="428"/>
      <x:c r="CC266" s="428"/>
      <x:c r="CD266" s="428"/>
      <x:c r="CE266" s="428"/>
      <x:c r="CF266" s="428"/>
      <x:c r="CG266" s="428"/>
      <x:c r="CH266" s="428"/>
      <x:c r="CI266" s="428"/>
      <x:c r="CJ266" s="428"/>
      <x:c r="CK266" s="428"/>
      <x:c r="CL266" s="428"/>
      <x:c r="CM266" s="428"/>
      <x:c r="CN266" s="428"/>
      <x:c r="CO266" s="428"/>
      <x:c r="CP266" s="428"/>
      <x:c r="CQ266" s="428"/>
      <x:c r="CR266" s="428"/>
      <x:c r="CS266" s="428"/>
      <x:c r="CT266" s="428"/>
      <x:c r="CU266" s="428"/>
      <x:c r="CV266" s="428"/>
      <x:c r="CW266" s="428"/>
      <x:c r="CX266" s="428"/>
      <x:c r="CY266" s="428"/>
      <x:c r="CZ266" s="428"/>
      <x:c r="DA266" s="428"/>
      <x:c r="DB266" s="428"/>
      <x:c r="DC266" s="428"/>
      <x:c r="DD266" s="428"/>
      <x:c r="DE266" s="428"/>
      <x:c r="DF266" s="428"/>
      <x:c r="DG266" s="428"/>
      <x:c r="DH266" s="428"/>
      <x:c r="DI266" s="428"/>
      <x:c r="DJ266" s="428"/>
      <x:c r="DK266" s="428"/>
      <x:c r="DL266" s="428"/>
      <x:c r="DM266" s="428"/>
      <x:c r="DN266" s="428"/>
      <x:c r="DO266" s="428"/>
      <x:c r="DP266" s="428"/>
      <x:c r="DQ266" s="428"/>
      <x:c r="DR266" s="428"/>
      <x:c r="DS266" s="428"/>
      <x:c r="DT266" s="428"/>
      <x:c r="DU266" s="428"/>
      <x:c r="DV266" s="428"/>
      <x:c r="DW266" s="428"/>
      <x:c r="DX266" s="428"/>
      <x:c r="DY266" s="428"/>
      <x:c r="DZ266" s="428"/>
      <x:c r="EA266" s="428"/>
      <x:c r="EB266" s="428"/>
      <x:c r="EC266" s="428"/>
      <x:c r="ED266" s="428"/>
      <x:c r="EE266" s="428"/>
      <x:c r="EF266" s="428"/>
      <x:c r="EG266" s="428"/>
      <x:c r="EH266" s="428"/>
      <x:c r="EI266" s="428"/>
      <x:c r="EJ266" s="428"/>
      <x:c r="EK266" s="428"/>
      <x:c r="EL266" s="428"/>
      <x:c r="EM266" s="428"/>
      <x:c r="EN266" s="428"/>
      <x:c r="EO266" s="428"/>
      <x:c r="EP266" s="428"/>
      <x:c r="EQ266" s="428"/>
      <x:c r="ER266" s="428"/>
      <x:c r="ES266" s="428"/>
      <x:c r="ET266" s="428"/>
      <x:c r="EU266" s="428"/>
      <x:c r="EV266" s="428"/>
      <x:c r="EW266" s="428"/>
      <x:c r="EX266" s="428"/>
      <x:c r="EY266" s="428"/>
      <x:c r="EZ266" s="428"/>
      <x:c r="FA266" s="428"/>
      <x:c r="FB266" s="428"/>
      <x:c r="FC266" s="428"/>
      <x:c r="FD266" s="428"/>
      <x:c r="FE266" s="428"/>
      <x:c r="FF266" s="428"/>
    </x:row>
    <x:row r="268" spans="6:162" s="430" customFormat="1" ht="15.75" customHeight="1">
      <x:c r="F268" s="428"/>
      <x:c r="G268" s="428"/>
      <x:c r="H268" s="428"/>
      <x:c r="I268" s="428"/>
      <x:c r="J268" s="428"/>
      <x:c r="K268" s="428"/>
      <x:c r="L268" s="428"/>
      <x:c r="M268" s="428"/>
      <x:c r="N268" s="428"/>
      <x:c r="O268" s="428"/>
      <x:c r="P268" s="428"/>
      <x:c r="Q268" s="428"/>
      <x:c r="R268" s="428"/>
      <x:c r="S268" s="428"/>
      <x:c r="T268" s="428"/>
      <x:c r="U268" s="428"/>
      <x:c r="V268" s="428"/>
      <x:c r="W268" s="428"/>
      <x:c r="X268" s="428"/>
      <x:c r="Y268" s="428"/>
      <x:c r="AA268" s="428"/>
      <x:c r="AC268" s="428"/>
      <x:c r="AD268" s="428"/>
      <x:c r="AE268" s="428"/>
      <x:c r="AF268" s="428"/>
      <x:c r="AG268" s="428"/>
      <x:c r="AH268" s="429"/>
      <x:c r="AI268" s="429"/>
      <x:c r="AJ268" s="428"/>
      <x:c r="AK268" s="428"/>
      <x:c r="AL268" s="428"/>
      <x:c r="AM268" s="428"/>
      <x:c r="AN268" s="428"/>
      <x:c r="AO268" s="428"/>
      <x:c r="AP268" s="428"/>
      <x:c r="AQ268" s="428"/>
      <x:c r="AR268" s="428"/>
      <x:c r="AS268" s="428"/>
      <x:c r="AT268" s="428"/>
      <x:c r="AU268" s="428"/>
      <x:c r="AV268" s="428"/>
      <x:c r="AW268" s="428"/>
      <x:c r="AX268" s="428"/>
      <x:c r="AY268" s="428"/>
      <x:c r="AZ268" s="428"/>
      <x:c r="BA268" s="428"/>
      <x:c r="BB268" s="428"/>
      <x:c r="BC268" s="428"/>
      <x:c r="BD268" s="428"/>
      <x:c r="BE268" s="428"/>
      <x:c r="BF268" s="428"/>
      <x:c r="BG268" s="428"/>
      <x:c r="BH268" s="428"/>
      <x:c r="BI268" s="428"/>
      <x:c r="BJ268" s="428"/>
      <x:c r="BK268" s="428"/>
      <x:c r="BL268" s="428"/>
      <x:c r="BM268" s="428"/>
      <x:c r="BN268" s="428"/>
      <x:c r="BO268" s="428"/>
      <x:c r="BP268" s="428"/>
      <x:c r="BQ268" s="428"/>
      <x:c r="BR268" s="428"/>
      <x:c r="BS268" s="428"/>
      <x:c r="BT268" s="428"/>
      <x:c r="BU268" s="428"/>
      <x:c r="BV268" s="428"/>
      <x:c r="BW268" s="428"/>
      <x:c r="BX268" s="428"/>
      <x:c r="BY268" s="428"/>
      <x:c r="BZ268" s="428"/>
      <x:c r="CA268" s="428"/>
      <x:c r="CB268" s="428"/>
      <x:c r="CC268" s="428"/>
      <x:c r="CD268" s="428"/>
      <x:c r="CE268" s="428"/>
      <x:c r="CF268" s="428"/>
      <x:c r="CG268" s="428"/>
      <x:c r="CH268" s="428"/>
      <x:c r="CI268" s="428"/>
      <x:c r="CJ268" s="428"/>
      <x:c r="CK268" s="428"/>
      <x:c r="CL268" s="428"/>
      <x:c r="CM268" s="428"/>
      <x:c r="CN268" s="428"/>
      <x:c r="CO268" s="428"/>
      <x:c r="CP268" s="428"/>
      <x:c r="CQ268" s="428"/>
      <x:c r="CR268" s="428"/>
      <x:c r="CS268" s="428"/>
      <x:c r="CT268" s="428"/>
      <x:c r="CU268" s="428"/>
      <x:c r="CV268" s="428"/>
      <x:c r="CW268" s="428"/>
      <x:c r="CX268" s="428"/>
      <x:c r="CY268" s="428"/>
      <x:c r="CZ268" s="428"/>
      <x:c r="DA268" s="428"/>
      <x:c r="DB268" s="428"/>
      <x:c r="DC268" s="428"/>
      <x:c r="DD268" s="428"/>
      <x:c r="DE268" s="428"/>
      <x:c r="DF268" s="428"/>
      <x:c r="DG268" s="428"/>
      <x:c r="DH268" s="428"/>
      <x:c r="DI268" s="428"/>
      <x:c r="DJ268" s="428"/>
      <x:c r="DK268" s="428"/>
      <x:c r="DL268" s="428"/>
      <x:c r="DM268" s="428"/>
      <x:c r="DN268" s="428"/>
      <x:c r="DO268" s="428"/>
      <x:c r="DP268" s="428"/>
      <x:c r="DQ268" s="428"/>
      <x:c r="DR268" s="428"/>
      <x:c r="DS268" s="428"/>
      <x:c r="DT268" s="428"/>
      <x:c r="DU268" s="428"/>
      <x:c r="DV268" s="428"/>
      <x:c r="DW268" s="428"/>
      <x:c r="DX268" s="428"/>
      <x:c r="DY268" s="428"/>
      <x:c r="DZ268" s="428"/>
      <x:c r="EA268" s="428"/>
      <x:c r="EB268" s="428"/>
      <x:c r="EC268" s="428"/>
      <x:c r="ED268" s="428"/>
      <x:c r="EE268" s="428"/>
      <x:c r="EF268" s="428"/>
      <x:c r="EG268" s="428"/>
      <x:c r="EH268" s="428"/>
      <x:c r="EI268" s="428"/>
      <x:c r="EJ268" s="428"/>
      <x:c r="EK268" s="428"/>
      <x:c r="EL268" s="428"/>
      <x:c r="EM268" s="428"/>
      <x:c r="EN268" s="428"/>
      <x:c r="EO268" s="428"/>
      <x:c r="EP268" s="428"/>
      <x:c r="EQ268" s="428"/>
      <x:c r="ER268" s="428"/>
      <x:c r="ES268" s="428"/>
      <x:c r="ET268" s="428"/>
      <x:c r="EU268" s="428"/>
      <x:c r="EV268" s="428"/>
      <x:c r="EW268" s="428"/>
      <x:c r="EX268" s="428"/>
      <x:c r="EY268" s="428"/>
      <x:c r="EZ268" s="428"/>
      <x:c r="FA268" s="428"/>
      <x:c r="FB268" s="428"/>
      <x:c r="FC268" s="428"/>
      <x:c r="FD268" s="428"/>
      <x:c r="FE268" s="428"/>
      <x:c r="FF268" s="428"/>
    </x:row>
    <x:row r="270" spans="6:162" s="430" customFormat="1" ht="15.75" customHeight="1">
      <x:c r="F270" s="428"/>
      <x:c r="G270" s="428"/>
      <x:c r="H270" s="428"/>
      <x:c r="I270" s="428"/>
      <x:c r="J270" s="428"/>
      <x:c r="K270" s="428"/>
      <x:c r="L270" s="428"/>
      <x:c r="M270" s="428"/>
      <x:c r="N270" s="428"/>
      <x:c r="O270" s="428"/>
      <x:c r="P270" s="428"/>
      <x:c r="Q270" s="428"/>
      <x:c r="R270" s="428"/>
      <x:c r="S270" s="428"/>
      <x:c r="T270" s="428"/>
      <x:c r="U270" s="428"/>
      <x:c r="V270" s="428"/>
      <x:c r="W270" s="428"/>
      <x:c r="X270" s="428"/>
      <x:c r="Y270" s="428"/>
      <x:c r="AA270" s="428"/>
      <x:c r="AC270" s="428"/>
      <x:c r="AD270" s="428"/>
      <x:c r="AE270" s="428"/>
      <x:c r="AF270" s="428"/>
      <x:c r="AG270" s="428"/>
      <x:c r="AH270" s="429"/>
      <x:c r="AI270" s="429"/>
      <x:c r="AJ270" s="428"/>
      <x:c r="AK270" s="428"/>
      <x:c r="AL270" s="428"/>
      <x:c r="AM270" s="428"/>
      <x:c r="AN270" s="428"/>
      <x:c r="AO270" s="428"/>
      <x:c r="AP270" s="428"/>
      <x:c r="AQ270" s="428"/>
      <x:c r="AR270" s="428"/>
      <x:c r="AS270" s="428"/>
      <x:c r="AT270" s="428"/>
      <x:c r="AU270" s="428"/>
      <x:c r="AV270" s="428"/>
      <x:c r="AW270" s="428"/>
      <x:c r="AX270" s="428"/>
      <x:c r="AY270" s="428"/>
      <x:c r="AZ270" s="428"/>
      <x:c r="BA270" s="428"/>
      <x:c r="BB270" s="428"/>
      <x:c r="BC270" s="428"/>
      <x:c r="BD270" s="428"/>
      <x:c r="BE270" s="428"/>
      <x:c r="BF270" s="428"/>
      <x:c r="BG270" s="428"/>
      <x:c r="BH270" s="428"/>
      <x:c r="BI270" s="428"/>
      <x:c r="BJ270" s="428"/>
      <x:c r="BK270" s="428"/>
      <x:c r="BL270" s="428"/>
      <x:c r="BM270" s="428"/>
      <x:c r="BN270" s="428"/>
      <x:c r="BO270" s="428"/>
      <x:c r="BP270" s="428"/>
      <x:c r="BQ270" s="428"/>
      <x:c r="BR270" s="428"/>
      <x:c r="BS270" s="428"/>
      <x:c r="BT270" s="428"/>
      <x:c r="BU270" s="428"/>
      <x:c r="BV270" s="428"/>
      <x:c r="BW270" s="428"/>
      <x:c r="BX270" s="428"/>
      <x:c r="BY270" s="428"/>
      <x:c r="BZ270" s="428"/>
      <x:c r="CA270" s="428"/>
      <x:c r="CB270" s="428"/>
      <x:c r="CC270" s="428"/>
      <x:c r="CD270" s="428"/>
      <x:c r="CE270" s="428"/>
      <x:c r="CF270" s="428"/>
      <x:c r="CG270" s="428"/>
      <x:c r="CH270" s="428"/>
      <x:c r="CI270" s="428"/>
      <x:c r="CJ270" s="428"/>
      <x:c r="CK270" s="428"/>
      <x:c r="CL270" s="428"/>
      <x:c r="CM270" s="428"/>
      <x:c r="CN270" s="428"/>
      <x:c r="CO270" s="428"/>
      <x:c r="CP270" s="428"/>
      <x:c r="CQ270" s="428"/>
      <x:c r="CR270" s="428"/>
      <x:c r="CS270" s="428"/>
      <x:c r="CT270" s="428"/>
      <x:c r="CU270" s="428"/>
      <x:c r="CV270" s="428"/>
      <x:c r="CW270" s="428"/>
      <x:c r="CX270" s="428"/>
      <x:c r="CY270" s="428"/>
      <x:c r="CZ270" s="428"/>
      <x:c r="DA270" s="428"/>
      <x:c r="DB270" s="428"/>
      <x:c r="DC270" s="428"/>
      <x:c r="DD270" s="428"/>
      <x:c r="DE270" s="428"/>
      <x:c r="DF270" s="428"/>
      <x:c r="DG270" s="428"/>
      <x:c r="DH270" s="428"/>
      <x:c r="DI270" s="428"/>
      <x:c r="DJ270" s="428"/>
      <x:c r="DK270" s="428"/>
      <x:c r="DL270" s="428"/>
      <x:c r="DM270" s="428"/>
      <x:c r="DN270" s="428"/>
      <x:c r="DO270" s="428"/>
      <x:c r="DP270" s="428"/>
      <x:c r="DQ270" s="428"/>
      <x:c r="DR270" s="428"/>
      <x:c r="DS270" s="428"/>
      <x:c r="DT270" s="428"/>
      <x:c r="DU270" s="428"/>
      <x:c r="DV270" s="428"/>
      <x:c r="DW270" s="428"/>
      <x:c r="DX270" s="428"/>
      <x:c r="DY270" s="428"/>
      <x:c r="DZ270" s="428"/>
      <x:c r="EA270" s="428"/>
      <x:c r="EB270" s="428"/>
      <x:c r="EC270" s="428"/>
      <x:c r="ED270" s="428"/>
      <x:c r="EE270" s="428"/>
      <x:c r="EF270" s="428"/>
      <x:c r="EG270" s="428"/>
      <x:c r="EH270" s="428"/>
      <x:c r="EI270" s="428"/>
      <x:c r="EJ270" s="428"/>
      <x:c r="EK270" s="428"/>
      <x:c r="EL270" s="428"/>
      <x:c r="EM270" s="428"/>
      <x:c r="EN270" s="428"/>
      <x:c r="EO270" s="428"/>
      <x:c r="EP270" s="428"/>
      <x:c r="EQ270" s="428"/>
      <x:c r="ER270" s="428"/>
      <x:c r="ES270" s="428"/>
      <x:c r="ET270" s="428"/>
      <x:c r="EU270" s="428"/>
      <x:c r="EV270" s="428"/>
      <x:c r="EW270" s="428"/>
      <x:c r="EX270" s="428"/>
      <x:c r="EY270" s="428"/>
      <x:c r="EZ270" s="428"/>
      <x:c r="FA270" s="428"/>
      <x:c r="FB270" s="428"/>
      <x:c r="FC270" s="428"/>
      <x:c r="FD270" s="428"/>
      <x:c r="FE270" s="428"/>
      <x:c r="FF270" s="428"/>
    </x:row>
    <x:row r="272" spans="6:162" s="430" customFormat="1" ht="15.75" customHeight="1">
      <x:c r="F272" s="428"/>
      <x:c r="G272" s="428"/>
      <x:c r="H272" s="428"/>
      <x:c r="I272" s="428"/>
      <x:c r="J272" s="428"/>
      <x:c r="K272" s="428"/>
      <x:c r="L272" s="428"/>
      <x:c r="M272" s="428"/>
      <x:c r="N272" s="428"/>
      <x:c r="O272" s="428"/>
      <x:c r="P272" s="428"/>
      <x:c r="Q272" s="428"/>
      <x:c r="R272" s="428"/>
      <x:c r="S272" s="428"/>
      <x:c r="T272" s="428"/>
      <x:c r="U272" s="428"/>
      <x:c r="V272" s="428"/>
      <x:c r="W272" s="428"/>
      <x:c r="X272" s="428"/>
      <x:c r="Y272" s="428"/>
      <x:c r="AA272" s="428"/>
      <x:c r="AC272" s="428"/>
      <x:c r="AD272" s="428"/>
      <x:c r="AE272" s="428"/>
      <x:c r="AF272" s="428"/>
      <x:c r="AG272" s="428"/>
      <x:c r="AH272" s="429"/>
      <x:c r="AI272" s="429"/>
      <x:c r="AJ272" s="428"/>
      <x:c r="AK272" s="428"/>
      <x:c r="AL272" s="428"/>
      <x:c r="AM272" s="428"/>
      <x:c r="AN272" s="428"/>
      <x:c r="AO272" s="428"/>
      <x:c r="AP272" s="428"/>
      <x:c r="AQ272" s="428"/>
      <x:c r="AR272" s="428"/>
      <x:c r="AS272" s="428"/>
      <x:c r="AT272" s="428"/>
      <x:c r="AU272" s="428"/>
      <x:c r="AV272" s="428"/>
      <x:c r="AW272" s="428"/>
      <x:c r="AX272" s="428"/>
      <x:c r="AY272" s="428"/>
      <x:c r="AZ272" s="428"/>
      <x:c r="BA272" s="428"/>
      <x:c r="BB272" s="428"/>
      <x:c r="BC272" s="428"/>
      <x:c r="BD272" s="428"/>
      <x:c r="BE272" s="428"/>
      <x:c r="BF272" s="428"/>
      <x:c r="BG272" s="428"/>
      <x:c r="BH272" s="428"/>
      <x:c r="BI272" s="428"/>
      <x:c r="BJ272" s="428"/>
      <x:c r="BK272" s="428"/>
      <x:c r="BL272" s="428"/>
      <x:c r="BM272" s="428"/>
      <x:c r="BN272" s="428"/>
      <x:c r="BO272" s="428"/>
      <x:c r="BP272" s="428"/>
      <x:c r="BQ272" s="428"/>
      <x:c r="BR272" s="428"/>
      <x:c r="BS272" s="428"/>
      <x:c r="BT272" s="428"/>
      <x:c r="BU272" s="428"/>
      <x:c r="BV272" s="428"/>
      <x:c r="BW272" s="428"/>
      <x:c r="BX272" s="428"/>
      <x:c r="BY272" s="428"/>
      <x:c r="BZ272" s="428"/>
      <x:c r="CA272" s="428"/>
      <x:c r="CB272" s="428"/>
      <x:c r="CC272" s="428"/>
      <x:c r="CD272" s="428"/>
      <x:c r="CE272" s="428"/>
      <x:c r="CF272" s="428"/>
      <x:c r="CG272" s="428"/>
      <x:c r="CH272" s="428"/>
      <x:c r="CI272" s="428"/>
      <x:c r="CJ272" s="428"/>
      <x:c r="CK272" s="428"/>
      <x:c r="CL272" s="428"/>
      <x:c r="CM272" s="428"/>
      <x:c r="CN272" s="428"/>
      <x:c r="CO272" s="428"/>
      <x:c r="CP272" s="428"/>
      <x:c r="CQ272" s="428"/>
      <x:c r="CR272" s="428"/>
      <x:c r="CS272" s="428"/>
      <x:c r="CT272" s="428"/>
      <x:c r="CU272" s="428"/>
      <x:c r="CV272" s="428"/>
      <x:c r="CW272" s="428"/>
      <x:c r="CX272" s="428"/>
      <x:c r="CY272" s="428"/>
      <x:c r="CZ272" s="428"/>
      <x:c r="DA272" s="428"/>
      <x:c r="DB272" s="428"/>
      <x:c r="DC272" s="428"/>
      <x:c r="DD272" s="428"/>
      <x:c r="DE272" s="428"/>
      <x:c r="DF272" s="428"/>
      <x:c r="DG272" s="428"/>
      <x:c r="DH272" s="428"/>
      <x:c r="DI272" s="428"/>
      <x:c r="DJ272" s="428"/>
      <x:c r="DK272" s="428"/>
      <x:c r="DL272" s="428"/>
      <x:c r="DM272" s="428"/>
      <x:c r="DN272" s="428"/>
      <x:c r="DO272" s="428"/>
      <x:c r="DP272" s="428"/>
      <x:c r="DQ272" s="428"/>
      <x:c r="DR272" s="428"/>
      <x:c r="DS272" s="428"/>
      <x:c r="DT272" s="428"/>
      <x:c r="DU272" s="428"/>
      <x:c r="DV272" s="428"/>
      <x:c r="DW272" s="428"/>
      <x:c r="DX272" s="428"/>
      <x:c r="DY272" s="428"/>
      <x:c r="DZ272" s="428"/>
      <x:c r="EA272" s="428"/>
      <x:c r="EB272" s="428"/>
      <x:c r="EC272" s="428"/>
      <x:c r="ED272" s="428"/>
      <x:c r="EE272" s="428"/>
      <x:c r="EF272" s="428"/>
      <x:c r="EG272" s="428"/>
      <x:c r="EH272" s="428"/>
      <x:c r="EI272" s="428"/>
      <x:c r="EJ272" s="428"/>
      <x:c r="EK272" s="428"/>
      <x:c r="EL272" s="428"/>
      <x:c r="EM272" s="428"/>
      <x:c r="EN272" s="428"/>
      <x:c r="EO272" s="428"/>
      <x:c r="EP272" s="428"/>
      <x:c r="EQ272" s="428"/>
      <x:c r="ER272" s="428"/>
      <x:c r="ES272" s="428"/>
      <x:c r="ET272" s="428"/>
      <x:c r="EU272" s="428"/>
      <x:c r="EV272" s="428"/>
      <x:c r="EW272" s="428"/>
      <x:c r="EX272" s="428"/>
      <x:c r="EY272" s="428"/>
      <x:c r="EZ272" s="428"/>
      <x:c r="FA272" s="428"/>
      <x:c r="FB272" s="428"/>
      <x:c r="FC272" s="428"/>
      <x:c r="FD272" s="428"/>
      <x:c r="FE272" s="428"/>
      <x:c r="FF272" s="428"/>
    </x:row>
    <x:row r="274" spans="6:162" s="430" customFormat="1" ht="15.75" customHeight="1">
      <x:c r="F274" s="428"/>
      <x:c r="G274" s="428"/>
      <x:c r="H274" s="428"/>
      <x:c r="I274" s="428"/>
      <x:c r="J274" s="428"/>
      <x:c r="K274" s="428"/>
      <x:c r="L274" s="428"/>
      <x:c r="M274" s="428"/>
      <x:c r="N274" s="428"/>
      <x:c r="O274" s="428"/>
      <x:c r="P274" s="428"/>
      <x:c r="Q274" s="428"/>
      <x:c r="R274" s="428"/>
      <x:c r="S274" s="428"/>
      <x:c r="T274" s="428"/>
      <x:c r="U274" s="428"/>
      <x:c r="V274" s="428"/>
      <x:c r="W274" s="428"/>
      <x:c r="X274" s="428"/>
      <x:c r="Y274" s="428"/>
      <x:c r="AA274" s="428"/>
      <x:c r="AC274" s="428"/>
      <x:c r="AD274" s="428"/>
      <x:c r="AE274" s="428"/>
      <x:c r="AF274" s="428"/>
      <x:c r="AG274" s="428"/>
      <x:c r="AH274" s="429"/>
      <x:c r="AI274" s="429"/>
      <x:c r="AJ274" s="428"/>
      <x:c r="AK274" s="428"/>
      <x:c r="AL274" s="428"/>
      <x:c r="AM274" s="428"/>
      <x:c r="AN274" s="428"/>
      <x:c r="AO274" s="428"/>
      <x:c r="AP274" s="428"/>
      <x:c r="AQ274" s="428"/>
      <x:c r="AR274" s="428"/>
      <x:c r="AS274" s="428"/>
      <x:c r="AT274" s="428"/>
      <x:c r="AU274" s="428"/>
      <x:c r="AV274" s="428"/>
      <x:c r="AW274" s="428"/>
      <x:c r="AX274" s="428"/>
      <x:c r="AY274" s="428"/>
      <x:c r="AZ274" s="428"/>
      <x:c r="BA274" s="428"/>
      <x:c r="BB274" s="428"/>
      <x:c r="BC274" s="428"/>
      <x:c r="BD274" s="428"/>
      <x:c r="BE274" s="428"/>
      <x:c r="BF274" s="428"/>
      <x:c r="BG274" s="428"/>
      <x:c r="BH274" s="428"/>
      <x:c r="BI274" s="428"/>
      <x:c r="BJ274" s="428"/>
      <x:c r="BK274" s="428"/>
      <x:c r="BL274" s="428"/>
      <x:c r="BM274" s="428"/>
      <x:c r="BN274" s="428"/>
      <x:c r="BO274" s="428"/>
      <x:c r="BP274" s="428"/>
      <x:c r="BQ274" s="428"/>
      <x:c r="BR274" s="428"/>
      <x:c r="BS274" s="428"/>
      <x:c r="BT274" s="428"/>
      <x:c r="BU274" s="428"/>
      <x:c r="BV274" s="428"/>
      <x:c r="BW274" s="428"/>
      <x:c r="BX274" s="428"/>
      <x:c r="BY274" s="428"/>
      <x:c r="BZ274" s="428"/>
      <x:c r="CA274" s="428"/>
      <x:c r="CB274" s="428"/>
      <x:c r="CC274" s="428"/>
      <x:c r="CD274" s="428"/>
      <x:c r="CE274" s="428"/>
      <x:c r="CF274" s="428"/>
      <x:c r="CG274" s="428"/>
      <x:c r="CH274" s="428"/>
      <x:c r="CI274" s="428"/>
      <x:c r="CJ274" s="428"/>
      <x:c r="CK274" s="428"/>
      <x:c r="CL274" s="428"/>
      <x:c r="CM274" s="428"/>
      <x:c r="CN274" s="428"/>
      <x:c r="CO274" s="428"/>
      <x:c r="CP274" s="428"/>
      <x:c r="CQ274" s="428"/>
      <x:c r="CR274" s="428"/>
      <x:c r="CS274" s="428"/>
      <x:c r="CT274" s="428"/>
      <x:c r="CU274" s="428"/>
      <x:c r="CV274" s="428"/>
      <x:c r="CW274" s="428"/>
      <x:c r="CX274" s="428"/>
      <x:c r="CY274" s="428"/>
      <x:c r="CZ274" s="428"/>
      <x:c r="DA274" s="428"/>
      <x:c r="DB274" s="428"/>
      <x:c r="DC274" s="428"/>
      <x:c r="DD274" s="428"/>
      <x:c r="DE274" s="428"/>
      <x:c r="DF274" s="428"/>
      <x:c r="DG274" s="428"/>
      <x:c r="DH274" s="428"/>
      <x:c r="DI274" s="428"/>
      <x:c r="DJ274" s="428"/>
      <x:c r="DK274" s="428"/>
      <x:c r="DL274" s="428"/>
      <x:c r="DM274" s="428"/>
      <x:c r="DN274" s="428"/>
      <x:c r="DO274" s="428"/>
      <x:c r="DP274" s="428"/>
      <x:c r="DQ274" s="428"/>
      <x:c r="DR274" s="428"/>
      <x:c r="DS274" s="428"/>
      <x:c r="DT274" s="428"/>
      <x:c r="DU274" s="428"/>
      <x:c r="DV274" s="428"/>
      <x:c r="DW274" s="428"/>
      <x:c r="DX274" s="428"/>
      <x:c r="DY274" s="428"/>
      <x:c r="DZ274" s="428"/>
      <x:c r="EA274" s="428"/>
      <x:c r="EB274" s="428"/>
      <x:c r="EC274" s="428"/>
      <x:c r="ED274" s="428"/>
      <x:c r="EE274" s="428"/>
      <x:c r="EF274" s="428"/>
      <x:c r="EG274" s="428"/>
      <x:c r="EH274" s="428"/>
      <x:c r="EI274" s="428"/>
      <x:c r="EJ274" s="428"/>
      <x:c r="EK274" s="428"/>
      <x:c r="EL274" s="428"/>
      <x:c r="EM274" s="428"/>
      <x:c r="EN274" s="428"/>
      <x:c r="EO274" s="428"/>
      <x:c r="EP274" s="428"/>
      <x:c r="EQ274" s="428"/>
      <x:c r="ER274" s="428"/>
      <x:c r="ES274" s="428"/>
      <x:c r="ET274" s="428"/>
      <x:c r="EU274" s="428"/>
      <x:c r="EV274" s="428"/>
      <x:c r="EW274" s="428"/>
      <x:c r="EX274" s="428"/>
      <x:c r="EY274" s="428"/>
      <x:c r="EZ274" s="428"/>
      <x:c r="FA274" s="428"/>
      <x:c r="FB274" s="428"/>
      <x:c r="FC274" s="428"/>
      <x:c r="FD274" s="428"/>
      <x:c r="FE274" s="428"/>
      <x:c r="FF274" s="428"/>
    </x:row>
    <x:row r="276" spans="6:162" s="430" customFormat="1" ht="15.75" customHeight="1">
      <x:c r="F276" s="428"/>
      <x:c r="G276" s="428"/>
      <x:c r="H276" s="428"/>
      <x:c r="I276" s="428"/>
      <x:c r="J276" s="428"/>
      <x:c r="K276" s="428"/>
      <x:c r="L276" s="428"/>
      <x:c r="M276" s="428"/>
      <x:c r="N276" s="428"/>
      <x:c r="O276" s="428"/>
      <x:c r="P276" s="428"/>
      <x:c r="Q276" s="428"/>
      <x:c r="R276" s="428"/>
      <x:c r="S276" s="428"/>
      <x:c r="T276" s="428"/>
      <x:c r="U276" s="428"/>
      <x:c r="V276" s="428"/>
      <x:c r="W276" s="428"/>
      <x:c r="X276" s="428"/>
      <x:c r="Y276" s="428"/>
      <x:c r="AA276" s="428"/>
      <x:c r="AC276" s="428"/>
      <x:c r="AD276" s="428"/>
      <x:c r="AE276" s="428"/>
      <x:c r="AF276" s="428"/>
      <x:c r="AG276" s="428"/>
      <x:c r="AH276" s="429"/>
      <x:c r="AI276" s="429"/>
      <x:c r="AJ276" s="428"/>
      <x:c r="AK276" s="428"/>
      <x:c r="AL276" s="428"/>
      <x:c r="AM276" s="428"/>
      <x:c r="AN276" s="428"/>
      <x:c r="AO276" s="428"/>
      <x:c r="AP276" s="428"/>
      <x:c r="AQ276" s="428"/>
      <x:c r="AR276" s="428"/>
      <x:c r="AS276" s="428"/>
      <x:c r="AT276" s="428"/>
      <x:c r="AU276" s="428"/>
      <x:c r="AV276" s="428"/>
      <x:c r="AW276" s="428"/>
      <x:c r="AX276" s="428"/>
      <x:c r="AY276" s="428"/>
      <x:c r="AZ276" s="428"/>
      <x:c r="BA276" s="428"/>
      <x:c r="BB276" s="428"/>
      <x:c r="BC276" s="428"/>
      <x:c r="BD276" s="428"/>
      <x:c r="BE276" s="428"/>
      <x:c r="BF276" s="428"/>
      <x:c r="BG276" s="428"/>
      <x:c r="BH276" s="428"/>
      <x:c r="BI276" s="428"/>
      <x:c r="BJ276" s="428"/>
      <x:c r="BK276" s="428"/>
      <x:c r="BL276" s="428"/>
      <x:c r="BM276" s="428"/>
      <x:c r="BN276" s="428"/>
      <x:c r="BO276" s="428"/>
      <x:c r="BP276" s="428"/>
      <x:c r="BQ276" s="428"/>
      <x:c r="BR276" s="428"/>
      <x:c r="BS276" s="428"/>
      <x:c r="BT276" s="428"/>
      <x:c r="BU276" s="428"/>
      <x:c r="BV276" s="428"/>
      <x:c r="BW276" s="428"/>
      <x:c r="BX276" s="428"/>
      <x:c r="BY276" s="428"/>
      <x:c r="BZ276" s="428"/>
      <x:c r="CA276" s="428"/>
      <x:c r="CB276" s="428"/>
      <x:c r="CC276" s="428"/>
      <x:c r="CD276" s="428"/>
      <x:c r="CE276" s="428"/>
      <x:c r="CF276" s="428"/>
      <x:c r="CG276" s="428"/>
      <x:c r="CH276" s="428"/>
      <x:c r="CI276" s="428"/>
      <x:c r="CJ276" s="428"/>
      <x:c r="CK276" s="428"/>
      <x:c r="CL276" s="428"/>
      <x:c r="CM276" s="428"/>
      <x:c r="CN276" s="428"/>
      <x:c r="CO276" s="428"/>
      <x:c r="CP276" s="428"/>
      <x:c r="CQ276" s="428"/>
      <x:c r="CR276" s="428"/>
      <x:c r="CS276" s="428"/>
      <x:c r="CT276" s="428"/>
      <x:c r="CU276" s="428"/>
      <x:c r="CV276" s="428"/>
      <x:c r="CW276" s="428"/>
      <x:c r="CX276" s="428"/>
      <x:c r="CY276" s="428"/>
      <x:c r="CZ276" s="428"/>
      <x:c r="DA276" s="428"/>
      <x:c r="DB276" s="428"/>
      <x:c r="DC276" s="428"/>
      <x:c r="DD276" s="428"/>
      <x:c r="DE276" s="428"/>
      <x:c r="DF276" s="428"/>
      <x:c r="DG276" s="428"/>
      <x:c r="DH276" s="428"/>
      <x:c r="DI276" s="428"/>
      <x:c r="DJ276" s="428"/>
      <x:c r="DK276" s="428"/>
      <x:c r="DL276" s="428"/>
      <x:c r="DM276" s="428"/>
      <x:c r="DN276" s="428"/>
      <x:c r="DO276" s="428"/>
      <x:c r="DP276" s="428"/>
      <x:c r="DQ276" s="428"/>
      <x:c r="DR276" s="428"/>
      <x:c r="DS276" s="428"/>
      <x:c r="DT276" s="428"/>
      <x:c r="DU276" s="428"/>
      <x:c r="DV276" s="428"/>
      <x:c r="DW276" s="428"/>
      <x:c r="DX276" s="428"/>
      <x:c r="DY276" s="428"/>
      <x:c r="DZ276" s="428"/>
      <x:c r="EA276" s="428"/>
      <x:c r="EB276" s="428"/>
      <x:c r="EC276" s="428"/>
      <x:c r="ED276" s="428"/>
      <x:c r="EE276" s="428"/>
      <x:c r="EF276" s="428"/>
      <x:c r="EG276" s="428"/>
      <x:c r="EH276" s="428"/>
      <x:c r="EI276" s="428"/>
      <x:c r="EJ276" s="428"/>
      <x:c r="EK276" s="428"/>
      <x:c r="EL276" s="428"/>
      <x:c r="EM276" s="428"/>
      <x:c r="EN276" s="428"/>
      <x:c r="EO276" s="428"/>
      <x:c r="EP276" s="428"/>
      <x:c r="EQ276" s="428"/>
      <x:c r="ER276" s="428"/>
      <x:c r="ES276" s="428"/>
      <x:c r="ET276" s="428"/>
      <x:c r="EU276" s="428"/>
      <x:c r="EV276" s="428"/>
      <x:c r="EW276" s="428"/>
      <x:c r="EX276" s="428"/>
      <x:c r="EY276" s="428"/>
      <x:c r="EZ276" s="428"/>
      <x:c r="FA276" s="428"/>
      <x:c r="FB276" s="428"/>
      <x:c r="FC276" s="428"/>
      <x:c r="FD276" s="428"/>
      <x:c r="FE276" s="428"/>
      <x:c r="FF276" s="428"/>
    </x:row>
    <x:row r="278" spans="6:162" s="430" customFormat="1" ht="15.75" customHeight="1">
      <x:c r="F278" s="428"/>
      <x:c r="G278" s="428"/>
      <x:c r="H278" s="428"/>
      <x:c r="I278" s="428"/>
      <x:c r="J278" s="428"/>
      <x:c r="K278" s="428"/>
      <x:c r="L278" s="428"/>
      <x:c r="M278" s="428"/>
      <x:c r="N278" s="428"/>
      <x:c r="O278" s="428"/>
      <x:c r="P278" s="428"/>
      <x:c r="Q278" s="428"/>
      <x:c r="R278" s="428"/>
      <x:c r="S278" s="428"/>
      <x:c r="T278" s="428"/>
      <x:c r="U278" s="428"/>
      <x:c r="V278" s="428"/>
      <x:c r="W278" s="428"/>
      <x:c r="X278" s="428"/>
      <x:c r="Y278" s="428"/>
      <x:c r="AA278" s="428"/>
      <x:c r="AC278" s="428"/>
      <x:c r="AD278" s="428"/>
      <x:c r="AE278" s="428"/>
      <x:c r="AF278" s="428"/>
      <x:c r="AG278" s="428"/>
      <x:c r="AH278" s="429"/>
      <x:c r="AI278" s="429"/>
      <x:c r="AJ278" s="428"/>
      <x:c r="AK278" s="428"/>
      <x:c r="AL278" s="428"/>
      <x:c r="AM278" s="428"/>
      <x:c r="AN278" s="428"/>
      <x:c r="AO278" s="428"/>
      <x:c r="AP278" s="428"/>
      <x:c r="AQ278" s="428"/>
      <x:c r="AR278" s="428"/>
      <x:c r="AS278" s="428"/>
      <x:c r="AT278" s="428"/>
      <x:c r="AU278" s="428"/>
      <x:c r="AV278" s="428"/>
      <x:c r="AW278" s="428"/>
      <x:c r="AX278" s="428"/>
      <x:c r="AY278" s="428"/>
      <x:c r="AZ278" s="428"/>
      <x:c r="BA278" s="428"/>
      <x:c r="BB278" s="428"/>
      <x:c r="BC278" s="428"/>
      <x:c r="BD278" s="428"/>
      <x:c r="BE278" s="428"/>
      <x:c r="BF278" s="428"/>
      <x:c r="BG278" s="428"/>
      <x:c r="BH278" s="428"/>
      <x:c r="BI278" s="428"/>
      <x:c r="BJ278" s="428"/>
      <x:c r="BK278" s="428"/>
      <x:c r="BL278" s="428"/>
      <x:c r="BM278" s="428"/>
      <x:c r="BN278" s="428"/>
      <x:c r="BO278" s="428"/>
      <x:c r="BP278" s="428"/>
      <x:c r="BQ278" s="428"/>
      <x:c r="BR278" s="428"/>
      <x:c r="BS278" s="428"/>
      <x:c r="BT278" s="428"/>
      <x:c r="BU278" s="428"/>
      <x:c r="BV278" s="428"/>
      <x:c r="BW278" s="428"/>
      <x:c r="BX278" s="428"/>
      <x:c r="BY278" s="428"/>
      <x:c r="BZ278" s="428"/>
      <x:c r="CA278" s="428"/>
      <x:c r="CB278" s="428"/>
      <x:c r="CC278" s="428"/>
      <x:c r="CD278" s="428"/>
      <x:c r="CE278" s="428"/>
      <x:c r="CF278" s="428"/>
      <x:c r="CG278" s="428"/>
      <x:c r="CH278" s="428"/>
      <x:c r="CI278" s="428"/>
      <x:c r="CJ278" s="428"/>
      <x:c r="CK278" s="428"/>
      <x:c r="CL278" s="428"/>
      <x:c r="CM278" s="428"/>
      <x:c r="CN278" s="428"/>
      <x:c r="CO278" s="428"/>
      <x:c r="CP278" s="428"/>
      <x:c r="CQ278" s="428"/>
      <x:c r="CR278" s="428"/>
      <x:c r="CS278" s="428"/>
      <x:c r="CT278" s="428"/>
      <x:c r="CU278" s="428"/>
      <x:c r="CV278" s="428"/>
      <x:c r="CW278" s="428"/>
      <x:c r="CX278" s="428"/>
      <x:c r="CY278" s="428"/>
      <x:c r="CZ278" s="428"/>
      <x:c r="DA278" s="428"/>
      <x:c r="DB278" s="428"/>
      <x:c r="DC278" s="428"/>
      <x:c r="DD278" s="428"/>
      <x:c r="DE278" s="428"/>
      <x:c r="DF278" s="428"/>
      <x:c r="DG278" s="428"/>
      <x:c r="DH278" s="428"/>
      <x:c r="DI278" s="428"/>
      <x:c r="DJ278" s="428"/>
      <x:c r="DK278" s="428"/>
      <x:c r="DL278" s="428"/>
      <x:c r="DM278" s="428"/>
      <x:c r="DN278" s="428"/>
      <x:c r="DO278" s="428"/>
      <x:c r="DP278" s="428"/>
      <x:c r="DQ278" s="428"/>
      <x:c r="DR278" s="428"/>
      <x:c r="DS278" s="428"/>
      <x:c r="DT278" s="428"/>
      <x:c r="DU278" s="428"/>
      <x:c r="DV278" s="428"/>
      <x:c r="DW278" s="428"/>
      <x:c r="DX278" s="428"/>
      <x:c r="DY278" s="428"/>
      <x:c r="DZ278" s="428"/>
      <x:c r="EA278" s="428"/>
      <x:c r="EB278" s="428"/>
      <x:c r="EC278" s="428"/>
      <x:c r="ED278" s="428"/>
      <x:c r="EE278" s="428"/>
      <x:c r="EF278" s="428"/>
      <x:c r="EG278" s="428"/>
      <x:c r="EH278" s="428"/>
      <x:c r="EI278" s="428"/>
      <x:c r="EJ278" s="428"/>
      <x:c r="EK278" s="428"/>
      <x:c r="EL278" s="428"/>
      <x:c r="EM278" s="428"/>
      <x:c r="EN278" s="428"/>
      <x:c r="EO278" s="428"/>
      <x:c r="EP278" s="428"/>
      <x:c r="EQ278" s="428"/>
      <x:c r="ER278" s="428"/>
      <x:c r="ES278" s="428"/>
      <x:c r="ET278" s="428"/>
      <x:c r="EU278" s="428"/>
      <x:c r="EV278" s="428"/>
      <x:c r="EW278" s="428"/>
      <x:c r="EX278" s="428"/>
      <x:c r="EY278" s="428"/>
      <x:c r="EZ278" s="428"/>
      <x:c r="FA278" s="428"/>
      <x:c r="FB278" s="428"/>
      <x:c r="FC278" s="428"/>
      <x:c r="FD278" s="428"/>
      <x:c r="FE278" s="428"/>
      <x:c r="FF278" s="428"/>
    </x:row>
    <x:row r="280" spans="6:162" s="430" customFormat="1" ht="15.75" customHeight="1">
      <x:c r="F280" s="428"/>
      <x:c r="G280" s="428"/>
      <x:c r="H280" s="428"/>
      <x:c r="I280" s="428"/>
      <x:c r="J280" s="428"/>
      <x:c r="K280" s="428"/>
      <x:c r="L280" s="428"/>
      <x:c r="M280" s="428"/>
      <x:c r="N280" s="428"/>
      <x:c r="O280" s="428"/>
      <x:c r="P280" s="428"/>
      <x:c r="Q280" s="428"/>
      <x:c r="R280" s="428"/>
      <x:c r="S280" s="428"/>
      <x:c r="T280" s="428"/>
      <x:c r="U280" s="428"/>
      <x:c r="V280" s="428"/>
      <x:c r="W280" s="428"/>
      <x:c r="X280" s="428"/>
      <x:c r="Y280" s="428"/>
      <x:c r="AA280" s="428"/>
      <x:c r="AC280" s="428"/>
      <x:c r="AD280" s="428"/>
      <x:c r="AE280" s="428"/>
      <x:c r="AF280" s="428"/>
      <x:c r="AG280" s="428"/>
      <x:c r="AH280" s="429"/>
      <x:c r="AI280" s="429"/>
      <x:c r="AJ280" s="428"/>
      <x:c r="AK280" s="428"/>
      <x:c r="AL280" s="428"/>
      <x:c r="AM280" s="428"/>
      <x:c r="AN280" s="428"/>
      <x:c r="AO280" s="428"/>
      <x:c r="AP280" s="428"/>
      <x:c r="AQ280" s="428"/>
      <x:c r="AR280" s="428"/>
      <x:c r="AS280" s="428"/>
      <x:c r="AT280" s="428"/>
      <x:c r="AU280" s="428"/>
      <x:c r="AV280" s="428"/>
      <x:c r="AW280" s="428"/>
      <x:c r="AX280" s="428"/>
      <x:c r="AY280" s="428"/>
      <x:c r="AZ280" s="428"/>
      <x:c r="BA280" s="428"/>
      <x:c r="BB280" s="428"/>
      <x:c r="BC280" s="428"/>
      <x:c r="BD280" s="428"/>
      <x:c r="BE280" s="428"/>
      <x:c r="BF280" s="428"/>
      <x:c r="BG280" s="428"/>
      <x:c r="BH280" s="428"/>
      <x:c r="BI280" s="428"/>
      <x:c r="BJ280" s="428"/>
      <x:c r="BK280" s="428"/>
      <x:c r="BL280" s="428"/>
      <x:c r="BM280" s="428"/>
      <x:c r="BN280" s="428"/>
      <x:c r="BO280" s="428"/>
      <x:c r="BP280" s="428"/>
      <x:c r="BQ280" s="428"/>
      <x:c r="BR280" s="428"/>
      <x:c r="BS280" s="428"/>
      <x:c r="BT280" s="428"/>
      <x:c r="BU280" s="428"/>
      <x:c r="BV280" s="428"/>
      <x:c r="BW280" s="428"/>
      <x:c r="BX280" s="428"/>
      <x:c r="BY280" s="428"/>
      <x:c r="BZ280" s="428"/>
      <x:c r="CA280" s="428"/>
      <x:c r="CB280" s="428"/>
      <x:c r="CC280" s="428"/>
      <x:c r="CD280" s="428"/>
      <x:c r="CE280" s="428"/>
      <x:c r="CF280" s="428"/>
      <x:c r="CG280" s="428"/>
      <x:c r="CH280" s="428"/>
      <x:c r="CI280" s="428"/>
      <x:c r="CJ280" s="428"/>
      <x:c r="CK280" s="428"/>
      <x:c r="CL280" s="428"/>
      <x:c r="CM280" s="428"/>
      <x:c r="CN280" s="428"/>
      <x:c r="CO280" s="428"/>
      <x:c r="CP280" s="428"/>
      <x:c r="CQ280" s="428"/>
      <x:c r="CR280" s="428"/>
      <x:c r="CS280" s="428"/>
      <x:c r="CT280" s="428"/>
      <x:c r="CU280" s="428"/>
      <x:c r="CV280" s="428"/>
      <x:c r="CW280" s="428"/>
      <x:c r="CX280" s="428"/>
      <x:c r="CY280" s="428"/>
      <x:c r="CZ280" s="428"/>
      <x:c r="DA280" s="428"/>
      <x:c r="DB280" s="428"/>
      <x:c r="DC280" s="428"/>
      <x:c r="DD280" s="428"/>
      <x:c r="DE280" s="428"/>
      <x:c r="DF280" s="428"/>
      <x:c r="DG280" s="428"/>
      <x:c r="DH280" s="428"/>
      <x:c r="DI280" s="428"/>
      <x:c r="DJ280" s="428"/>
      <x:c r="DK280" s="428"/>
      <x:c r="DL280" s="428"/>
      <x:c r="DM280" s="428"/>
      <x:c r="DN280" s="428"/>
      <x:c r="DO280" s="428"/>
      <x:c r="DP280" s="428"/>
      <x:c r="DQ280" s="428"/>
      <x:c r="DR280" s="428"/>
      <x:c r="DS280" s="428"/>
      <x:c r="DT280" s="428"/>
      <x:c r="DU280" s="428"/>
      <x:c r="DV280" s="428"/>
      <x:c r="DW280" s="428"/>
      <x:c r="DX280" s="428"/>
      <x:c r="DY280" s="428"/>
      <x:c r="DZ280" s="428"/>
      <x:c r="EA280" s="428"/>
      <x:c r="EB280" s="428"/>
      <x:c r="EC280" s="428"/>
      <x:c r="ED280" s="428"/>
      <x:c r="EE280" s="428"/>
      <x:c r="EF280" s="428"/>
      <x:c r="EG280" s="428"/>
      <x:c r="EH280" s="428"/>
      <x:c r="EI280" s="428"/>
      <x:c r="EJ280" s="428"/>
      <x:c r="EK280" s="428"/>
      <x:c r="EL280" s="428"/>
      <x:c r="EM280" s="428"/>
      <x:c r="EN280" s="428"/>
      <x:c r="EO280" s="428"/>
      <x:c r="EP280" s="428"/>
      <x:c r="EQ280" s="428"/>
      <x:c r="ER280" s="428"/>
      <x:c r="ES280" s="428"/>
      <x:c r="ET280" s="428"/>
      <x:c r="EU280" s="428"/>
      <x:c r="EV280" s="428"/>
      <x:c r="EW280" s="428"/>
      <x:c r="EX280" s="428"/>
      <x:c r="EY280" s="428"/>
      <x:c r="EZ280" s="428"/>
      <x:c r="FA280" s="428"/>
      <x:c r="FB280" s="428"/>
      <x:c r="FC280" s="428"/>
      <x:c r="FD280" s="428"/>
      <x:c r="FE280" s="428"/>
      <x:c r="FF280" s="428"/>
    </x:row>
    <x:row r="282" spans="6:162" s="430" customFormat="1" ht="15.75" customHeight="1">
      <x:c r="F282" s="428"/>
      <x:c r="G282" s="428"/>
      <x:c r="H282" s="428"/>
      <x:c r="I282" s="428"/>
      <x:c r="J282" s="428"/>
      <x:c r="K282" s="428"/>
      <x:c r="L282" s="428"/>
      <x:c r="M282" s="428"/>
      <x:c r="N282" s="428"/>
      <x:c r="O282" s="428"/>
      <x:c r="P282" s="428"/>
      <x:c r="Q282" s="428"/>
      <x:c r="R282" s="428"/>
      <x:c r="S282" s="428"/>
      <x:c r="T282" s="428"/>
      <x:c r="U282" s="428"/>
      <x:c r="V282" s="428"/>
      <x:c r="W282" s="428"/>
      <x:c r="X282" s="428"/>
      <x:c r="Y282" s="428"/>
      <x:c r="AA282" s="428"/>
      <x:c r="AC282" s="428"/>
      <x:c r="AD282" s="428"/>
      <x:c r="AE282" s="428"/>
      <x:c r="AF282" s="428"/>
      <x:c r="AG282" s="428"/>
      <x:c r="AH282" s="429"/>
      <x:c r="AI282" s="429"/>
      <x:c r="AJ282" s="428"/>
      <x:c r="AK282" s="428"/>
      <x:c r="AL282" s="428"/>
      <x:c r="AM282" s="428"/>
      <x:c r="AN282" s="428"/>
      <x:c r="AO282" s="428"/>
      <x:c r="AP282" s="428"/>
      <x:c r="AQ282" s="428"/>
      <x:c r="AR282" s="428"/>
      <x:c r="AS282" s="428"/>
      <x:c r="AT282" s="428"/>
      <x:c r="AU282" s="428"/>
      <x:c r="AV282" s="428"/>
      <x:c r="AW282" s="428"/>
      <x:c r="AX282" s="428"/>
      <x:c r="AY282" s="428"/>
      <x:c r="AZ282" s="428"/>
      <x:c r="BA282" s="428"/>
      <x:c r="BB282" s="428"/>
      <x:c r="BC282" s="428"/>
      <x:c r="BD282" s="428"/>
      <x:c r="BE282" s="428"/>
      <x:c r="BF282" s="428"/>
      <x:c r="BG282" s="428"/>
      <x:c r="BH282" s="428"/>
      <x:c r="BI282" s="428"/>
      <x:c r="BJ282" s="428"/>
      <x:c r="BK282" s="428"/>
      <x:c r="BL282" s="428"/>
      <x:c r="BM282" s="428"/>
      <x:c r="BN282" s="428"/>
      <x:c r="BO282" s="428"/>
      <x:c r="BP282" s="428"/>
      <x:c r="BQ282" s="428"/>
      <x:c r="BR282" s="428"/>
      <x:c r="BS282" s="428"/>
      <x:c r="BT282" s="428"/>
      <x:c r="BU282" s="428"/>
      <x:c r="BV282" s="428"/>
      <x:c r="BW282" s="428"/>
      <x:c r="BX282" s="428"/>
      <x:c r="BY282" s="428"/>
      <x:c r="BZ282" s="428"/>
      <x:c r="CA282" s="428"/>
      <x:c r="CB282" s="428"/>
      <x:c r="CC282" s="428"/>
      <x:c r="CD282" s="428"/>
      <x:c r="CE282" s="428"/>
      <x:c r="CF282" s="428"/>
      <x:c r="CG282" s="428"/>
      <x:c r="CH282" s="428"/>
      <x:c r="CI282" s="428"/>
      <x:c r="CJ282" s="428"/>
      <x:c r="CK282" s="428"/>
      <x:c r="CL282" s="428"/>
      <x:c r="CM282" s="428"/>
      <x:c r="CN282" s="428"/>
      <x:c r="CO282" s="428"/>
      <x:c r="CP282" s="428"/>
      <x:c r="CQ282" s="428"/>
      <x:c r="CR282" s="428"/>
      <x:c r="CS282" s="428"/>
      <x:c r="CT282" s="428"/>
      <x:c r="CU282" s="428"/>
      <x:c r="CV282" s="428"/>
      <x:c r="CW282" s="428"/>
      <x:c r="CX282" s="428"/>
      <x:c r="CY282" s="428"/>
      <x:c r="CZ282" s="428"/>
      <x:c r="DA282" s="428"/>
      <x:c r="DB282" s="428"/>
      <x:c r="DC282" s="428"/>
      <x:c r="DD282" s="428"/>
      <x:c r="DE282" s="428"/>
      <x:c r="DF282" s="428"/>
      <x:c r="DG282" s="428"/>
      <x:c r="DH282" s="428"/>
      <x:c r="DI282" s="428"/>
      <x:c r="DJ282" s="428"/>
      <x:c r="DK282" s="428"/>
      <x:c r="DL282" s="428"/>
      <x:c r="DM282" s="428"/>
      <x:c r="DN282" s="428"/>
      <x:c r="DO282" s="428"/>
      <x:c r="DP282" s="428"/>
      <x:c r="DQ282" s="428"/>
      <x:c r="DR282" s="428"/>
      <x:c r="DS282" s="428"/>
      <x:c r="DT282" s="428"/>
      <x:c r="DU282" s="428"/>
      <x:c r="DV282" s="428"/>
      <x:c r="DW282" s="428"/>
      <x:c r="DX282" s="428"/>
      <x:c r="DY282" s="428"/>
      <x:c r="DZ282" s="428"/>
      <x:c r="EA282" s="428"/>
      <x:c r="EB282" s="428"/>
      <x:c r="EC282" s="428"/>
      <x:c r="ED282" s="428"/>
      <x:c r="EE282" s="428"/>
      <x:c r="EF282" s="428"/>
      <x:c r="EG282" s="428"/>
      <x:c r="EH282" s="428"/>
      <x:c r="EI282" s="428"/>
      <x:c r="EJ282" s="428"/>
      <x:c r="EK282" s="428"/>
      <x:c r="EL282" s="428"/>
      <x:c r="EM282" s="428"/>
      <x:c r="EN282" s="428"/>
      <x:c r="EO282" s="428"/>
      <x:c r="EP282" s="428"/>
      <x:c r="EQ282" s="428"/>
      <x:c r="ER282" s="428"/>
      <x:c r="ES282" s="428"/>
      <x:c r="ET282" s="428"/>
      <x:c r="EU282" s="428"/>
      <x:c r="EV282" s="428"/>
      <x:c r="EW282" s="428"/>
      <x:c r="EX282" s="428"/>
      <x:c r="EY282" s="428"/>
      <x:c r="EZ282" s="428"/>
      <x:c r="FA282" s="428"/>
      <x:c r="FB282" s="428"/>
      <x:c r="FC282" s="428"/>
      <x:c r="FD282" s="428"/>
      <x:c r="FE282" s="428"/>
      <x:c r="FF282" s="428"/>
    </x:row>
    <x:row r="284" spans="6:162" s="430" customFormat="1" ht="15.75" customHeight="1">
      <x:c r="F284" s="428"/>
      <x:c r="G284" s="428"/>
      <x:c r="H284" s="428"/>
      <x:c r="I284" s="428"/>
      <x:c r="J284" s="428"/>
      <x:c r="K284" s="428"/>
      <x:c r="L284" s="428"/>
      <x:c r="M284" s="428"/>
      <x:c r="N284" s="428"/>
      <x:c r="O284" s="428"/>
      <x:c r="P284" s="428"/>
      <x:c r="Q284" s="428"/>
      <x:c r="R284" s="428"/>
      <x:c r="S284" s="428"/>
      <x:c r="T284" s="428"/>
      <x:c r="U284" s="428"/>
      <x:c r="V284" s="428"/>
      <x:c r="W284" s="428"/>
      <x:c r="X284" s="428"/>
      <x:c r="Y284" s="428"/>
      <x:c r="AA284" s="428"/>
      <x:c r="AC284" s="428"/>
      <x:c r="AD284" s="428"/>
      <x:c r="AE284" s="428"/>
      <x:c r="AF284" s="428"/>
      <x:c r="AG284" s="428"/>
      <x:c r="AH284" s="429"/>
      <x:c r="AI284" s="429"/>
      <x:c r="AJ284" s="428"/>
      <x:c r="AK284" s="428"/>
      <x:c r="AL284" s="428"/>
      <x:c r="AM284" s="428"/>
      <x:c r="AN284" s="428"/>
      <x:c r="AO284" s="428"/>
      <x:c r="AP284" s="428"/>
      <x:c r="AQ284" s="428"/>
      <x:c r="AR284" s="428"/>
      <x:c r="AS284" s="428"/>
      <x:c r="AT284" s="428"/>
      <x:c r="AU284" s="428"/>
      <x:c r="AV284" s="428"/>
      <x:c r="AW284" s="428"/>
      <x:c r="AX284" s="428"/>
      <x:c r="AY284" s="428"/>
      <x:c r="AZ284" s="428"/>
      <x:c r="BA284" s="428"/>
      <x:c r="BB284" s="428"/>
      <x:c r="BC284" s="428"/>
      <x:c r="BD284" s="428"/>
      <x:c r="BE284" s="428"/>
      <x:c r="BF284" s="428"/>
      <x:c r="BG284" s="428"/>
      <x:c r="BH284" s="428"/>
      <x:c r="BI284" s="428"/>
      <x:c r="BJ284" s="428"/>
      <x:c r="BK284" s="428"/>
      <x:c r="BL284" s="428"/>
      <x:c r="BM284" s="428"/>
      <x:c r="BN284" s="428"/>
      <x:c r="BO284" s="428"/>
      <x:c r="BP284" s="428"/>
      <x:c r="BQ284" s="428"/>
      <x:c r="BR284" s="428"/>
      <x:c r="BS284" s="428"/>
      <x:c r="BT284" s="428"/>
      <x:c r="BU284" s="428"/>
      <x:c r="BV284" s="428"/>
      <x:c r="BW284" s="428"/>
      <x:c r="BX284" s="428"/>
      <x:c r="BY284" s="428"/>
      <x:c r="BZ284" s="428"/>
      <x:c r="CA284" s="428"/>
      <x:c r="CB284" s="428"/>
      <x:c r="CC284" s="428"/>
      <x:c r="CD284" s="428"/>
      <x:c r="CE284" s="428"/>
      <x:c r="CF284" s="428"/>
      <x:c r="CG284" s="428"/>
      <x:c r="CH284" s="428"/>
      <x:c r="CI284" s="428"/>
      <x:c r="CJ284" s="428"/>
      <x:c r="CK284" s="428"/>
      <x:c r="CL284" s="428"/>
      <x:c r="CM284" s="428"/>
      <x:c r="CN284" s="428"/>
      <x:c r="CO284" s="428"/>
      <x:c r="CP284" s="428"/>
      <x:c r="CQ284" s="428"/>
      <x:c r="CR284" s="428"/>
      <x:c r="CS284" s="428"/>
      <x:c r="CT284" s="428"/>
      <x:c r="CU284" s="428"/>
      <x:c r="CV284" s="428"/>
      <x:c r="CW284" s="428"/>
      <x:c r="CX284" s="428"/>
      <x:c r="CY284" s="428"/>
      <x:c r="CZ284" s="428"/>
      <x:c r="DA284" s="428"/>
      <x:c r="DB284" s="428"/>
      <x:c r="DC284" s="428"/>
      <x:c r="DD284" s="428"/>
      <x:c r="DE284" s="428"/>
      <x:c r="DF284" s="428"/>
      <x:c r="DG284" s="428"/>
      <x:c r="DH284" s="428"/>
      <x:c r="DI284" s="428"/>
      <x:c r="DJ284" s="428"/>
      <x:c r="DK284" s="428"/>
      <x:c r="DL284" s="428"/>
      <x:c r="DM284" s="428"/>
      <x:c r="DN284" s="428"/>
      <x:c r="DO284" s="428"/>
      <x:c r="DP284" s="428"/>
      <x:c r="DQ284" s="428"/>
      <x:c r="DR284" s="428"/>
      <x:c r="DS284" s="428"/>
      <x:c r="DT284" s="428"/>
      <x:c r="DU284" s="428"/>
      <x:c r="DV284" s="428"/>
      <x:c r="DW284" s="428"/>
      <x:c r="DX284" s="428"/>
      <x:c r="DY284" s="428"/>
      <x:c r="DZ284" s="428"/>
      <x:c r="EA284" s="428"/>
      <x:c r="EB284" s="428"/>
      <x:c r="EC284" s="428"/>
      <x:c r="ED284" s="428"/>
      <x:c r="EE284" s="428"/>
      <x:c r="EF284" s="428"/>
      <x:c r="EG284" s="428"/>
      <x:c r="EH284" s="428"/>
      <x:c r="EI284" s="428"/>
      <x:c r="EJ284" s="428"/>
      <x:c r="EK284" s="428"/>
      <x:c r="EL284" s="428"/>
      <x:c r="EM284" s="428"/>
      <x:c r="EN284" s="428"/>
      <x:c r="EO284" s="428"/>
      <x:c r="EP284" s="428"/>
      <x:c r="EQ284" s="428"/>
      <x:c r="ER284" s="428"/>
      <x:c r="ES284" s="428"/>
      <x:c r="ET284" s="428"/>
      <x:c r="EU284" s="428"/>
      <x:c r="EV284" s="428"/>
      <x:c r="EW284" s="428"/>
      <x:c r="EX284" s="428"/>
      <x:c r="EY284" s="428"/>
      <x:c r="EZ284" s="428"/>
      <x:c r="FA284" s="428"/>
      <x:c r="FB284" s="428"/>
      <x:c r="FC284" s="428"/>
      <x:c r="FD284" s="428"/>
      <x:c r="FE284" s="428"/>
      <x:c r="FF284" s="428"/>
    </x:row>
    <x:row r="286" spans="6:162" s="430" customFormat="1" ht="15.75" customHeight="1">
      <x:c r="F286" s="428"/>
      <x:c r="G286" s="428"/>
      <x:c r="H286" s="428"/>
      <x:c r="I286" s="428"/>
      <x:c r="J286" s="428"/>
      <x:c r="K286" s="428"/>
      <x:c r="L286" s="428"/>
      <x:c r="M286" s="428"/>
      <x:c r="N286" s="428"/>
      <x:c r="O286" s="428"/>
      <x:c r="P286" s="428"/>
      <x:c r="Q286" s="428"/>
      <x:c r="R286" s="428"/>
      <x:c r="S286" s="428"/>
      <x:c r="T286" s="428"/>
      <x:c r="U286" s="428"/>
      <x:c r="V286" s="428"/>
      <x:c r="W286" s="428"/>
      <x:c r="X286" s="428"/>
      <x:c r="Y286" s="428"/>
      <x:c r="AA286" s="428"/>
      <x:c r="AC286" s="428"/>
      <x:c r="AD286" s="428"/>
      <x:c r="AE286" s="428"/>
      <x:c r="AF286" s="428"/>
      <x:c r="AG286" s="428"/>
      <x:c r="AH286" s="429"/>
      <x:c r="AI286" s="429"/>
      <x:c r="AJ286" s="428"/>
      <x:c r="AK286" s="428"/>
      <x:c r="AL286" s="428"/>
      <x:c r="AM286" s="428"/>
      <x:c r="AN286" s="428"/>
      <x:c r="AO286" s="428"/>
      <x:c r="AP286" s="428"/>
      <x:c r="AQ286" s="428"/>
      <x:c r="AR286" s="428"/>
      <x:c r="AS286" s="428"/>
      <x:c r="AT286" s="428"/>
      <x:c r="AU286" s="428"/>
      <x:c r="AV286" s="428"/>
      <x:c r="AW286" s="428"/>
      <x:c r="AX286" s="428"/>
      <x:c r="AY286" s="428"/>
      <x:c r="AZ286" s="428"/>
      <x:c r="BA286" s="428"/>
      <x:c r="BB286" s="428"/>
      <x:c r="BC286" s="428"/>
      <x:c r="BD286" s="428"/>
      <x:c r="BE286" s="428"/>
      <x:c r="BF286" s="428"/>
      <x:c r="BG286" s="428"/>
      <x:c r="BH286" s="428"/>
      <x:c r="BI286" s="428"/>
      <x:c r="BJ286" s="428"/>
      <x:c r="BK286" s="428"/>
      <x:c r="BL286" s="428"/>
      <x:c r="BM286" s="428"/>
      <x:c r="BN286" s="428"/>
      <x:c r="BO286" s="428"/>
      <x:c r="BP286" s="428"/>
      <x:c r="BQ286" s="428"/>
      <x:c r="BR286" s="428"/>
      <x:c r="BS286" s="428"/>
      <x:c r="BT286" s="428"/>
      <x:c r="BU286" s="428"/>
      <x:c r="BV286" s="428"/>
      <x:c r="BW286" s="428"/>
      <x:c r="BX286" s="428"/>
      <x:c r="BY286" s="428"/>
      <x:c r="BZ286" s="428"/>
      <x:c r="CA286" s="428"/>
      <x:c r="CB286" s="428"/>
      <x:c r="CC286" s="428"/>
      <x:c r="CD286" s="428"/>
      <x:c r="CE286" s="428"/>
      <x:c r="CF286" s="428"/>
      <x:c r="CG286" s="428"/>
      <x:c r="CH286" s="428"/>
      <x:c r="CI286" s="428"/>
      <x:c r="CJ286" s="428"/>
      <x:c r="CK286" s="428"/>
      <x:c r="CL286" s="428"/>
      <x:c r="CM286" s="428"/>
      <x:c r="CN286" s="428"/>
      <x:c r="CO286" s="428"/>
      <x:c r="CP286" s="428"/>
      <x:c r="CQ286" s="428"/>
      <x:c r="CR286" s="428"/>
      <x:c r="CS286" s="428"/>
      <x:c r="CT286" s="428"/>
      <x:c r="CU286" s="428"/>
      <x:c r="CV286" s="428"/>
      <x:c r="CW286" s="428"/>
      <x:c r="CX286" s="428"/>
      <x:c r="CY286" s="428"/>
      <x:c r="CZ286" s="428"/>
      <x:c r="DA286" s="428"/>
      <x:c r="DB286" s="428"/>
      <x:c r="DC286" s="428"/>
      <x:c r="DD286" s="428"/>
      <x:c r="DE286" s="428"/>
      <x:c r="DF286" s="428"/>
      <x:c r="DG286" s="428"/>
      <x:c r="DH286" s="428"/>
      <x:c r="DI286" s="428"/>
      <x:c r="DJ286" s="428"/>
      <x:c r="DK286" s="428"/>
      <x:c r="DL286" s="428"/>
      <x:c r="DM286" s="428"/>
      <x:c r="DN286" s="428"/>
      <x:c r="DO286" s="428"/>
      <x:c r="DP286" s="428"/>
      <x:c r="DQ286" s="428"/>
      <x:c r="DR286" s="428"/>
      <x:c r="DS286" s="428"/>
      <x:c r="DT286" s="428"/>
      <x:c r="DU286" s="428"/>
      <x:c r="DV286" s="428"/>
      <x:c r="DW286" s="428"/>
      <x:c r="DX286" s="428"/>
      <x:c r="DY286" s="428"/>
      <x:c r="DZ286" s="428"/>
      <x:c r="EA286" s="428"/>
      <x:c r="EB286" s="428"/>
      <x:c r="EC286" s="428"/>
      <x:c r="ED286" s="428"/>
      <x:c r="EE286" s="428"/>
      <x:c r="EF286" s="428"/>
      <x:c r="EG286" s="428"/>
      <x:c r="EH286" s="428"/>
      <x:c r="EI286" s="428"/>
      <x:c r="EJ286" s="428"/>
      <x:c r="EK286" s="428"/>
      <x:c r="EL286" s="428"/>
      <x:c r="EM286" s="428"/>
      <x:c r="EN286" s="428"/>
      <x:c r="EO286" s="428"/>
      <x:c r="EP286" s="428"/>
      <x:c r="EQ286" s="428"/>
      <x:c r="ER286" s="428"/>
      <x:c r="ES286" s="428"/>
      <x:c r="ET286" s="428"/>
      <x:c r="EU286" s="428"/>
      <x:c r="EV286" s="428"/>
      <x:c r="EW286" s="428"/>
      <x:c r="EX286" s="428"/>
      <x:c r="EY286" s="428"/>
      <x:c r="EZ286" s="428"/>
      <x:c r="FA286" s="428"/>
      <x:c r="FB286" s="428"/>
      <x:c r="FC286" s="428"/>
      <x:c r="FD286" s="428"/>
      <x:c r="FE286" s="428"/>
      <x:c r="FF286" s="428"/>
    </x:row>
    <x:row r="288" spans="6:162" s="430" customFormat="1" ht="15.75" customHeight="1">
      <x:c r="F288" s="428"/>
      <x:c r="G288" s="428"/>
      <x:c r="H288" s="428"/>
      <x:c r="I288" s="428"/>
      <x:c r="J288" s="428"/>
      <x:c r="K288" s="428"/>
      <x:c r="L288" s="428"/>
      <x:c r="M288" s="428"/>
      <x:c r="N288" s="428"/>
      <x:c r="O288" s="428"/>
      <x:c r="P288" s="428"/>
      <x:c r="Q288" s="428"/>
      <x:c r="R288" s="428"/>
      <x:c r="S288" s="428"/>
      <x:c r="T288" s="428"/>
      <x:c r="U288" s="428"/>
      <x:c r="V288" s="428"/>
      <x:c r="W288" s="428"/>
      <x:c r="X288" s="428"/>
      <x:c r="Y288" s="428"/>
      <x:c r="AA288" s="428"/>
      <x:c r="AC288" s="428"/>
      <x:c r="AD288" s="428"/>
      <x:c r="AE288" s="428"/>
      <x:c r="AF288" s="428"/>
      <x:c r="AG288" s="428"/>
      <x:c r="AH288" s="429"/>
      <x:c r="AI288" s="429"/>
      <x:c r="AJ288" s="428"/>
      <x:c r="AK288" s="428"/>
      <x:c r="AL288" s="428"/>
      <x:c r="AM288" s="428"/>
      <x:c r="AN288" s="428"/>
      <x:c r="AO288" s="428"/>
      <x:c r="AP288" s="428"/>
      <x:c r="AQ288" s="428"/>
      <x:c r="AR288" s="428"/>
      <x:c r="AS288" s="428"/>
      <x:c r="AT288" s="428"/>
      <x:c r="AU288" s="428"/>
      <x:c r="AV288" s="428"/>
      <x:c r="AW288" s="428"/>
      <x:c r="AX288" s="428"/>
      <x:c r="AY288" s="428"/>
      <x:c r="AZ288" s="428"/>
      <x:c r="BA288" s="428"/>
      <x:c r="BB288" s="428"/>
      <x:c r="BC288" s="428"/>
      <x:c r="BD288" s="428"/>
      <x:c r="BE288" s="428"/>
      <x:c r="BF288" s="428"/>
      <x:c r="BG288" s="428"/>
      <x:c r="BH288" s="428"/>
      <x:c r="BI288" s="428"/>
      <x:c r="BJ288" s="428"/>
      <x:c r="BK288" s="428"/>
      <x:c r="BL288" s="428"/>
      <x:c r="BM288" s="428"/>
      <x:c r="BN288" s="428"/>
      <x:c r="BO288" s="428"/>
      <x:c r="BP288" s="428"/>
      <x:c r="BQ288" s="428"/>
      <x:c r="BR288" s="428"/>
      <x:c r="BS288" s="428"/>
      <x:c r="BT288" s="428"/>
      <x:c r="BU288" s="428"/>
      <x:c r="BV288" s="428"/>
      <x:c r="BW288" s="428"/>
      <x:c r="BX288" s="428"/>
      <x:c r="BY288" s="428"/>
      <x:c r="BZ288" s="428"/>
      <x:c r="CA288" s="428"/>
      <x:c r="CB288" s="428"/>
      <x:c r="CC288" s="428"/>
      <x:c r="CD288" s="428"/>
      <x:c r="CE288" s="428"/>
      <x:c r="CF288" s="428"/>
      <x:c r="CG288" s="428"/>
      <x:c r="CH288" s="428"/>
      <x:c r="CI288" s="428"/>
      <x:c r="CJ288" s="428"/>
      <x:c r="CK288" s="428"/>
      <x:c r="CL288" s="428"/>
      <x:c r="CM288" s="428"/>
      <x:c r="CN288" s="428"/>
      <x:c r="CO288" s="428"/>
      <x:c r="CP288" s="428"/>
      <x:c r="CQ288" s="428"/>
      <x:c r="CR288" s="428"/>
      <x:c r="CS288" s="428"/>
      <x:c r="CT288" s="428"/>
      <x:c r="CU288" s="428"/>
      <x:c r="CV288" s="428"/>
      <x:c r="CW288" s="428"/>
      <x:c r="CX288" s="428"/>
      <x:c r="CY288" s="428"/>
      <x:c r="CZ288" s="428"/>
      <x:c r="DA288" s="428"/>
      <x:c r="DB288" s="428"/>
      <x:c r="DC288" s="428"/>
      <x:c r="DD288" s="428"/>
      <x:c r="DE288" s="428"/>
      <x:c r="DF288" s="428"/>
      <x:c r="DG288" s="428"/>
      <x:c r="DH288" s="428"/>
      <x:c r="DI288" s="428"/>
      <x:c r="DJ288" s="428"/>
      <x:c r="DK288" s="428"/>
      <x:c r="DL288" s="428"/>
      <x:c r="DM288" s="428"/>
      <x:c r="DN288" s="428"/>
      <x:c r="DO288" s="428"/>
      <x:c r="DP288" s="428"/>
      <x:c r="DQ288" s="428"/>
      <x:c r="DR288" s="428"/>
      <x:c r="DS288" s="428"/>
      <x:c r="DT288" s="428"/>
      <x:c r="DU288" s="428"/>
      <x:c r="DV288" s="428"/>
      <x:c r="DW288" s="428"/>
      <x:c r="DX288" s="428"/>
      <x:c r="DY288" s="428"/>
      <x:c r="DZ288" s="428"/>
      <x:c r="EA288" s="428"/>
      <x:c r="EB288" s="428"/>
      <x:c r="EC288" s="428"/>
      <x:c r="ED288" s="428"/>
      <x:c r="EE288" s="428"/>
      <x:c r="EF288" s="428"/>
      <x:c r="EG288" s="428"/>
      <x:c r="EH288" s="428"/>
      <x:c r="EI288" s="428"/>
      <x:c r="EJ288" s="428"/>
      <x:c r="EK288" s="428"/>
      <x:c r="EL288" s="428"/>
      <x:c r="EM288" s="428"/>
      <x:c r="EN288" s="428"/>
      <x:c r="EO288" s="428"/>
      <x:c r="EP288" s="428"/>
      <x:c r="EQ288" s="428"/>
      <x:c r="ER288" s="428"/>
      <x:c r="ES288" s="428"/>
      <x:c r="ET288" s="428"/>
      <x:c r="EU288" s="428"/>
      <x:c r="EV288" s="428"/>
      <x:c r="EW288" s="428"/>
      <x:c r="EX288" s="428"/>
      <x:c r="EY288" s="428"/>
      <x:c r="EZ288" s="428"/>
      <x:c r="FA288" s="428"/>
      <x:c r="FB288" s="428"/>
      <x:c r="FC288" s="428"/>
      <x:c r="FD288" s="428"/>
      <x:c r="FE288" s="428"/>
      <x:c r="FF288" s="428"/>
    </x:row>
    <x:row r="290" spans="6:162" s="430" customFormat="1" ht="15.75" customHeight="1">
      <x:c r="F290" s="428"/>
      <x:c r="G290" s="428"/>
      <x:c r="H290" s="428"/>
      <x:c r="I290" s="428"/>
      <x:c r="J290" s="428"/>
      <x:c r="K290" s="428"/>
      <x:c r="L290" s="428"/>
      <x:c r="M290" s="428"/>
      <x:c r="N290" s="428"/>
      <x:c r="O290" s="428"/>
      <x:c r="P290" s="428"/>
      <x:c r="Q290" s="428"/>
      <x:c r="R290" s="428"/>
      <x:c r="S290" s="428"/>
      <x:c r="T290" s="428"/>
      <x:c r="U290" s="428"/>
      <x:c r="V290" s="428"/>
      <x:c r="W290" s="428"/>
      <x:c r="X290" s="428"/>
      <x:c r="Y290" s="428"/>
      <x:c r="AA290" s="428"/>
      <x:c r="AC290" s="428"/>
      <x:c r="AD290" s="428"/>
      <x:c r="AE290" s="428"/>
      <x:c r="AF290" s="428"/>
      <x:c r="AG290" s="428"/>
      <x:c r="AH290" s="429"/>
      <x:c r="AI290" s="429"/>
      <x:c r="AJ290" s="428"/>
      <x:c r="AK290" s="428"/>
      <x:c r="AL290" s="428"/>
      <x:c r="AM290" s="428"/>
      <x:c r="AN290" s="428"/>
      <x:c r="AO290" s="428"/>
      <x:c r="AP290" s="428"/>
      <x:c r="AQ290" s="428"/>
      <x:c r="AR290" s="428"/>
      <x:c r="AS290" s="428"/>
      <x:c r="AT290" s="428"/>
      <x:c r="AU290" s="428"/>
      <x:c r="AV290" s="428"/>
      <x:c r="AW290" s="428"/>
      <x:c r="AX290" s="428"/>
      <x:c r="AY290" s="428"/>
      <x:c r="AZ290" s="428"/>
      <x:c r="BA290" s="428"/>
      <x:c r="BB290" s="428"/>
      <x:c r="BC290" s="428"/>
      <x:c r="BD290" s="428"/>
      <x:c r="BE290" s="428"/>
      <x:c r="BF290" s="428"/>
      <x:c r="BG290" s="428"/>
      <x:c r="BH290" s="428"/>
      <x:c r="BI290" s="428"/>
      <x:c r="BJ290" s="428"/>
      <x:c r="BK290" s="428"/>
      <x:c r="BL290" s="428"/>
      <x:c r="BM290" s="428"/>
      <x:c r="BN290" s="428"/>
      <x:c r="BO290" s="428"/>
      <x:c r="BP290" s="428"/>
      <x:c r="BQ290" s="428"/>
      <x:c r="BR290" s="428"/>
      <x:c r="BS290" s="428"/>
      <x:c r="BT290" s="428"/>
      <x:c r="BU290" s="428"/>
      <x:c r="BV290" s="428"/>
      <x:c r="BW290" s="428"/>
      <x:c r="BX290" s="428"/>
      <x:c r="BY290" s="428"/>
      <x:c r="BZ290" s="428"/>
      <x:c r="CA290" s="428"/>
      <x:c r="CB290" s="428"/>
      <x:c r="CC290" s="428"/>
      <x:c r="CD290" s="428"/>
      <x:c r="CE290" s="428"/>
      <x:c r="CF290" s="428"/>
      <x:c r="CG290" s="428"/>
      <x:c r="CH290" s="428"/>
      <x:c r="CI290" s="428"/>
      <x:c r="CJ290" s="428"/>
      <x:c r="CK290" s="428"/>
      <x:c r="CL290" s="428"/>
      <x:c r="CM290" s="428"/>
      <x:c r="CN290" s="428"/>
      <x:c r="CO290" s="428"/>
      <x:c r="CP290" s="428"/>
      <x:c r="CQ290" s="428"/>
      <x:c r="CR290" s="428"/>
      <x:c r="CS290" s="428"/>
      <x:c r="CT290" s="428"/>
      <x:c r="CU290" s="428"/>
      <x:c r="CV290" s="428"/>
      <x:c r="CW290" s="428"/>
      <x:c r="CX290" s="428"/>
      <x:c r="CY290" s="428"/>
      <x:c r="CZ290" s="428"/>
      <x:c r="DA290" s="428"/>
      <x:c r="DB290" s="428"/>
      <x:c r="DC290" s="428"/>
      <x:c r="DD290" s="428"/>
      <x:c r="DE290" s="428"/>
      <x:c r="DF290" s="428"/>
      <x:c r="DG290" s="428"/>
      <x:c r="DH290" s="428"/>
      <x:c r="DI290" s="428"/>
      <x:c r="DJ290" s="428"/>
      <x:c r="DK290" s="428"/>
      <x:c r="DL290" s="428"/>
      <x:c r="DM290" s="428"/>
      <x:c r="DN290" s="428"/>
      <x:c r="DO290" s="428"/>
      <x:c r="DP290" s="428"/>
      <x:c r="DQ290" s="428"/>
      <x:c r="DR290" s="428"/>
      <x:c r="DS290" s="428"/>
      <x:c r="DT290" s="428"/>
      <x:c r="DU290" s="428"/>
      <x:c r="DV290" s="428"/>
      <x:c r="DW290" s="428"/>
      <x:c r="DX290" s="428"/>
      <x:c r="DY290" s="428"/>
      <x:c r="DZ290" s="428"/>
      <x:c r="EA290" s="428"/>
      <x:c r="EB290" s="428"/>
      <x:c r="EC290" s="428"/>
      <x:c r="ED290" s="428"/>
      <x:c r="EE290" s="428"/>
      <x:c r="EF290" s="428"/>
      <x:c r="EG290" s="428"/>
      <x:c r="EH290" s="428"/>
      <x:c r="EI290" s="428"/>
      <x:c r="EJ290" s="428"/>
      <x:c r="EK290" s="428"/>
      <x:c r="EL290" s="428"/>
      <x:c r="EM290" s="428"/>
      <x:c r="EN290" s="428"/>
      <x:c r="EO290" s="428"/>
      <x:c r="EP290" s="428"/>
      <x:c r="EQ290" s="428"/>
      <x:c r="ER290" s="428"/>
      <x:c r="ES290" s="428"/>
      <x:c r="ET290" s="428"/>
      <x:c r="EU290" s="428"/>
      <x:c r="EV290" s="428"/>
      <x:c r="EW290" s="428"/>
      <x:c r="EX290" s="428"/>
      <x:c r="EY290" s="428"/>
      <x:c r="EZ290" s="428"/>
      <x:c r="FA290" s="428"/>
      <x:c r="FB290" s="428"/>
      <x:c r="FC290" s="428"/>
      <x:c r="FD290" s="428"/>
      <x:c r="FE290" s="428"/>
      <x:c r="FF290" s="428"/>
    </x:row>
    <x:row r="292" spans="6:162" s="430" customFormat="1" ht="15.75" customHeight="1">
      <x:c r="F292" s="428"/>
      <x:c r="G292" s="428"/>
      <x:c r="H292" s="428"/>
      <x:c r="I292" s="428"/>
      <x:c r="J292" s="428"/>
      <x:c r="K292" s="428"/>
      <x:c r="L292" s="428"/>
      <x:c r="M292" s="428"/>
      <x:c r="N292" s="428"/>
      <x:c r="O292" s="428"/>
      <x:c r="P292" s="428"/>
      <x:c r="Q292" s="428"/>
      <x:c r="R292" s="428"/>
      <x:c r="S292" s="428"/>
      <x:c r="T292" s="428"/>
      <x:c r="U292" s="428"/>
      <x:c r="V292" s="428"/>
      <x:c r="W292" s="428"/>
      <x:c r="X292" s="428"/>
      <x:c r="Y292" s="428"/>
      <x:c r="AA292" s="428"/>
      <x:c r="AC292" s="428"/>
      <x:c r="AD292" s="428"/>
      <x:c r="AE292" s="428"/>
      <x:c r="AF292" s="428"/>
      <x:c r="AG292" s="428"/>
      <x:c r="AH292" s="429"/>
      <x:c r="AI292" s="429"/>
      <x:c r="AJ292" s="428"/>
      <x:c r="AK292" s="428"/>
      <x:c r="AL292" s="428"/>
      <x:c r="AM292" s="428"/>
      <x:c r="AN292" s="428"/>
      <x:c r="AO292" s="428"/>
      <x:c r="AP292" s="428"/>
      <x:c r="AQ292" s="428"/>
      <x:c r="AR292" s="428"/>
      <x:c r="AS292" s="428"/>
      <x:c r="AT292" s="428"/>
      <x:c r="AU292" s="428"/>
      <x:c r="AV292" s="428"/>
      <x:c r="AW292" s="428"/>
      <x:c r="AX292" s="428"/>
      <x:c r="AY292" s="428"/>
      <x:c r="AZ292" s="428"/>
      <x:c r="BA292" s="428"/>
      <x:c r="BB292" s="428"/>
      <x:c r="BC292" s="428"/>
      <x:c r="BD292" s="428"/>
      <x:c r="BE292" s="428"/>
      <x:c r="BF292" s="428"/>
      <x:c r="BG292" s="428"/>
      <x:c r="BH292" s="428"/>
      <x:c r="BI292" s="428"/>
      <x:c r="BJ292" s="428"/>
      <x:c r="BK292" s="428"/>
      <x:c r="BL292" s="428"/>
      <x:c r="BM292" s="428"/>
      <x:c r="BN292" s="428"/>
      <x:c r="BO292" s="428"/>
      <x:c r="BP292" s="428"/>
      <x:c r="BQ292" s="428"/>
      <x:c r="BR292" s="428"/>
      <x:c r="BS292" s="428"/>
      <x:c r="BT292" s="428"/>
      <x:c r="BU292" s="428"/>
      <x:c r="BV292" s="428"/>
      <x:c r="BW292" s="428"/>
      <x:c r="BX292" s="428"/>
      <x:c r="BY292" s="428"/>
      <x:c r="BZ292" s="428"/>
      <x:c r="CA292" s="428"/>
      <x:c r="CB292" s="428"/>
      <x:c r="CC292" s="428"/>
      <x:c r="CD292" s="428"/>
      <x:c r="CE292" s="428"/>
      <x:c r="CF292" s="428"/>
      <x:c r="CG292" s="428"/>
      <x:c r="CH292" s="428"/>
      <x:c r="CI292" s="428"/>
      <x:c r="CJ292" s="428"/>
      <x:c r="CK292" s="428"/>
      <x:c r="CL292" s="428"/>
      <x:c r="CM292" s="428"/>
      <x:c r="CN292" s="428"/>
      <x:c r="CO292" s="428"/>
      <x:c r="CP292" s="428"/>
      <x:c r="CQ292" s="428"/>
      <x:c r="CR292" s="428"/>
      <x:c r="CS292" s="428"/>
      <x:c r="CT292" s="428"/>
      <x:c r="CU292" s="428"/>
      <x:c r="CV292" s="428"/>
      <x:c r="CW292" s="428"/>
      <x:c r="CX292" s="428"/>
      <x:c r="CY292" s="428"/>
      <x:c r="CZ292" s="428"/>
      <x:c r="DA292" s="428"/>
      <x:c r="DB292" s="428"/>
      <x:c r="DC292" s="428"/>
      <x:c r="DD292" s="428"/>
      <x:c r="DE292" s="428"/>
      <x:c r="DF292" s="428"/>
      <x:c r="DG292" s="428"/>
      <x:c r="DH292" s="428"/>
      <x:c r="DI292" s="428"/>
      <x:c r="DJ292" s="428"/>
      <x:c r="DK292" s="428"/>
      <x:c r="DL292" s="428"/>
      <x:c r="DM292" s="428"/>
      <x:c r="DN292" s="428"/>
      <x:c r="DO292" s="428"/>
      <x:c r="DP292" s="428"/>
      <x:c r="DQ292" s="428"/>
      <x:c r="DR292" s="428"/>
      <x:c r="DS292" s="428"/>
      <x:c r="DT292" s="428"/>
      <x:c r="DU292" s="428"/>
      <x:c r="DV292" s="428"/>
      <x:c r="DW292" s="428"/>
      <x:c r="DX292" s="428"/>
      <x:c r="DY292" s="428"/>
      <x:c r="DZ292" s="428"/>
      <x:c r="EA292" s="428"/>
      <x:c r="EB292" s="428"/>
      <x:c r="EC292" s="428"/>
      <x:c r="ED292" s="428"/>
      <x:c r="EE292" s="428"/>
      <x:c r="EF292" s="428"/>
      <x:c r="EG292" s="428"/>
      <x:c r="EH292" s="428"/>
      <x:c r="EI292" s="428"/>
      <x:c r="EJ292" s="428"/>
      <x:c r="EK292" s="428"/>
      <x:c r="EL292" s="428"/>
      <x:c r="EM292" s="428"/>
      <x:c r="EN292" s="428"/>
      <x:c r="EO292" s="428"/>
      <x:c r="EP292" s="428"/>
      <x:c r="EQ292" s="428"/>
      <x:c r="ER292" s="428"/>
      <x:c r="ES292" s="428"/>
      <x:c r="ET292" s="428"/>
      <x:c r="EU292" s="428"/>
      <x:c r="EV292" s="428"/>
      <x:c r="EW292" s="428"/>
      <x:c r="EX292" s="428"/>
      <x:c r="EY292" s="428"/>
      <x:c r="EZ292" s="428"/>
      <x:c r="FA292" s="428"/>
      <x:c r="FB292" s="428"/>
      <x:c r="FC292" s="428"/>
      <x:c r="FD292" s="428"/>
      <x:c r="FE292" s="428"/>
      <x:c r="FF292" s="428"/>
    </x:row>
    <x:row r="294" spans="6:162" s="430" customFormat="1" ht="15.75" customHeight="1">
      <x:c r="F294" s="428"/>
      <x:c r="G294" s="428"/>
      <x:c r="H294" s="428"/>
      <x:c r="I294" s="428"/>
      <x:c r="J294" s="428"/>
      <x:c r="K294" s="428"/>
      <x:c r="L294" s="428"/>
      <x:c r="M294" s="428"/>
      <x:c r="N294" s="428"/>
      <x:c r="O294" s="428"/>
      <x:c r="P294" s="428"/>
      <x:c r="Q294" s="428"/>
      <x:c r="R294" s="428"/>
      <x:c r="S294" s="428"/>
      <x:c r="T294" s="428"/>
      <x:c r="U294" s="428"/>
      <x:c r="V294" s="428"/>
      <x:c r="W294" s="428"/>
      <x:c r="X294" s="428"/>
      <x:c r="Y294" s="428"/>
      <x:c r="AA294" s="428"/>
      <x:c r="AC294" s="428"/>
      <x:c r="AD294" s="428"/>
      <x:c r="AE294" s="428"/>
      <x:c r="AF294" s="428"/>
      <x:c r="AG294" s="428"/>
      <x:c r="AH294" s="429"/>
      <x:c r="AI294" s="429"/>
      <x:c r="AJ294" s="428"/>
      <x:c r="AK294" s="428"/>
      <x:c r="AL294" s="428"/>
      <x:c r="AM294" s="428"/>
      <x:c r="AN294" s="428"/>
      <x:c r="AO294" s="428"/>
      <x:c r="AP294" s="428"/>
      <x:c r="AQ294" s="428"/>
      <x:c r="AR294" s="428"/>
      <x:c r="AS294" s="428"/>
      <x:c r="AT294" s="428"/>
      <x:c r="AU294" s="428"/>
      <x:c r="AV294" s="428"/>
      <x:c r="AW294" s="428"/>
      <x:c r="AX294" s="428"/>
      <x:c r="AY294" s="428"/>
      <x:c r="AZ294" s="428"/>
      <x:c r="BA294" s="428"/>
      <x:c r="BB294" s="428"/>
      <x:c r="BC294" s="428"/>
      <x:c r="BD294" s="428"/>
      <x:c r="BE294" s="428"/>
      <x:c r="BF294" s="428"/>
      <x:c r="BG294" s="428"/>
      <x:c r="BH294" s="428"/>
      <x:c r="BI294" s="428"/>
      <x:c r="BJ294" s="428"/>
      <x:c r="BK294" s="428"/>
      <x:c r="BL294" s="428"/>
      <x:c r="BM294" s="428"/>
      <x:c r="BN294" s="428"/>
      <x:c r="BO294" s="428"/>
      <x:c r="BP294" s="428"/>
      <x:c r="BQ294" s="428"/>
      <x:c r="BR294" s="428"/>
      <x:c r="BS294" s="428"/>
      <x:c r="BT294" s="428"/>
      <x:c r="BU294" s="428"/>
      <x:c r="BV294" s="428"/>
      <x:c r="BW294" s="428"/>
      <x:c r="BX294" s="428"/>
      <x:c r="BY294" s="428"/>
      <x:c r="BZ294" s="428"/>
      <x:c r="CA294" s="428"/>
      <x:c r="CB294" s="428"/>
      <x:c r="CC294" s="428"/>
      <x:c r="CD294" s="428"/>
      <x:c r="CE294" s="428"/>
      <x:c r="CF294" s="428"/>
      <x:c r="CG294" s="428"/>
      <x:c r="CH294" s="428"/>
      <x:c r="CI294" s="428"/>
      <x:c r="CJ294" s="428"/>
      <x:c r="CK294" s="428"/>
      <x:c r="CL294" s="428"/>
      <x:c r="CM294" s="428"/>
      <x:c r="CN294" s="428"/>
      <x:c r="CO294" s="428"/>
      <x:c r="CP294" s="428"/>
      <x:c r="CQ294" s="428"/>
      <x:c r="CR294" s="428"/>
      <x:c r="CS294" s="428"/>
      <x:c r="CT294" s="428"/>
      <x:c r="CU294" s="428"/>
      <x:c r="CV294" s="428"/>
      <x:c r="CW294" s="428"/>
      <x:c r="CX294" s="428"/>
      <x:c r="CY294" s="428"/>
      <x:c r="CZ294" s="428"/>
      <x:c r="DA294" s="428"/>
      <x:c r="DB294" s="428"/>
      <x:c r="DC294" s="428"/>
      <x:c r="DD294" s="428"/>
      <x:c r="DE294" s="428"/>
      <x:c r="DF294" s="428"/>
      <x:c r="DG294" s="428"/>
      <x:c r="DH294" s="428"/>
      <x:c r="DI294" s="428"/>
      <x:c r="DJ294" s="428"/>
      <x:c r="DK294" s="428"/>
      <x:c r="DL294" s="428"/>
      <x:c r="DM294" s="428"/>
      <x:c r="DN294" s="428"/>
      <x:c r="DO294" s="428"/>
      <x:c r="DP294" s="428"/>
      <x:c r="DQ294" s="428"/>
      <x:c r="DR294" s="428"/>
      <x:c r="DS294" s="428"/>
      <x:c r="DT294" s="428"/>
      <x:c r="DU294" s="428"/>
      <x:c r="DV294" s="428"/>
      <x:c r="DW294" s="428"/>
      <x:c r="DX294" s="428"/>
      <x:c r="DY294" s="428"/>
      <x:c r="DZ294" s="428"/>
      <x:c r="EA294" s="428"/>
      <x:c r="EB294" s="428"/>
      <x:c r="EC294" s="428"/>
      <x:c r="ED294" s="428"/>
      <x:c r="EE294" s="428"/>
      <x:c r="EF294" s="428"/>
      <x:c r="EG294" s="428"/>
      <x:c r="EH294" s="428"/>
      <x:c r="EI294" s="428"/>
      <x:c r="EJ294" s="428"/>
      <x:c r="EK294" s="428"/>
      <x:c r="EL294" s="428"/>
      <x:c r="EM294" s="428"/>
      <x:c r="EN294" s="428"/>
      <x:c r="EO294" s="428"/>
      <x:c r="EP294" s="428"/>
      <x:c r="EQ294" s="428"/>
      <x:c r="ER294" s="428"/>
      <x:c r="ES294" s="428"/>
      <x:c r="ET294" s="428"/>
      <x:c r="EU294" s="428"/>
      <x:c r="EV294" s="428"/>
      <x:c r="EW294" s="428"/>
      <x:c r="EX294" s="428"/>
      <x:c r="EY294" s="428"/>
      <x:c r="EZ294" s="428"/>
      <x:c r="FA294" s="428"/>
      <x:c r="FB294" s="428"/>
      <x:c r="FC294" s="428"/>
      <x:c r="FD294" s="428"/>
      <x:c r="FE294" s="428"/>
      <x:c r="FF294" s="428"/>
    </x:row>
    <x:row r="296" spans="6:162" s="430" customFormat="1" ht="15.75" customHeight="1">
      <x:c r="F296" s="428"/>
      <x:c r="G296" s="428"/>
      <x:c r="H296" s="428"/>
      <x:c r="I296" s="428"/>
      <x:c r="J296" s="428"/>
      <x:c r="K296" s="428"/>
      <x:c r="L296" s="428"/>
      <x:c r="M296" s="428"/>
      <x:c r="N296" s="428"/>
      <x:c r="O296" s="428"/>
      <x:c r="P296" s="428"/>
      <x:c r="Q296" s="428"/>
      <x:c r="R296" s="428"/>
      <x:c r="S296" s="428"/>
      <x:c r="T296" s="428"/>
      <x:c r="U296" s="428"/>
      <x:c r="V296" s="428"/>
      <x:c r="W296" s="428"/>
      <x:c r="X296" s="428"/>
      <x:c r="Y296" s="428"/>
      <x:c r="AA296" s="428"/>
      <x:c r="AC296" s="428"/>
      <x:c r="AD296" s="428"/>
      <x:c r="AE296" s="428"/>
      <x:c r="AF296" s="428"/>
      <x:c r="AG296" s="428"/>
      <x:c r="AH296" s="429"/>
      <x:c r="AI296" s="429"/>
      <x:c r="AJ296" s="428"/>
      <x:c r="AK296" s="428"/>
      <x:c r="AL296" s="428"/>
      <x:c r="AM296" s="428"/>
      <x:c r="AN296" s="428"/>
      <x:c r="AO296" s="428"/>
      <x:c r="AP296" s="428"/>
      <x:c r="AQ296" s="428"/>
      <x:c r="AR296" s="428"/>
      <x:c r="AS296" s="428"/>
      <x:c r="AT296" s="428"/>
      <x:c r="AU296" s="428"/>
      <x:c r="AV296" s="428"/>
      <x:c r="AW296" s="428"/>
      <x:c r="AX296" s="428"/>
      <x:c r="AY296" s="428"/>
      <x:c r="AZ296" s="428"/>
      <x:c r="BA296" s="428"/>
      <x:c r="BB296" s="428"/>
      <x:c r="BC296" s="428"/>
      <x:c r="BD296" s="428"/>
      <x:c r="BE296" s="428"/>
      <x:c r="BF296" s="428"/>
      <x:c r="BG296" s="428"/>
      <x:c r="BH296" s="428"/>
      <x:c r="BI296" s="428"/>
      <x:c r="BJ296" s="428"/>
      <x:c r="BK296" s="428"/>
      <x:c r="BL296" s="428"/>
      <x:c r="BM296" s="428"/>
      <x:c r="BN296" s="428"/>
      <x:c r="BO296" s="428"/>
      <x:c r="BP296" s="428"/>
      <x:c r="BQ296" s="428"/>
      <x:c r="BR296" s="428"/>
      <x:c r="BS296" s="428"/>
      <x:c r="BT296" s="428"/>
      <x:c r="BU296" s="428"/>
      <x:c r="BV296" s="428"/>
      <x:c r="BW296" s="428"/>
      <x:c r="BX296" s="428"/>
      <x:c r="BY296" s="428"/>
      <x:c r="BZ296" s="428"/>
      <x:c r="CA296" s="428"/>
      <x:c r="CB296" s="428"/>
      <x:c r="CC296" s="428"/>
      <x:c r="CD296" s="428"/>
      <x:c r="CE296" s="428"/>
      <x:c r="CF296" s="428"/>
      <x:c r="CG296" s="428"/>
      <x:c r="CH296" s="428"/>
      <x:c r="CI296" s="428"/>
      <x:c r="CJ296" s="428"/>
      <x:c r="CK296" s="428"/>
      <x:c r="CL296" s="428"/>
      <x:c r="CM296" s="428"/>
      <x:c r="CN296" s="428"/>
      <x:c r="CO296" s="428"/>
      <x:c r="CP296" s="428"/>
      <x:c r="CQ296" s="428"/>
      <x:c r="CR296" s="428"/>
      <x:c r="CS296" s="428"/>
      <x:c r="CT296" s="428"/>
      <x:c r="CU296" s="428"/>
      <x:c r="CV296" s="428"/>
      <x:c r="CW296" s="428"/>
      <x:c r="CX296" s="428"/>
      <x:c r="CY296" s="428"/>
      <x:c r="CZ296" s="428"/>
      <x:c r="DA296" s="428"/>
      <x:c r="DB296" s="428"/>
      <x:c r="DC296" s="428"/>
      <x:c r="DD296" s="428"/>
      <x:c r="DE296" s="428"/>
      <x:c r="DF296" s="428"/>
      <x:c r="DG296" s="428"/>
      <x:c r="DH296" s="428"/>
      <x:c r="DI296" s="428"/>
      <x:c r="DJ296" s="428"/>
      <x:c r="DK296" s="428"/>
      <x:c r="DL296" s="428"/>
      <x:c r="DM296" s="428"/>
      <x:c r="DN296" s="428"/>
      <x:c r="DO296" s="428"/>
      <x:c r="DP296" s="428"/>
      <x:c r="DQ296" s="428"/>
      <x:c r="DR296" s="428"/>
      <x:c r="DS296" s="428"/>
      <x:c r="DT296" s="428"/>
      <x:c r="DU296" s="428"/>
      <x:c r="DV296" s="428"/>
      <x:c r="DW296" s="428"/>
      <x:c r="DX296" s="428"/>
      <x:c r="DY296" s="428"/>
      <x:c r="DZ296" s="428"/>
      <x:c r="EA296" s="428"/>
      <x:c r="EB296" s="428"/>
      <x:c r="EC296" s="428"/>
      <x:c r="ED296" s="428"/>
      <x:c r="EE296" s="428"/>
      <x:c r="EF296" s="428"/>
      <x:c r="EG296" s="428"/>
      <x:c r="EH296" s="428"/>
      <x:c r="EI296" s="428"/>
      <x:c r="EJ296" s="428"/>
      <x:c r="EK296" s="428"/>
      <x:c r="EL296" s="428"/>
      <x:c r="EM296" s="428"/>
      <x:c r="EN296" s="428"/>
      <x:c r="EO296" s="428"/>
      <x:c r="EP296" s="428"/>
      <x:c r="EQ296" s="428"/>
      <x:c r="ER296" s="428"/>
      <x:c r="ES296" s="428"/>
      <x:c r="ET296" s="428"/>
      <x:c r="EU296" s="428"/>
      <x:c r="EV296" s="428"/>
      <x:c r="EW296" s="428"/>
      <x:c r="EX296" s="428"/>
      <x:c r="EY296" s="428"/>
      <x:c r="EZ296" s="428"/>
      <x:c r="FA296" s="428"/>
      <x:c r="FB296" s="428"/>
      <x:c r="FC296" s="428"/>
      <x:c r="FD296" s="428"/>
      <x:c r="FE296" s="428"/>
      <x:c r="FF296" s="428"/>
    </x:row>
    <x:row r="298" spans="6:162" s="430" customFormat="1" ht="15.75" customHeight="1">
      <x:c r="F298" s="428"/>
      <x:c r="G298" s="428"/>
      <x:c r="H298" s="428"/>
      <x:c r="I298" s="428"/>
      <x:c r="J298" s="428"/>
      <x:c r="K298" s="428"/>
      <x:c r="L298" s="428"/>
      <x:c r="M298" s="428"/>
      <x:c r="N298" s="428"/>
      <x:c r="O298" s="428"/>
      <x:c r="P298" s="428"/>
      <x:c r="Q298" s="428"/>
      <x:c r="R298" s="428"/>
      <x:c r="S298" s="428"/>
      <x:c r="T298" s="428"/>
      <x:c r="U298" s="428"/>
      <x:c r="V298" s="428"/>
      <x:c r="W298" s="428"/>
      <x:c r="X298" s="428"/>
      <x:c r="Y298" s="428"/>
      <x:c r="AA298" s="428"/>
      <x:c r="AC298" s="428"/>
      <x:c r="AD298" s="428"/>
      <x:c r="AE298" s="428"/>
      <x:c r="AF298" s="428"/>
      <x:c r="AG298" s="428"/>
      <x:c r="AH298" s="429"/>
      <x:c r="AI298" s="429"/>
      <x:c r="AJ298" s="428"/>
      <x:c r="AK298" s="428"/>
      <x:c r="AL298" s="428"/>
      <x:c r="AM298" s="428"/>
      <x:c r="AN298" s="428"/>
      <x:c r="AO298" s="428"/>
      <x:c r="AP298" s="428"/>
      <x:c r="AQ298" s="428"/>
      <x:c r="AR298" s="428"/>
      <x:c r="AS298" s="428"/>
      <x:c r="AT298" s="428"/>
      <x:c r="AU298" s="428"/>
      <x:c r="AV298" s="428"/>
      <x:c r="AW298" s="428"/>
      <x:c r="AX298" s="428"/>
      <x:c r="AY298" s="428"/>
      <x:c r="AZ298" s="428"/>
      <x:c r="BA298" s="428"/>
      <x:c r="BB298" s="428"/>
      <x:c r="BC298" s="428"/>
      <x:c r="BD298" s="428"/>
      <x:c r="BE298" s="428"/>
      <x:c r="BF298" s="428"/>
      <x:c r="BG298" s="428"/>
      <x:c r="BH298" s="428"/>
      <x:c r="BI298" s="428"/>
      <x:c r="BJ298" s="428"/>
      <x:c r="BK298" s="428"/>
      <x:c r="BL298" s="428"/>
      <x:c r="BM298" s="428"/>
      <x:c r="BN298" s="428"/>
      <x:c r="BO298" s="428"/>
      <x:c r="BP298" s="428"/>
      <x:c r="BQ298" s="428"/>
      <x:c r="BR298" s="428"/>
      <x:c r="BS298" s="428"/>
      <x:c r="BT298" s="428"/>
      <x:c r="BU298" s="428"/>
      <x:c r="BV298" s="428"/>
      <x:c r="BW298" s="428"/>
      <x:c r="BX298" s="428"/>
      <x:c r="BY298" s="428"/>
      <x:c r="BZ298" s="428"/>
      <x:c r="CA298" s="428"/>
      <x:c r="CB298" s="428"/>
      <x:c r="CC298" s="428"/>
      <x:c r="CD298" s="428"/>
      <x:c r="CE298" s="428"/>
      <x:c r="CF298" s="428"/>
      <x:c r="CG298" s="428"/>
      <x:c r="CH298" s="428"/>
      <x:c r="CI298" s="428"/>
      <x:c r="CJ298" s="428"/>
      <x:c r="CK298" s="428"/>
      <x:c r="CL298" s="428"/>
      <x:c r="CM298" s="428"/>
      <x:c r="CN298" s="428"/>
      <x:c r="CO298" s="428"/>
      <x:c r="CP298" s="428"/>
      <x:c r="CQ298" s="428"/>
      <x:c r="CR298" s="428"/>
      <x:c r="CS298" s="428"/>
      <x:c r="CT298" s="428"/>
      <x:c r="CU298" s="428"/>
      <x:c r="CV298" s="428"/>
      <x:c r="CW298" s="428"/>
      <x:c r="CX298" s="428"/>
      <x:c r="CY298" s="428"/>
      <x:c r="CZ298" s="428"/>
      <x:c r="DA298" s="428"/>
      <x:c r="DB298" s="428"/>
      <x:c r="DC298" s="428"/>
      <x:c r="DD298" s="428"/>
      <x:c r="DE298" s="428"/>
      <x:c r="DF298" s="428"/>
      <x:c r="DG298" s="428"/>
      <x:c r="DH298" s="428"/>
      <x:c r="DI298" s="428"/>
      <x:c r="DJ298" s="428"/>
      <x:c r="DK298" s="428"/>
      <x:c r="DL298" s="428"/>
      <x:c r="DM298" s="428"/>
      <x:c r="DN298" s="428"/>
      <x:c r="DO298" s="428"/>
      <x:c r="DP298" s="428"/>
      <x:c r="DQ298" s="428"/>
      <x:c r="DR298" s="428"/>
      <x:c r="DS298" s="428"/>
      <x:c r="DT298" s="428"/>
      <x:c r="DU298" s="428"/>
      <x:c r="DV298" s="428"/>
      <x:c r="DW298" s="428"/>
      <x:c r="DX298" s="428"/>
      <x:c r="DY298" s="428"/>
      <x:c r="DZ298" s="428"/>
      <x:c r="EA298" s="428"/>
      <x:c r="EB298" s="428"/>
      <x:c r="EC298" s="428"/>
      <x:c r="ED298" s="428"/>
      <x:c r="EE298" s="428"/>
      <x:c r="EF298" s="428"/>
      <x:c r="EG298" s="428"/>
      <x:c r="EH298" s="428"/>
      <x:c r="EI298" s="428"/>
      <x:c r="EJ298" s="428"/>
      <x:c r="EK298" s="428"/>
      <x:c r="EL298" s="428"/>
      <x:c r="EM298" s="428"/>
      <x:c r="EN298" s="428"/>
      <x:c r="EO298" s="428"/>
      <x:c r="EP298" s="428"/>
      <x:c r="EQ298" s="428"/>
      <x:c r="ER298" s="428"/>
      <x:c r="ES298" s="428"/>
      <x:c r="ET298" s="428"/>
      <x:c r="EU298" s="428"/>
      <x:c r="EV298" s="428"/>
      <x:c r="EW298" s="428"/>
      <x:c r="EX298" s="428"/>
      <x:c r="EY298" s="428"/>
      <x:c r="EZ298" s="428"/>
      <x:c r="FA298" s="428"/>
      <x:c r="FB298" s="428"/>
      <x:c r="FC298" s="428"/>
      <x:c r="FD298" s="428"/>
      <x:c r="FE298" s="428"/>
      <x:c r="FF298" s="428"/>
    </x:row>
    <x:row r="300" spans="6:162" s="430" customFormat="1" ht="15.75" customHeight="1">
      <x:c r="F300" s="428"/>
      <x:c r="G300" s="428"/>
      <x:c r="H300" s="428"/>
      <x:c r="I300" s="428"/>
      <x:c r="J300" s="428"/>
      <x:c r="K300" s="428"/>
      <x:c r="L300" s="428"/>
      <x:c r="M300" s="428"/>
      <x:c r="N300" s="428"/>
      <x:c r="O300" s="428"/>
      <x:c r="P300" s="428"/>
      <x:c r="Q300" s="428"/>
      <x:c r="R300" s="428"/>
      <x:c r="S300" s="428"/>
      <x:c r="T300" s="428"/>
      <x:c r="U300" s="428"/>
      <x:c r="V300" s="428"/>
      <x:c r="W300" s="428"/>
      <x:c r="X300" s="428"/>
      <x:c r="Y300" s="428"/>
      <x:c r="AA300" s="428"/>
      <x:c r="AC300" s="428"/>
      <x:c r="AD300" s="428"/>
      <x:c r="AE300" s="428"/>
      <x:c r="AF300" s="428"/>
      <x:c r="AG300" s="428"/>
      <x:c r="AH300" s="429"/>
      <x:c r="AI300" s="429"/>
      <x:c r="AJ300" s="428"/>
      <x:c r="AK300" s="428"/>
      <x:c r="AL300" s="428"/>
      <x:c r="AM300" s="428"/>
      <x:c r="AN300" s="428"/>
      <x:c r="AO300" s="428"/>
      <x:c r="AP300" s="428"/>
      <x:c r="AQ300" s="428"/>
      <x:c r="AR300" s="428"/>
      <x:c r="AS300" s="428"/>
      <x:c r="AT300" s="428"/>
      <x:c r="AU300" s="428"/>
      <x:c r="AV300" s="428"/>
      <x:c r="AW300" s="428"/>
      <x:c r="AX300" s="428"/>
      <x:c r="AY300" s="428"/>
      <x:c r="AZ300" s="428"/>
      <x:c r="BA300" s="428"/>
      <x:c r="BB300" s="428"/>
      <x:c r="BC300" s="428"/>
      <x:c r="BD300" s="428"/>
      <x:c r="BE300" s="428"/>
      <x:c r="BF300" s="428"/>
      <x:c r="BG300" s="428"/>
      <x:c r="BH300" s="428"/>
      <x:c r="BI300" s="428"/>
      <x:c r="BJ300" s="428"/>
      <x:c r="BK300" s="428"/>
      <x:c r="BL300" s="428"/>
      <x:c r="BM300" s="428"/>
      <x:c r="BN300" s="428"/>
      <x:c r="BO300" s="428"/>
      <x:c r="BP300" s="428"/>
      <x:c r="BQ300" s="428"/>
      <x:c r="BR300" s="428"/>
      <x:c r="BS300" s="428"/>
      <x:c r="BT300" s="428"/>
      <x:c r="BU300" s="428"/>
      <x:c r="BV300" s="428"/>
      <x:c r="BW300" s="428"/>
      <x:c r="BX300" s="428"/>
      <x:c r="BY300" s="428"/>
      <x:c r="BZ300" s="428"/>
      <x:c r="CA300" s="428"/>
      <x:c r="CB300" s="428"/>
      <x:c r="CC300" s="428"/>
      <x:c r="CD300" s="428"/>
      <x:c r="CE300" s="428"/>
      <x:c r="CF300" s="428"/>
      <x:c r="CG300" s="428"/>
      <x:c r="CH300" s="428"/>
      <x:c r="CI300" s="428"/>
      <x:c r="CJ300" s="428"/>
      <x:c r="CK300" s="428"/>
      <x:c r="CL300" s="428"/>
      <x:c r="CM300" s="428"/>
      <x:c r="CN300" s="428"/>
      <x:c r="CO300" s="428"/>
      <x:c r="CP300" s="428"/>
      <x:c r="CQ300" s="428"/>
      <x:c r="CR300" s="428"/>
      <x:c r="CS300" s="428"/>
      <x:c r="CT300" s="428"/>
      <x:c r="CU300" s="428"/>
      <x:c r="CV300" s="428"/>
      <x:c r="CW300" s="428"/>
      <x:c r="CX300" s="428"/>
      <x:c r="CY300" s="428"/>
      <x:c r="CZ300" s="428"/>
      <x:c r="DA300" s="428"/>
      <x:c r="DB300" s="428"/>
      <x:c r="DC300" s="428"/>
      <x:c r="DD300" s="428"/>
      <x:c r="DE300" s="428"/>
      <x:c r="DF300" s="428"/>
      <x:c r="DG300" s="428"/>
      <x:c r="DH300" s="428"/>
      <x:c r="DI300" s="428"/>
      <x:c r="DJ300" s="428"/>
      <x:c r="DK300" s="428"/>
      <x:c r="DL300" s="428"/>
      <x:c r="DM300" s="428"/>
      <x:c r="DN300" s="428"/>
      <x:c r="DO300" s="428"/>
      <x:c r="DP300" s="428"/>
      <x:c r="DQ300" s="428"/>
      <x:c r="DR300" s="428"/>
      <x:c r="DS300" s="428"/>
      <x:c r="DT300" s="428"/>
      <x:c r="DU300" s="428"/>
      <x:c r="DV300" s="428"/>
      <x:c r="DW300" s="428"/>
      <x:c r="DX300" s="428"/>
      <x:c r="DY300" s="428"/>
      <x:c r="DZ300" s="428"/>
      <x:c r="EA300" s="428"/>
      <x:c r="EB300" s="428"/>
      <x:c r="EC300" s="428"/>
      <x:c r="ED300" s="428"/>
      <x:c r="EE300" s="428"/>
      <x:c r="EF300" s="428"/>
      <x:c r="EG300" s="428"/>
      <x:c r="EH300" s="428"/>
      <x:c r="EI300" s="428"/>
      <x:c r="EJ300" s="428"/>
      <x:c r="EK300" s="428"/>
      <x:c r="EL300" s="428"/>
      <x:c r="EM300" s="428"/>
      <x:c r="EN300" s="428"/>
      <x:c r="EO300" s="428"/>
      <x:c r="EP300" s="428"/>
      <x:c r="EQ300" s="428"/>
      <x:c r="ER300" s="428"/>
      <x:c r="ES300" s="428"/>
      <x:c r="ET300" s="428"/>
      <x:c r="EU300" s="428"/>
      <x:c r="EV300" s="428"/>
      <x:c r="EW300" s="428"/>
      <x:c r="EX300" s="428"/>
      <x:c r="EY300" s="428"/>
      <x:c r="EZ300" s="428"/>
      <x:c r="FA300" s="428"/>
      <x:c r="FB300" s="428"/>
      <x:c r="FC300" s="428"/>
      <x:c r="FD300" s="428"/>
      <x:c r="FE300" s="428"/>
      <x:c r="FF300" s="428"/>
    </x:row>
    <x:row r="302" spans="6:162" s="430" customFormat="1" ht="15.75" customHeight="1">
      <x:c r="F302" s="428"/>
      <x:c r="G302" s="428"/>
      <x:c r="H302" s="428"/>
      <x:c r="I302" s="428"/>
      <x:c r="J302" s="428"/>
      <x:c r="K302" s="428"/>
      <x:c r="L302" s="428"/>
      <x:c r="M302" s="428"/>
      <x:c r="N302" s="428"/>
      <x:c r="O302" s="428"/>
      <x:c r="P302" s="428"/>
      <x:c r="Q302" s="428"/>
      <x:c r="R302" s="428"/>
      <x:c r="S302" s="428"/>
      <x:c r="T302" s="428"/>
      <x:c r="U302" s="428"/>
      <x:c r="V302" s="428"/>
      <x:c r="W302" s="428"/>
      <x:c r="X302" s="428"/>
      <x:c r="Y302" s="428"/>
      <x:c r="AA302" s="428"/>
      <x:c r="AC302" s="428"/>
      <x:c r="AD302" s="428"/>
      <x:c r="AE302" s="428"/>
      <x:c r="AF302" s="428"/>
      <x:c r="AG302" s="428"/>
      <x:c r="AH302" s="429"/>
      <x:c r="AI302" s="429"/>
      <x:c r="AJ302" s="428"/>
      <x:c r="AK302" s="428"/>
      <x:c r="AL302" s="428"/>
      <x:c r="AM302" s="428"/>
      <x:c r="AN302" s="428"/>
      <x:c r="AO302" s="428"/>
      <x:c r="AP302" s="428"/>
      <x:c r="AQ302" s="428"/>
      <x:c r="AR302" s="428"/>
      <x:c r="AS302" s="428"/>
      <x:c r="AT302" s="428"/>
      <x:c r="AU302" s="428"/>
      <x:c r="AV302" s="428"/>
      <x:c r="AW302" s="428"/>
      <x:c r="AX302" s="428"/>
      <x:c r="AY302" s="428"/>
      <x:c r="AZ302" s="428"/>
      <x:c r="BA302" s="428"/>
      <x:c r="BB302" s="428"/>
      <x:c r="BC302" s="428"/>
      <x:c r="BD302" s="428"/>
      <x:c r="BE302" s="428"/>
      <x:c r="BF302" s="428"/>
      <x:c r="BG302" s="428"/>
      <x:c r="BH302" s="428"/>
      <x:c r="BI302" s="428"/>
      <x:c r="BJ302" s="428"/>
      <x:c r="BK302" s="428"/>
      <x:c r="BL302" s="428"/>
      <x:c r="BM302" s="428"/>
      <x:c r="BN302" s="428"/>
      <x:c r="BO302" s="428"/>
      <x:c r="BP302" s="428"/>
      <x:c r="BQ302" s="428"/>
      <x:c r="BR302" s="428"/>
      <x:c r="BS302" s="428"/>
      <x:c r="BT302" s="428"/>
      <x:c r="BU302" s="428"/>
      <x:c r="BV302" s="428"/>
      <x:c r="BW302" s="428"/>
      <x:c r="BX302" s="428"/>
      <x:c r="BY302" s="428"/>
      <x:c r="BZ302" s="428"/>
      <x:c r="CA302" s="428"/>
      <x:c r="CB302" s="428"/>
      <x:c r="CC302" s="428"/>
      <x:c r="CD302" s="428"/>
      <x:c r="CE302" s="428"/>
      <x:c r="CF302" s="428"/>
      <x:c r="CG302" s="428"/>
      <x:c r="CH302" s="428"/>
      <x:c r="CI302" s="428"/>
      <x:c r="CJ302" s="428"/>
      <x:c r="CK302" s="428"/>
      <x:c r="CL302" s="428"/>
      <x:c r="CM302" s="428"/>
      <x:c r="CN302" s="428"/>
      <x:c r="CO302" s="428"/>
      <x:c r="CP302" s="428"/>
      <x:c r="CQ302" s="428"/>
      <x:c r="CR302" s="428"/>
      <x:c r="CS302" s="428"/>
      <x:c r="CT302" s="428"/>
      <x:c r="CU302" s="428"/>
      <x:c r="CV302" s="428"/>
      <x:c r="CW302" s="428"/>
      <x:c r="CX302" s="428"/>
      <x:c r="CY302" s="428"/>
      <x:c r="CZ302" s="428"/>
      <x:c r="DA302" s="428"/>
      <x:c r="DB302" s="428"/>
      <x:c r="DC302" s="428"/>
      <x:c r="DD302" s="428"/>
      <x:c r="DE302" s="428"/>
      <x:c r="DF302" s="428"/>
      <x:c r="DG302" s="428"/>
      <x:c r="DH302" s="428"/>
      <x:c r="DI302" s="428"/>
      <x:c r="DJ302" s="428"/>
      <x:c r="DK302" s="428"/>
      <x:c r="DL302" s="428"/>
      <x:c r="DM302" s="428"/>
      <x:c r="DN302" s="428"/>
      <x:c r="DO302" s="428"/>
      <x:c r="DP302" s="428"/>
      <x:c r="DQ302" s="428"/>
      <x:c r="DR302" s="428"/>
      <x:c r="DS302" s="428"/>
      <x:c r="DT302" s="428"/>
      <x:c r="DU302" s="428"/>
      <x:c r="DV302" s="428"/>
      <x:c r="DW302" s="428"/>
      <x:c r="DX302" s="428"/>
      <x:c r="DY302" s="428"/>
      <x:c r="DZ302" s="428"/>
      <x:c r="EA302" s="428"/>
      <x:c r="EB302" s="428"/>
      <x:c r="EC302" s="428"/>
      <x:c r="ED302" s="428"/>
      <x:c r="EE302" s="428"/>
      <x:c r="EF302" s="428"/>
      <x:c r="EG302" s="428"/>
      <x:c r="EH302" s="428"/>
      <x:c r="EI302" s="428"/>
      <x:c r="EJ302" s="428"/>
      <x:c r="EK302" s="428"/>
      <x:c r="EL302" s="428"/>
      <x:c r="EM302" s="428"/>
      <x:c r="EN302" s="428"/>
      <x:c r="EO302" s="428"/>
      <x:c r="EP302" s="428"/>
      <x:c r="EQ302" s="428"/>
      <x:c r="ER302" s="428"/>
      <x:c r="ES302" s="428"/>
      <x:c r="ET302" s="428"/>
      <x:c r="EU302" s="428"/>
      <x:c r="EV302" s="428"/>
      <x:c r="EW302" s="428"/>
      <x:c r="EX302" s="428"/>
      <x:c r="EY302" s="428"/>
      <x:c r="EZ302" s="428"/>
      <x:c r="FA302" s="428"/>
      <x:c r="FB302" s="428"/>
      <x:c r="FC302" s="428"/>
      <x:c r="FD302" s="428"/>
      <x:c r="FE302" s="428"/>
      <x:c r="FF302" s="428"/>
    </x:row>
    <x:row r="304" spans="6:162" s="430" customFormat="1" ht="15.75" customHeight="1">
      <x:c r="F304" s="428"/>
      <x:c r="G304" s="428"/>
      <x:c r="H304" s="428"/>
      <x:c r="I304" s="428"/>
      <x:c r="J304" s="428"/>
      <x:c r="K304" s="428"/>
      <x:c r="L304" s="428"/>
      <x:c r="M304" s="428"/>
      <x:c r="N304" s="428"/>
      <x:c r="O304" s="428"/>
      <x:c r="P304" s="428"/>
      <x:c r="Q304" s="428"/>
      <x:c r="R304" s="428"/>
      <x:c r="S304" s="428"/>
      <x:c r="T304" s="428"/>
      <x:c r="U304" s="428"/>
      <x:c r="V304" s="428"/>
      <x:c r="W304" s="428"/>
      <x:c r="X304" s="428"/>
      <x:c r="Y304" s="428"/>
      <x:c r="AA304" s="428"/>
      <x:c r="AC304" s="428"/>
      <x:c r="AD304" s="428"/>
      <x:c r="AE304" s="428"/>
      <x:c r="AF304" s="428"/>
      <x:c r="AG304" s="428"/>
      <x:c r="AH304" s="429"/>
      <x:c r="AI304" s="429"/>
      <x:c r="AJ304" s="428"/>
      <x:c r="AK304" s="428"/>
      <x:c r="AL304" s="428"/>
      <x:c r="AM304" s="428"/>
      <x:c r="AN304" s="428"/>
      <x:c r="AO304" s="428"/>
      <x:c r="AP304" s="428"/>
      <x:c r="AQ304" s="428"/>
      <x:c r="AR304" s="428"/>
      <x:c r="AS304" s="428"/>
      <x:c r="AT304" s="428"/>
      <x:c r="AU304" s="428"/>
      <x:c r="AV304" s="428"/>
      <x:c r="AW304" s="428"/>
      <x:c r="AX304" s="428"/>
      <x:c r="AY304" s="428"/>
      <x:c r="AZ304" s="428"/>
      <x:c r="BA304" s="428"/>
      <x:c r="BB304" s="428"/>
      <x:c r="BC304" s="428"/>
      <x:c r="BD304" s="428"/>
      <x:c r="BE304" s="428"/>
      <x:c r="BF304" s="428"/>
      <x:c r="BG304" s="428"/>
      <x:c r="BH304" s="428"/>
      <x:c r="BI304" s="428"/>
      <x:c r="BJ304" s="428"/>
      <x:c r="BK304" s="428"/>
      <x:c r="BL304" s="428"/>
      <x:c r="BM304" s="428"/>
      <x:c r="BN304" s="428"/>
      <x:c r="BO304" s="428"/>
      <x:c r="BP304" s="428"/>
      <x:c r="BQ304" s="428"/>
      <x:c r="BR304" s="428"/>
      <x:c r="BS304" s="428"/>
      <x:c r="BT304" s="428"/>
      <x:c r="BU304" s="428"/>
      <x:c r="BV304" s="428"/>
      <x:c r="BW304" s="428"/>
      <x:c r="BX304" s="428"/>
      <x:c r="BY304" s="428"/>
      <x:c r="BZ304" s="428"/>
      <x:c r="CA304" s="428"/>
      <x:c r="CB304" s="428"/>
      <x:c r="CC304" s="428"/>
      <x:c r="CD304" s="428"/>
      <x:c r="CE304" s="428"/>
      <x:c r="CF304" s="428"/>
      <x:c r="CG304" s="428"/>
      <x:c r="CH304" s="428"/>
      <x:c r="CI304" s="428"/>
      <x:c r="CJ304" s="428"/>
      <x:c r="CK304" s="428"/>
      <x:c r="CL304" s="428"/>
      <x:c r="CM304" s="428"/>
      <x:c r="CN304" s="428"/>
      <x:c r="CO304" s="428"/>
      <x:c r="CP304" s="428"/>
      <x:c r="CQ304" s="428"/>
      <x:c r="CR304" s="428"/>
      <x:c r="CS304" s="428"/>
      <x:c r="CT304" s="428"/>
      <x:c r="CU304" s="428"/>
      <x:c r="CV304" s="428"/>
      <x:c r="CW304" s="428"/>
      <x:c r="CX304" s="428"/>
      <x:c r="CY304" s="428"/>
      <x:c r="CZ304" s="428"/>
      <x:c r="DA304" s="428"/>
      <x:c r="DB304" s="428"/>
      <x:c r="DC304" s="428"/>
      <x:c r="DD304" s="428"/>
      <x:c r="DE304" s="428"/>
      <x:c r="DF304" s="428"/>
      <x:c r="DG304" s="428"/>
      <x:c r="DH304" s="428"/>
      <x:c r="DI304" s="428"/>
      <x:c r="DJ304" s="428"/>
      <x:c r="DK304" s="428"/>
      <x:c r="DL304" s="428"/>
      <x:c r="DM304" s="428"/>
      <x:c r="DN304" s="428"/>
      <x:c r="DO304" s="428"/>
      <x:c r="DP304" s="428"/>
      <x:c r="DQ304" s="428"/>
      <x:c r="DR304" s="428"/>
      <x:c r="DS304" s="428"/>
      <x:c r="DT304" s="428"/>
      <x:c r="DU304" s="428"/>
      <x:c r="DV304" s="428"/>
      <x:c r="DW304" s="428"/>
      <x:c r="DX304" s="428"/>
      <x:c r="DY304" s="428"/>
      <x:c r="DZ304" s="428"/>
      <x:c r="EA304" s="428"/>
      <x:c r="EB304" s="428"/>
      <x:c r="EC304" s="428"/>
      <x:c r="ED304" s="428"/>
      <x:c r="EE304" s="428"/>
      <x:c r="EF304" s="428"/>
      <x:c r="EG304" s="428"/>
      <x:c r="EH304" s="428"/>
      <x:c r="EI304" s="428"/>
      <x:c r="EJ304" s="428"/>
      <x:c r="EK304" s="428"/>
      <x:c r="EL304" s="428"/>
      <x:c r="EM304" s="428"/>
      <x:c r="EN304" s="428"/>
      <x:c r="EO304" s="428"/>
      <x:c r="EP304" s="428"/>
      <x:c r="EQ304" s="428"/>
      <x:c r="ER304" s="428"/>
      <x:c r="ES304" s="428"/>
      <x:c r="ET304" s="428"/>
      <x:c r="EU304" s="428"/>
      <x:c r="EV304" s="428"/>
      <x:c r="EW304" s="428"/>
      <x:c r="EX304" s="428"/>
      <x:c r="EY304" s="428"/>
      <x:c r="EZ304" s="428"/>
      <x:c r="FA304" s="428"/>
      <x:c r="FB304" s="428"/>
      <x:c r="FC304" s="428"/>
      <x:c r="FD304" s="428"/>
      <x:c r="FE304" s="428"/>
      <x:c r="FF304" s="428"/>
    </x:row>
    <x:row r="306" spans="6:162" s="430" customFormat="1" ht="15.75" customHeight="1">
      <x:c r="F306" s="428"/>
      <x:c r="G306" s="428"/>
      <x:c r="H306" s="428"/>
      <x:c r="I306" s="428"/>
      <x:c r="J306" s="428"/>
      <x:c r="K306" s="428"/>
      <x:c r="L306" s="428"/>
      <x:c r="M306" s="428"/>
      <x:c r="N306" s="428"/>
      <x:c r="O306" s="428"/>
      <x:c r="P306" s="428"/>
      <x:c r="Q306" s="428"/>
      <x:c r="R306" s="428"/>
      <x:c r="S306" s="428"/>
      <x:c r="T306" s="428"/>
      <x:c r="U306" s="428"/>
      <x:c r="V306" s="428"/>
      <x:c r="W306" s="428"/>
      <x:c r="X306" s="428"/>
      <x:c r="Y306" s="428"/>
      <x:c r="AA306" s="428"/>
      <x:c r="AC306" s="428"/>
      <x:c r="AD306" s="428"/>
      <x:c r="AE306" s="428"/>
      <x:c r="AF306" s="428"/>
      <x:c r="AG306" s="428"/>
      <x:c r="AH306" s="429"/>
      <x:c r="AI306" s="429"/>
      <x:c r="AJ306" s="428"/>
      <x:c r="AK306" s="428"/>
      <x:c r="AL306" s="428"/>
      <x:c r="AM306" s="428"/>
      <x:c r="AN306" s="428"/>
      <x:c r="AO306" s="428"/>
      <x:c r="AP306" s="428"/>
      <x:c r="AQ306" s="428"/>
      <x:c r="AR306" s="428"/>
      <x:c r="AS306" s="428"/>
      <x:c r="AT306" s="428"/>
      <x:c r="AU306" s="428"/>
      <x:c r="AV306" s="428"/>
      <x:c r="AW306" s="428"/>
      <x:c r="AX306" s="428"/>
      <x:c r="AY306" s="428"/>
      <x:c r="AZ306" s="428"/>
      <x:c r="BA306" s="428"/>
      <x:c r="BB306" s="428"/>
      <x:c r="BC306" s="428"/>
      <x:c r="BD306" s="428"/>
      <x:c r="BE306" s="428"/>
      <x:c r="BF306" s="428"/>
      <x:c r="BG306" s="428"/>
      <x:c r="BH306" s="428"/>
      <x:c r="BI306" s="428"/>
      <x:c r="BJ306" s="428"/>
      <x:c r="BK306" s="428"/>
      <x:c r="BL306" s="428"/>
      <x:c r="BM306" s="428"/>
      <x:c r="BN306" s="428"/>
      <x:c r="BO306" s="428"/>
      <x:c r="BP306" s="428"/>
      <x:c r="BQ306" s="428"/>
      <x:c r="BR306" s="428"/>
      <x:c r="BS306" s="428"/>
      <x:c r="BT306" s="428"/>
      <x:c r="BU306" s="428"/>
      <x:c r="BV306" s="428"/>
      <x:c r="BW306" s="428"/>
      <x:c r="BX306" s="428"/>
      <x:c r="BY306" s="428"/>
      <x:c r="BZ306" s="428"/>
      <x:c r="CA306" s="428"/>
      <x:c r="CB306" s="428"/>
      <x:c r="CC306" s="428"/>
      <x:c r="CD306" s="428"/>
      <x:c r="CE306" s="428"/>
      <x:c r="CF306" s="428"/>
      <x:c r="CG306" s="428"/>
      <x:c r="CH306" s="428"/>
      <x:c r="CI306" s="428"/>
      <x:c r="CJ306" s="428"/>
      <x:c r="CK306" s="428"/>
      <x:c r="CL306" s="428"/>
      <x:c r="CM306" s="428"/>
      <x:c r="CN306" s="428"/>
      <x:c r="CO306" s="428"/>
      <x:c r="CP306" s="428"/>
      <x:c r="CQ306" s="428"/>
      <x:c r="CR306" s="428"/>
      <x:c r="CS306" s="428"/>
      <x:c r="CT306" s="428"/>
      <x:c r="CU306" s="428"/>
      <x:c r="CV306" s="428"/>
      <x:c r="CW306" s="428"/>
      <x:c r="CX306" s="428"/>
      <x:c r="CY306" s="428"/>
      <x:c r="CZ306" s="428"/>
      <x:c r="DA306" s="428"/>
      <x:c r="DB306" s="428"/>
      <x:c r="DC306" s="428"/>
      <x:c r="DD306" s="428"/>
      <x:c r="DE306" s="428"/>
      <x:c r="DF306" s="428"/>
      <x:c r="DG306" s="428"/>
      <x:c r="DH306" s="428"/>
      <x:c r="DI306" s="428"/>
      <x:c r="DJ306" s="428"/>
      <x:c r="DK306" s="428"/>
      <x:c r="DL306" s="428"/>
      <x:c r="DM306" s="428"/>
      <x:c r="DN306" s="428"/>
      <x:c r="DO306" s="428"/>
      <x:c r="DP306" s="428"/>
      <x:c r="DQ306" s="428"/>
      <x:c r="DR306" s="428"/>
      <x:c r="DS306" s="428"/>
      <x:c r="DT306" s="428"/>
      <x:c r="DU306" s="428"/>
      <x:c r="DV306" s="428"/>
      <x:c r="DW306" s="428"/>
      <x:c r="DX306" s="428"/>
      <x:c r="DY306" s="428"/>
      <x:c r="DZ306" s="428"/>
      <x:c r="EA306" s="428"/>
      <x:c r="EB306" s="428"/>
      <x:c r="EC306" s="428"/>
      <x:c r="ED306" s="428"/>
      <x:c r="EE306" s="428"/>
      <x:c r="EF306" s="428"/>
      <x:c r="EG306" s="428"/>
      <x:c r="EH306" s="428"/>
      <x:c r="EI306" s="428"/>
      <x:c r="EJ306" s="428"/>
      <x:c r="EK306" s="428"/>
      <x:c r="EL306" s="428"/>
      <x:c r="EM306" s="428"/>
      <x:c r="EN306" s="428"/>
      <x:c r="EO306" s="428"/>
      <x:c r="EP306" s="428"/>
      <x:c r="EQ306" s="428"/>
      <x:c r="ER306" s="428"/>
      <x:c r="ES306" s="428"/>
      <x:c r="ET306" s="428"/>
      <x:c r="EU306" s="428"/>
      <x:c r="EV306" s="428"/>
      <x:c r="EW306" s="428"/>
      <x:c r="EX306" s="428"/>
      <x:c r="EY306" s="428"/>
      <x:c r="EZ306" s="428"/>
      <x:c r="FA306" s="428"/>
      <x:c r="FB306" s="428"/>
      <x:c r="FC306" s="428"/>
      <x:c r="FD306" s="428"/>
      <x:c r="FE306" s="428"/>
      <x:c r="FF306" s="428"/>
    </x:row>
    <x:row r="308" spans="6:162" s="430" customFormat="1" ht="15.75" customHeight="1">
      <x:c r="F308" s="428"/>
      <x:c r="G308" s="428"/>
      <x:c r="H308" s="428"/>
      <x:c r="I308" s="428"/>
      <x:c r="J308" s="428"/>
      <x:c r="K308" s="428"/>
      <x:c r="L308" s="428"/>
      <x:c r="M308" s="428"/>
      <x:c r="N308" s="428"/>
      <x:c r="O308" s="428"/>
      <x:c r="P308" s="428"/>
      <x:c r="Q308" s="428"/>
      <x:c r="R308" s="428"/>
      <x:c r="S308" s="428"/>
      <x:c r="T308" s="428"/>
      <x:c r="U308" s="428"/>
      <x:c r="V308" s="428"/>
      <x:c r="W308" s="428"/>
      <x:c r="X308" s="428"/>
      <x:c r="Y308" s="428"/>
      <x:c r="AA308" s="428"/>
      <x:c r="AC308" s="428"/>
      <x:c r="AD308" s="428"/>
      <x:c r="AE308" s="428"/>
      <x:c r="AF308" s="428"/>
      <x:c r="AG308" s="428"/>
      <x:c r="AH308" s="429"/>
      <x:c r="AI308" s="429"/>
      <x:c r="AJ308" s="428"/>
      <x:c r="AK308" s="428"/>
      <x:c r="AL308" s="428"/>
      <x:c r="AM308" s="428"/>
      <x:c r="AN308" s="428"/>
      <x:c r="AO308" s="428"/>
      <x:c r="AP308" s="428"/>
      <x:c r="AQ308" s="428"/>
      <x:c r="AR308" s="428"/>
      <x:c r="AS308" s="428"/>
      <x:c r="AT308" s="428"/>
      <x:c r="AU308" s="428"/>
      <x:c r="AV308" s="428"/>
      <x:c r="AW308" s="428"/>
      <x:c r="AX308" s="428"/>
      <x:c r="AY308" s="428"/>
      <x:c r="AZ308" s="428"/>
      <x:c r="BA308" s="428"/>
      <x:c r="BB308" s="428"/>
      <x:c r="BC308" s="428"/>
      <x:c r="BD308" s="428"/>
      <x:c r="BE308" s="428"/>
      <x:c r="BF308" s="428"/>
      <x:c r="BG308" s="428"/>
      <x:c r="BH308" s="428"/>
      <x:c r="BI308" s="428"/>
      <x:c r="BJ308" s="428"/>
      <x:c r="BK308" s="428"/>
      <x:c r="BL308" s="428"/>
      <x:c r="BM308" s="428"/>
      <x:c r="BN308" s="428"/>
      <x:c r="BO308" s="428"/>
      <x:c r="BP308" s="428"/>
      <x:c r="BQ308" s="428"/>
      <x:c r="BR308" s="428"/>
      <x:c r="BS308" s="428"/>
      <x:c r="BT308" s="428"/>
      <x:c r="BU308" s="428"/>
      <x:c r="BV308" s="428"/>
      <x:c r="BW308" s="428"/>
      <x:c r="BX308" s="428"/>
      <x:c r="BY308" s="428"/>
      <x:c r="BZ308" s="428"/>
      <x:c r="CA308" s="428"/>
      <x:c r="CB308" s="428"/>
      <x:c r="CC308" s="428"/>
      <x:c r="CD308" s="428"/>
      <x:c r="CE308" s="428"/>
      <x:c r="CF308" s="428"/>
      <x:c r="CG308" s="428"/>
      <x:c r="CH308" s="428"/>
      <x:c r="CI308" s="428"/>
      <x:c r="CJ308" s="428"/>
      <x:c r="CK308" s="428"/>
      <x:c r="CL308" s="428"/>
      <x:c r="CM308" s="428"/>
      <x:c r="CN308" s="428"/>
      <x:c r="CO308" s="428"/>
      <x:c r="CP308" s="428"/>
      <x:c r="CQ308" s="428"/>
      <x:c r="CR308" s="428"/>
      <x:c r="CS308" s="428"/>
      <x:c r="CT308" s="428"/>
      <x:c r="CU308" s="428"/>
      <x:c r="CV308" s="428"/>
      <x:c r="CW308" s="428"/>
      <x:c r="CX308" s="428"/>
      <x:c r="CY308" s="428"/>
      <x:c r="CZ308" s="428"/>
      <x:c r="DA308" s="428"/>
      <x:c r="DB308" s="428"/>
      <x:c r="DC308" s="428"/>
      <x:c r="DD308" s="428"/>
      <x:c r="DE308" s="428"/>
      <x:c r="DF308" s="428"/>
      <x:c r="DG308" s="428"/>
      <x:c r="DH308" s="428"/>
      <x:c r="DI308" s="428"/>
      <x:c r="DJ308" s="428"/>
      <x:c r="DK308" s="428"/>
      <x:c r="DL308" s="428"/>
      <x:c r="DM308" s="428"/>
      <x:c r="DN308" s="428"/>
      <x:c r="DO308" s="428"/>
      <x:c r="DP308" s="428"/>
      <x:c r="DQ308" s="428"/>
      <x:c r="DR308" s="428"/>
      <x:c r="DS308" s="428"/>
      <x:c r="DT308" s="428"/>
      <x:c r="DU308" s="428"/>
      <x:c r="DV308" s="428"/>
      <x:c r="DW308" s="428"/>
      <x:c r="DX308" s="428"/>
      <x:c r="DY308" s="428"/>
      <x:c r="DZ308" s="428"/>
      <x:c r="EA308" s="428"/>
      <x:c r="EB308" s="428"/>
      <x:c r="EC308" s="428"/>
      <x:c r="ED308" s="428"/>
      <x:c r="EE308" s="428"/>
      <x:c r="EF308" s="428"/>
      <x:c r="EG308" s="428"/>
      <x:c r="EH308" s="428"/>
      <x:c r="EI308" s="428"/>
      <x:c r="EJ308" s="428"/>
      <x:c r="EK308" s="428"/>
      <x:c r="EL308" s="428"/>
      <x:c r="EM308" s="428"/>
      <x:c r="EN308" s="428"/>
      <x:c r="EO308" s="428"/>
      <x:c r="EP308" s="428"/>
      <x:c r="EQ308" s="428"/>
      <x:c r="ER308" s="428"/>
      <x:c r="ES308" s="428"/>
      <x:c r="ET308" s="428"/>
      <x:c r="EU308" s="428"/>
      <x:c r="EV308" s="428"/>
      <x:c r="EW308" s="428"/>
      <x:c r="EX308" s="428"/>
      <x:c r="EY308" s="428"/>
      <x:c r="EZ308" s="428"/>
      <x:c r="FA308" s="428"/>
      <x:c r="FB308" s="428"/>
      <x:c r="FC308" s="428"/>
      <x:c r="FD308" s="428"/>
      <x:c r="FE308" s="428"/>
      <x:c r="FF308" s="428"/>
    </x:row>
    <x:row r="310" spans="6:162" s="430" customFormat="1" ht="15.75" customHeight="1">
      <x:c r="F310" s="428"/>
      <x:c r="G310" s="428"/>
      <x:c r="H310" s="428"/>
      <x:c r="I310" s="428"/>
      <x:c r="J310" s="428"/>
      <x:c r="K310" s="428"/>
      <x:c r="L310" s="428"/>
      <x:c r="M310" s="428"/>
      <x:c r="N310" s="428"/>
      <x:c r="O310" s="428"/>
      <x:c r="P310" s="428"/>
      <x:c r="Q310" s="428"/>
      <x:c r="R310" s="428"/>
      <x:c r="S310" s="428"/>
      <x:c r="T310" s="428"/>
      <x:c r="U310" s="428"/>
      <x:c r="V310" s="428"/>
      <x:c r="W310" s="428"/>
      <x:c r="X310" s="428"/>
      <x:c r="Y310" s="428"/>
      <x:c r="AA310" s="428"/>
      <x:c r="AC310" s="428"/>
      <x:c r="AD310" s="428"/>
      <x:c r="AE310" s="428"/>
      <x:c r="AF310" s="428"/>
      <x:c r="AG310" s="428"/>
      <x:c r="AH310" s="429"/>
      <x:c r="AI310" s="429"/>
      <x:c r="AJ310" s="428"/>
      <x:c r="AK310" s="428"/>
      <x:c r="AL310" s="428"/>
      <x:c r="AM310" s="428"/>
      <x:c r="AN310" s="428"/>
      <x:c r="AO310" s="428"/>
      <x:c r="AP310" s="428"/>
      <x:c r="AQ310" s="428"/>
      <x:c r="AR310" s="428"/>
      <x:c r="AS310" s="428"/>
      <x:c r="AT310" s="428"/>
      <x:c r="AU310" s="428"/>
      <x:c r="AV310" s="428"/>
      <x:c r="AW310" s="428"/>
      <x:c r="AX310" s="428"/>
      <x:c r="AY310" s="428"/>
      <x:c r="AZ310" s="428"/>
      <x:c r="BA310" s="428"/>
      <x:c r="BB310" s="428"/>
      <x:c r="BC310" s="428"/>
      <x:c r="BD310" s="428"/>
      <x:c r="BE310" s="428"/>
      <x:c r="BF310" s="428"/>
      <x:c r="BG310" s="428"/>
      <x:c r="BH310" s="428"/>
      <x:c r="BI310" s="428"/>
      <x:c r="BJ310" s="428"/>
      <x:c r="BK310" s="428"/>
      <x:c r="BL310" s="428"/>
      <x:c r="BM310" s="428"/>
      <x:c r="BN310" s="428"/>
      <x:c r="BO310" s="428"/>
      <x:c r="BP310" s="428"/>
      <x:c r="BQ310" s="428"/>
      <x:c r="BR310" s="428"/>
      <x:c r="BS310" s="428"/>
      <x:c r="BT310" s="428"/>
      <x:c r="BU310" s="428"/>
      <x:c r="BV310" s="428"/>
      <x:c r="BW310" s="428"/>
      <x:c r="BX310" s="428"/>
      <x:c r="BY310" s="428"/>
      <x:c r="BZ310" s="428"/>
      <x:c r="CA310" s="428"/>
      <x:c r="CB310" s="428"/>
      <x:c r="CC310" s="428"/>
      <x:c r="CD310" s="428"/>
      <x:c r="CE310" s="428"/>
      <x:c r="CF310" s="428"/>
      <x:c r="CG310" s="428"/>
      <x:c r="CH310" s="428"/>
      <x:c r="CI310" s="428"/>
      <x:c r="CJ310" s="428"/>
      <x:c r="CK310" s="428"/>
      <x:c r="CL310" s="428"/>
      <x:c r="CM310" s="428"/>
      <x:c r="CN310" s="428"/>
      <x:c r="CO310" s="428"/>
      <x:c r="CP310" s="428"/>
      <x:c r="CQ310" s="428"/>
      <x:c r="CR310" s="428"/>
      <x:c r="CS310" s="428"/>
      <x:c r="CT310" s="428"/>
      <x:c r="CU310" s="428"/>
      <x:c r="CV310" s="428"/>
      <x:c r="CW310" s="428"/>
      <x:c r="CX310" s="428"/>
      <x:c r="CY310" s="428"/>
      <x:c r="CZ310" s="428"/>
      <x:c r="DA310" s="428"/>
      <x:c r="DB310" s="428"/>
      <x:c r="DC310" s="428"/>
      <x:c r="DD310" s="428"/>
      <x:c r="DE310" s="428"/>
      <x:c r="DF310" s="428"/>
      <x:c r="DG310" s="428"/>
      <x:c r="DH310" s="428"/>
      <x:c r="DI310" s="428"/>
      <x:c r="DJ310" s="428"/>
      <x:c r="DK310" s="428"/>
      <x:c r="DL310" s="428"/>
      <x:c r="DM310" s="428"/>
      <x:c r="DN310" s="428"/>
      <x:c r="DO310" s="428"/>
      <x:c r="DP310" s="428"/>
      <x:c r="DQ310" s="428"/>
      <x:c r="DR310" s="428"/>
      <x:c r="DS310" s="428"/>
      <x:c r="DT310" s="428"/>
      <x:c r="DU310" s="428"/>
      <x:c r="DV310" s="428"/>
      <x:c r="DW310" s="428"/>
      <x:c r="DX310" s="428"/>
      <x:c r="DY310" s="428"/>
      <x:c r="DZ310" s="428"/>
      <x:c r="EA310" s="428"/>
      <x:c r="EB310" s="428"/>
      <x:c r="EC310" s="428"/>
      <x:c r="ED310" s="428"/>
      <x:c r="EE310" s="428"/>
      <x:c r="EF310" s="428"/>
      <x:c r="EG310" s="428"/>
      <x:c r="EH310" s="428"/>
      <x:c r="EI310" s="428"/>
      <x:c r="EJ310" s="428"/>
      <x:c r="EK310" s="428"/>
      <x:c r="EL310" s="428"/>
      <x:c r="EM310" s="428"/>
      <x:c r="EN310" s="428"/>
      <x:c r="EO310" s="428"/>
      <x:c r="EP310" s="428"/>
      <x:c r="EQ310" s="428"/>
      <x:c r="ER310" s="428"/>
      <x:c r="ES310" s="428"/>
      <x:c r="ET310" s="428"/>
      <x:c r="EU310" s="428"/>
      <x:c r="EV310" s="428"/>
      <x:c r="EW310" s="428"/>
      <x:c r="EX310" s="428"/>
      <x:c r="EY310" s="428"/>
      <x:c r="EZ310" s="428"/>
      <x:c r="FA310" s="428"/>
      <x:c r="FB310" s="428"/>
      <x:c r="FC310" s="428"/>
      <x:c r="FD310" s="428"/>
      <x:c r="FE310" s="428"/>
      <x:c r="FF310" s="428"/>
    </x:row>
    <x:row r="312" spans="6:162" s="430" customFormat="1" ht="15.75" customHeight="1">
      <x:c r="F312" s="428"/>
      <x:c r="G312" s="428"/>
      <x:c r="H312" s="428"/>
      <x:c r="I312" s="428"/>
      <x:c r="J312" s="428"/>
      <x:c r="K312" s="428"/>
      <x:c r="L312" s="428"/>
      <x:c r="M312" s="428"/>
      <x:c r="N312" s="428"/>
      <x:c r="O312" s="428"/>
      <x:c r="P312" s="428"/>
      <x:c r="Q312" s="428"/>
      <x:c r="R312" s="428"/>
      <x:c r="S312" s="428"/>
      <x:c r="T312" s="428"/>
      <x:c r="U312" s="428"/>
      <x:c r="V312" s="428"/>
      <x:c r="W312" s="428"/>
      <x:c r="X312" s="428"/>
      <x:c r="Y312" s="428"/>
      <x:c r="AA312" s="428"/>
      <x:c r="AC312" s="428"/>
      <x:c r="AD312" s="428"/>
      <x:c r="AE312" s="428"/>
      <x:c r="AF312" s="428"/>
      <x:c r="AG312" s="428"/>
      <x:c r="AH312" s="429"/>
      <x:c r="AI312" s="429"/>
      <x:c r="AJ312" s="428"/>
      <x:c r="AK312" s="428"/>
      <x:c r="AL312" s="428"/>
      <x:c r="AM312" s="428"/>
      <x:c r="AN312" s="428"/>
      <x:c r="AO312" s="428"/>
      <x:c r="AP312" s="428"/>
      <x:c r="AQ312" s="428"/>
      <x:c r="AR312" s="428"/>
      <x:c r="AS312" s="428"/>
      <x:c r="AT312" s="428"/>
      <x:c r="AU312" s="428"/>
      <x:c r="AV312" s="428"/>
      <x:c r="AW312" s="428"/>
      <x:c r="AX312" s="428"/>
      <x:c r="AY312" s="428"/>
      <x:c r="AZ312" s="428"/>
      <x:c r="BA312" s="428"/>
      <x:c r="BB312" s="428"/>
      <x:c r="BC312" s="428"/>
      <x:c r="BD312" s="428"/>
      <x:c r="BE312" s="428"/>
      <x:c r="BF312" s="428"/>
      <x:c r="BG312" s="428"/>
      <x:c r="BH312" s="428"/>
      <x:c r="BI312" s="428"/>
      <x:c r="BJ312" s="428"/>
      <x:c r="BK312" s="428"/>
      <x:c r="BL312" s="428"/>
      <x:c r="BM312" s="428"/>
      <x:c r="BN312" s="428"/>
      <x:c r="BO312" s="428"/>
      <x:c r="BP312" s="428"/>
      <x:c r="BQ312" s="428"/>
      <x:c r="BR312" s="428"/>
      <x:c r="BS312" s="428"/>
      <x:c r="BT312" s="428"/>
      <x:c r="BU312" s="428"/>
      <x:c r="BV312" s="428"/>
      <x:c r="BW312" s="428"/>
      <x:c r="BX312" s="428"/>
      <x:c r="BY312" s="428"/>
      <x:c r="BZ312" s="428"/>
      <x:c r="CA312" s="428"/>
      <x:c r="CB312" s="428"/>
      <x:c r="CC312" s="428"/>
      <x:c r="CD312" s="428"/>
      <x:c r="CE312" s="428"/>
      <x:c r="CF312" s="428"/>
      <x:c r="CG312" s="428"/>
      <x:c r="CH312" s="428"/>
      <x:c r="CI312" s="428"/>
      <x:c r="CJ312" s="428"/>
      <x:c r="CK312" s="428"/>
      <x:c r="CL312" s="428"/>
      <x:c r="CM312" s="428"/>
      <x:c r="CN312" s="428"/>
      <x:c r="CO312" s="428"/>
      <x:c r="CP312" s="428"/>
      <x:c r="CQ312" s="428"/>
      <x:c r="CR312" s="428"/>
      <x:c r="CS312" s="428"/>
      <x:c r="CT312" s="428"/>
      <x:c r="CU312" s="428"/>
      <x:c r="CV312" s="428"/>
      <x:c r="CW312" s="428"/>
      <x:c r="CX312" s="428"/>
      <x:c r="CY312" s="428"/>
      <x:c r="CZ312" s="428"/>
      <x:c r="DA312" s="428"/>
      <x:c r="DB312" s="428"/>
      <x:c r="DC312" s="428"/>
      <x:c r="DD312" s="428"/>
      <x:c r="DE312" s="428"/>
      <x:c r="DF312" s="428"/>
      <x:c r="DG312" s="428"/>
      <x:c r="DH312" s="428"/>
      <x:c r="DI312" s="428"/>
      <x:c r="DJ312" s="428"/>
      <x:c r="DK312" s="428"/>
      <x:c r="DL312" s="428"/>
      <x:c r="DM312" s="428"/>
      <x:c r="DN312" s="428"/>
      <x:c r="DO312" s="428"/>
      <x:c r="DP312" s="428"/>
      <x:c r="DQ312" s="428"/>
      <x:c r="DR312" s="428"/>
      <x:c r="DS312" s="428"/>
      <x:c r="DT312" s="428"/>
      <x:c r="DU312" s="428"/>
      <x:c r="DV312" s="428"/>
      <x:c r="DW312" s="428"/>
      <x:c r="DX312" s="428"/>
      <x:c r="DY312" s="428"/>
      <x:c r="DZ312" s="428"/>
      <x:c r="EA312" s="428"/>
      <x:c r="EB312" s="428"/>
      <x:c r="EC312" s="428"/>
      <x:c r="ED312" s="428"/>
      <x:c r="EE312" s="428"/>
      <x:c r="EF312" s="428"/>
      <x:c r="EG312" s="428"/>
      <x:c r="EH312" s="428"/>
      <x:c r="EI312" s="428"/>
      <x:c r="EJ312" s="428"/>
      <x:c r="EK312" s="428"/>
      <x:c r="EL312" s="428"/>
      <x:c r="EM312" s="428"/>
      <x:c r="EN312" s="428"/>
      <x:c r="EO312" s="428"/>
      <x:c r="EP312" s="428"/>
      <x:c r="EQ312" s="428"/>
      <x:c r="ER312" s="428"/>
      <x:c r="ES312" s="428"/>
      <x:c r="ET312" s="428"/>
      <x:c r="EU312" s="428"/>
      <x:c r="EV312" s="428"/>
      <x:c r="EW312" s="428"/>
      <x:c r="EX312" s="428"/>
      <x:c r="EY312" s="428"/>
      <x:c r="EZ312" s="428"/>
      <x:c r="FA312" s="428"/>
      <x:c r="FB312" s="428"/>
      <x:c r="FC312" s="428"/>
      <x:c r="FD312" s="428"/>
      <x:c r="FE312" s="428"/>
      <x:c r="FF312" s="428"/>
    </x:row>
    <x:row r="314" spans="6:162" s="430" customFormat="1" ht="15.75" customHeight="1">
      <x:c r="F314" s="428"/>
      <x:c r="G314" s="428"/>
      <x:c r="H314" s="428"/>
      <x:c r="I314" s="428"/>
      <x:c r="J314" s="428"/>
      <x:c r="K314" s="428"/>
      <x:c r="L314" s="428"/>
      <x:c r="M314" s="428"/>
      <x:c r="N314" s="428"/>
      <x:c r="O314" s="428"/>
      <x:c r="P314" s="428"/>
      <x:c r="Q314" s="428"/>
      <x:c r="R314" s="428"/>
      <x:c r="S314" s="428"/>
      <x:c r="T314" s="428"/>
      <x:c r="U314" s="428"/>
      <x:c r="V314" s="428"/>
      <x:c r="W314" s="428"/>
      <x:c r="X314" s="428"/>
      <x:c r="Y314" s="428"/>
      <x:c r="AA314" s="428"/>
      <x:c r="AC314" s="428"/>
      <x:c r="AD314" s="428"/>
      <x:c r="AE314" s="428"/>
      <x:c r="AF314" s="428"/>
      <x:c r="AG314" s="428"/>
      <x:c r="AH314" s="429"/>
      <x:c r="AI314" s="429"/>
      <x:c r="AJ314" s="428"/>
      <x:c r="AK314" s="428"/>
      <x:c r="AL314" s="428"/>
      <x:c r="AM314" s="428"/>
      <x:c r="AN314" s="428"/>
      <x:c r="AO314" s="428"/>
      <x:c r="AP314" s="428"/>
      <x:c r="AQ314" s="428"/>
      <x:c r="AR314" s="428"/>
      <x:c r="AS314" s="428"/>
      <x:c r="AT314" s="428"/>
      <x:c r="AU314" s="428"/>
      <x:c r="AV314" s="428"/>
      <x:c r="AW314" s="428"/>
      <x:c r="AX314" s="428"/>
      <x:c r="AY314" s="428"/>
      <x:c r="AZ314" s="428"/>
      <x:c r="BA314" s="428"/>
      <x:c r="BB314" s="428"/>
      <x:c r="BC314" s="428"/>
      <x:c r="BD314" s="428"/>
      <x:c r="BE314" s="428"/>
      <x:c r="BF314" s="428"/>
      <x:c r="BG314" s="428"/>
      <x:c r="BH314" s="428"/>
      <x:c r="BI314" s="428"/>
      <x:c r="BJ314" s="428"/>
      <x:c r="BK314" s="428"/>
      <x:c r="BL314" s="428"/>
      <x:c r="BM314" s="428"/>
      <x:c r="BN314" s="428"/>
      <x:c r="BO314" s="428"/>
      <x:c r="BP314" s="428"/>
      <x:c r="BQ314" s="428"/>
      <x:c r="BR314" s="428"/>
      <x:c r="BS314" s="428"/>
      <x:c r="BT314" s="428"/>
      <x:c r="BU314" s="428"/>
      <x:c r="BV314" s="428"/>
      <x:c r="BW314" s="428"/>
      <x:c r="BX314" s="428"/>
      <x:c r="BY314" s="428"/>
      <x:c r="BZ314" s="428"/>
      <x:c r="CA314" s="428"/>
      <x:c r="CB314" s="428"/>
      <x:c r="CC314" s="428"/>
      <x:c r="CD314" s="428"/>
      <x:c r="CE314" s="428"/>
      <x:c r="CF314" s="428"/>
      <x:c r="CG314" s="428"/>
      <x:c r="CH314" s="428"/>
      <x:c r="CI314" s="428"/>
      <x:c r="CJ314" s="428"/>
      <x:c r="CK314" s="428"/>
      <x:c r="CL314" s="428"/>
      <x:c r="CM314" s="428"/>
      <x:c r="CN314" s="428"/>
      <x:c r="CO314" s="428"/>
      <x:c r="CP314" s="428"/>
      <x:c r="CQ314" s="428"/>
      <x:c r="CR314" s="428"/>
      <x:c r="CS314" s="428"/>
      <x:c r="CT314" s="428"/>
      <x:c r="CU314" s="428"/>
      <x:c r="CV314" s="428"/>
      <x:c r="CW314" s="428"/>
      <x:c r="CX314" s="428"/>
      <x:c r="CY314" s="428"/>
      <x:c r="CZ314" s="428"/>
      <x:c r="DA314" s="428"/>
      <x:c r="DB314" s="428"/>
      <x:c r="DC314" s="428"/>
      <x:c r="DD314" s="428"/>
      <x:c r="DE314" s="428"/>
      <x:c r="DF314" s="428"/>
      <x:c r="DG314" s="428"/>
      <x:c r="DH314" s="428"/>
      <x:c r="DI314" s="428"/>
      <x:c r="DJ314" s="428"/>
      <x:c r="DK314" s="428"/>
      <x:c r="DL314" s="428"/>
      <x:c r="DM314" s="428"/>
      <x:c r="DN314" s="428"/>
      <x:c r="DO314" s="428"/>
      <x:c r="DP314" s="428"/>
      <x:c r="DQ314" s="428"/>
      <x:c r="DR314" s="428"/>
      <x:c r="DS314" s="428"/>
      <x:c r="DT314" s="428"/>
      <x:c r="DU314" s="428"/>
      <x:c r="DV314" s="428"/>
      <x:c r="DW314" s="428"/>
      <x:c r="DX314" s="428"/>
      <x:c r="DY314" s="428"/>
      <x:c r="DZ314" s="428"/>
      <x:c r="EA314" s="428"/>
      <x:c r="EB314" s="428"/>
      <x:c r="EC314" s="428"/>
      <x:c r="ED314" s="428"/>
      <x:c r="EE314" s="428"/>
      <x:c r="EF314" s="428"/>
      <x:c r="EG314" s="428"/>
      <x:c r="EH314" s="428"/>
      <x:c r="EI314" s="428"/>
      <x:c r="EJ314" s="428"/>
      <x:c r="EK314" s="428"/>
      <x:c r="EL314" s="428"/>
      <x:c r="EM314" s="428"/>
      <x:c r="EN314" s="428"/>
      <x:c r="EO314" s="428"/>
      <x:c r="EP314" s="428"/>
      <x:c r="EQ314" s="428"/>
      <x:c r="ER314" s="428"/>
      <x:c r="ES314" s="428"/>
      <x:c r="ET314" s="428"/>
      <x:c r="EU314" s="428"/>
      <x:c r="EV314" s="428"/>
      <x:c r="EW314" s="428"/>
      <x:c r="EX314" s="428"/>
      <x:c r="EY314" s="428"/>
      <x:c r="EZ314" s="428"/>
      <x:c r="FA314" s="428"/>
      <x:c r="FB314" s="428"/>
      <x:c r="FC314" s="428"/>
      <x:c r="FD314" s="428"/>
      <x:c r="FE314" s="428"/>
      <x:c r="FF314" s="428"/>
    </x:row>
    <x:row r="316" spans="6:162" s="430" customFormat="1" ht="15.75" customHeight="1">
      <x:c r="F316" s="428"/>
      <x:c r="G316" s="428"/>
      <x:c r="H316" s="428"/>
      <x:c r="I316" s="428"/>
      <x:c r="J316" s="428"/>
      <x:c r="K316" s="428"/>
      <x:c r="L316" s="428"/>
      <x:c r="M316" s="428"/>
      <x:c r="N316" s="428"/>
      <x:c r="O316" s="428"/>
      <x:c r="P316" s="428"/>
      <x:c r="Q316" s="428"/>
      <x:c r="R316" s="428"/>
      <x:c r="S316" s="428"/>
      <x:c r="T316" s="428"/>
      <x:c r="U316" s="428"/>
      <x:c r="V316" s="428"/>
      <x:c r="W316" s="428"/>
      <x:c r="X316" s="428"/>
      <x:c r="Y316" s="428"/>
      <x:c r="AA316" s="428"/>
      <x:c r="AC316" s="428"/>
      <x:c r="AD316" s="428"/>
      <x:c r="AE316" s="428"/>
      <x:c r="AF316" s="428"/>
      <x:c r="AG316" s="428"/>
      <x:c r="AH316" s="429"/>
      <x:c r="AI316" s="429"/>
      <x:c r="AJ316" s="428"/>
      <x:c r="AK316" s="428"/>
      <x:c r="AL316" s="428"/>
      <x:c r="AM316" s="428"/>
      <x:c r="AN316" s="428"/>
      <x:c r="AO316" s="428"/>
      <x:c r="AP316" s="428"/>
      <x:c r="AQ316" s="428"/>
      <x:c r="AR316" s="428"/>
      <x:c r="AS316" s="428"/>
      <x:c r="AT316" s="428"/>
      <x:c r="AU316" s="428"/>
      <x:c r="AV316" s="428"/>
      <x:c r="AW316" s="428"/>
      <x:c r="AX316" s="428"/>
      <x:c r="AY316" s="428"/>
      <x:c r="AZ316" s="428"/>
      <x:c r="BA316" s="428"/>
      <x:c r="BB316" s="428"/>
      <x:c r="BC316" s="428"/>
      <x:c r="BD316" s="428"/>
      <x:c r="BE316" s="428"/>
      <x:c r="BF316" s="428"/>
      <x:c r="BG316" s="428"/>
      <x:c r="BH316" s="428"/>
      <x:c r="BI316" s="428"/>
      <x:c r="BJ316" s="428"/>
      <x:c r="BK316" s="428"/>
      <x:c r="BL316" s="428"/>
      <x:c r="BM316" s="428"/>
      <x:c r="BN316" s="428"/>
      <x:c r="BO316" s="428"/>
      <x:c r="BP316" s="428"/>
      <x:c r="BQ316" s="428"/>
      <x:c r="BR316" s="428"/>
      <x:c r="BS316" s="428"/>
      <x:c r="BT316" s="428"/>
      <x:c r="BU316" s="428"/>
      <x:c r="BV316" s="428"/>
      <x:c r="BW316" s="428"/>
      <x:c r="BX316" s="428"/>
      <x:c r="BY316" s="428"/>
      <x:c r="BZ316" s="428"/>
      <x:c r="CA316" s="428"/>
      <x:c r="CB316" s="428"/>
      <x:c r="CC316" s="428"/>
      <x:c r="CD316" s="428"/>
      <x:c r="CE316" s="428"/>
      <x:c r="CF316" s="428"/>
      <x:c r="CG316" s="428"/>
      <x:c r="CH316" s="428"/>
      <x:c r="CI316" s="428"/>
      <x:c r="CJ316" s="428"/>
      <x:c r="CK316" s="428"/>
      <x:c r="CL316" s="428"/>
      <x:c r="CM316" s="428"/>
      <x:c r="CN316" s="428"/>
      <x:c r="CO316" s="428"/>
      <x:c r="CP316" s="428"/>
      <x:c r="CQ316" s="428"/>
      <x:c r="CR316" s="428"/>
      <x:c r="CS316" s="428"/>
      <x:c r="CT316" s="428"/>
      <x:c r="CU316" s="428"/>
      <x:c r="CV316" s="428"/>
      <x:c r="CW316" s="428"/>
      <x:c r="CX316" s="428"/>
      <x:c r="CY316" s="428"/>
      <x:c r="CZ316" s="428"/>
      <x:c r="DA316" s="428"/>
      <x:c r="DB316" s="428"/>
      <x:c r="DC316" s="428"/>
      <x:c r="DD316" s="428"/>
      <x:c r="DE316" s="428"/>
      <x:c r="DF316" s="428"/>
      <x:c r="DG316" s="428"/>
      <x:c r="DH316" s="428"/>
      <x:c r="DI316" s="428"/>
      <x:c r="DJ316" s="428"/>
      <x:c r="DK316" s="428"/>
      <x:c r="DL316" s="428"/>
      <x:c r="DM316" s="428"/>
      <x:c r="DN316" s="428"/>
      <x:c r="DO316" s="428"/>
      <x:c r="DP316" s="428"/>
      <x:c r="DQ316" s="428"/>
      <x:c r="DR316" s="428"/>
      <x:c r="DS316" s="428"/>
      <x:c r="DT316" s="428"/>
      <x:c r="DU316" s="428"/>
      <x:c r="DV316" s="428"/>
      <x:c r="DW316" s="428"/>
      <x:c r="DX316" s="428"/>
      <x:c r="DY316" s="428"/>
      <x:c r="DZ316" s="428"/>
      <x:c r="EA316" s="428"/>
      <x:c r="EB316" s="428"/>
      <x:c r="EC316" s="428"/>
      <x:c r="ED316" s="428"/>
      <x:c r="EE316" s="428"/>
      <x:c r="EF316" s="428"/>
      <x:c r="EG316" s="428"/>
      <x:c r="EH316" s="428"/>
      <x:c r="EI316" s="428"/>
      <x:c r="EJ316" s="428"/>
      <x:c r="EK316" s="428"/>
      <x:c r="EL316" s="428"/>
      <x:c r="EM316" s="428"/>
      <x:c r="EN316" s="428"/>
      <x:c r="EO316" s="428"/>
      <x:c r="EP316" s="428"/>
      <x:c r="EQ316" s="428"/>
      <x:c r="ER316" s="428"/>
      <x:c r="ES316" s="428"/>
      <x:c r="ET316" s="428"/>
      <x:c r="EU316" s="428"/>
      <x:c r="EV316" s="428"/>
      <x:c r="EW316" s="428"/>
      <x:c r="EX316" s="428"/>
      <x:c r="EY316" s="428"/>
      <x:c r="EZ316" s="428"/>
      <x:c r="FA316" s="428"/>
      <x:c r="FB316" s="428"/>
      <x:c r="FC316" s="428"/>
      <x:c r="FD316" s="428"/>
      <x:c r="FE316" s="428"/>
      <x:c r="FF316" s="428"/>
    </x:row>
    <x:row r="318" spans="6:162" s="430" customFormat="1" ht="15.75" customHeight="1">
      <x:c r="F318" s="428"/>
      <x:c r="G318" s="428"/>
      <x:c r="H318" s="428"/>
      <x:c r="I318" s="428"/>
      <x:c r="J318" s="428"/>
      <x:c r="K318" s="428"/>
      <x:c r="L318" s="428"/>
      <x:c r="M318" s="428"/>
      <x:c r="N318" s="428"/>
      <x:c r="O318" s="428"/>
      <x:c r="P318" s="428"/>
      <x:c r="Q318" s="428"/>
      <x:c r="R318" s="428"/>
      <x:c r="S318" s="428"/>
      <x:c r="T318" s="428"/>
      <x:c r="U318" s="428"/>
      <x:c r="V318" s="428"/>
      <x:c r="W318" s="428"/>
      <x:c r="X318" s="428"/>
      <x:c r="Y318" s="428"/>
      <x:c r="AA318" s="428"/>
      <x:c r="AC318" s="428"/>
      <x:c r="AD318" s="428"/>
      <x:c r="AE318" s="428"/>
      <x:c r="AF318" s="428"/>
      <x:c r="AG318" s="428"/>
      <x:c r="AH318" s="429"/>
      <x:c r="AI318" s="429"/>
      <x:c r="AJ318" s="428"/>
      <x:c r="AK318" s="428"/>
      <x:c r="AL318" s="428"/>
      <x:c r="AM318" s="428"/>
      <x:c r="AN318" s="428"/>
      <x:c r="AO318" s="428"/>
      <x:c r="AP318" s="428"/>
      <x:c r="AQ318" s="428"/>
      <x:c r="AR318" s="428"/>
      <x:c r="AS318" s="428"/>
      <x:c r="AT318" s="428"/>
      <x:c r="AU318" s="428"/>
      <x:c r="AV318" s="428"/>
      <x:c r="AW318" s="428"/>
      <x:c r="AX318" s="428"/>
      <x:c r="AY318" s="428"/>
      <x:c r="AZ318" s="428"/>
      <x:c r="BA318" s="428"/>
      <x:c r="BB318" s="428"/>
      <x:c r="BC318" s="428"/>
      <x:c r="BD318" s="428"/>
      <x:c r="BE318" s="428"/>
      <x:c r="BF318" s="428"/>
      <x:c r="BG318" s="428"/>
      <x:c r="BH318" s="428"/>
      <x:c r="BI318" s="428"/>
      <x:c r="BJ318" s="428"/>
      <x:c r="BK318" s="428"/>
      <x:c r="BL318" s="428"/>
      <x:c r="BM318" s="428"/>
      <x:c r="BN318" s="428"/>
      <x:c r="BO318" s="428"/>
      <x:c r="BP318" s="428"/>
      <x:c r="BQ318" s="428"/>
      <x:c r="BR318" s="428"/>
      <x:c r="BS318" s="428"/>
      <x:c r="BT318" s="428"/>
      <x:c r="BU318" s="428"/>
      <x:c r="BV318" s="428"/>
      <x:c r="BW318" s="428"/>
      <x:c r="BX318" s="428"/>
      <x:c r="BY318" s="428"/>
      <x:c r="BZ318" s="428"/>
      <x:c r="CA318" s="428"/>
      <x:c r="CB318" s="428"/>
      <x:c r="CC318" s="428"/>
      <x:c r="CD318" s="428"/>
      <x:c r="CE318" s="428"/>
      <x:c r="CF318" s="428"/>
      <x:c r="CG318" s="428"/>
      <x:c r="CH318" s="428"/>
      <x:c r="CI318" s="428"/>
      <x:c r="CJ318" s="428"/>
      <x:c r="CK318" s="428"/>
      <x:c r="CL318" s="428"/>
      <x:c r="CM318" s="428"/>
      <x:c r="CN318" s="428"/>
      <x:c r="CO318" s="428"/>
      <x:c r="CP318" s="428"/>
      <x:c r="CQ318" s="428"/>
      <x:c r="CR318" s="428"/>
      <x:c r="CS318" s="428"/>
      <x:c r="CT318" s="428"/>
      <x:c r="CU318" s="428"/>
      <x:c r="CV318" s="428"/>
      <x:c r="CW318" s="428"/>
      <x:c r="CX318" s="428"/>
      <x:c r="CY318" s="428"/>
      <x:c r="CZ318" s="428"/>
      <x:c r="DA318" s="428"/>
      <x:c r="DB318" s="428"/>
      <x:c r="DC318" s="428"/>
      <x:c r="DD318" s="428"/>
      <x:c r="DE318" s="428"/>
      <x:c r="DF318" s="428"/>
      <x:c r="DG318" s="428"/>
      <x:c r="DH318" s="428"/>
      <x:c r="DI318" s="428"/>
      <x:c r="DJ318" s="428"/>
      <x:c r="DK318" s="428"/>
      <x:c r="DL318" s="428"/>
      <x:c r="DM318" s="428"/>
      <x:c r="DN318" s="428"/>
      <x:c r="DO318" s="428"/>
      <x:c r="DP318" s="428"/>
      <x:c r="DQ318" s="428"/>
      <x:c r="DR318" s="428"/>
      <x:c r="DS318" s="428"/>
      <x:c r="DT318" s="428"/>
      <x:c r="DU318" s="428"/>
      <x:c r="DV318" s="428"/>
      <x:c r="DW318" s="428"/>
      <x:c r="DX318" s="428"/>
      <x:c r="DY318" s="428"/>
      <x:c r="DZ318" s="428"/>
      <x:c r="EA318" s="428"/>
      <x:c r="EB318" s="428"/>
      <x:c r="EC318" s="428"/>
      <x:c r="ED318" s="428"/>
      <x:c r="EE318" s="428"/>
      <x:c r="EF318" s="428"/>
      <x:c r="EG318" s="428"/>
      <x:c r="EH318" s="428"/>
      <x:c r="EI318" s="428"/>
      <x:c r="EJ318" s="428"/>
      <x:c r="EK318" s="428"/>
      <x:c r="EL318" s="428"/>
      <x:c r="EM318" s="428"/>
      <x:c r="EN318" s="428"/>
      <x:c r="EO318" s="428"/>
      <x:c r="EP318" s="428"/>
      <x:c r="EQ318" s="428"/>
      <x:c r="ER318" s="428"/>
      <x:c r="ES318" s="428"/>
      <x:c r="ET318" s="428"/>
      <x:c r="EU318" s="428"/>
      <x:c r="EV318" s="428"/>
      <x:c r="EW318" s="428"/>
      <x:c r="EX318" s="428"/>
      <x:c r="EY318" s="428"/>
      <x:c r="EZ318" s="428"/>
      <x:c r="FA318" s="428"/>
      <x:c r="FB318" s="428"/>
      <x:c r="FC318" s="428"/>
      <x:c r="FD318" s="428"/>
      <x:c r="FE318" s="428"/>
      <x:c r="FF318" s="428"/>
    </x:row>
    <x:row r="320" spans="6:162" s="430" customFormat="1" ht="15.75" customHeight="1">
      <x:c r="F320" s="428"/>
      <x:c r="G320" s="428"/>
      <x:c r="H320" s="428"/>
      <x:c r="I320" s="428"/>
      <x:c r="J320" s="428"/>
      <x:c r="K320" s="428"/>
      <x:c r="L320" s="428"/>
      <x:c r="M320" s="428"/>
      <x:c r="N320" s="428"/>
      <x:c r="O320" s="428"/>
      <x:c r="P320" s="428"/>
      <x:c r="Q320" s="428"/>
      <x:c r="R320" s="428"/>
      <x:c r="S320" s="428"/>
      <x:c r="T320" s="428"/>
      <x:c r="U320" s="428"/>
      <x:c r="V320" s="428"/>
      <x:c r="W320" s="428"/>
      <x:c r="X320" s="428"/>
      <x:c r="Y320" s="428"/>
      <x:c r="AA320" s="428"/>
      <x:c r="AC320" s="428"/>
      <x:c r="AD320" s="428"/>
      <x:c r="AE320" s="428"/>
      <x:c r="AF320" s="428"/>
      <x:c r="AG320" s="428"/>
      <x:c r="AH320" s="429"/>
      <x:c r="AI320" s="429"/>
      <x:c r="AJ320" s="428"/>
      <x:c r="AK320" s="428"/>
      <x:c r="AL320" s="428"/>
      <x:c r="AM320" s="428"/>
      <x:c r="AN320" s="428"/>
      <x:c r="AO320" s="428"/>
      <x:c r="AP320" s="428"/>
      <x:c r="AQ320" s="428"/>
      <x:c r="AR320" s="428"/>
      <x:c r="AS320" s="428"/>
      <x:c r="AT320" s="428"/>
      <x:c r="AU320" s="428"/>
      <x:c r="AV320" s="428"/>
      <x:c r="AW320" s="428"/>
      <x:c r="AX320" s="428"/>
      <x:c r="AY320" s="428"/>
      <x:c r="AZ320" s="428"/>
      <x:c r="BA320" s="428"/>
      <x:c r="BB320" s="428"/>
      <x:c r="BC320" s="428"/>
      <x:c r="BD320" s="428"/>
      <x:c r="BE320" s="428"/>
      <x:c r="BF320" s="428"/>
      <x:c r="BG320" s="428"/>
      <x:c r="BH320" s="428"/>
      <x:c r="BI320" s="428"/>
      <x:c r="BJ320" s="428"/>
      <x:c r="BK320" s="428"/>
      <x:c r="BL320" s="428"/>
      <x:c r="BM320" s="428"/>
      <x:c r="BN320" s="428"/>
      <x:c r="BO320" s="428"/>
      <x:c r="BP320" s="428"/>
      <x:c r="BQ320" s="428"/>
      <x:c r="BR320" s="428"/>
      <x:c r="BS320" s="428"/>
      <x:c r="BT320" s="428"/>
      <x:c r="BU320" s="428"/>
      <x:c r="BV320" s="428"/>
      <x:c r="BW320" s="428"/>
      <x:c r="BX320" s="428"/>
      <x:c r="BY320" s="428"/>
      <x:c r="BZ320" s="428"/>
      <x:c r="CA320" s="428"/>
      <x:c r="CB320" s="428"/>
      <x:c r="CC320" s="428"/>
      <x:c r="CD320" s="428"/>
      <x:c r="CE320" s="428"/>
      <x:c r="CF320" s="428"/>
      <x:c r="CG320" s="428"/>
      <x:c r="CH320" s="428"/>
      <x:c r="CI320" s="428"/>
      <x:c r="CJ320" s="428"/>
      <x:c r="CK320" s="428"/>
      <x:c r="CL320" s="428"/>
      <x:c r="CM320" s="428"/>
      <x:c r="CN320" s="428"/>
      <x:c r="CO320" s="428"/>
      <x:c r="CP320" s="428"/>
      <x:c r="CQ320" s="428"/>
      <x:c r="CR320" s="428"/>
      <x:c r="CS320" s="428"/>
      <x:c r="CT320" s="428"/>
      <x:c r="CU320" s="428"/>
      <x:c r="CV320" s="428"/>
      <x:c r="CW320" s="428"/>
      <x:c r="CX320" s="428"/>
      <x:c r="CY320" s="428"/>
      <x:c r="CZ320" s="428"/>
      <x:c r="DA320" s="428"/>
      <x:c r="DB320" s="428"/>
      <x:c r="DC320" s="428"/>
      <x:c r="DD320" s="428"/>
      <x:c r="DE320" s="428"/>
      <x:c r="DF320" s="428"/>
      <x:c r="DG320" s="428"/>
      <x:c r="DH320" s="428"/>
      <x:c r="DI320" s="428"/>
      <x:c r="DJ320" s="428"/>
      <x:c r="DK320" s="428"/>
      <x:c r="DL320" s="428"/>
      <x:c r="DM320" s="428"/>
      <x:c r="DN320" s="428"/>
      <x:c r="DO320" s="428"/>
      <x:c r="DP320" s="428"/>
      <x:c r="DQ320" s="428"/>
      <x:c r="DR320" s="428"/>
      <x:c r="DS320" s="428"/>
      <x:c r="DT320" s="428"/>
      <x:c r="DU320" s="428"/>
      <x:c r="DV320" s="428"/>
      <x:c r="DW320" s="428"/>
      <x:c r="DX320" s="428"/>
      <x:c r="DY320" s="428"/>
      <x:c r="DZ320" s="428"/>
      <x:c r="EA320" s="428"/>
      <x:c r="EB320" s="428"/>
      <x:c r="EC320" s="428"/>
      <x:c r="ED320" s="428"/>
      <x:c r="EE320" s="428"/>
      <x:c r="EF320" s="428"/>
      <x:c r="EG320" s="428"/>
      <x:c r="EH320" s="428"/>
      <x:c r="EI320" s="428"/>
      <x:c r="EJ320" s="428"/>
      <x:c r="EK320" s="428"/>
      <x:c r="EL320" s="428"/>
      <x:c r="EM320" s="428"/>
      <x:c r="EN320" s="428"/>
      <x:c r="EO320" s="428"/>
      <x:c r="EP320" s="428"/>
      <x:c r="EQ320" s="428"/>
      <x:c r="ER320" s="428"/>
      <x:c r="ES320" s="428"/>
      <x:c r="ET320" s="428"/>
      <x:c r="EU320" s="428"/>
      <x:c r="EV320" s="428"/>
      <x:c r="EW320" s="428"/>
      <x:c r="EX320" s="428"/>
      <x:c r="EY320" s="428"/>
      <x:c r="EZ320" s="428"/>
      <x:c r="FA320" s="428"/>
      <x:c r="FB320" s="428"/>
      <x:c r="FC320" s="428"/>
      <x:c r="FD320" s="428"/>
      <x:c r="FE320" s="428"/>
      <x:c r="FF320" s="428"/>
    </x:row>
    <x:row r="322" spans="6:162" s="430" customFormat="1" ht="15.75" customHeight="1">
      <x:c r="F322" s="428"/>
      <x:c r="G322" s="428"/>
      <x:c r="H322" s="428"/>
      <x:c r="I322" s="428"/>
      <x:c r="J322" s="428"/>
      <x:c r="K322" s="428"/>
      <x:c r="L322" s="428"/>
      <x:c r="M322" s="428"/>
      <x:c r="N322" s="428"/>
      <x:c r="O322" s="428"/>
      <x:c r="P322" s="428"/>
      <x:c r="Q322" s="428"/>
      <x:c r="R322" s="428"/>
      <x:c r="S322" s="428"/>
      <x:c r="T322" s="428"/>
      <x:c r="U322" s="428"/>
      <x:c r="V322" s="428"/>
      <x:c r="W322" s="428"/>
      <x:c r="X322" s="428"/>
      <x:c r="Y322" s="428"/>
      <x:c r="AA322" s="428"/>
      <x:c r="AC322" s="428"/>
      <x:c r="AD322" s="428"/>
      <x:c r="AE322" s="428"/>
      <x:c r="AF322" s="428"/>
      <x:c r="AG322" s="428"/>
      <x:c r="AH322" s="429"/>
      <x:c r="AI322" s="429"/>
      <x:c r="AJ322" s="428"/>
      <x:c r="AK322" s="428"/>
      <x:c r="AL322" s="428"/>
      <x:c r="AM322" s="428"/>
      <x:c r="AN322" s="428"/>
      <x:c r="AO322" s="428"/>
      <x:c r="AP322" s="428"/>
      <x:c r="AQ322" s="428"/>
      <x:c r="AR322" s="428"/>
      <x:c r="AS322" s="428"/>
      <x:c r="AT322" s="428"/>
      <x:c r="AU322" s="428"/>
      <x:c r="AV322" s="428"/>
      <x:c r="AW322" s="428"/>
      <x:c r="AX322" s="428"/>
      <x:c r="AY322" s="428"/>
      <x:c r="AZ322" s="428"/>
      <x:c r="BA322" s="428"/>
      <x:c r="BB322" s="428"/>
      <x:c r="BC322" s="428"/>
      <x:c r="BD322" s="428"/>
      <x:c r="BE322" s="428"/>
      <x:c r="BF322" s="428"/>
      <x:c r="BG322" s="428"/>
      <x:c r="BH322" s="428"/>
      <x:c r="BI322" s="428"/>
      <x:c r="BJ322" s="428"/>
      <x:c r="BK322" s="428"/>
      <x:c r="BL322" s="428"/>
      <x:c r="BM322" s="428"/>
      <x:c r="BN322" s="428"/>
      <x:c r="BO322" s="428"/>
      <x:c r="BP322" s="428"/>
      <x:c r="BQ322" s="428"/>
      <x:c r="BR322" s="428"/>
      <x:c r="BS322" s="428"/>
      <x:c r="BT322" s="428"/>
      <x:c r="BU322" s="428"/>
      <x:c r="BV322" s="428"/>
      <x:c r="BW322" s="428"/>
      <x:c r="BX322" s="428"/>
      <x:c r="BY322" s="428"/>
      <x:c r="BZ322" s="428"/>
      <x:c r="CA322" s="428"/>
      <x:c r="CB322" s="428"/>
      <x:c r="CC322" s="428"/>
      <x:c r="CD322" s="428"/>
      <x:c r="CE322" s="428"/>
      <x:c r="CF322" s="428"/>
      <x:c r="CG322" s="428"/>
      <x:c r="CH322" s="428"/>
      <x:c r="CI322" s="428"/>
      <x:c r="CJ322" s="428"/>
      <x:c r="CK322" s="428"/>
      <x:c r="CL322" s="428"/>
      <x:c r="CM322" s="428"/>
      <x:c r="CN322" s="428"/>
      <x:c r="CO322" s="428"/>
      <x:c r="CP322" s="428"/>
      <x:c r="CQ322" s="428"/>
      <x:c r="CR322" s="428"/>
      <x:c r="CS322" s="428"/>
      <x:c r="CT322" s="428"/>
      <x:c r="CU322" s="428"/>
      <x:c r="CV322" s="428"/>
      <x:c r="CW322" s="428"/>
      <x:c r="CX322" s="428"/>
      <x:c r="CY322" s="428"/>
      <x:c r="CZ322" s="428"/>
      <x:c r="DA322" s="428"/>
      <x:c r="DB322" s="428"/>
      <x:c r="DC322" s="428"/>
      <x:c r="DD322" s="428"/>
      <x:c r="DE322" s="428"/>
      <x:c r="DF322" s="428"/>
      <x:c r="DG322" s="428"/>
      <x:c r="DH322" s="428"/>
      <x:c r="DI322" s="428"/>
      <x:c r="DJ322" s="428"/>
      <x:c r="DK322" s="428"/>
      <x:c r="DL322" s="428"/>
      <x:c r="DM322" s="428"/>
      <x:c r="DN322" s="428"/>
      <x:c r="DO322" s="428"/>
      <x:c r="DP322" s="428"/>
      <x:c r="DQ322" s="428"/>
      <x:c r="DR322" s="428"/>
      <x:c r="DS322" s="428"/>
      <x:c r="DT322" s="428"/>
      <x:c r="DU322" s="428"/>
      <x:c r="DV322" s="428"/>
      <x:c r="DW322" s="428"/>
      <x:c r="DX322" s="428"/>
      <x:c r="DY322" s="428"/>
      <x:c r="DZ322" s="428"/>
      <x:c r="EA322" s="428"/>
      <x:c r="EB322" s="428"/>
      <x:c r="EC322" s="428"/>
      <x:c r="ED322" s="428"/>
      <x:c r="EE322" s="428"/>
      <x:c r="EF322" s="428"/>
      <x:c r="EG322" s="428"/>
      <x:c r="EH322" s="428"/>
      <x:c r="EI322" s="428"/>
      <x:c r="EJ322" s="428"/>
      <x:c r="EK322" s="428"/>
      <x:c r="EL322" s="428"/>
      <x:c r="EM322" s="428"/>
      <x:c r="EN322" s="428"/>
      <x:c r="EO322" s="428"/>
      <x:c r="EP322" s="428"/>
      <x:c r="EQ322" s="428"/>
      <x:c r="ER322" s="428"/>
      <x:c r="ES322" s="428"/>
      <x:c r="ET322" s="428"/>
      <x:c r="EU322" s="428"/>
      <x:c r="EV322" s="428"/>
      <x:c r="EW322" s="428"/>
      <x:c r="EX322" s="428"/>
      <x:c r="EY322" s="428"/>
      <x:c r="EZ322" s="428"/>
      <x:c r="FA322" s="428"/>
      <x:c r="FB322" s="428"/>
      <x:c r="FC322" s="428"/>
      <x:c r="FD322" s="428"/>
      <x:c r="FE322" s="428"/>
      <x:c r="FF322" s="428"/>
    </x:row>
    <x:row r="324" spans="6:162" s="430" customFormat="1" ht="15.75" customHeight="1">
      <x:c r="F324" s="428"/>
      <x:c r="G324" s="428"/>
      <x:c r="H324" s="428"/>
      <x:c r="I324" s="428"/>
      <x:c r="J324" s="428"/>
      <x:c r="K324" s="428"/>
      <x:c r="L324" s="428"/>
      <x:c r="M324" s="428"/>
      <x:c r="N324" s="428"/>
      <x:c r="O324" s="428"/>
      <x:c r="P324" s="428"/>
      <x:c r="Q324" s="428"/>
      <x:c r="R324" s="428"/>
      <x:c r="S324" s="428"/>
      <x:c r="T324" s="428"/>
      <x:c r="U324" s="428"/>
      <x:c r="V324" s="428"/>
      <x:c r="W324" s="428"/>
      <x:c r="X324" s="428"/>
      <x:c r="Y324" s="428"/>
      <x:c r="AA324" s="428"/>
      <x:c r="AC324" s="428"/>
      <x:c r="AD324" s="428"/>
      <x:c r="AE324" s="428"/>
      <x:c r="AF324" s="428"/>
      <x:c r="AG324" s="428"/>
      <x:c r="AH324" s="429"/>
      <x:c r="AI324" s="429"/>
      <x:c r="AJ324" s="428"/>
      <x:c r="AK324" s="428"/>
      <x:c r="AL324" s="428"/>
      <x:c r="AM324" s="428"/>
      <x:c r="AN324" s="428"/>
      <x:c r="AO324" s="428"/>
      <x:c r="AP324" s="428"/>
      <x:c r="AQ324" s="428"/>
      <x:c r="AR324" s="428"/>
      <x:c r="AS324" s="428"/>
      <x:c r="AT324" s="428"/>
      <x:c r="AU324" s="428"/>
      <x:c r="AV324" s="428"/>
      <x:c r="AW324" s="428"/>
      <x:c r="AX324" s="428"/>
      <x:c r="AY324" s="428"/>
      <x:c r="AZ324" s="428"/>
      <x:c r="BA324" s="428"/>
      <x:c r="BB324" s="428"/>
      <x:c r="BC324" s="428"/>
      <x:c r="BD324" s="428"/>
      <x:c r="BE324" s="428"/>
      <x:c r="BF324" s="428"/>
      <x:c r="BG324" s="428"/>
      <x:c r="BH324" s="428"/>
      <x:c r="BI324" s="428"/>
      <x:c r="BJ324" s="428"/>
      <x:c r="BK324" s="428"/>
      <x:c r="BL324" s="428"/>
      <x:c r="BM324" s="428"/>
      <x:c r="BN324" s="428"/>
      <x:c r="BO324" s="428"/>
      <x:c r="BP324" s="428"/>
      <x:c r="BQ324" s="428"/>
      <x:c r="BR324" s="428"/>
      <x:c r="BS324" s="428"/>
      <x:c r="BT324" s="428"/>
      <x:c r="BU324" s="428"/>
      <x:c r="BV324" s="428"/>
      <x:c r="BW324" s="428"/>
      <x:c r="BX324" s="428"/>
      <x:c r="BY324" s="428"/>
      <x:c r="BZ324" s="428"/>
      <x:c r="CA324" s="428"/>
      <x:c r="CB324" s="428"/>
      <x:c r="CC324" s="428"/>
      <x:c r="CD324" s="428"/>
      <x:c r="CE324" s="428"/>
      <x:c r="CF324" s="428"/>
      <x:c r="CG324" s="428"/>
      <x:c r="CH324" s="428"/>
      <x:c r="CI324" s="428"/>
      <x:c r="CJ324" s="428"/>
      <x:c r="CK324" s="428"/>
      <x:c r="CL324" s="428"/>
      <x:c r="CM324" s="428"/>
      <x:c r="CN324" s="428"/>
      <x:c r="CO324" s="428"/>
      <x:c r="CP324" s="428"/>
      <x:c r="CQ324" s="428"/>
      <x:c r="CR324" s="428"/>
      <x:c r="CS324" s="428"/>
      <x:c r="CT324" s="428"/>
      <x:c r="CU324" s="428"/>
      <x:c r="CV324" s="428"/>
      <x:c r="CW324" s="428"/>
      <x:c r="CX324" s="428"/>
      <x:c r="CY324" s="428"/>
      <x:c r="CZ324" s="428"/>
      <x:c r="DA324" s="428"/>
      <x:c r="DB324" s="428"/>
      <x:c r="DC324" s="428"/>
      <x:c r="DD324" s="428"/>
      <x:c r="DE324" s="428"/>
      <x:c r="DF324" s="428"/>
      <x:c r="DG324" s="428"/>
      <x:c r="DH324" s="428"/>
      <x:c r="DI324" s="428"/>
      <x:c r="DJ324" s="428"/>
      <x:c r="DK324" s="428"/>
      <x:c r="DL324" s="428"/>
      <x:c r="DM324" s="428"/>
      <x:c r="DN324" s="428"/>
      <x:c r="DO324" s="428"/>
      <x:c r="DP324" s="428"/>
      <x:c r="DQ324" s="428"/>
      <x:c r="DR324" s="428"/>
      <x:c r="DS324" s="428"/>
      <x:c r="DT324" s="428"/>
      <x:c r="DU324" s="428"/>
      <x:c r="DV324" s="428"/>
      <x:c r="DW324" s="428"/>
      <x:c r="DX324" s="428"/>
      <x:c r="DY324" s="428"/>
      <x:c r="DZ324" s="428"/>
      <x:c r="EA324" s="428"/>
      <x:c r="EB324" s="428"/>
      <x:c r="EC324" s="428"/>
      <x:c r="ED324" s="428"/>
      <x:c r="EE324" s="428"/>
      <x:c r="EF324" s="428"/>
      <x:c r="EG324" s="428"/>
      <x:c r="EH324" s="428"/>
      <x:c r="EI324" s="428"/>
      <x:c r="EJ324" s="428"/>
      <x:c r="EK324" s="428"/>
      <x:c r="EL324" s="428"/>
      <x:c r="EM324" s="428"/>
      <x:c r="EN324" s="428"/>
      <x:c r="EO324" s="428"/>
      <x:c r="EP324" s="428"/>
      <x:c r="EQ324" s="428"/>
      <x:c r="ER324" s="428"/>
      <x:c r="ES324" s="428"/>
      <x:c r="ET324" s="428"/>
      <x:c r="EU324" s="428"/>
      <x:c r="EV324" s="428"/>
      <x:c r="EW324" s="428"/>
      <x:c r="EX324" s="428"/>
      <x:c r="EY324" s="428"/>
      <x:c r="EZ324" s="428"/>
      <x:c r="FA324" s="428"/>
      <x:c r="FB324" s="428"/>
      <x:c r="FC324" s="428"/>
      <x:c r="FD324" s="428"/>
      <x:c r="FE324" s="428"/>
      <x:c r="FF324" s="428"/>
    </x:row>
    <x:row r="326" spans="6:162" s="430" customFormat="1" ht="15.75" customHeight="1">
      <x:c r="F326" s="428"/>
      <x:c r="G326" s="428"/>
      <x:c r="H326" s="428"/>
      <x:c r="I326" s="428"/>
      <x:c r="J326" s="428"/>
      <x:c r="K326" s="428"/>
      <x:c r="L326" s="428"/>
      <x:c r="M326" s="428"/>
      <x:c r="N326" s="428"/>
      <x:c r="O326" s="428"/>
      <x:c r="P326" s="428"/>
      <x:c r="Q326" s="428"/>
      <x:c r="R326" s="428"/>
      <x:c r="S326" s="428"/>
      <x:c r="T326" s="428"/>
      <x:c r="U326" s="428"/>
      <x:c r="V326" s="428"/>
      <x:c r="W326" s="428"/>
      <x:c r="X326" s="428"/>
      <x:c r="Y326" s="428"/>
      <x:c r="AA326" s="428"/>
      <x:c r="AC326" s="428"/>
      <x:c r="AD326" s="428"/>
      <x:c r="AE326" s="428"/>
      <x:c r="AF326" s="428"/>
      <x:c r="AG326" s="428"/>
      <x:c r="AH326" s="429"/>
      <x:c r="AI326" s="429"/>
      <x:c r="AJ326" s="428"/>
      <x:c r="AK326" s="428"/>
      <x:c r="AL326" s="428"/>
      <x:c r="AM326" s="428"/>
      <x:c r="AN326" s="428"/>
      <x:c r="AO326" s="428"/>
      <x:c r="AP326" s="428"/>
      <x:c r="AQ326" s="428"/>
      <x:c r="AR326" s="428"/>
      <x:c r="AS326" s="428"/>
      <x:c r="AT326" s="428"/>
      <x:c r="AU326" s="428"/>
      <x:c r="AV326" s="428"/>
      <x:c r="AW326" s="428"/>
      <x:c r="AX326" s="428"/>
      <x:c r="AY326" s="428"/>
      <x:c r="AZ326" s="428"/>
      <x:c r="BA326" s="428"/>
      <x:c r="BB326" s="428"/>
      <x:c r="BC326" s="428"/>
      <x:c r="BD326" s="428"/>
      <x:c r="BE326" s="428"/>
      <x:c r="BF326" s="428"/>
      <x:c r="BG326" s="428"/>
      <x:c r="BH326" s="428"/>
      <x:c r="BI326" s="428"/>
      <x:c r="BJ326" s="428"/>
      <x:c r="BK326" s="428"/>
      <x:c r="BL326" s="428"/>
      <x:c r="BM326" s="428"/>
      <x:c r="BN326" s="428"/>
      <x:c r="BO326" s="428"/>
      <x:c r="BP326" s="428"/>
      <x:c r="BQ326" s="428"/>
      <x:c r="BR326" s="428"/>
      <x:c r="BS326" s="428"/>
      <x:c r="BT326" s="428"/>
      <x:c r="BU326" s="428"/>
      <x:c r="BV326" s="428"/>
      <x:c r="BW326" s="428"/>
      <x:c r="BX326" s="428"/>
      <x:c r="BY326" s="428"/>
      <x:c r="BZ326" s="428"/>
      <x:c r="CA326" s="428"/>
      <x:c r="CB326" s="428"/>
      <x:c r="CC326" s="428"/>
      <x:c r="CD326" s="428"/>
      <x:c r="CE326" s="428"/>
      <x:c r="CF326" s="428"/>
      <x:c r="CG326" s="428"/>
      <x:c r="CH326" s="428"/>
      <x:c r="CI326" s="428"/>
      <x:c r="CJ326" s="428"/>
      <x:c r="CK326" s="428"/>
      <x:c r="CL326" s="428"/>
      <x:c r="CM326" s="428"/>
      <x:c r="CN326" s="428"/>
      <x:c r="CO326" s="428"/>
      <x:c r="CP326" s="428"/>
      <x:c r="CQ326" s="428"/>
      <x:c r="CR326" s="428"/>
      <x:c r="CS326" s="428"/>
      <x:c r="CT326" s="428"/>
      <x:c r="CU326" s="428"/>
      <x:c r="CV326" s="428"/>
      <x:c r="CW326" s="428"/>
      <x:c r="CX326" s="428"/>
      <x:c r="CY326" s="428"/>
      <x:c r="CZ326" s="428"/>
      <x:c r="DA326" s="428"/>
      <x:c r="DB326" s="428"/>
      <x:c r="DC326" s="428"/>
      <x:c r="DD326" s="428"/>
      <x:c r="DE326" s="428"/>
      <x:c r="DF326" s="428"/>
      <x:c r="DG326" s="428"/>
      <x:c r="DH326" s="428"/>
      <x:c r="DI326" s="428"/>
      <x:c r="DJ326" s="428"/>
      <x:c r="DK326" s="428"/>
      <x:c r="DL326" s="428"/>
      <x:c r="DM326" s="428"/>
      <x:c r="DN326" s="428"/>
      <x:c r="DO326" s="428"/>
      <x:c r="DP326" s="428"/>
      <x:c r="DQ326" s="428"/>
      <x:c r="DR326" s="428"/>
      <x:c r="DS326" s="428"/>
      <x:c r="DT326" s="428"/>
      <x:c r="DU326" s="428"/>
      <x:c r="DV326" s="428"/>
      <x:c r="DW326" s="428"/>
      <x:c r="DX326" s="428"/>
      <x:c r="DY326" s="428"/>
      <x:c r="DZ326" s="428"/>
      <x:c r="EA326" s="428"/>
      <x:c r="EB326" s="428"/>
      <x:c r="EC326" s="428"/>
      <x:c r="ED326" s="428"/>
      <x:c r="EE326" s="428"/>
      <x:c r="EF326" s="428"/>
      <x:c r="EG326" s="428"/>
      <x:c r="EH326" s="428"/>
      <x:c r="EI326" s="428"/>
      <x:c r="EJ326" s="428"/>
      <x:c r="EK326" s="428"/>
      <x:c r="EL326" s="428"/>
      <x:c r="EM326" s="428"/>
      <x:c r="EN326" s="428"/>
      <x:c r="EO326" s="428"/>
      <x:c r="EP326" s="428"/>
      <x:c r="EQ326" s="428"/>
      <x:c r="ER326" s="428"/>
      <x:c r="ES326" s="428"/>
      <x:c r="ET326" s="428"/>
      <x:c r="EU326" s="428"/>
      <x:c r="EV326" s="428"/>
      <x:c r="EW326" s="428"/>
      <x:c r="EX326" s="428"/>
      <x:c r="EY326" s="428"/>
      <x:c r="EZ326" s="428"/>
      <x:c r="FA326" s="428"/>
      <x:c r="FB326" s="428"/>
      <x:c r="FC326" s="428"/>
      <x:c r="FD326" s="428"/>
      <x:c r="FE326" s="428"/>
      <x:c r="FF326" s="428"/>
    </x:row>
    <x:row r="328" spans="6:162" s="430" customFormat="1" ht="15.75" customHeight="1">
      <x:c r="F328" s="428"/>
      <x:c r="G328" s="428"/>
      <x:c r="H328" s="428"/>
      <x:c r="I328" s="428"/>
      <x:c r="J328" s="428"/>
      <x:c r="K328" s="428"/>
      <x:c r="L328" s="428"/>
      <x:c r="M328" s="428"/>
      <x:c r="N328" s="428"/>
      <x:c r="O328" s="428"/>
      <x:c r="P328" s="428"/>
      <x:c r="Q328" s="428"/>
      <x:c r="R328" s="428"/>
      <x:c r="S328" s="428"/>
      <x:c r="T328" s="428"/>
      <x:c r="U328" s="428"/>
      <x:c r="V328" s="428"/>
      <x:c r="W328" s="428"/>
      <x:c r="X328" s="428"/>
      <x:c r="Y328" s="428"/>
      <x:c r="AA328" s="428"/>
      <x:c r="AC328" s="428"/>
      <x:c r="AD328" s="428"/>
      <x:c r="AE328" s="428"/>
      <x:c r="AF328" s="428"/>
      <x:c r="AG328" s="428"/>
      <x:c r="AH328" s="429"/>
      <x:c r="AI328" s="429"/>
      <x:c r="AJ328" s="428"/>
      <x:c r="AK328" s="428"/>
      <x:c r="AL328" s="428"/>
      <x:c r="AM328" s="428"/>
      <x:c r="AN328" s="428"/>
      <x:c r="AO328" s="428"/>
      <x:c r="AP328" s="428"/>
      <x:c r="AQ328" s="428"/>
      <x:c r="AR328" s="428"/>
      <x:c r="AS328" s="428"/>
      <x:c r="AT328" s="428"/>
      <x:c r="AU328" s="428"/>
      <x:c r="AV328" s="428"/>
      <x:c r="AW328" s="428"/>
      <x:c r="AX328" s="428"/>
      <x:c r="AY328" s="428"/>
      <x:c r="AZ328" s="428"/>
      <x:c r="BA328" s="428"/>
      <x:c r="BB328" s="428"/>
      <x:c r="BC328" s="428"/>
      <x:c r="BD328" s="428"/>
      <x:c r="BE328" s="428"/>
      <x:c r="BF328" s="428"/>
      <x:c r="BG328" s="428"/>
      <x:c r="BH328" s="428"/>
      <x:c r="BI328" s="428"/>
      <x:c r="BJ328" s="428"/>
      <x:c r="BK328" s="428"/>
      <x:c r="BL328" s="428"/>
      <x:c r="BM328" s="428"/>
      <x:c r="BN328" s="428"/>
      <x:c r="BO328" s="428"/>
      <x:c r="BP328" s="428"/>
      <x:c r="BQ328" s="428"/>
      <x:c r="BR328" s="428"/>
      <x:c r="BS328" s="428"/>
      <x:c r="BT328" s="428"/>
      <x:c r="BU328" s="428"/>
      <x:c r="BV328" s="428"/>
      <x:c r="BW328" s="428"/>
      <x:c r="BX328" s="428"/>
      <x:c r="BY328" s="428"/>
      <x:c r="BZ328" s="428"/>
      <x:c r="CA328" s="428"/>
      <x:c r="CB328" s="428"/>
      <x:c r="CC328" s="428"/>
      <x:c r="CD328" s="428"/>
      <x:c r="CE328" s="428"/>
      <x:c r="CF328" s="428"/>
      <x:c r="CG328" s="428"/>
      <x:c r="CH328" s="428"/>
      <x:c r="CI328" s="428"/>
      <x:c r="CJ328" s="428"/>
      <x:c r="CK328" s="428"/>
      <x:c r="CL328" s="428"/>
      <x:c r="CM328" s="428"/>
      <x:c r="CN328" s="428"/>
      <x:c r="CO328" s="428"/>
      <x:c r="CP328" s="428"/>
      <x:c r="CQ328" s="428"/>
      <x:c r="CR328" s="428"/>
      <x:c r="CS328" s="428"/>
      <x:c r="CT328" s="428"/>
      <x:c r="CU328" s="428"/>
      <x:c r="CV328" s="428"/>
      <x:c r="CW328" s="428"/>
      <x:c r="CX328" s="428"/>
      <x:c r="CY328" s="428"/>
      <x:c r="CZ328" s="428"/>
      <x:c r="DA328" s="428"/>
      <x:c r="DB328" s="428"/>
      <x:c r="DC328" s="428"/>
      <x:c r="DD328" s="428"/>
      <x:c r="DE328" s="428"/>
      <x:c r="DF328" s="428"/>
      <x:c r="DG328" s="428"/>
      <x:c r="DH328" s="428"/>
      <x:c r="DI328" s="428"/>
      <x:c r="DJ328" s="428"/>
      <x:c r="DK328" s="428"/>
      <x:c r="DL328" s="428"/>
      <x:c r="DM328" s="428"/>
      <x:c r="DN328" s="428"/>
      <x:c r="DO328" s="428"/>
      <x:c r="DP328" s="428"/>
      <x:c r="DQ328" s="428"/>
      <x:c r="DR328" s="428"/>
      <x:c r="DS328" s="428"/>
      <x:c r="DT328" s="428"/>
      <x:c r="DU328" s="428"/>
      <x:c r="DV328" s="428"/>
      <x:c r="DW328" s="428"/>
      <x:c r="DX328" s="428"/>
      <x:c r="DY328" s="428"/>
      <x:c r="DZ328" s="428"/>
      <x:c r="EA328" s="428"/>
      <x:c r="EB328" s="428"/>
      <x:c r="EC328" s="428"/>
      <x:c r="ED328" s="428"/>
      <x:c r="EE328" s="428"/>
      <x:c r="EF328" s="428"/>
      <x:c r="EG328" s="428"/>
      <x:c r="EH328" s="428"/>
      <x:c r="EI328" s="428"/>
      <x:c r="EJ328" s="428"/>
      <x:c r="EK328" s="428"/>
      <x:c r="EL328" s="428"/>
      <x:c r="EM328" s="428"/>
      <x:c r="EN328" s="428"/>
      <x:c r="EO328" s="428"/>
      <x:c r="EP328" s="428"/>
      <x:c r="EQ328" s="428"/>
      <x:c r="ER328" s="428"/>
      <x:c r="ES328" s="428"/>
      <x:c r="ET328" s="428"/>
      <x:c r="EU328" s="428"/>
      <x:c r="EV328" s="428"/>
      <x:c r="EW328" s="428"/>
      <x:c r="EX328" s="428"/>
      <x:c r="EY328" s="428"/>
      <x:c r="EZ328" s="428"/>
      <x:c r="FA328" s="428"/>
      <x:c r="FB328" s="428"/>
      <x:c r="FC328" s="428"/>
      <x:c r="FD328" s="428"/>
      <x:c r="FE328" s="428"/>
      <x:c r="FF328" s="428"/>
    </x:row>
    <x:row r="330" spans="6:162" s="430" customFormat="1" ht="15.75" customHeight="1">
      <x:c r="F330" s="428"/>
      <x:c r="G330" s="428"/>
      <x:c r="H330" s="428"/>
      <x:c r="I330" s="428"/>
      <x:c r="J330" s="428"/>
      <x:c r="K330" s="428"/>
      <x:c r="L330" s="428"/>
      <x:c r="M330" s="428"/>
      <x:c r="N330" s="428"/>
      <x:c r="O330" s="428"/>
      <x:c r="P330" s="428"/>
      <x:c r="Q330" s="428"/>
      <x:c r="R330" s="428"/>
      <x:c r="S330" s="428"/>
      <x:c r="T330" s="428"/>
      <x:c r="U330" s="428"/>
      <x:c r="V330" s="428"/>
      <x:c r="W330" s="428"/>
      <x:c r="X330" s="428"/>
      <x:c r="Y330" s="428"/>
      <x:c r="AA330" s="428"/>
      <x:c r="AC330" s="428"/>
      <x:c r="AD330" s="428"/>
      <x:c r="AE330" s="428"/>
      <x:c r="AF330" s="428"/>
      <x:c r="AG330" s="428"/>
      <x:c r="AH330" s="429"/>
      <x:c r="AI330" s="429"/>
      <x:c r="AJ330" s="428"/>
      <x:c r="AK330" s="428"/>
      <x:c r="AL330" s="428"/>
      <x:c r="AM330" s="428"/>
      <x:c r="AN330" s="428"/>
      <x:c r="AO330" s="428"/>
      <x:c r="AP330" s="428"/>
      <x:c r="AQ330" s="428"/>
      <x:c r="AR330" s="428"/>
      <x:c r="AS330" s="428"/>
      <x:c r="AT330" s="428"/>
      <x:c r="AU330" s="428"/>
      <x:c r="AV330" s="428"/>
      <x:c r="AW330" s="428"/>
      <x:c r="AX330" s="428"/>
      <x:c r="AY330" s="428"/>
      <x:c r="AZ330" s="428"/>
      <x:c r="BA330" s="428"/>
      <x:c r="BB330" s="428"/>
      <x:c r="BC330" s="428"/>
      <x:c r="BD330" s="428"/>
      <x:c r="BE330" s="428"/>
      <x:c r="BF330" s="428"/>
      <x:c r="BG330" s="428"/>
      <x:c r="BH330" s="428"/>
      <x:c r="BI330" s="428"/>
      <x:c r="BJ330" s="428"/>
      <x:c r="BK330" s="428"/>
      <x:c r="BL330" s="428"/>
      <x:c r="BM330" s="428"/>
      <x:c r="BN330" s="428"/>
      <x:c r="BO330" s="428"/>
      <x:c r="BP330" s="428"/>
      <x:c r="BQ330" s="428"/>
      <x:c r="BR330" s="428"/>
      <x:c r="BS330" s="428"/>
      <x:c r="BT330" s="428"/>
      <x:c r="BU330" s="428"/>
      <x:c r="BV330" s="428"/>
      <x:c r="BW330" s="428"/>
      <x:c r="BX330" s="428"/>
      <x:c r="BY330" s="428"/>
      <x:c r="BZ330" s="428"/>
      <x:c r="CA330" s="428"/>
      <x:c r="CB330" s="428"/>
      <x:c r="CC330" s="428"/>
      <x:c r="CD330" s="428"/>
      <x:c r="CE330" s="428"/>
      <x:c r="CF330" s="428"/>
      <x:c r="CG330" s="428"/>
      <x:c r="CH330" s="428"/>
      <x:c r="CI330" s="428"/>
      <x:c r="CJ330" s="428"/>
      <x:c r="CK330" s="428"/>
      <x:c r="CL330" s="428"/>
      <x:c r="CM330" s="428"/>
      <x:c r="CN330" s="428"/>
      <x:c r="CO330" s="428"/>
      <x:c r="CP330" s="428"/>
      <x:c r="CQ330" s="428"/>
      <x:c r="CR330" s="428"/>
      <x:c r="CS330" s="428"/>
      <x:c r="CT330" s="428"/>
      <x:c r="CU330" s="428"/>
      <x:c r="CV330" s="428"/>
      <x:c r="CW330" s="428"/>
      <x:c r="CX330" s="428"/>
      <x:c r="CY330" s="428"/>
      <x:c r="CZ330" s="428"/>
      <x:c r="DA330" s="428"/>
      <x:c r="DB330" s="428"/>
      <x:c r="DC330" s="428"/>
      <x:c r="DD330" s="428"/>
      <x:c r="DE330" s="428"/>
      <x:c r="DF330" s="428"/>
      <x:c r="DG330" s="428"/>
      <x:c r="DH330" s="428"/>
      <x:c r="DI330" s="428"/>
      <x:c r="DJ330" s="428"/>
      <x:c r="DK330" s="428"/>
      <x:c r="DL330" s="428"/>
      <x:c r="DM330" s="428"/>
      <x:c r="DN330" s="428"/>
      <x:c r="DO330" s="428"/>
      <x:c r="DP330" s="428"/>
      <x:c r="DQ330" s="428"/>
      <x:c r="DR330" s="428"/>
      <x:c r="DS330" s="428"/>
      <x:c r="DT330" s="428"/>
      <x:c r="DU330" s="428"/>
      <x:c r="DV330" s="428"/>
      <x:c r="DW330" s="428"/>
      <x:c r="DX330" s="428"/>
      <x:c r="DY330" s="428"/>
      <x:c r="DZ330" s="428"/>
      <x:c r="EA330" s="428"/>
      <x:c r="EB330" s="428"/>
      <x:c r="EC330" s="428"/>
      <x:c r="ED330" s="428"/>
      <x:c r="EE330" s="428"/>
      <x:c r="EF330" s="428"/>
      <x:c r="EG330" s="428"/>
      <x:c r="EH330" s="428"/>
      <x:c r="EI330" s="428"/>
      <x:c r="EJ330" s="428"/>
      <x:c r="EK330" s="428"/>
      <x:c r="EL330" s="428"/>
      <x:c r="EM330" s="428"/>
      <x:c r="EN330" s="428"/>
      <x:c r="EO330" s="428"/>
      <x:c r="EP330" s="428"/>
      <x:c r="EQ330" s="428"/>
      <x:c r="ER330" s="428"/>
      <x:c r="ES330" s="428"/>
      <x:c r="ET330" s="428"/>
      <x:c r="EU330" s="428"/>
      <x:c r="EV330" s="428"/>
      <x:c r="EW330" s="428"/>
      <x:c r="EX330" s="428"/>
      <x:c r="EY330" s="428"/>
      <x:c r="EZ330" s="428"/>
      <x:c r="FA330" s="428"/>
      <x:c r="FB330" s="428"/>
      <x:c r="FC330" s="428"/>
      <x:c r="FD330" s="428"/>
      <x:c r="FE330" s="428"/>
      <x:c r="FF330" s="428"/>
    </x:row>
    <x:row r="332" spans="6:162" s="430" customFormat="1" ht="15.75" customHeight="1">
      <x:c r="F332" s="428"/>
      <x:c r="G332" s="428"/>
      <x:c r="H332" s="428"/>
      <x:c r="I332" s="428"/>
      <x:c r="J332" s="428"/>
      <x:c r="K332" s="428"/>
      <x:c r="L332" s="428"/>
      <x:c r="M332" s="428"/>
      <x:c r="N332" s="428"/>
      <x:c r="O332" s="428"/>
      <x:c r="P332" s="428"/>
      <x:c r="Q332" s="428"/>
      <x:c r="R332" s="428"/>
      <x:c r="S332" s="428"/>
      <x:c r="T332" s="428"/>
      <x:c r="U332" s="428"/>
      <x:c r="V332" s="428"/>
      <x:c r="W332" s="428"/>
      <x:c r="X332" s="428"/>
      <x:c r="Y332" s="428"/>
      <x:c r="AA332" s="428"/>
      <x:c r="AC332" s="428"/>
      <x:c r="AD332" s="428"/>
      <x:c r="AE332" s="428"/>
      <x:c r="AF332" s="428"/>
      <x:c r="AG332" s="428"/>
      <x:c r="AH332" s="429"/>
      <x:c r="AI332" s="429"/>
      <x:c r="AJ332" s="428"/>
      <x:c r="AK332" s="428"/>
      <x:c r="AL332" s="428"/>
      <x:c r="AM332" s="428"/>
      <x:c r="AN332" s="428"/>
      <x:c r="AO332" s="428"/>
      <x:c r="AP332" s="428"/>
      <x:c r="AQ332" s="428"/>
      <x:c r="AR332" s="428"/>
      <x:c r="AS332" s="428"/>
      <x:c r="AT332" s="428"/>
      <x:c r="AU332" s="428"/>
      <x:c r="AV332" s="428"/>
      <x:c r="AW332" s="428"/>
      <x:c r="AX332" s="428"/>
      <x:c r="AY332" s="428"/>
      <x:c r="AZ332" s="428"/>
      <x:c r="BA332" s="428"/>
      <x:c r="BB332" s="428"/>
      <x:c r="BC332" s="428"/>
      <x:c r="BD332" s="428"/>
      <x:c r="BE332" s="428"/>
      <x:c r="BF332" s="428"/>
      <x:c r="BG332" s="428"/>
      <x:c r="BH332" s="428"/>
      <x:c r="BI332" s="428"/>
      <x:c r="BJ332" s="428"/>
      <x:c r="BK332" s="428"/>
      <x:c r="BL332" s="428"/>
      <x:c r="BM332" s="428"/>
      <x:c r="BN332" s="428"/>
      <x:c r="BO332" s="428"/>
      <x:c r="BP332" s="428"/>
      <x:c r="BQ332" s="428"/>
      <x:c r="BR332" s="428"/>
      <x:c r="BS332" s="428"/>
      <x:c r="BT332" s="428"/>
      <x:c r="BU332" s="428"/>
      <x:c r="BV332" s="428"/>
      <x:c r="BW332" s="428"/>
      <x:c r="BX332" s="428"/>
      <x:c r="BY332" s="428"/>
      <x:c r="BZ332" s="428"/>
      <x:c r="CA332" s="428"/>
      <x:c r="CB332" s="428"/>
      <x:c r="CC332" s="428"/>
      <x:c r="CD332" s="428"/>
      <x:c r="CE332" s="428"/>
      <x:c r="CF332" s="428"/>
      <x:c r="CG332" s="428"/>
      <x:c r="CH332" s="428"/>
      <x:c r="CI332" s="428"/>
      <x:c r="CJ332" s="428"/>
      <x:c r="CK332" s="428"/>
      <x:c r="CL332" s="428"/>
      <x:c r="CM332" s="428"/>
      <x:c r="CN332" s="428"/>
      <x:c r="CO332" s="428"/>
      <x:c r="CP332" s="428"/>
      <x:c r="CQ332" s="428"/>
      <x:c r="CR332" s="428"/>
      <x:c r="CS332" s="428"/>
      <x:c r="CT332" s="428"/>
      <x:c r="CU332" s="428"/>
      <x:c r="CV332" s="428"/>
      <x:c r="CW332" s="428"/>
      <x:c r="CX332" s="428"/>
      <x:c r="CY332" s="428"/>
      <x:c r="CZ332" s="428"/>
      <x:c r="DA332" s="428"/>
      <x:c r="DB332" s="428"/>
      <x:c r="DC332" s="428"/>
      <x:c r="DD332" s="428"/>
      <x:c r="DE332" s="428"/>
      <x:c r="DF332" s="428"/>
      <x:c r="DG332" s="428"/>
      <x:c r="DH332" s="428"/>
      <x:c r="DI332" s="428"/>
      <x:c r="DJ332" s="428"/>
      <x:c r="DK332" s="428"/>
      <x:c r="DL332" s="428"/>
      <x:c r="DM332" s="428"/>
      <x:c r="DN332" s="428"/>
      <x:c r="DO332" s="428"/>
      <x:c r="DP332" s="428"/>
      <x:c r="DQ332" s="428"/>
      <x:c r="DR332" s="428"/>
      <x:c r="DS332" s="428"/>
      <x:c r="DT332" s="428"/>
      <x:c r="DU332" s="428"/>
      <x:c r="DV332" s="428"/>
      <x:c r="DW332" s="428"/>
      <x:c r="DX332" s="428"/>
      <x:c r="DY332" s="428"/>
      <x:c r="DZ332" s="428"/>
      <x:c r="EA332" s="428"/>
      <x:c r="EB332" s="428"/>
      <x:c r="EC332" s="428"/>
      <x:c r="ED332" s="428"/>
      <x:c r="EE332" s="428"/>
      <x:c r="EF332" s="428"/>
      <x:c r="EG332" s="428"/>
      <x:c r="EH332" s="428"/>
      <x:c r="EI332" s="428"/>
      <x:c r="EJ332" s="428"/>
      <x:c r="EK332" s="428"/>
      <x:c r="EL332" s="428"/>
      <x:c r="EM332" s="428"/>
      <x:c r="EN332" s="428"/>
      <x:c r="EO332" s="428"/>
      <x:c r="EP332" s="428"/>
      <x:c r="EQ332" s="428"/>
      <x:c r="ER332" s="428"/>
      <x:c r="ES332" s="428"/>
      <x:c r="ET332" s="428"/>
      <x:c r="EU332" s="428"/>
      <x:c r="EV332" s="428"/>
      <x:c r="EW332" s="428"/>
      <x:c r="EX332" s="428"/>
      <x:c r="EY332" s="428"/>
      <x:c r="EZ332" s="428"/>
      <x:c r="FA332" s="428"/>
      <x:c r="FB332" s="428"/>
      <x:c r="FC332" s="428"/>
      <x:c r="FD332" s="428"/>
      <x:c r="FE332" s="428"/>
      <x:c r="FF332" s="428"/>
    </x:row>
    <x:row r="334" spans="6:162" s="430" customFormat="1" ht="15.75" customHeight="1">
      <x:c r="F334" s="428"/>
      <x:c r="G334" s="428"/>
      <x:c r="H334" s="428"/>
      <x:c r="I334" s="428"/>
      <x:c r="J334" s="428"/>
      <x:c r="K334" s="428"/>
      <x:c r="L334" s="428"/>
      <x:c r="M334" s="428"/>
      <x:c r="N334" s="428"/>
      <x:c r="O334" s="428"/>
      <x:c r="P334" s="428"/>
      <x:c r="Q334" s="428"/>
      <x:c r="R334" s="428"/>
      <x:c r="S334" s="428"/>
      <x:c r="T334" s="428"/>
      <x:c r="U334" s="428"/>
      <x:c r="V334" s="428"/>
      <x:c r="W334" s="428"/>
      <x:c r="X334" s="428"/>
      <x:c r="Y334" s="428"/>
      <x:c r="AA334" s="428"/>
      <x:c r="AC334" s="428"/>
      <x:c r="AD334" s="428"/>
      <x:c r="AE334" s="428"/>
      <x:c r="AF334" s="428"/>
      <x:c r="AG334" s="428"/>
      <x:c r="AH334" s="429"/>
      <x:c r="AI334" s="429"/>
      <x:c r="AJ334" s="428"/>
      <x:c r="AK334" s="428"/>
      <x:c r="AL334" s="428"/>
      <x:c r="AM334" s="428"/>
      <x:c r="AN334" s="428"/>
      <x:c r="AO334" s="428"/>
      <x:c r="AP334" s="428"/>
      <x:c r="AQ334" s="428"/>
      <x:c r="AR334" s="428"/>
      <x:c r="AS334" s="428"/>
      <x:c r="AT334" s="428"/>
      <x:c r="AU334" s="428"/>
      <x:c r="AV334" s="428"/>
      <x:c r="AW334" s="428"/>
      <x:c r="AX334" s="428"/>
      <x:c r="AY334" s="428"/>
      <x:c r="AZ334" s="428"/>
      <x:c r="BA334" s="428"/>
      <x:c r="BB334" s="428"/>
      <x:c r="BC334" s="428"/>
      <x:c r="BD334" s="428"/>
      <x:c r="BE334" s="428"/>
      <x:c r="BF334" s="428"/>
      <x:c r="BG334" s="428"/>
      <x:c r="BH334" s="428"/>
      <x:c r="BI334" s="428"/>
      <x:c r="BJ334" s="428"/>
      <x:c r="BK334" s="428"/>
      <x:c r="BL334" s="428"/>
      <x:c r="BM334" s="428"/>
      <x:c r="BN334" s="428"/>
      <x:c r="BO334" s="428"/>
      <x:c r="BP334" s="428"/>
      <x:c r="BQ334" s="428"/>
      <x:c r="BR334" s="428"/>
      <x:c r="BS334" s="428"/>
      <x:c r="BT334" s="428"/>
      <x:c r="BU334" s="428"/>
      <x:c r="BV334" s="428"/>
      <x:c r="BW334" s="428"/>
      <x:c r="BX334" s="428"/>
      <x:c r="BY334" s="428"/>
      <x:c r="BZ334" s="428"/>
      <x:c r="CA334" s="428"/>
      <x:c r="CB334" s="428"/>
      <x:c r="CC334" s="428"/>
      <x:c r="CD334" s="428"/>
      <x:c r="CE334" s="428"/>
      <x:c r="CF334" s="428"/>
      <x:c r="CG334" s="428"/>
      <x:c r="CH334" s="428"/>
      <x:c r="CI334" s="428"/>
      <x:c r="CJ334" s="428"/>
      <x:c r="CK334" s="428"/>
      <x:c r="CL334" s="428"/>
      <x:c r="CM334" s="428"/>
      <x:c r="CN334" s="428"/>
      <x:c r="CO334" s="428"/>
      <x:c r="CP334" s="428"/>
      <x:c r="CQ334" s="428"/>
      <x:c r="CR334" s="428"/>
      <x:c r="CS334" s="428"/>
      <x:c r="CT334" s="428"/>
      <x:c r="CU334" s="428"/>
      <x:c r="CV334" s="428"/>
      <x:c r="CW334" s="428"/>
      <x:c r="CX334" s="428"/>
      <x:c r="CY334" s="428"/>
      <x:c r="CZ334" s="428"/>
      <x:c r="DA334" s="428"/>
      <x:c r="DB334" s="428"/>
      <x:c r="DC334" s="428"/>
      <x:c r="DD334" s="428"/>
      <x:c r="DE334" s="428"/>
      <x:c r="DF334" s="428"/>
      <x:c r="DG334" s="428"/>
      <x:c r="DH334" s="428"/>
      <x:c r="DI334" s="428"/>
      <x:c r="DJ334" s="428"/>
      <x:c r="DK334" s="428"/>
      <x:c r="DL334" s="428"/>
      <x:c r="DM334" s="428"/>
      <x:c r="DN334" s="428"/>
      <x:c r="DO334" s="428"/>
      <x:c r="DP334" s="428"/>
      <x:c r="DQ334" s="428"/>
      <x:c r="DR334" s="428"/>
      <x:c r="DS334" s="428"/>
      <x:c r="DT334" s="428"/>
      <x:c r="DU334" s="428"/>
      <x:c r="DV334" s="428"/>
      <x:c r="DW334" s="428"/>
      <x:c r="DX334" s="428"/>
      <x:c r="DY334" s="428"/>
      <x:c r="DZ334" s="428"/>
      <x:c r="EA334" s="428"/>
      <x:c r="EB334" s="428"/>
      <x:c r="EC334" s="428"/>
      <x:c r="ED334" s="428"/>
      <x:c r="EE334" s="428"/>
      <x:c r="EF334" s="428"/>
      <x:c r="EG334" s="428"/>
      <x:c r="EH334" s="428"/>
      <x:c r="EI334" s="428"/>
      <x:c r="EJ334" s="428"/>
      <x:c r="EK334" s="428"/>
      <x:c r="EL334" s="428"/>
      <x:c r="EM334" s="428"/>
      <x:c r="EN334" s="428"/>
      <x:c r="EO334" s="428"/>
      <x:c r="EP334" s="428"/>
      <x:c r="EQ334" s="428"/>
      <x:c r="ER334" s="428"/>
      <x:c r="ES334" s="428"/>
      <x:c r="ET334" s="428"/>
      <x:c r="EU334" s="428"/>
      <x:c r="EV334" s="428"/>
      <x:c r="EW334" s="428"/>
      <x:c r="EX334" s="428"/>
      <x:c r="EY334" s="428"/>
      <x:c r="EZ334" s="428"/>
      <x:c r="FA334" s="428"/>
      <x:c r="FB334" s="428"/>
      <x:c r="FC334" s="428"/>
      <x:c r="FD334" s="428"/>
      <x:c r="FE334" s="428"/>
      <x:c r="FF334" s="428"/>
    </x:row>
    <x:row r="336" spans="6:162" s="430" customFormat="1" ht="15.75" customHeight="1">
      <x:c r="F336" s="428"/>
      <x:c r="G336" s="428"/>
      <x:c r="H336" s="428"/>
      <x:c r="I336" s="428"/>
      <x:c r="J336" s="428"/>
      <x:c r="K336" s="428"/>
      <x:c r="L336" s="428"/>
      <x:c r="M336" s="428"/>
      <x:c r="N336" s="428"/>
      <x:c r="O336" s="428"/>
      <x:c r="P336" s="428"/>
      <x:c r="Q336" s="428"/>
      <x:c r="R336" s="428"/>
      <x:c r="S336" s="428"/>
      <x:c r="T336" s="428"/>
      <x:c r="U336" s="428"/>
      <x:c r="V336" s="428"/>
      <x:c r="W336" s="428"/>
      <x:c r="X336" s="428"/>
      <x:c r="Y336" s="428"/>
      <x:c r="AA336" s="428"/>
      <x:c r="AC336" s="428"/>
      <x:c r="AD336" s="428"/>
      <x:c r="AE336" s="428"/>
      <x:c r="AF336" s="428"/>
      <x:c r="AG336" s="428"/>
      <x:c r="AH336" s="429"/>
      <x:c r="AI336" s="429"/>
      <x:c r="AJ336" s="428"/>
      <x:c r="AK336" s="428"/>
      <x:c r="AL336" s="428"/>
      <x:c r="AM336" s="428"/>
      <x:c r="AN336" s="428"/>
      <x:c r="AO336" s="428"/>
      <x:c r="AP336" s="428"/>
      <x:c r="AQ336" s="428"/>
      <x:c r="AR336" s="428"/>
      <x:c r="AS336" s="428"/>
      <x:c r="AT336" s="428"/>
      <x:c r="AU336" s="428"/>
      <x:c r="AV336" s="428"/>
      <x:c r="AW336" s="428"/>
      <x:c r="AX336" s="428"/>
      <x:c r="AY336" s="428"/>
      <x:c r="AZ336" s="428"/>
      <x:c r="BA336" s="428"/>
      <x:c r="BB336" s="428"/>
      <x:c r="BC336" s="428"/>
      <x:c r="BD336" s="428"/>
      <x:c r="BE336" s="428"/>
      <x:c r="BF336" s="428"/>
      <x:c r="BG336" s="428"/>
      <x:c r="BH336" s="428"/>
      <x:c r="BI336" s="428"/>
      <x:c r="BJ336" s="428"/>
      <x:c r="BK336" s="428"/>
      <x:c r="BL336" s="428"/>
      <x:c r="BM336" s="428"/>
      <x:c r="BN336" s="428"/>
      <x:c r="BO336" s="428"/>
      <x:c r="BP336" s="428"/>
      <x:c r="BQ336" s="428"/>
      <x:c r="BR336" s="428"/>
      <x:c r="BS336" s="428"/>
      <x:c r="BT336" s="428"/>
      <x:c r="BU336" s="428"/>
      <x:c r="BV336" s="428"/>
      <x:c r="BW336" s="428"/>
      <x:c r="BX336" s="428"/>
      <x:c r="BY336" s="428"/>
      <x:c r="BZ336" s="428"/>
      <x:c r="CA336" s="428"/>
      <x:c r="CB336" s="428"/>
      <x:c r="CC336" s="428"/>
      <x:c r="CD336" s="428"/>
      <x:c r="CE336" s="428"/>
      <x:c r="CF336" s="428"/>
      <x:c r="CG336" s="428"/>
      <x:c r="CH336" s="428"/>
      <x:c r="CI336" s="428"/>
      <x:c r="CJ336" s="428"/>
      <x:c r="CK336" s="428"/>
      <x:c r="CL336" s="428"/>
      <x:c r="CM336" s="428"/>
      <x:c r="CN336" s="428"/>
      <x:c r="CO336" s="428"/>
      <x:c r="CP336" s="428"/>
      <x:c r="CQ336" s="428"/>
      <x:c r="CR336" s="428"/>
      <x:c r="CS336" s="428"/>
      <x:c r="CT336" s="428"/>
      <x:c r="CU336" s="428"/>
      <x:c r="CV336" s="428"/>
      <x:c r="CW336" s="428"/>
      <x:c r="CX336" s="428"/>
      <x:c r="CY336" s="428"/>
      <x:c r="CZ336" s="428"/>
      <x:c r="DA336" s="428"/>
      <x:c r="DB336" s="428"/>
      <x:c r="DC336" s="428"/>
      <x:c r="DD336" s="428"/>
      <x:c r="DE336" s="428"/>
      <x:c r="DF336" s="428"/>
      <x:c r="DG336" s="428"/>
      <x:c r="DH336" s="428"/>
      <x:c r="DI336" s="428"/>
      <x:c r="DJ336" s="428"/>
      <x:c r="DK336" s="428"/>
      <x:c r="DL336" s="428"/>
      <x:c r="DM336" s="428"/>
      <x:c r="DN336" s="428"/>
      <x:c r="DO336" s="428"/>
      <x:c r="DP336" s="428"/>
      <x:c r="DQ336" s="428"/>
      <x:c r="DR336" s="428"/>
      <x:c r="DS336" s="428"/>
      <x:c r="DT336" s="428"/>
      <x:c r="DU336" s="428"/>
      <x:c r="DV336" s="428"/>
      <x:c r="DW336" s="428"/>
      <x:c r="DX336" s="428"/>
      <x:c r="DY336" s="428"/>
      <x:c r="DZ336" s="428"/>
      <x:c r="EA336" s="428"/>
      <x:c r="EB336" s="428"/>
      <x:c r="EC336" s="428"/>
      <x:c r="ED336" s="428"/>
      <x:c r="EE336" s="428"/>
      <x:c r="EF336" s="428"/>
      <x:c r="EG336" s="428"/>
      <x:c r="EH336" s="428"/>
      <x:c r="EI336" s="428"/>
      <x:c r="EJ336" s="428"/>
      <x:c r="EK336" s="428"/>
      <x:c r="EL336" s="428"/>
      <x:c r="EM336" s="428"/>
      <x:c r="EN336" s="428"/>
      <x:c r="EO336" s="428"/>
      <x:c r="EP336" s="428"/>
      <x:c r="EQ336" s="428"/>
      <x:c r="ER336" s="428"/>
      <x:c r="ES336" s="428"/>
      <x:c r="ET336" s="428"/>
      <x:c r="EU336" s="428"/>
      <x:c r="EV336" s="428"/>
      <x:c r="EW336" s="428"/>
      <x:c r="EX336" s="428"/>
      <x:c r="EY336" s="428"/>
      <x:c r="EZ336" s="428"/>
      <x:c r="FA336" s="428"/>
      <x:c r="FB336" s="428"/>
      <x:c r="FC336" s="428"/>
      <x:c r="FD336" s="428"/>
      <x:c r="FE336" s="428"/>
      <x:c r="FF336" s="428"/>
    </x:row>
    <x:row r="338" spans="6:162" s="430" customFormat="1" ht="15.75" customHeight="1">
      <x:c r="F338" s="428"/>
      <x:c r="G338" s="428"/>
      <x:c r="H338" s="428"/>
      <x:c r="I338" s="428"/>
      <x:c r="J338" s="428"/>
      <x:c r="K338" s="428"/>
      <x:c r="L338" s="428"/>
      <x:c r="M338" s="428"/>
      <x:c r="N338" s="428"/>
      <x:c r="O338" s="428"/>
      <x:c r="P338" s="428"/>
      <x:c r="Q338" s="428"/>
      <x:c r="R338" s="428"/>
      <x:c r="S338" s="428"/>
      <x:c r="T338" s="428"/>
      <x:c r="U338" s="428"/>
      <x:c r="V338" s="428"/>
      <x:c r="W338" s="428"/>
      <x:c r="X338" s="428"/>
      <x:c r="Y338" s="428"/>
      <x:c r="AA338" s="428"/>
      <x:c r="AC338" s="428"/>
      <x:c r="AD338" s="428"/>
      <x:c r="AE338" s="428"/>
      <x:c r="AF338" s="428"/>
      <x:c r="AG338" s="428"/>
      <x:c r="AH338" s="429"/>
      <x:c r="AI338" s="429"/>
      <x:c r="AJ338" s="428"/>
      <x:c r="AK338" s="428"/>
      <x:c r="AL338" s="428"/>
      <x:c r="AM338" s="428"/>
      <x:c r="AN338" s="428"/>
      <x:c r="AO338" s="428"/>
      <x:c r="AP338" s="428"/>
      <x:c r="AQ338" s="428"/>
      <x:c r="AR338" s="428"/>
      <x:c r="AS338" s="428"/>
      <x:c r="AT338" s="428"/>
      <x:c r="AU338" s="428"/>
      <x:c r="AV338" s="428"/>
      <x:c r="AW338" s="428"/>
      <x:c r="AX338" s="428"/>
      <x:c r="AY338" s="428"/>
      <x:c r="AZ338" s="428"/>
      <x:c r="BA338" s="428"/>
      <x:c r="BB338" s="428"/>
      <x:c r="BC338" s="428"/>
      <x:c r="BD338" s="428"/>
      <x:c r="BE338" s="428"/>
      <x:c r="BF338" s="428"/>
      <x:c r="BG338" s="428"/>
      <x:c r="BH338" s="428"/>
      <x:c r="BI338" s="428"/>
      <x:c r="BJ338" s="428"/>
      <x:c r="BK338" s="428"/>
      <x:c r="BL338" s="428"/>
      <x:c r="BM338" s="428"/>
      <x:c r="BN338" s="428"/>
      <x:c r="BO338" s="428"/>
      <x:c r="BP338" s="428"/>
      <x:c r="BQ338" s="428"/>
      <x:c r="BR338" s="428"/>
      <x:c r="BS338" s="428"/>
      <x:c r="BT338" s="428"/>
      <x:c r="BU338" s="428"/>
      <x:c r="BV338" s="428"/>
      <x:c r="BW338" s="428"/>
      <x:c r="BX338" s="428"/>
      <x:c r="BY338" s="428"/>
      <x:c r="BZ338" s="428"/>
      <x:c r="CA338" s="428"/>
      <x:c r="CB338" s="428"/>
      <x:c r="CC338" s="428"/>
      <x:c r="CD338" s="428"/>
      <x:c r="CE338" s="428"/>
      <x:c r="CF338" s="428"/>
      <x:c r="CG338" s="428"/>
      <x:c r="CH338" s="428"/>
      <x:c r="CI338" s="428"/>
      <x:c r="CJ338" s="428"/>
      <x:c r="CK338" s="428"/>
      <x:c r="CL338" s="428"/>
      <x:c r="CM338" s="428"/>
      <x:c r="CN338" s="428"/>
      <x:c r="CO338" s="428"/>
      <x:c r="CP338" s="428"/>
      <x:c r="CQ338" s="428"/>
      <x:c r="CR338" s="428"/>
      <x:c r="CS338" s="428"/>
      <x:c r="CT338" s="428"/>
      <x:c r="CU338" s="428"/>
      <x:c r="CV338" s="428"/>
      <x:c r="CW338" s="428"/>
      <x:c r="CX338" s="428"/>
      <x:c r="CY338" s="428"/>
      <x:c r="CZ338" s="428"/>
      <x:c r="DA338" s="428"/>
      <x:c r="DB338" s="428"/>
      <x:c r="DC338" s="428"/>
      <x:c r="DD338" s="428"/>
      <x:c r="DE338" s="428"/>
      <x:c r="DF338" s="428"/>
      <x:c r="DG338" s="428"/>
      <x:c r="DH338" s="428"/>
      <x:c r="DI338" s="428"/>
      <x:c r="DJ338" s="428"/>
      <x:c r="DK338" s="428"/>
      <x:c r="DL338" s="428"/>
      <x:c r="DM338" s="428"/>
      <x:c r="DN338" s="428"/>
      <x:c r="DO338" s="428"/>
      <x:c r="DP338" s="428"/>
      <x:c r="DQ338" s="428"/>
      <x:c r="DR338" s="428"/>
      <x:c r="DS338" s="428"/>
      <x:c r="DT338" s="428"/>
      <x:c r="DU338" s="428"/>
      <x:c r="DV338" s="428"/>
      <x:c r="DW338" s="428"/>
      <x:c r="DX338" s="428"/>
      <x:c r="DY338" s="428"/>
      <x:c r="DZ338" s="428"/>
      <x:c r="EA338" s="428"/>
      <x:c r="EB338" s="428"/>
      <x:c r="EC338" s="428"/>
      <x:c r="ED338" s="428"/>
      <x:c r="EE338" s="428"/>
      <x:c r="EF338" s="428"/>
      <x:c r="EG338" s="428"/>
      <x:c r="EH338" s="428"/>
      <x:c r="EI338" s="428"/>
      <x:c r="EJ338" s="428"/>
      <x:c r="EK338" s="428"/>
      <x:c r="EL338" s="428"/>
      <x:c r="EM338" s="428"/>
      <x:c r="EN338" s="428"/>
      <x:c r="EO338" s="428"/>
      <x:c r="EP338" s="428"/>
      <x:c r="EQ338" s="428"/>
      <x:c r="ER338" s="428"/>
      <x:c r="ES338" s="428"/>
      <x:c r="ET338" s="428"/>
      <x:c r="EU338" s="428"/>
      <x:c r="EV338" s="428"/>
      <x:c r="EW338" s="428"/>
      <x:c r="EX338" s="428"/>
      <x:c r="EY338" s="428"/>
      <x:c r="EZ338" s="428"/>
      <x:c r="FA338" s="428"/>
      <x:c r="FB338" s="428"/>
      <x:c r="FC338" s="428"/>
      <x:c r="FD338" s="428"/>
      <x:c r="FE338" s="428"/>
      <x:c r="FF338" s="428"/>
    </x:row>
    <x:row r="340" spans="6:162" s="430" customFormat="1" ht="15.75" customHeight="1">
      <x:c r="F340" s="428"/>
      <x:c r="G340" s="428"/>
      <x:c r="H340" s="428"/>
      <x:c r="I340" s="428"/>
      <x:c r="J340" s="428"/>
      <x:c r="K340" s="428"/>
      <x:c r="L340" s="428"/>
      <x:c r="M340" s="428"/>
      <x:c r="N340" s="428"/>
      <x:c r="O340" s="428"/>
      <x:c r="P340" s="428"/>
      <x:c r="Q340" s="428"/>
      <x:c r="R340" s="428"/>
      <x:c r="S340" s="428"/>
      <x:c r="T340" s="428"/>
      <x:c r="U340" s="428"/>
      <x:c r="V340" s="428"/>
      <x:c r="W340" s="428"/>
      <x:c r="X340" s="428"/>
      <x:c r="Y340" s="428"/>
      <x:c r="AA340" s="428"/>
      <x:c r="AC340" s="428"/>
      <x:c r="AD340" s="428"/>
      <x:c r="AE340" s="428"/>
      <x:c r="AF340" s="428"/>
      <x:c r="AG340" s="428"/>
      <x:c r="AH340" s="429"/>
      <x:c r="AI340" s="429"/>
      <x:c r="AJ340" s="428"/>
      <x:c r="AK340" s="428"/>
      <x:c r="AL340" s="428"/>
      <x:c r="AM340" s="428"/>
      <x:c r="AN340" s="428"/>
      <x:c r="AO340" s="428"/>
      <x:c r="AP340" s="428"/>
      <x:c r="AQ340" s="428"/>
      <x:c r="AR340" s="428"/>
      <x:c r="AS340" s="428"/>
      <x:c r="AT340" s="428"/>
      <x:c r="AU340" s="428"/>
      <x:c r="AV340" s="428"/>
      <x:c r="AW340" s="428"/>
      <x:c r="AX340" s="428"/>
      <x:c r="AY340" s="428"/>
      <x:c r="AZ340" s="428"/>
      <x:c r="BA340" s="428"/>
      <x:c r="BB340" s="428"/>
      <x:c r="BC340" s="428"/>
      <x:c r="BD340" s="428"/>
      <x:c r="BE340" s="428"/>
      <x:c r="BF340" s="428"/>
      <x:c r="BG340" s="428"/>
      <x:c r="BH340" s="428"/>
      <x:c r="BI340" s="428"/>
      <x:c r="BJ340" s="428"/>
      <x:c r="BK340" s="428"/>
      <x:c r="BL340" s="428"/>
      <x:c r="BM340" s="428"/>
      <x:c r="BN340" s="428"/>
      <x:c r="BO340" s="428"/>
      <x:c r="BP340" s="428"/>
      <x:c r="BQ340" s="428"/>
      <x:c r="BR340" s="428"/>
      <x:c r="BS340" s="428"/>
      <x:c r="BT340" s="428"/>
      <x:c r="BU340" s="428"/>
      <x:c r="BV340" s="428"/>
      <x:c r="BW340" s="428"/>
      <x:c r="BX340" s="428"/>
      <x:c r="BY340" s="428"/>
      <x:c r="BZ340" s="428"/>
      <x:c r="CA340" s="428"/>
      <x:c r="CB340" s="428"/>
      <x:c r="CC340" s="428"/>
      <x:c r="CD340" s="428"/>
      <x:c r="CE340" s="428"/>
      <x:c r="CF340" s="428"/>
      <x:c r="CG340" s="428"/>
      <x:c r="CH340" s="428"/>
      <x:c r="CI340" s="428"/>
      <x:c r="CJ340" s="428"/>
      <x:c r="CK340" s="428"/>
      <x:c r="CL340" s="428"/>
      <x:c r="CM340" s="428"/>
      <x:c r="CN340" s="428"/>
      <x:c r="CO340" s="428"/>
      <x:c r="CP340" s="428"/>
      <x:c r="CQ340" s="428"/>
      <x:c r="CR340" s="428"/>
      <x:c r="CS340" s="428"/>
      <x:c r="CT340" s="428"/>
      <x:c r="CU340" s="428"/>
      <x:c r="CV340" s="428"/>
      <x:c r="CW340" s="428"/>
      <x:c r="CX340" s="428"/>
      <x:c r="CY340" s="428"/>
      <x:c r="CZ340" s="428"/>
      <x:c r="DA340" s="428"/>
      <x:c r="DB340" s="428"/>
      <x:c r="DC340" s="428"/>
      <x:c r="DD340" s="428"/>
      <x:c r="DE340" s="428"/>
      <x:c r="DF340" s="428"/>
      <x:c r="DG340" s="428"/>
      <x:c r="DH340" s="428"/>
      <x:c r="DI340" s="428"/>
      <x:c r="DJ340" s="428"/>
      <x:c r="DK340" s="428"/>
      <x:c r="DL340" s="428"/>
      <x:c r="DM340" s="428"/>
      <x:c r="DN340" s="428"/>
      <x:c r="DO340" s="428"/>
      <x:c r="DP340" s="428"/>
      <x:c r="DQ340" s="428"/>
      <x:c r="DR340" s="428"/>
      <x:c r="DS340" s="428"/>
      <x:c r="DT340" s="428"/>
      <x:c r="DU340" s="428"/>
      <x:c r="DV340" s="428"/>
      <x:c r="DW340" s="428"/>
      <x:c r="DX340" s="428"/>
      <x:c r="DY340" s="428"/>
      <x:c r="DZ340" s="428"/>
      <x:c r="EA340" s="428"/>
      <x:c r="EB340" s="428"/>
      <x:c r="EC340" s="428"/>
      <x:c r="ED340" s="428"/>
      <x:c r="EE340" s="428"/>
      <x:c r="EF340" s="428"/>
      <x:c r="EG340" s="428"/>
      <x:c r="EH340" s="428"/>
      <x:c r="EI340" s="428"/>
      <x:c r="EJ340" s="428"/>
      <x:c r="EK340" s="428"/>
      <x:c r="EL340" s="428"/>
      <x:c r="EM340" s="428"/>
      <x:c r="EN340" s="428"/>
      <x:c r="EO340" s="428"/>
      <x:c r="EP340" s="428"/>
      <x:c r="EQ340" s="428"/>
      <x:c r="ER340" s="428"/>
      <x:c r="ES340" s="428"/>
      <x:c r="ET340" s="428"/>
      <x:c r="EU340" s="428"/>
      <x:c r="EV340" s="428"/>
      <x:c r="EW340" s="428"/>
      <x:c r="EX340" s="428"/>
      <x:c r="EY340" s="428"/>
      <x:c r="EZ340" s="428"/>
      <x:c r="FA340" s="428"/>
      <x:c r="FB340" s="428"/>
      <x:c r="FC340" s="428"/>
      <x:c r="FD340" s="428"/>
      <x:c r="FE340" s="428"/>
      <x:c r="FF340" s="428"/>
    </x:row>
    <x:row r="342" spans="6:162" s="430" customFormat="1" ht="15.75" customHeight="1">
      <x:c r="F342" s="428"/>
      <x:c r="G342" s="428"/>
      <x:c r="H342" s="428"/>
      <x:c r="I342" s="428"/>
      <x:c r="J342" s="428"/>
      <x:c r="K342" s="428"/>
      <x:c r="L342" s="428"/>
      <x:c r="M342" s="428"/>
      <x:c r="N342" s="428"/>
      <x:c r="O342" s="428"/>
      <x:c r="P342" s="428"/>
      <x:c r="Q342" s="428"/>
      <x:c r="R342" s="428"/>
      <x:c r="S342" s="428"/>
      <x:c r="T342" s="428"/>
      <x:c r="U342" s="428"/>
      <x:c r="V342" s="428"/>
      <x:c r="W342" s="428"/>
      <x:c r="X342" s="428"/>
      <x:c r="Y342" s="428"/>
      <x:c r="AA342" s="428"/>
      <x:c r="AC342" s="428"/>
      <x:c r="AD342" s="428"/>
      <x:c r="AE342" s="428"/>
      <x:c r="AF342" s="428"/>
      <x:c r="AG342" s="428"/>
      <x:c r="AH342" s="429"/>
      <x:c r="AI342" s="429"/>
      <x:c r="AJ342" s="428"/>
      <x:c r="AK342" s="428"/>
      <x:c r="AL342" s="428"/>
      <x:c r="AM342" s="428"/>
      <x:c r="AN342" s="428"/>
      <x:c r="AO342" s="428"/>
      <x:c r="AP342" s="428"/>
      <x:c r="AQ342" s="428"/>
      <x:c r="AR342" s="428"/>
      <x:c r="AS342" s="428"/>
      <x:c r="AT342" s="428"/>
      <x:c r="AU342" s="428"/>
      <x:c r="AV342" s="428"/>
      <x:c r="AW342" s="428"/>
      <x:c r="AX342" s="428"/>
      <x:c r="AY342" s="428"/>
      <x:c r="AZ342" s="428"/>
      <x:c r="BA342" s="428"/>
      <x:c r="BB342" s="428"/>
      <x:c r="BC342" s="428"/>
      <x:c r="BD342" s="428"/>
      <x:c r="BE342" s="428"/>
      <x:c r="BF342" s="428"/>
      <x:c r="BG342" s="428"/>
      <x:c r="BH342" s="428"/>
      <x:c r="BI342" s="428"/>
      <x:c r="BJ342" s="428"/>
      <x:c r="BK342" s="428"/>
      <x:c r="BL342" s="428"/>
      <x:c r="BM342" s="428"/>
      <x:c r="BN342" s="428"/>
      <x:c r="BO342" s="428"/>
      <x:c r="BP342" s="428"/>
      <x:c r="BQ342" s="428"/>
      <x:c r="BR342" s="428"/>
      <x:c r="BS342" s="428"/>
      <x:c r="BT342" s="428"/>
      <x:c r="BU342" s="428"/>
      <x:c r="BV342" s="428"/>
      <x:c r="BW342" s="428"/>
      <x:c r="BX342" s="428"/>
      <x:c r="BY342" s="428"/>
      <x:c r="BZ342" s="428"/>
      <x:c r="CA342" s="428"/>
      <x:c r="CB342" s="428"/>
      <x:c r="CC342" s="428"/>
      <x:c r="CD342" s="428"/>
      <x:c r="CE342" s="428"/>
      <x:c r="CF342" s="428"/>
      <x:c r="CG342" s="428"/>
      <x:c r="CH342" s="428"/>
      <x:c r="CI342" s="428"/>
      <x:c r="CJ342" s="428"/>
      <x:c r="CK342" s="428"/>
      <x:c r="CL342" s="428"/>
      <x:c r="CM342" s="428"/>
      <x:c r="CN342" s="428"/>
      <x:c r="CO342" s="428"/>
      <x:c r="CP342" s="428"/>
      <x:c r="CQ342" s="428"/>
      <x:c r="CR342" s="428"/>
      <x:c r="CS342" s="428"/>
      <x:c r="CT342" s="428"/>
      <x:c r="CU342" s="428"/>
      <x:c r="CV342" s="428"/>
      <x:c r="CW342" s="428"/>
      <x:c r="CX342" s="428"/>
      <x:c r="CY342" s="428"/>
      <x:c r="CZ342" s="428"/>
      <x:c r="DA342" s="428"/>
      <x:c r="DB342" s="428"/>
      <x:c r="DC342" s="428"/>
      <x:c r="DD342" s="428"/>
      <x:c r="DE342" s="428"/>
      <x:c r="DF342" s="428"/>
      <x:c r="DG342" s="428"/>
      <x:c r="DH342" s="428"/>
      <x:c r="DI342" s="428"/>
      <x:c r="DJ342" s="428"/>
      <x:c r="DK342" s="428"/>
      <x:c r="DL342" s="428"/>
      <x:c r="DM342" s="428"/>
      <x:c r="DN342" s="428"/>
      <x:c r="DO342" s="428"/>
      <x:c r="DP342" s="428"/>
      <x:c r="DQ342" s="428"/>
      <x:c r="DR342" s="428"/>
      <x:c r="DS342" s="428"/>
      <x:c r="DT342" s="428"/>
      <x:c r="DU342" s="428"/>
      <x:c r="DV342" s="428"/>
      <x:c r="DW342" s="428"/>
      <x:c r="DX342" s="428"/>
      <x:c r="DY342" s="428"/>
      <x:c r="DZ342" s="428"/>
      <x:c r="EA342" s="428"/>
      <x:c r="EB342" s="428"/>
      <x:c r="EC342" s="428"/>
      <x:c r="ED342" s="428"/>
      <x:c r="EE342" s="428"/>
      <x:c r="EF342" s="428"/>
      <x:c r="EG342" s="428"/>
      <x:c r="EH342" s="428"/>
      <x:c r="EI342" s="428"/>
      <x:c r="EJ342" s="428"/>
      <x:c r="EK342" s="428"/>
      <x:c r="EL342" s="428"/>
      <x:c r="EM342" s="428"/>
      <x:c r="EN342" s="428"/>
      <x:c r="EO342" s="428"/>
      <x:c r="EP342" s="428"/>
      <x:c r="EQ342" s="428"/>
      <x:c r="ER342" s="428"/>
      <x:c r="ES342" s="428"/>
      <x:c r="ET342" s="428"/>
      <x:c r="EU342" s="428"/>
      <x:c r="EV342" s="428"/>
      <x:c r="EW342" s="428"/>
      <x:c r="EX342" s="428"/>
      <x:c r="EY342" s="428"/>
      <x:c r="EZ342" s="428"/>
      <x:c r="FA342" s="428"/>
      <x:c r="FB342" s="428"/>
      <x:c r="FC342" s="428"/>
      <x:c r="FD342" s="428"/>
      <x:c r="FE342" s="428"/>
      <x:c r="FF342" s="428"/>
    </x:row>
    <x:row r="344" spans="6:162" s="430" customFormat="1" ht="15.75" customHeight="1">
      <x:c r="F344" s="428"/>
      <x:c r="G344" s="428"/>
      <x:c r="H344" s="428"/>
      <x:c r="I344" s="428"/>
      <x:c r="J344" s="428"/>
      <x:c r="K344" s="428"/>
      <x:c r="L344" s="428"/>
      <x:c r="M344" s="428"/>
      <x:c r="N344" s="428"/>
      <x:c r="O344" s="428"/>
      <x:c r="P344" s="428"/>
      <x:c r="Q344" s="428"/>
      <x:c r="R344" s="428"/>
      <x:c r="S344" s="428"/>
      <x:c r="T344" s="428"/>
      <x:c r="U344" s="428"/>
      <x:c r="V344" s="428"/>
      <x:c r="W344" s="428"/>
      <x:c r="X344" s="428"/>
      <x:c r="Y344" s="428"/>
      <x:c r="AA344" s="428"/>
      <x:c r="AC344" s="428"/>
      <x:c r="AD344" s="428"/>
      <x:c r="AE344" s="428"/>
      <x:c r="AF344" s="428"/>
      <x:c r="AG344" s="428"/>
      <x:c r="AH344" s="429"/>
      <x:c r="AI344" s="429"/>
      <x:c r="AJ344" s="428"/>
      <x:c r="AK344" s="428"/>
      <x:c r="AL344" s="428"/>
      <x:c r="AM344" s="428"/>
      <x:c r="AN344" s="428"/>
      <x:c r="AO344" s="428"/>
      <x:c r="AP344" s="428"/>
      <x:c r="AQ344" s="428"/>
      <x:c r="AR344" s="428"/>
      <x:c r="AS344" s="428"/>
      <x:c r="AT344" s="428"/>
      <x:c r="AU344" s="428"/>
      <x:c r="AV344" s="428"/>
      <x:c r="AW344" s="428"/>
      <x:c r="AX344" s="428"/>
      <x:c r="AY344" s="428"/>
      <x:c r="AZ344" s="428"/>
      <x:c r="BA344" s="428"/>
      <x:c r="BB344" s="428"/>
      <x:c r="BC344" s="428"/>
      <x:c r="BD344" s="428"/>
      <x:c r="BE344" s="428"/>
      <x:c r="BF344" s="428"/>
      <x:c r="BG344" s="428"/>
      <x:c r="BH344" s="428"/>
      <x:c r="BI344" s="428"/>
      <x:c r="BJ344" s="428"/>
      <x:c r="BK344" s="428"/>
      <x:c r="BL344" s="428"/>
      <x:c r="BM344" s="428"/>
      <x:c r="BN344" s="428"/>
      <x:c r="BO344" s="428"/>
      <x:c r="BP344" s="428"/>
      <x:c r="BQ344" s="428"/>
      <x:c r="BR344" s="428"/>
      <x:c r="BS344" s="428"/>
      <x:c r="BT344" s="428"/>
      <x:c r="BU344" s="428"/>
      <x:c r="BV344" s="428"/>
      <x:c r="BW344" s="428"/>
      <x:c r="BX344" s="428"/>
      <x:c r="BY344" s="428"/>
      <x:c r="BZ344" s="428"/>
      <x:c r="CA344" s="428"/>
      <x:c r="CB344" s="428"/>
      <x:c r="CC344" s="428"/>
      <x:c r="CD344" s="428"/>
      <x:c r="CE344" s="428"/>
      <x:c r="CF344" s="428"/>
      <x:c r="CG344" s="428"/>
      <x:c r="CH344" s="428"/>
      <x:c r="CI344" s="428"/>
      <x:c r="CJ344" s="428"/>
      <x:c r="CK344" s="428"/>
      <x:c r="CL344" s="428"/>
      <x:c r="CM344" s="428"/>
      <x:c r="CN344" s="428"/>
      <x:c r="CO344" s="428"/>
      <x:c r="CP344" s="428"/>
      <x:c r="CQ344" s="428"/>
      <x:c r="CR344" s="428"/>
      <x:c r="CS344" s="428"/>
      <x:c r="CT344" s="428"/>
      <x:c r="CU344" s="428"/>
      <x:c r="CV344" s="428"/>
      <x:c r="CW344" s="428"/>
      <x:c r="CX344" s="428"/>
      <x:c r="CY344" s="428"/>
      <x:c r="CZ344" s="428"/>
      <x:c r="DA344" s="428"/>
      <x:c r="DB344" s="428"/>
      <x:c r="DC344" s="428"/>
      <x:c r="DD344" s="428"/>
      <x:c r="DE344" s="428"/>
      <x:c r="DF344" s="428"/>
      <x:c r="DG344" s="428"/>
      <x:c r="DH344" s="428"/>
      <x:c r="DI344" s="428"/>
      <x:c r="DJ344" s="428"/>
      <x:c r="DK344" s="428"/>
      <x:c r="DL344" s="428"/>
      <x:c r="DM344" s="428"/>
      <x:c r="DN344" s="428"/>
      <x:c r="DO344" s="428"/>
      <x:c r="DP344" s="428"/>
      <x:c r="DQ344" s="428"/>
      <x:c r="DR344" s="428"/>
      <x:c r="DS344" s="428"/>
      <x:c r="DT344" s="428"/>
      <x:c r="DU344" s="428"/>
      <x:c r="DV344" s="428"/>
      <x:c r="DW344" s="428"/>
      <x:c r="DX344" s="428"/>
      <x:c r="DY344" s="428"/>
      <x:c r="DZ344" s="428"/>
      <x:c r="EA344" s="428"/>
      <x:c r="EB344" s="428"/>
      <x:c r="EC344" s="428"/>
      <x:c r="ED344" s="428"/>
      <x:c r="EE344" s="428"/>
      <x:c r="EF344" s="428"/>
      <x:c r="EG344" s="428"/>
      <x:c r="EH344" s="428"/>
      <x:c r="EI344" s="428"/>
      <x:c r="EJ344" s="428"/>
      <x:c r="EK344" s="428"/>
      <x:c r="EL344" s="428"/>
      <x:c r="EM344" s="428"/>
      <x:c r="EN344" s="428"/>
      <x:c r="EO344" s="428"/>
      <x:c r="EP344" s="428"/>
      <x:c r="EQ344" s="428"/>
      <x:c r="ER344" s="428"/>
      <x:c r="ES344" s="428"/>
      <x:c r="ET344" s="428"/>
      <x:c r="EU344" s="428"/>
      <x:c r="EV344" s="428"/>
      <x:c r="EW344" s="428"/>
      <x:c r="EX344" s="428"/>
      <x:c r="EY344" s="428"/>
      <x:c r="EZ344" s="428"/>
      <x:c r="FA344" s="428"/>
      <x:c r="FB344" s="428"/>
      <x:c r="FC344" s="428"/>
      <x:c r="FD344" s="428"/>
      <x:c r="FE344" s="428"/>
      <x:c r="FF344" s="428"/>
    </x:row>
    <x:row r="346" spans="6:162" s="430" customFormat="1" ht="15.75" customHeight="1">
      <x:c r="F346" s="428"/>
      <x:c r="G346" s="428"/>
      <x:c r="H346" s="428"/>
      <x:c r="I346" s="428"/>
      <x:c r="J346" s="428"/>
      <x:c r="K346" s="428"/>
      <x:c r="L346" s="428"/>
      <x:c r="M346" s="428"/>
      <x:c r="N346" s="428"/>
      <x:c r="O346" s="428"/>
      <x:c r="P346" s="428"/>
      <x:c r="Q346" s="428"/>
      <x:c r="R346" s="428"/>
      <x:c r="S346" s="428"/>
      <x:c r="T346" s="428"/>
      <x:c r="U346" s="428"/>
      <x:c r="V346" s="428"/>
      <x:c r="W346" s="428"/>
      <x:c r="X346" s="428"/>
      <x:c r="Y346" s="428"/>
      <x:c r="AA346" s="428"/>
      <x:c r="AC346" s="428"/>
      <x:c r="AD346" s="428"/>
      <x:c r="AE346" s="428"/>
      <x:c r="AF346" s="428"/>
      <x:c r="AG346" s="428"/>
      <x:c r="AH346" s="429"/>
      <x:c r="AI346" s="429"/>
      <x:c r="AJ346" s="428"/>
      <x:c r="AK346" s="428"/>
      <x:c r="AL346" s="428"/>
      <x:c r="AM346" s="428"/>
      <x:c r="AN346" s="428"/>
      <x:c r="AO346" s="428"/>
      <x:c r="AP346" s="428"/>
      <x:c r="AQ346" s="428"/>
      <x:c r="AR346" s="428"/>
      <x:c r="AS346" s="428"/>
      <x:c r="AT346" s="428"/>
      <x:c r="AU346" s="428"/>
      <x:c r="AV346" s="428"/>
      <x:c r="AW346" s="428"/>
      <x:c r="AX346" s="428"/>
      <x:c r="AY346" s="428"/>
      <x:c r="AZ346" s="428"/>
      <x:c r="BA346" s="428"/>
      <x:c r="BB346" s="428"/>
      <x:c r="BC346" s="428"/>
      <x:c r="BD346" s="428"/>
      <x:c r="BE346" s="428"/>
      <x:c r="BF346" s="428"/>
      <x:c r="BG346" s="428"/>
      <x:c r="BH346" s="428"/>
      <x:c r="BI346" s="428"/>
      <x:c r="BJ346" s="428"/>
      <x:c r="BK346" s="428"/>
      <x:c r="BL346" s="428"/>
      <x:c r="BM346" s="428"/>
      <x:c r="BN346" s="428"/>
      <x:c r="BO346" s="428"/>
      <x:c r="BP346" s="428"/>
      <x:c r="BQ346" s="428"/>
      <x:c r="BR346" s="428"/>
      <x:c r="BS346" s="428"/>
      <x:c r="BT346" s="428"/>
      <x:c r="BU346" s="428"/>
      <x:c r="BV346" s="428"/>
      <x:c r="BW346" s="428"/>
      <x:c r="BX346" s="428"/>
      <x:c r="BY346" s="428"/>
      <x:c r="BZ346" s="428"/>
      <x:c r="CA346" s="428"/>
      <x:c r="CB346" s="428"/>
      <x:c r="CC346" s="428"/>
      <x:c r="CD346" s="428"/>
      <x:c r="CE346" s="428"/>
      <x:c r="CF346" s="428"/>
      <x:c r="CG346" s="428"/>
      <x:c r="CH346" s="428"/>
      <x:c r="CI346" s="428"/>
      <x:c r="CJ346" s="428"/>
      <x:c r="CK346" s="428"/>
      <x:c r="CL346" s="428"/>
      <x:c r="CM346" s="428"/>
      <x:c r="CN346" s="428"/>
      <x:c r="CO346" s="428"/>
      <x:c r="CP346" s="428"/>
      <x:c r="CQ346" s="428"/>
      <x:c r="CR346" s="428"/>
      <x:c r="CS346" s="428"/>
      <x:c r="CT346" s="428"/>
      <x:c r="CU346" s="428"/>
      <x:c r="CV346" s="428"/>
      <x:c r="CW346" s="428"/>
      <x:c r="CX346" s="428"/>
      <x:c r="CY346" s="428"/>
      <x:c r="CZ346" s="428"/>
      <x:c r="DA346" s="428"/>
      <x:c r="DB346" s="428"/>
      <x:c r="DC346" s="428"/>
      <x:c r="DD346" s="428"/>
      <x:c r="DE346" s="428"/>
      <x:c r="DF346" s="428"/>
      <x:c r="DG346" s="428"/>
      <x:c r="DH346" s="428"/>
      <x:c r="DI346" s="428"/>
      <x:c r="DJ346" s="428"/>
      <x:c r="DK346" s="428"/>
      <x:c r="DL346" s="428"/>
      <x:c r="DM346" s="428"/>
      <x:c r="DN346" s="428"/>
      <x:c r="DO346" s="428"/>
      <x:c r="DP346" s="428"/>
      <x:c r="DQ346" s="428"/>
      <x:c r="DR346" s="428"/>
      <x:c r="DS346" s="428"/>
      <x:c r="DT346" s="428"/>
      <x:c r="DU346" s="428"/>
      <x:c r="DV346" s="428"/>
      <x:c r="DW346" s="428"/>
      <x:c r="DX346" s="428"/>
      <x:c r="DY346" s="428"/>
      <x:c r="DZ346" s="428"/>
      <x:c r="EA346" s="428"/>
      <x:c r="EB346" s="428"/>
      <x:c r="EC346" s="428"/>
      <x:c r="ED346" s="428"/>
      <x:c r="EE346" s="428"/>
      <x:c r="EF346" s="428"/>
      <x:c r="EG346" s="428"/>
      <x:c r="EH346" s="428"/>
      <x:c r="EI346" s="428"/>
      <x:c r="EJ346" s="428"/>
      <x:c r="EK346" s="428"/>
      <x:c r="EL346" s="428"/>
      <x:c r="EM346" s="428"/>
      <x:c r="EN346" s="428"/>
      <x:c r="EO346" s="428"/>
      <x:c r="EP346" s="428"/>
      <x:c r="EQ346" s="428"/>
      <x:c r="ER346" s="428"/>
      <x:c r="ES346" s="428"/>
      <x:c r="ET346" s="428"/>
      <x:c r="EU346" s="428"/>
      <x:c r="EV346" s="428"/>
      <x:c r="EW346" s="428"/>
      <x:c r="EX346" s="428"/>
      <x:c r="EY346" s="428"/>
      <x:c r="EZ346" s="428"/>
      <x:c r="FA346" s="428"/>
      <x:c r="FB346" s="428"/>
      <x:c r="FC346" s="428"/>
      <x:c r="FD346" s="428"/>
      <x:c r="FE346" s="428"/>
      <x:c r="FF346" s="428"/>
    </x:row>
    <x:row r="348" spans="6:162" s="430" customFormat="1" ht="15.75" customHeight="1">
      <x:c r="F348" s="428"/>
      <x:c r="G348" s="428"/>
      <x:c r="H348" s="428"/>
      <x:c r="I348" s="428"/>
      <x:c r="J348" s="428"/>
      <x:c r="K348" s="428"/>
      <x:c r="L348" s="428"/>
      <x:c r="M348" s="428"/>
      <x:c r="N348" s="428"/>
      <x:c r="O348" s="428"/>
      <x:c r="P348" s="428"/>
      <x:c r="Q348" s="428"/>
      <x:c r="R348" s="428"/>
      <x:c r="S348" s="428"/>
      <x:c r="T348" s="428"/>
      <x:c r="U348" s="428"/>
      <x:c r="V348" s="428"/>
      <x:c r="W348" s="428"/>
      <x:c r="X348" s="428"/>
      <x:c r="Y348" s="428"/>
      <x:c r="AA348" s="428"/>
      <x:c r="AC348" s="428"/>
      <x:c r="AD348" s="428"/>
      <x:c r="AE348" s="428"/>
      <x:c r="AF348" s="428"/>
      <x:c r="AG348" s="428"/>
      <x:c r="AH348" s="429"/>
      <x:c r="AI348" s="429"/>
      <x:c r="AJ348" s="428"/>
      <x:c r="AK348" s="428"/>
      <x:c r="AL348" s="428"/>
      <x:c r="AM348" s="428"/>
      <x:c r="AN348" s="428"/>
      <x:c r="AO348" s="428"/>
      <x:c r="AP348" s="428"/>
      <x:c r="AQ348" s="428"/>
      <x:c r="AR348" s="428"/>
      <x:c r="AS348" s="428"/>
      <x:c r="AT348" s="428"/>
      <x:c r="AU348" s="428"/>
      <x:c r="AV348" s="428"/>
      <x:c r="AW348" s="428"/>
      <x:c r="AX348" s="428"/>
      <x:c r="AY348" s="428"/>
      <x:c r="AZ348" s="428"/>
      <x:c r="BA348" s="428"/>
      <x:c r="BB348" s="428"/>
      <x:c r="BC348" s="428"/>
      <x:c r="BD348" s="428"/>
      <x:c r="BE348" s="428"/>
      <x:c r="BF348" s="428"/>
      <x:c r="BG348" s="428"/>
      <x:c r="BH348" s="428"/>
      <x:c r="BI348" s="428"/>
      <x:c r="BJ348" s="428"/>
      <x:c r="BK348" s="428"/>
      <x:c r="BL348" s="428"/>
      <x:c r="BM348" s="428"/>
      <x:c r="BN348" s="428"/>
      <x:c r="BO348" s="428"/>
      <x:c r="BP348" s="428"/>
      <x:c r="BQ348" s="428"/>
      <x:c r="BR348" s="428"/>
      <x:c r="BS348" s="428"/>
      <x:c r="BT348" s="428"/>
      <x:c r="BU348" s="428"/>
      <x:c r="BV348" s="428"/>
      <x:c r="BW348" s="428"/>
      <x:c r="BX348" s="428"/>
      <x:c r="BY348" s="428"/>
      <x:c r="BZ348" s="428"/>
      <x:c r="CA348" s="428"/>
      <x:c r="CB348" s="428"/>
      <x:c r="CC348" s="428"/>
      <x:c r="CD348" s="428"/>
      <x:c r="CE348" s="428"/>
      <x:c r="CF348" s="428"/>
      <x:c r="CG348" s="428"/>
      <x:c r="CH348" s="428"/>
      <x:c r="CI348" s="428"/>
      <x:c r="CJ348" s="428"/>
      <x:c r="CK348" s="428"/>
      <x:c r="CL348" s="428"/>
      <x:c r="CM348" s="428"/>
      <x:c r="CN348" s="428"/>
      <x:c r="CO348" s="428"/>
      <x:c r="CP348" s="428"/>
      <x:c r="CQ348" s="428"/>
      <x:c r="CR348" s="428"/>
      <x:c r="CS348" s="428"/>
      <x:c r="CT348" s="428"/>
      <x:c r="CU348" s="428"/>
      <x:c r="CV348" s="428"/>
      <x:c r="CW348" s="428"/>
      <x:c r="CX348" s="428"/>
      <x:c r="CY348" s="428"/>
      <x:c r="CZ348" s="428"/>
      <x:c r="DA348" s="428"/>
      <x:c r="DB348" s="428"/>
      <x:c r="DC348" s="428"/>
      <x:c r="DD348" s="428"/>
      <x:c r="DE348" s="428"/>
      <x:c r="DF348" s="428"/>
      <x:c r="DG348" s="428"/>
      <x:c r="DH348" s="428"/>
      <x:c r="DI348" s="428"/>
      <x:c r="DJ348" s="428"/>
      <x:c r="DK348" s="428"/>
      <x:c r="DL348" s="428"/>
      <x:c r="DM348" s="428"/>
      <x:c r="DN348" s="428"/>
      <x:c r="DO348" s="428"/>
      <x:c r="DP348" s="428"/>
      <x:c r="DQ348" s="428"/>
      <x:c r="DR348" s="428"/>
      <x:c r="DS348" s="428"/>
      <x:c r="DT348" s="428"/>
      <x:c r="DU348" s="428"/>
      <x:c r="DV348" s="428"/>
      <x:c r="DW348" s="428"/>
      <x:c r="DX348" s="428"/>
      <x:c r="DY348" s="428"/>
      <x:c r="DZ348" s="428"/>
      <x:c r="EA348" s="428"/>
      <x:c r="EB348" s="428"/>
      <x:c r="EC348" s="428"/>
      <x:c r="ED348" s="428"/>
      <x:c r="EE348" s="428"/>
      <x:c r="EF348" s="428"/>
      <x:c r="EG348" s="428"/>
      <x:c r="EH348" s="428"/>
      <x:c r="EI348" s="428"/>
      <x:c r="EJ348" s="428"/>
      <x:c r="EK348" s="428"/>
      <x:c r="EL348" s="428"/>
      <x:c r="EM348" s="428"/>
      <x:c r="EN348" s="428"/>
      <x:c r="EO348" s="428"/>
      <x:c r="EP348" s="428"/>
      <x:c r="EQ348" s="428"/>
      <x:c r="ER348" s="428"/>
      <x:c r="ES348" s="428"/>
      <x:c r="ET348" s="428"/>
      <x:c r="EU348" s="428"/>
      <x:c r="EV348" s="428"/>
      <x:c r="EW348" s="428"/>
      <x:c r="EX348" s="428"/>
      <x:c r="EY348" s="428"/>
      <x:c r="EZ348" s="428"/>
      <x:c r="FA348" s="428"/>
      <x:c r="FB348" s="428"/>
      <x:c r="FC348" s="428"/>
      <x:c r="FD348" s="428"/>
      <x:c r="FE348" s="428"/>
      <x:c r="FF348" s="428"/>
    </x:row>
    <x:row r="350" spans="6:162" s="430" customFormat="1" ht="15.75" customHeight="1">
      <x:c r="F350" s="428"/>
      <x:c r="G350" s="428"/>
      <x:c r="H350" s="428"/>
      <x:c r="I350" s="428"/>
      <x:c r="J350" s="428"/>
      <x:c r="K350" s="428"/>
      <x:c r="L350" s="428"/>
      <x:c r="M350" s="428"/>
      <x:c r="N350" s="428"/>
      <x:c r="O350" s="428"/>
      <x:c r="P350" s="428"/>
      <x:c r="Q350" s="428"/>
      <x:c r="R350" s="428"/>
      <x:c r="S350" s="428"/>
      <x:c r="T350" s="428"/>
      <x:c r="U350" s="428"/>
      <x:c r="V350" s="428"/>
      <x:c r="W350" s="428"/>
      <x:c r="X350" s="428"/>
      <x:c r="Y350" s="428"/>
      <x:c r="AA350" s="428"/>
      <x:c r="AC350" s="428"/>
      <x:c r="AD350" s="428"/>
      <x:c r="AE350" s="428"/>
      <x:c r="AF350" s="428"/>
      <x:c r="AG350" s="428"/>
      <x:c r="AH350" s="429"/>
      <x:c r="AI350" s="429"/>
      <x:c r="AJ350" s="428"/>
      <x:c r="AK350" s="428"/>
      <x:c r="AL350" s="428"/>
      <x:c r="AM350" s="428"/>
      <x:c r="AN350" s="428"/>
      <x:c r="AO350" s="428"/>
      <x:c r="AP350" s="428"/>
      <x:c r="AQ350" s="428"/>
      <x:c r="AR350" s="428"/>
      <x:c r="AS350" s="428"/>
      <x:c r="AT350" s="428"/>
      <x:c r="AU350" s="428"/>
      <x:c r="AV350" s="428"/>
      <x:c r="AW350" s="428"/>
      <x:c r="AX350" s="428"/>
      <x:c r="AY350" s="428"/>
      <x:c r="AZ350" s="428"/>
      <x:c r="BA350" s="428"/>
      <x:c r="BB350" s="428"/>
      <x:c r="BC350" s="428"/>
      <x:c r="BD350" s="428"/>
      <x:c r="BE350" s="428"/>
      <x:c r="BF350" s="428"/>
      <x:c r="BG350" s="428"/>
      <x:c r="BH350" s="428"/>
      <x:c r="BI350" s="428"/>
      <x:c r="BJ350" s="428"/>
      <x:c r="BK350" s="428"/>
      <x:c r="BL350" s="428"/>
      <x:c r="BM350" s="428"/>
      <x:c r="BN350" s="428"/>
      <x:c r="BO350" s="428"/>
      <x:c r="BP350" s="428"/>
      <x:c r="BQ350" s="428"/>
      <x:c r="BR350" s="428"/>
      <x:c r="BS350" s="428"/>
      <x:c r="BT350" s="428"/>
      <x:c r="BU350" s="428"/>
      <x:c r="BV350" s="428"/>
      <x:c r="BW350" s="428"/>
      <x:c r="BX350" s="428"/>
      <x:c r="BY350" s="428"/>
      <x:c r="BZ350" s="428"/>
      <x:c r="CA350" s="428"/>
      <x:c r="CB350" s="428"/>
      <x:c r="CC350" s="428"/>
      <x:c r="CD350" s="428"/>
      <x:c r="CE350" s="428"/>
      <x:c r="CF350" s="428"/>
      <x:c r="CG350" s="428"/>
      <x:c r="CH350" s="428"/>
      <x:c r="CI350" s="428"/>
      <x:c r="CJ350" s="428"/>
      <x:c r="CK350" s="428"/>
      <x:c r="CL350" s="428"/>
      <x:c r="CM350" s="428"/>
      <x:c r="CN350" s="428"/>
      <x:c r="CO350" s="428"/>
      <x:c r="CP350" s="428"/>
      <x:c r="CQ350" s="428"/>
      <x:c r="CR350" s="428"/>
      <x:c r="CS350" s="428"/>
      <x:c r="CT350" s="428"/>
      <x:c r="CU350" s="428"/>
      <x:c r="CV350" s="428"/>
      <x:c r="CW350" s="428"/>
      <x:c r="CX350" s="428"/>
      <x:c r="CY350" s="428"/>
      <x:c r="CZ350" s="428"/>
      <x:c r="DA350" s="428"/>
      <x:c r="DB350" s="428"/>
      <x:c r="DC350" s="428"/>
      <x:c r="DD350" s="428"/>
      <x:c r="DE350" s="428"/>
      <x:c r="DF350" s="428"/>
      <x:c r="DG350" s="428"/>
      <x:c r="DH350" s="428"/>
      <x:c r="DI350" s="428"/>
      <x:c r="DJ350" s="428"/>
      <x:c r="DK350" s="428"/>
      <x:c r="DL350" s="428"/>
      <x:c r="DM350" s="428"/>
      <x:c r="DN350" s="428"/>
      <x:c r="DO350" s="428"/>
      <x:c r="DP350" s="428"/>
      <x:c r="DQ350" s="428"/>
      <x:c r="DR350" s="428"/>
      <x:c r="DS350" s="428"/>
      <x:c r="DT350" s="428"/>
      <x:c r="DU350" s="428"/>
      <x:c r="DV350" s="428"/>
      <x:c r="DW350" s="428"/>
      <x:c r="DX350" s="428"/>
      <x:c r="DY350" s="428"/>
      <x:c r="DZ350" s="428"/>
      <x:c r="EA350" s="428"/>
      <x:c r="EB350" s="428"/>
      <x:c r="EC350" s="428"/>
      <x:c r="ED350" s="428"/>
      <x:c r="EE350" s="428"/>
      <x:c r="EF350" s="428"/>
      <x:c r="EG350" s="428"/>
      <x:c r="EH350" s="428"/>
      <x:c r="EI350" s="428"/>
      <x:c r="EJ350" s="428"/>
      <x:c r="EK350" s="428"/>
      <x:c r="EL350" s="428"/>
      <x:c r="EM350" s="428"/>
      <x:c r="EN350" s="428"/>
      <x:c r="EO350" s="428"/>
      <x:c r="EP350" s="428"/>
      <x:c r="EQ350" s="428"/>
      <x:c r="ER350" s="428"/>
      <x:c r="ES350" s="428"/>
      <x:c r="ET350" s="428"/>
      <x:c r="EU350" s="428"/>
      <x:c r="EV350" s="428"/>
      <x:c r="EW350" s="428"/>
      <x:c r="EX350" s="428"/>
      <x:c r="EY350" s="428"/>
      <x:c r="EZ350" s="428"/>
      <x:c r="FA350" s="428"/>
      <x:c r="FB350" s="428"/>
      <x:c r="FC350" s="428"/>
      <x:c r="FD350" s="428"/>
      <x:c r="FE350" s="428"/>
      <x:c r="FF350" s="428"/>
    </x:row>
    <x:row r="352" spans="6:162" s="430" customFormat="1" ht="15.75" customHeight="1">
      <x:c r="F352" s="428"/>
      <x:c r="G352" s="428"/>
      <x:c r="H352" s="428"/>
      <x:c r="I352" s="428"/>
      <x:c r="J352" s="428"/>
      <x:c r="K352" s="428"/>
      <x:c r="L352" s="428"/>
      <x:c r="M352" s="428"/>
      <x:c r="N352" s="428"/>
      <x:c r="O352" s="428"/>
      <x:c r="P352" s="428"/>
      <x:c r="Q352" s="428"/>
      <x:c r="R352" s="428"/>
      <x:c r="S352" s="428"/>
      <x:c r="T352" s="428"/>
      <x:c r="U352" s="428"/>
      <x:c r="V352" s="428"/>
      <x:c r="W352" s="428"/>
      <x:c r="X352" s="428"/>
      <x:c r="Y352" s="428"/>
      <x:c r="AA352" s="428"/>
      <x:c r="AC352" s="428"/>
      <x:c r="AD352" s="428"/>
      <x:c r="AE352" s="428"/>
      <x:c r="AF352" s="428"/>
      <x:c r="AG352" s="428"/>
      <x:c r="AH352" s="429"/>
      <x:c r="AI352" s="429"/>
      <x:c r="AJ352" s="428"/>
      <x:c r="AK352" s="428"/>
      <x:c r="AL352" s="428"/>
      <x:c r="AM352" s="428"/>
      <x:c r="AN352" s="428"/>
      <x:c r="AO352" s="428"/>
      <x:c r="AP352" s="428"/>
      <x:c r="AQ352" s="428"/>
      <x:c r="AR352" s="428"/>
      <x:c r="AS352" s="428"/>
      <x:c r="AT352" s="428"/>
      <x:c r="AU352" s="428"/>
      <x:c r="AV352" s="428"/>
      <x:c r="AW352" s="428"/>
      <x:c r="AX352" s="428"/>
      <x:c r="AY352" s="428"/>
      <x:c r="AZ352" s="428"/>
      <x:c r="BA352" s="428"/>
      <x:c r="BB352" s="428"/>
      <x:c r="BC352" s="428"/>
      <x:c r="BD352" s="428"/>
      <x:c r="BE352" s="428"/>
      <x:c r="BF352" s="428"/>
      <x:c r="BG352" s="428"/>
      <x:c r="BH352" s="428"/>
      <x:c r="BI352" s="428"/>
      <x:c r="BJ352" s="428"/>
      <x:c r="BK352" s="428"/>
      <x:c r="BL352" s="428"/>
      <x:c r="BM352" s="428"/>
      <x:c r="BN352" s="428"/>
      <x:c r="BO352" s="428"/>
      <x:c r="BP352" s="428"/>
      <x:c r="BQ352" s="428"/>
      <x:c r="BR352" s="428"/>
      <x:c r="BS352" s="428"/>
      <x:c r="BT352" s="428"/>
      <x:c r="BU352" s="428"/>
      <x:c r="BV352" s="428"/>
      <x:c r="BW352" s="428"/>
      <x:c r="BX352" s="428"/>
      <x:c r="BY352" s="428"/>
      <x:c r="BZ352" s="428"/>
      <x:c r="CA352" s="428"/>
      <x:c r="CB352" s="428"/>
      <x:c r="CC352" s="428"/>
      <x:c r="CD352" s="428"/>
      <x:c r="CE352" s="428"/>
      <x:c r="CF352" s="428"/>
      <x:c r="CG352" s="428"/>
      <x:c r="CH352" s="428"/>
      <x:c r="CI352" s="428"/>
      <x:c r="CJ352" s="428"/>
      <x:c r="CK352" s="428"/>
      <x:c r="CL352" s="428"/>
      <x:c r="CM352" s="428"/>
      <x:c r="CN352" s="428"/>
      <x:c r="CO352" s="428"/>
      <x:c r="CP352" s="428"/>
      <x:c r="CQ352" s="428"/>
      <x:c r="CR352" s="428"/>
      <x:c r="CS352" s="428"/>
      <x:c r="CT352" s="428"/>
      <x:c r="CU352" s="428"/>
      <x:c r="CV352" s="428"/>
      <x:c r="CW352" s="428"/>
      <x:c r="CX352" s="428"/>
      <x:c r="CY352" s="428"/>
      <x:c r="CZ352" s="428"/>
      <x:c r="DA352" s="428"/>
      <x:c r="DB352" s="428"/>
      <x:c r="DC352" s="428"/>
      <x:c r="DD352" s="428"/>
      <x:c r="DE352" s="428"/>
      <x:c r="DF352" s="428"/>
      <x:c r="DG352" s="428"/>
      <x:c r="DH352" s="428"/>
      <x:c r="DI352" s="428"/>
      <x:c r="DJ352" s="428"/>
      <x:c r="DK352" s="428"/>
      <x:c r="DL352" s="428"/>
      <x:c r="DM352" s="428"/>
      <x:c r="DN352" s="428"/>
      <x:c r="DO352" s="428"/>
      <x:c r="DP352" s="428"/>
      <x:c r="DQ352" s="428"/>
      <x:c r="DR352" s="428"/>
      <x:c r="DS352" s="428"/>
      <x:c r="DT352" s="428"/>
      <x:c r="DU352" s="428"/>
      <x:c r="DV352" s="428"/>
      <x:c r="DW352" s="428"/>
      <x:c r="DX352" s="428"/>
      <x:c r="DY352" s="428"/>
      <x:c r="DZ352" s="428"/>
      <x:c r="EA352" s="428"/>
      <x:c r="EB352" s="428"/>
      <x:c r="EC352" s="428"/>
      <x:c r="ED352" s="428"/>
      <x:c r="EE352" s="428"/>
      <x:c r="EF352" s="428"/>
      <x:c r="EG352" s="428"/>
      <x:c r="EH352" s="428"/>
      <x:c r="EI352" s="428"/>
      <x:c r="EJ352" s="428"/>
      <x:c r="EK352" s="428"/>
      <x:c r="EL352" s="428"/>
      <x:c r="EM352" s="428"/>
      <x:c r="EN352" s="428"/>
      <x:c r="EO352" s="428"/>
      <x:c r="EP352" s="428"/>
      <x:c r="EQ352" s="428"/>
      <x:c r="ER352" s="428"/>
      <x:c r="ES352" s="428"/>
      <x:c r="ET352" s="428"/>
      <x:c r="EU352" s="428"/>
      <x:c r="EV352" s="428"/>
      <x:c r="EW352" s="428"/>
      <x:c r="EX352" s="428"/>
      <x:c r="EY352" s="428"/>
      <x:c r="EZ352" s="428"/>
      <x:c r="FA352" s="428"/>
      <x:c r="FB352" s="428"/>
      <x:c r="FC352" s="428"/>
      <x:c r="FD352" s="428"/>
      <x:c r="FE352" s="428"/>
      <x:c r="FF352" s="428"/>
    </x:row>
    <x:row r="354" spans="6:162" s="430" customFormat="1" ht="15.75" customHeight="1">
      <x:c r="F354" s="428"/>
      <x:c r="G354" s="428"/>
      <x:c r="H354" s="428"/>
      <x:c r="I354" s="428"/>
      <x:c r="J354" s="428"/>
      <x:c r="K354" s="428"/>
      <x:c r="L354" s="428"/>
      <x:c r="M354" s="428"/>
      <x:c r="N354" s="428"/>
      <x:c r="O354" s="428"/>
      <x:c r="P354" s="428"/>
      <x:c r="Q354" s="428"/>
      <x:c r="R354" s="428"/>
      <x:c r="S354" s="428"/>
      <x:c r="T354" s="428"/>
      <x:c r="U354" s="428"/>
      <x:c r="V354" s="428"/>
      <x:c r="W354" s="428"/>
      <x:c r="X354" s="428"/>
      <x:c r="Y354" s="428"/>
      <x:c r="AA354" s="428"/>
      <x:c r="AC354" s="428"/>
      <x:c r="AD354" s="428"/>
      <x:c r="AE354" s="428"/>
      <x:c r="AF354" s="428"/>
      <x:c r="AG354" s="428"/>
      <x:c r="AH354" s="429"/>
      <x:c r="AI354" s="429"/>
      <x:c r="AJ354" s="428"/>
      <x:c r="AK354" s="428"/>
      <x:c r="AL354" s="428"/>
      <x:c r="AM354" s="428"/>
      <x:c r="AN354" s="428"/>
      <x:c r="AO354" s="428"/>
      <x:c r="AP354" s="428"/>
      <x:c r="AQ354" s="428"/>
      <x:c r="AR354" s="428"/>
      <x:c r="AS354" s="428"/>
      <x:c r="AT354" s="428"/>
      <x:c r="AU354" s="428"/>
      <x:c r="AV354" s="428"/>
      <x:c r="AW354" s="428"/>
      <x:c r="AX354" s="428"/>
      <x:c r="AY354" s="428"/>
      <x:c r="AZ354" s="428"/>
      <x:c r="BA354" s="428"/>
      <x:c r="BB354" s="428"/>
      <x:c r="BC354" s="428"/>
      <x:c r="BD354" s="428"/>
      <x:c r="BE354" s="428"/>
      <x:c r="BF354" s="428"/>
      <x:c r="BG354" s="428"/>
      <x:c r="BH354" s="428"/>
      <x:c r="BI354" s="428"/>
      <x:c r="BJ354" s="428"/>
      <x:c r="BK354" s="428"/>
      <x:c r="BL354" s="428"/>
      <x:c r="BM354" s="428"/>
      <x:c r="BN354" s="428"/>
      <x:c r="BO354" s="428"/>
      <x:c r="BP354" s="428"/>
      <x:c r="BQ354" s="428"/>
      <x:c r="BR354" s="428"/>
      <x:c r="BS354" s="428"/>
      <x:c r="BT354" s="428"/>
      <x:c r="BU354" s="428"/>
      <x:c r="BV354" s="428"/>
      <x:c r="BW354" s="428"/>
      <x:c r="BX354" s="428"/>
      <x:c r="BY354" s="428"/>
      <x:c r="BZ354" s="428"/>
      <x:c r="CA354" s="428"/>
      <x:c r="CB354" s="428"/>
      <x:c r="CC354" s="428"/>
      <x:c r="CD354" s="428"/>
      <x:c r="CE354" s="428"/>
      <x:c r="CF354" s="428"/>
      <x:c r="CG354" s="428"/>
      <x:c r="CH354" s="428"/>
      <x:c r="CI354" s="428"/>
      <x:c r="CJ354" s="428"/>
      <x:c r="CK354" s="428"/>
      <x:c r="CL354" s="428"/>
      <x:c r="CM354" s="428"/>
      <x:c r="CN354" s="428"/>
      <x:c r="CO354" s="428"/>
      <x:c r="CP354" s="428"/>
      <x:c r="CQ354" s="428"/>
      <x:c r="CR354" s="428"/>
      <x:c r="CS354" s="428"/>
      <x:c r="CT354" s="428"/>
      <x:c r="CU354" s="428"/>
      <x:c r="CV354" s="428"/>
      <x:c r="CW354" s="428"/>
      <x:c r="CX354" s="428"/>
      <x:c r="CY354" s="428"/>
      <x:c r="CZ354" s="428"/>
      <x:c r="DA354" s="428"/>
      <x:c r="DB354" s="428"/>
      <x:c r="DC354" s="428"/>
      <x:c r="DD354" s="428"/>
      <x:c r="DE354" s="428"/>
      <x:c r="DF354" s="428"/>
      <x:c r="DG354" s="428"/>
      <x:c r="DH354" s="428"/>
      <x:c r="DI354" s="428"/>
      <x:c r="DJ354" s="428"/>
      <x:c r="DK354" s="428"/>
      <x:c r="DL354" s="428"/>
      <x:c r="DM354" s="428"/>
      <x:c r="DN354" s="428"/>
      <x:c r="DO354" s="428"/>
      <x:c r="DP354" s="428"/>
      <x:c r="DQ354" s="428"/>
      <x:c r="DR354" s="428"/>
      <x:c r="DS354" s="428"/>
      <x:c r="DT354" s="428"/>
      <x:c r="DU354" s="428"/>
      <x:c r="DV354" s="428"/>
      <x:c r="DW354" s="428"/>
      <x:c r="DX354" s="428"/>
      <x:c r="DY354" s="428"/>
      <x:c r="DZ354" s="428"/>
      <x:c r="EA354" s="428"/>
      <x:c r="EB354" s="428"/>
      <x:c r="EC354" s="428"/>
      <x:c r="ED354" s="428"/>
      <x:c r="EE354" s="428"/>
      <x:c r="EF354" s="428"/>
      <x:c r="EG354" s="428"/>
      <x:c r="EH354" s="428"/>
      <x:c r="EI354" s="428"/>
      <x:c r="EJ354" s="428"/>
      <x:c r="EK354" s="428"/>
      <x:c r="EL354" s="428"/>
      <x:c r="EM354" s="428"/>
      <x:c r="EN354" s="428"/>
      <x:c r="EO354" s="428"/>
      <x:c r="EP354" s="428"/>
      <x:c r="EQ354" s="428"/>
      <x:c r="ER354" s="428"/>
      <x:c r="ES354" s="428"/>
      <x:c r="ET354" s="428"/>
      <x:c r="EU354" s="428"/>
      <x:c r="EV354" s="428"/>
      <x:c r="EW354" s="428"/>
      <x:c r="EX354" s="428"/>
      <x:c r="EY354" s="428"/>
      <x:c r="EZ354" s="428"/>
      <x:c r="FA354" s="428"/>
      <x:c r="FB354" s="428"/>
      <x:c r="FC354" s="428"/>
      <x:c r="FD354" s="428"/>
      <x:c r="FE354" s="428"/>
      <x:c r="FF354" s="428"/>
    </x:row>
    <x:row r="356" spans="6:162" s="430" customFormat="1" ht="15.75" customHeight="1">
      <x:c r="F356" s="428"/>
      <x:c r="G356" s="428"/>
      <x:c r="H356" s="428"/>
      <x:c r="I356" s="428"/>
      <x:c r="J356" s="428"/>
      <x:c r="K356" s="428"/>
      <x:c r="L356" s="428"/>
      <x:c r="M356" s="428"/>
      <x:c r="N356" s="428"/>
      <x:c r="O356" s="428"/>
      <x:c r="P356" s="428"/>
      <x:c r="Q356" s="428"/>
      <x:c r="R356" s="428"/>
      <x:c r="S356" s="428"/>
      <x:c r="T356" s="428"/>
      <x:c r="U356" s="428"/>
      <x:c r="V356" s="428"/>
      <x:c r="W356" s="428"/>
      <x:c r="X356" s="428"/>
      <x:c r="Y356" s="428"/>
      <x:c r="AA356" s="428"/>
      <x:c r="AC356" s="428"/>
      <x:c r="AD356" s="428"/>
      <x:c r="AE356" s="428"/>
      <x:c r="AF356" s="428"/>
      <x:c r="AG356" s="428"/>
      <x:c r="AH356" s="429"/>
      <x:c r="AI356" s="429"/>
      <x:c r="AJ356" s="428"/>
      <x:c r="AK356" s="428"/>
      <x:c r="AL356" s="428"/>
      <x:c r="AM356" s="428"/>
      <x:c r="AN356" s="428"/>
      <x:c r="AO356" s="428"/>
      <x:c r="AP356" s="428"/>
      <x:c r="AQ356" s="428"/>
      <x:c r="AR356" s="428"/>
      <x:c r="AS356" s="428"/>
      <x:c r="AT356" s="428"/>
      <x:c r="AU356" s="428"/>
      <x:c r="AV356" s="428"/>
      <x:c r="AW356" s="428"/>
      <x:c r="AX356" s="428"/>
      <x:c r="AY356" s="428"/>
      <x:c r="AZ356" s="428"/>
      <x:c r="BA356" s="428"/>
      <x:c r="BB356" s="428"/>
      <x:c r="BC356" s="428"/>
      <x:c r="BD356" s="428"/>
      <x:c r="BE356" s="428"/>
      <x:c r="BF356" s="428"/>
      <x:c r="BG356" s="428"/>
      <x:c r="BH356" s="428"/>
      <x:c r="BI356" s="428"/>
      <x:c r="BJ356" s="428"/>
      <x:c r="BK356" s="428"/>
      <x:c r="BL356" s="428"/>
      <x:c r="BM356" s="428"/>
      <x:c r="BN356" s="428"/>
      <x:c r="BO356" s="428"/>
      <x:c r="BP356" s="428"/>
      <x:c r="BQ356" s="428"/>
      <x:c r="BR356" s="428"/>
      <x:c r="BS356" s="428"/>
      <x:c r="BT356" s="428"/>
      <x:c r="BU356" s="428"/>
      <x:c r="BV356" s="428"/>
      <x:c r="BW356" s="428"/>
      <x:c r="BX356" s="428"/>
      <x:c r="BY356" s="428"/>
      <x:c r="BZ356" s="428"/>
      <x:c r="CA356" s="428"/>
      <x:c r="CB356" s="428"/>
      <x:c r="CC356" s="428"/>
      <x:c r="CD356" s="428"/>
      <x:c r="CE356" s="428"/>
      <x:c r="CF356" s="428"/>
      <x:c r="CG356" s="428"/>
      <x:c r="CH356" s="428"/>
      <x:c r="CI356" s="428"/>
      <x:c r="CJ356" s="428"/>
      <x:c r="CK356" s="428"/>
      <x:c r="CL356" s="428"/>
      <x:c r="CM356" s="428"/>
      <x:c r="CN356" s="428"/>
      <x:c r="CO356" s="428"/>
      <x:c r="CP356" s="428"/>
      <x:c r="CQ356" s="428"/>
      <x:c r="CR356" s="428"/>
      <x:c r="CS356" s="428"/>
      <x:c r="CT356" s="428"/>
      <x:c r="CU356" s="428"/>
      <x:c r="CV356" s="428"/>
      <x:c r="CW356" s="428"/>
      <x:c r="CX356" s="428"/>
      <x:c r="CY356" s="428"/>
      <x:c r="CZ356" s="428"/>
      <x:c r="DA356" s="428"/>
      <x:c r="DB356" s="428"/>
      <x:c r="DC356" s="428"/>
      <x:c r="DD356" s="428"/>
      <x:c r="DE356" s="428"/>
      <x:c r="DF356" s="428"/>
      <x:c r="DG356" s="428"/>
      <x:c r="DH356" s="428"/>
      <x:c r="DI356" s="428"/>
      <x:c r="DJ356" s="428"/>
      <x:c r="DK356" s="428"/>
      <x:c r="DL356" s="428"/>
      <x:c r="DM356" s="428"/>
      <x:c r="DN356" s="428"/>
      <x:c r="DO356" s="428"/>
      <x:c r="DP356" s="428"/>
      <x:c r="DQ356" s="428"/>
      <x:c r="DR356" s="428"/>
      <x:c r="DS356" s="428"/>
      <x:c r="DT356" s="428"/>
      <x:c r="DU356" s="428"/>
      <x:c r="DV356" s="428"/>
      <x:c r="DW356" s="428"/>
      <x:c r="DX356" s="428"/>
      <x:c r="DY356" s="428"/>
      <x:c r="DZ356" s="428"/>
      <x:c r="EA356" s="428"/>
      <x:c r="EB356" s="428"/>
      <x:c r="EC356" s="428"/>
      <x:c r="ED356" s="428"/>
      <x:c r="EE356" s="428"/>
      <x:c r="EF356" s="428"/>
      <x:c r="EG356" s="428"/>
      <x:c r="EH356" s="428"/>
      <x:c r="EI356" s="428"/>
      <x:c r="EJ356" s="428"/>
      <x:c r="EK356" s="428"/>
      <x:c r="EL356" s="428"/>
      <x:c r="EM356" s="428"/>
      <x:c r="EN356" s="428"/>
      <x:c r="EO356" s="428"/>
      <x:c r="EP356" s="428"/>
      <x:c r="EQ356" s="428"/>
      <x:c r="ER356" s="428"/>
      <x:c r="ES356" s="428"/>
      <x:c r="ET356" s="428"/>
      <x:c r="EU356" s="428"/>
      <x:c r="EV356" s="428"/>
      <x:c r="EW356" s="428"/>
      <x:c r="EX356" s="428"/>
      <x:c r="EY356" s="428"/>
      <x:c r="EZ356" s="428"/>
      <x:c r="FA356" s="428"/>
      <x:c r="FB356" s="428"/>
      <x:c r="FC356" s="428"/>
      <x:c r="FD356" s="428"/>
      <x:c r="FE356" s="428"/>
      <x:c r="FF356" s="428"/>
    </x:row>
    <x:row r="358" spans="6:162" s="430" customFormat="1" ht="15.75" customHeight="1">
      <x:c r="F358" s="428"/>
      <x:c r="G358" s="428"/>
      <x:c r="H358" s="428"/>
      <x:c r="I358" s="428"/>
      <x:c r="J358" s="428"/>
      <x:c r="K358" s="428"/>
      <x:c r="L358" s="428"/>
      <x:c r="M358" s="428"/>
      <x:c r="N358" s="428"/>
      <x:c r="O358" s="428"/>
      <x:c r="P358" s="428"/>
      <x:c r="Q358" s="428"/>
      <x:c r="R358" s="428"/>
      <x:c r="S358" s="428"/>
      <x:c r="T358" s="428"/>
      <x:c r="U358" s="428"/>
      <x:c r="V358" s="428"/>
      <x:c r="W358" s="428"/>
      <x:c r="X358" s="428"/>
      <x:c r="Y358" s="428"/>
      <x:c r="AA358" s="428"/>
      <x:c r="AC358" s="428"/>
      <x:c r="AD358" s="428"/>
      <x:c r="AE358" s="428"/>
      <x:c r="AF358" s="428"/>
      <x:c r="AG358" s="428"/>
      <x:c r="AH358" s="429"/>
      <x:c r="AI358" s="429"/>
      <x:c r="AJ358" s="428"/>
      <x:c r="AK358" s="428"/>
      <x:c r="AL358" s="428"/>
      <x:c r="AM358" s="428"/>
      <x:c r="AN358" s="428"/>
      <x:c r="AO358" s="428"/>
      <x:c r="AP358" s="428"/>
      <x:c r="AQ358" s="428"/>
      <x:c r="AR358" s="428"/>
      <x:c r="AS358" s="428"/>
      <x:c r="AT358" s="428"/>
      <x:c r="AU358" s="428"/>
      <x:c r="AV358" s="428"/>
      <x:c r="AW358" s="428"/>
      <x:c r="AX358" s="428"/>
      <x:c r="AY358" s="428"/>
      <x:c r="AZ358" s="428"/>
      <x:c r="BA358" s="428"/>
      <x:c r="BB358" s="428"/>
      <x:c r="BC358" s="428"/>
      <x:c r="BD358" s="428"/>
      <x:c r="BE358" s="428"/>
      <x:c r="BF358" s="428"/>
      <x:c r="BG358" s="428"/>
      <x:c r="BH358" s="428"/>
      <x:c r="BI358" s="428"/>
      <x:c r="BJ358" s="428"/>
      <x:c r="BK358" s="428"/>
      <x:c r="BL358" s="428"/>
      <x:c r="BM358" s="428"/>
      <x:c r="BN358" s="428"/>
      <x:c r="BO358" s="428"/>
      <x:c r="BP358" s="428"/>
      <x:c r="BQ358" s="428"/>
      <x:c r="BR358" s="428"/>
      <x:c r="BS358" s="428"/>
      <x:c r="BT358" s="428"/>
      <x:c r="BU358" s="428"/>
      <x:c r="BV358" s="428"/>
      <x:c r="BW358" s="428"/>
      <x:c r="BX358" s="428"/>
      <x:c r="BY358" s="428"/>
      <x:c r="BZ358" s="428"/>
      <x:c r="CA358" s="428"/>
      <x:c r="CB358" s="428"/>
      <x:c r="CC358" s="428"/>
      <x:c r="CD358" s="428"/>
      <x:c r="CE358" s="428"/>
      <x:c r="CF358" s="428"/>
      <x:c r="CG358" s="428"/>
      <x:c r="CH358" s="428"/>
      <x:c r="CI358" s="428"/>
      <x:c r="CJ358" s="428"/>
      <x:c r="CK358" s="428"/>
      <x:c r="CL358" s="428"/>
      <x:c r="CM358" s="428"/>
      <x:c r="CN358" s="428"/>
      <x:c r="CO358" s="428"/>
      <x:c r="CP358" s="428"/>
      <x:c r="CQ358" s="428"/>
      <x:c r="CR358" s="428"/>
      <x:c r="CS358" s="428"/>
      <x:c r="CT358" s="428"/>
      <x:c r="CU358" s="428"/>
      <x:c r="CV358" s="428"/>
      <x:c r="CW358" s="428"/>
      <x:c r="CX358" s="428"/>
      <x:c r="CY358" s="428"/>
      <x:c r="CZ358" s="428"/>
      <x:c r="DA358" s="428"/>
      <x:c r="DB358" s="428"/>
      <x:c r="DC358" s="428"/>
      <x:c r="DD358" s="428"/>
      <x:c r="DE358" s="428"/>
      <x:c r="DF358" s="428"/>
      <x:c r="DG358" s="428"/>
      <x:c r="DH358" s="428"/>
      <x:c r="DI358" s="428"/>
      <x:c r="DJ358" s="428"/>
      <x:c r="DK358" s="428"/>
      <x:c r="DL358" s="428"/>
      <x:c r="DM358" s="428"/>
      <x:c r="DN358" s="428"/>
      <x:c r="DO358" s="428"/>
      <x:c r="DP358" s="428"/>
      <x:c r="DQ358" s="428"/>
      <x:c r="DR358" s="428"/>
      <x:c r="DS358" s="428"/>
      <x:c r="DT358" s="428"/>
      <x:c r="DU358" s="428"/>
      <x:c r="DV358" s="428"/>
      <x:c r="DW358" s="428"/>
      <x:c r="DX358" s="428"/>
      <x:c r="DY358" s="428"/>
      <x:c r="DZ358" s="428"/>
      <x:c r="EA358" s="428"/>
      <x:c r="EB358" s="428"/>
      <x:c r="EC358" s="428"/>
      <x:c r="ED358" s="428"/>
      <x:c r="EE358" s="428"/>
      <x:c r="EF358" s="428"/>
      <x:c r="EG358" s="428"/>
      <x:c r="EH358" s="428"/>
      <x:c r="EI358" s="428"/>
      <x:c r="EJ358" s="428"/>
      <x:c r="EK358" s="428"/>
      <x:c r="EL358" s="428"/>
      <x:c r="EM358" s="428"/>
      <x:c r="EN358" s="428"/>
      <x:c r="EO358" s="428"/>
      <x:c r="EP358" s="428"/>
      <x:c r="EQ358" s="428"/>
      <x:c r="ER358" s="428"/>
      <x:c r="ES358" s="428"/>
      <x:c r="ET358" s="428"/>
      <x:c r="EU358" s="428"/>
      <x:c r="EV358" s="428"/>
      <x:c r="EW358" s="428"/>
      <x:c r="EX358" s="428"/>
      <x:c r="EY358" s="428"/>
      <x:c r="EZ358" s="428"/>
      <x:c r="FA358" s="428"/>
      <x:c r="FB358" s="428"/>
      <x:c r="FC358" s="428"/>
      <x:c r="FD358" s="428"/>
      <x:c r="FE358" s="428"/>
      <x:c r="FF358" s="428"/>
    </x:row>
    <x:row r="360" spans="6:162" s="430" customFormat="1" ht="15.75" customHeight="1">
      <x:c r="F360" s="428"/>
      <x:c r="G360" s="428"/>
      <x:c r="H360" s="428"/>
      <x:c r="I360" s="428"/>
      <x:c r="J360" s="428"/>
      <x:c r="K360" s="428"/>
      <x:c r="L360" s="428"/>
      <x:c r="M360" s="428"/>
      <x:c r="N360" s="428"/>
      <x:c r="O360" s="428"/>
      <x:c r="P360" s="428"/>
      <x:c r="Q360" s="428"/>
      <x:c r="R360" s="428"/>
      <x:c r="S360" s="428"/>
      <x:c r="T360" s="428"/>
      <x:c r="U360" s="428"/>
      <x:c r="V360" s="428"/>
      <x:c r="W360" s="428"/>
      <x:c r="X360" s="428"/>
      <x:c r="Y360" s="428"/>
      <x:c r="AA360" s="428"/>
      <x:c r="AC360" s="428"/>
      <x:c r="AD360" s="428"/>
      <x:c r="AE360" s="428"/>
      <x:c r="AF360" s="428"/>
      <x:c r="AG360" s="428"/>
      <x:c r="AH360" s="429"/>
      <x:c r="AI360" s="429"/>
      <x:c r="AJ360" s="428"/>
      <x:c r="AK360" s="428"/>
      <x:c r="AL360" s="428"/>
      <x:c r="AM360" s="428"/>
      <x:c r="AN360" s="428"/>
      <x:c r="AO360" s="428"/>
      <x:c r="AP360" s="428"/>
      <x:c r="AQ360" s="428"/>
      <x:c r="AR360" s="428"/>
      <x:c r="AS360" s="428"/>
      <x:c r="AT360" s="428"/>
      <x:c r="AU360" s="428"/>
      <x:c r="AV360" s="428"/>
      <x:c r="AW360" s="428"/>
      <x:c r="AX360" s="428"/>
      <x:c r="AY360" s="428"/>
      <x:c r="AZ360" s="428"/>
      <x:c r="BA360" s="428"/>
      <x:c r="BB360" s="428"/>
      <x:c r="BC360" s="428"/>
      <x:c r="BD360" s="428"/>
      <x:c r="BE360" s="428"/>
      <x:c r="BF360" s="428"/>
      <x:c r="BG360" s="428"/>
      <x:c r="BH360" s="428"/>
      <x:c r="BI360" s="428"/>
      <x:c r="BJ360" s="428"/>
      <x:c r="BK360" s="428"/>
      <x:c r="BL360" s="428"/>
      <x:c r="BM360" s="428"/>
      <x:c r="BN360" s="428"/>
      <x:c r="BO360" s="428"/>
      <x:c r="BP360" s="428"/>
      <x:c r="BQ360" s="428"/>
      <x:c r="BR360" s="428"/>
      <x:c r="BS360" s="428"/>
      <x:c r="BT360" s="428"/>
      <x:c r="BU360" s="428"/>
      <x:c r="BV360" s="428"/>
      <x:c r="BW360" s="428"/>
      <x:c r="BX360" s="428"/>
      <x:c r="BY360" s="428"/>
      <x:c r="BZ360" s="428"/>
      <x:c r="CA360" s="428"/>
      <x:c r="CB360" s="428"/>
      <x:c r="CC360" s="428"/>
      <x:c r="CD360" s="428"/>
      <x:c r="CE360" s="428"/>
      <x:c r="CF360" s="428"/>
      <x:c r="CG360" s="428"/>
      <x:c r="CH360" s="428"/>
      <x:c r="CI360" s="428"/>
      <x:c r="CJ360" s="428"/>
      <x:c r="CK360" s="428"/>
      <x:c r="CL360" s="428"/>
      <x:c r="CM360" s="428"/>
      <x:c r="CN360" s="428"/>
      <x:c r="CO360" s="428"/>
      <x:c r="CP360" s="428"/>
      <x:c r="CQ360" s="428"/>
      <x:c r="CR360" s="428"/>
      <x:c r="CS360" s="428"/>
      <x:c r="CT360" s="428"/>
      <x:c r="CU360" s="428"/>
      <x:c r="CV360" s="428"/>
      <x:c r="CW360" s="428"/>
      <x:c r="CX360" s="428"/>
      <x:c r="CY360" s="428"/>
      <x:c r="CZ360" s="428"/>
      <x:c r="DA360" s="428"/>
      <x:c r="DB360" s="428"/>
      <x:c r="DC360" s="428"/>
      <x:c r="DD360" s="428"/>
      <x:c r="DE360" s="428"/>
      <x:c r="DF360" s="428"/>
      <x:c r="DG360" s="428"/>
      <x:c r="DH360" s="428"/>
      <x:c r="DI360" s="428"/>
      <x:c r="DJ360" s="428"/>
      <x:c r="DK360" s="428"/>
      <x:c r="DL360" s="428"/>
      <x:c r="DM360" s="428"/>
      <x:c r="DN360" s="428"/>
      <x:c r="DO360" s="428"/>
      <x:c r="DP360" s="428"/>
      <x:c r="DQ360" s="428"/>
      <x:c r="DR360" s="428"/>
      <x:c r="DS360" s="428"/>
      <x:c r="DT360" s="428"/>
      <x:c r="DU360" s="428"/>
      <x:c r="DV360" s="428"/>
      <x:c r="DW360" s="428"/>
      <x:c r="DX360" s="428"/>
      <x:c r="DY360" s="428"/>
      <x:c r="DZ360" s="428"/>
      <x:c r="EA360" s="428"/>
      <x:c r="EB360" s="428"/>
      <x:c r="EC360" s="428"/>
      <x:c r="ED360" s="428"/>
      <x:c r="EE360" s="428"/>
      <x:c r="EF360" s="428"/>
      <x:c r="EG360" s="428"/>
      <x:c r="EH360" s="428"/>
      <x:c r="EI360" s="428"/>
      <x:c r="EJ360" s="428"/>
      <x:c r="EK360" s="428"/>
      <x:c r="EL360" s="428"/>
      <x:c r="EM360" s="428"/>
      <x:c r="EN360" s="428"/>
      <x:c r="EO360" s="428"/>
      <x:c r="EP360" s="428"/>
      <x:c r="EQ360" s="428"/>
      <x:c r="ER360" s="428"/>
      <x:c r="ES360" s="428"/>
      <x:c r="ET360" s="428"/>
      <x:c r="EU360" s="428"/>
      <x:c r="EV360" s="428"/>
      <x:c r="EW360" s="428"/>
      <x:c r="EX360" s="428"/>
      <x:c r="EY360" s="428"/>
      <x:c r="EZ360" s="428"/>
      <x:c r="FA360" s="428"/>
      <x:c r="FB360" s="428"/>
      <x:c r="FC360" s="428"/>
      <x:c r="FD360" s="428"/>
      <x:c r="FE360" s="428"/>
      <x:c r="FF360" s="428"/>
    </x:row>
    <x:row r="362" spans="6:162" s="430" customFormat="1" ht="15.75" customHeight="1">
      <x:c r="F362" s="428"/>
      <x:c r="G362" s="428"/>
      <x:c r="H362" s="428"/>
      <x:c r="I362" s="428"/>
      <x:c r="J362" s="428"/>
      <x:c r="K362" s="428"/>
      <x:c r="L362" s="428"/>
      <x:c r="M362" s="428"/>
      <x:c r="N362" s="428"/>
      <x:c r="O362" s="428"/>
      <x:c r="P362" s="428"/>
      <x:c r="Q362" s="428"/>
      <x:c r="R362" s="428"/>
      <x:c r="S362" s="428"/>
      <x:c r="T362" s="428"/>
      <x:c r="U362" s="428"/>
      <x:c r="V362" s="428"/>
      <x:c r="W362" s="428"/>
      <x:c r="X362" s="428"/>
      <x:c r="Y362" s="428"/>
      <x:c r="AA362" s="428"/>
      <x:c r="AC362" s="428"/>
      <x:c r="AD362" s="428"/>
      <x:c r="AE362" s="428"/>
      <x:c r="AF362" s="428"/>
      <x:c r="AG362" s="428"/>
      <x:c r="AH362" s="429"/>
      <x:c r="AI362" s="429"/>
      <x:c r="AJ362" s="428"/>
      <x:c r="AK362" s="428"/>
      <x:c r="AL362" s="428"/>
      <x:c r="AM362" s="428"/>
      <x:c r="AN362" s="428"/>
      <x:c r="AO362" s="428"/>
      <x:c r="AP362" s="428"/>
      <x:c r="AQ362" s="428"/>
      <x:c r="AR362" s="428"/>
      <x:c r="AS362" s="428"/>
      <x:c r="AT362" s="428"/>
      <x:c r="AU362" s="428"/>
      <x:c r="AV362" s="428"/>
      <x:c r="AW362" s="428"/>
      <x:c r="AX362" s="428"/>
      <x:c r="AY362" s="428"/>
      <x:c r="AZ362" s="428"/>
      <x:c r="BA362" s="428"/>
      <x:c r="BB362" s="428"/>
      <x:c r="BC362" s="428"/>
      <x:c r="BD362" s="428"/>
      <x:c r="BE362" s="428"/>
      <x:c r="BF362" s="428"/>
      <x:c r="BG362" s="428"/>
      <x:c r="BH362" s="428"/>
      <x:c r="BI362" s="428"/>
      <x:c r="BJ362" s="428"/>
      <x:c r="BK362" s="428"/>
      <x:c r="BL362" s="428"/>
      <x:c r="BM362" s="428"/>
      <x:c r="BN362" s="428"/>
      <x:c r="BO362" s="428"/>
      <x:c r="BP362" s="428"/>
      <x:c r="BQ362" s="428"/>
      <x:c r="BR362" s="428"/>
      <x:c r="BS362" s="428"/>
      <x:c r="BT362" s="428"/>
      <x:c r="BU362" s="428"/>
      <x:c r="BV362" s="428"/>
      <x:c r="BW362" s="428"/>
      <x:c r="BX362" s="428"/>
      <x:c r="BY362" s="428"/>
      <x:c r="BZ362" s="428"/>
      <x:c r="CA362" s="428"/>
      <x:c r="CB362" s="428"/>
      <x:c r="CC362" s="428"/>
      <x:c r="CD362" s="428"/>
      <x:c r="CE362" s="428"/>
      <x:c r="CF362" s="428"/>
      <x:c r="CG362" s="428"/>
      <x:c r="CH362" s="428"/>
      <x:c r="CI362" s="428"/>
      <x:c r="CJ362" s="428"/>
      <x:c r="CK362" s="428"/>
      <x:c r="CL362" s="428"/>
      <x:c r="CM362" s="428"/>
      <x:c r="CN362" s="428"/>
      <x:c r="CO362" s="428"/>
      <x:c r="CP362" s="428"/>
      <x:c r="CQ362" s="428"/>
      <x:c r="CR362" s="428"/>
      <x:c r="CS362" s="428"/>
      <x:c r="CT362" s="428"/>
      <x:c r="CU362" s="428"/>
      <x:c r="CV362" s="428"/>
      <x:c r="CW362" s="428"/>
      <x:c r="CX362" s="428"/>
      <x:c r="CY362" s="428"/>
      <x:c r="CZ362" s="428"/>
      <x:c r="DA362" s="428"/>
      <x:c r="DB362" s="428"/>
      <x:c r="DC362" s="428"/>
      <x:c r="DD362" s="428"/>
      <x:c r="DE362" s="428"/>
      <x:c r="DF362" s="428"/>
      <x:c r="DG362" s="428"/>
      <x:c r="DH362" s="428"/>
      <x:c r="DI362" s="428"/>
      <x:c r="DJ362" s="428"/>
      <x:c r="DK362" s="428"/>
      <x:c r="DL362" s="428"/>
      <x:c r="DM362" s="428"/>
      <x:c r="DN362" s="428"/>
      <x:c r="DO362" s="428"/>
      <x:c r="DP362" s="428"/>
      <x:c r="DQ362" s="428"/>
      <x:c r="DR362" s="428"/>
      <x:c r="DS362" s="428"/>
      <x:c r="DT362" s="428"/>
      <x:c r="DU362" s="428"/>
      <x:c r="DV362" s="428"/>
      <x:c r="DW362" s="428"/>
      <x:c r="DX362" s="428"/>
      <x:c r="DY362" s="428"/>
      <x:c r="DZ362" s="428"/>
      <x:c r="EA362" s="428"/>
      <x:c r="EB362" s="428"/>
      <x:c r="EC362" s="428"/>
      <x:c r="ED362" s="428"/>
      <x:c r="EE362" s="428"/>
      <x:c r="EF362" s="428"/>
      <x:c r="EG362" s="428"/>
      <x:c r="EH362" s="428"/>
      <x:c r="EI362" s="428"/>
      <x:c r="EJ362" s="428"/>
      <x:c r="EK362" s="428"/>
      <x:c r="EL362" s="428"/>
      <x:c r="EM362" s="428"/>
      <x:c r="EN362" s="428"/>
      <x:c r="EO362" s="428"/>
      <x:c r="EP362" s="428"/>
      <x:c r="EQ362" s="428"/>
      <x:c r="ER362" s="428"/>
      <x:c r="ES362" s="428"/>
      <x:c r="ET362" s="428"/>
      <x:c r="EU362" s="428"/>
      <x:c r="EV362" s="428"/>
      <x:c r="EW362" s="428"/>
      <x:c r="EX362" s="428"/>
      <x:c r="EY362" s="428"/>
      <x:c r="EZ362" s="428"/>
      <x:c r="FA362" s="428"/>
      <x:c r="FB362" s="428"/>
      <x:c r="FC362" s="428"/>
      <x:c r="FD362" s="428"/>
      <x:c r="FE362" s="428"/>
      <x:c r="FF362" s="428"/>
    </x:row>
    <x:row r="364" spans="6:162" s="430" customFormat="1" ht="15.75" customHeight="1">
      <x:c r="F364" s="428"/>
      <x:c r="G364" s="428"/>
      <x:c r="H364" s="428"/>
      <x:c r="I364" s="428"/>
      <x:c r="J364" s="428"/>
      <x:c r="K364" s="428"/>
      <x:c r="L364" s="428"/>
      <x:c r="M364" s="428"/>
      <x:c r="N364" s="428"/>
      <x:c r="O364" s="428"/>
      <x:c r="P364" s="428"/>
      <x:c r="Q364" s="428"/>
      <x:c r="R364" s="428"/>
      <x:c r="S364" s="428"/>
      <x:c r="T364" s="428"/>
      <x:c r="U364" s="428"/>
      <x:c r="V364" s="428"/>
      <x:c r="W364" s="428"/>
      <x:c r="X364" s="428"/>
      <x:c r="Y364" s="428"/>
      <x:c r="AA364" s="428"/>
      <x:c r="AC364" s="428"/>
      <x:c r="AD364" s="428"/>
      <x:c r="AE364" s="428"/>
      <x:c r="AF364" s="428"/>
      <x:c r="AG364" s="428"/>
      <x:c r="AH364" s="429"/>
      <x:c r="AI364" s="429"/>
      <x:c r="AJ364" s="428"/>
      <x:c r="AK364" s="428"/>
      <x:c r="AL364" s="428"/>
      <x:c r="AM364" s="428"/>
      <x:c r="AN364" s="428"/>
      <x:c r="AO364" s="428"/>
      <x:c r="AP364" s="428"/>
      <x:c r="AQ364" s="428"/>
      <x:c r="AR364" s="428"/>
      <x:c r="AS364" s="428"/>
      <x:c r="AT364" s="428"/>
      <x:c r="AU364" s="428"/>
      <x:c r="AV364" s="428"/>
      <x:c r="AW364" s="428"/>
      <x:c r="AX364" s="428"/>
      <x:c r="AY364" s="428"/>
      <x:c r="AZ364" s="428"/>
      <x:c r="BA364" s="428"/>
      <x:c r="BB364" s="428"/>
      <x:c r="BC364" s="428"/>
      <x:c r="BD364" s="428"/>
      <x:c r="BE364" s="428"/>
      <x:c r="BF364" s="428"/>
      <x:c r="BG364" s="428"/>
      <x:c r="BH364" s="428"/>
      <x:c r="BI364" s="428"/>
      <x:c r="BJ364" s="428"/>
      <x:c r="BK364" s="428"/>
      <x:c r="BL364" s="428"/>
      <x:c r="BM364" s="428"/>
      <x:c r="BN364" s="428"/>
      <x:c r="BO364" s="428"/>
      <x:c r="BP364" s="428"/>
      <x:c r="BQ364" s="428"/>
      <x:c r="BR364" s="428"/>
      <x:c r="BS364" s="428"/>
      <x:c r="BT364" s="428"/>
      <x:c r="BU364" s="428"/>
      <x:c r="BV364" s="428"/>
      <x:c r="BW364" s="428"/>
      <x:c r="BX364" s="428"/>
      <x:c r="BY364" s="428"/>
      <x:c r="BZ364" s="428"/>
      <x:c r="CA364" s="428"/>
      <x:c r="CB364" s="428"/>
      <x:c r="CC364" s="428"/>
      <x:c r="CD364" s="428"/>
      <x:c r="CE364" s="428"/>
      <x:c r="CF364" s="428"/>
      <x:c r="CG364" s="428"/>
      <x:c r="CH364" s="428"/>
      <x:c r="CI364" s="428"/>
      <x:c r="CJ364" s="428"/>
      <x:c r="CK364" s="428"/>
      <x:c r="CL364" s="428"/>
      <x:c r="CM364" s="428"/>
      <x:c r="CN364" s="428"/>
      <x:c r="CO364" s="428"/>
      <x:c r="CP364" s="428"/>
      <x:c r="CQ364" s="428"/>
      <x:c r="CR364" s="428"/>
      <x:c r="CS364" s="428"/>
      <x:c r="CT364" s="428"/>
      <x:c r="CU364" s="428"/>
      <x:c r="CV364" s="428"/>
      <x:c r="CW364" s="428"/>
      <x:c r="CX364" s="428"/>
      <x:c r="CY364" s="428"/>
      <x:c r="CZ364" s="428"/>
      <x:c r="DA364" s="428"/>
      <x:c r="DB364" s="428"/>
      <x:c r="DC364" s="428"/>
      <x:c r="DD364" s="428"/>
      <x:c r="DE364" s="428"/>
      <x:c r="DF364" s="428"/>
      <x:c r="DG364" s="428"/>
      <x:c r="DH364" s="428"/>
      <x:c r="DI364" s="428"/>
      <x:c r="DJ364" s="428"/>
      <x:c r="DK364" s="428"/>
      <x:c r="DL364" s="428"/>
      <x:c r="DM364" s="428"/>
      <x:c r="DN364" s="428"/>
      <x:c r="DO364" s="428"/>
      <x:c r="DP364" s="428"/>
      <x:c r="DQ364" s="428"/>
      <x:c r="DR364" s="428"/>
      <x:c r="DS364" s="428"/>
      <x:c r="DT364" s="428"/>
      <x:c r="DU364" s="428"/>
      <x:c r="DV364" s="428"/>
      <x:c r="DW364" s="428"/>
      <x:c r="DX364" s="428"/>
      <x:c r="DY364" s="428"/>
      <x:c r="DZ364" s="428"/>
      <x:c r="EA364" s="428"/>
      <x:c r="EB364" s="428"/>
      <x:c r="EC364" s="428"/>
      <x:c r="ED364" s="428"/>
      <x:c r="EE364" s="428"/>
      <x:c r="EF364" s="428"/>
      <x:c r="EG364" s="428"/>
      <x:c r="EH364" s="428"/>
      <x:c r="EI364" s="428"/>
      <x:c r="EJ364" s="428"/>
      <x:c r="EK364" s="428"/>
      <x:c r="EL364" s="428"/>
      <x:c r="EM364" s="428"/>
      <x:c r="EN364" s="428"/>
      <x:c r="EO364" s="428"/>
      <x:c r="EP364" s="428"/>
      <x:c r="EQ364" s="428"/>
      <x:c r="ER364" s="428"/>
      <x:c r="ES364" s="428"/>
      <x:c r="ET364" s="428"/>
      <x:c r="EU364" s="428"/>
      <x:c r="EV364" s="428"/>
      <x:c r="EW364" s="428"/>
      <x:c r="EX364" s="428"/>
      <x:c r="EY364" s="428"/>
      <x:c r="EZ364" s="428"/>
      <x:c r="FA364" s="428"/>
      <x:c r="FB364" s="428"/>
      <x:c r="FC364" s="428"/>
      <x:c r="FD364" s="428"/>
      <x:c r="FE364" s="428"/>
      <x:c r="FF364" s="428"/>
    </x:row>
    <x:row r="366" spans="6:162" s="430" customFormat="1" ht="15.75" customHeight="1">
      <x:c r="F366" s="428"/>
      <x:c r="G366" s="428"/>
      <x:c r="H366" s="428"/>
      <x:c r="I366" s="428"/>
      <x:c r="J366" s="428"/>
      <x:c r="K366" s="428"/>
      <x:c r="L366" s="428"/>
      <x:c r="M366" s="428"/>
      <x:c r="N366" s="428"/>
      <x:c r="O366" s="428"/>
      <x:c r="P366" s="428"/>
      <x:c r="Q366" s="428"/>
      <x:c r="R366" s="428"/>
      <x:c r="S366" s="428"/>
      <x:c r="T366" s="428"/>
      <x:c r="U366" s="428"/>
      <x:c r="V366" s="428"/>
      <x:c r="W366" s="428"/>
      <x:c r="X366" s="428"/>
      <x:c r="Y366" s="428"/>
      <x:c r="AA366" s="428"/>
      <x:c r="AC366" s="428"/>
      <x:c r="AD366" s="428"/>
      <x:c r="AE366" s="428"/>
      <x:c r="AF366" s="428"/>
      <x:c r="AG366" s="428"/>
      <x:c r="AH366" s="429"/>
      <x:c r="AI366" s="429"/>
      <x:c r="AJ366" s="428"/>
      <x:c r="AK366" s="428"/>
      <x:c r="AL366" s="428"/>
      <x:c r="AM366" s="428"/>
      <x:c r="AN366" s="428"/>
      <x:c r="AO366" s="428"/>
      <x:c r="AP366" s="428"/>
      <x:c r="AQ366" s="428"/>
      <x:c r="AR366" s="428"/>
      <x:c r="AS366" s="428"/>
      <x:c r="AT366" s="428"/>
      <x:c r="AU366" s="428"/>
      <x:c r="AV366" s="428"/>
      <x:c r="AW366" s="428"/>
      <x:c r="AX366" s="428"/>
      <x:c r="AY366" s="428"/>
      <x:c r="AZ366" s="428"/>
      <x:c r="BA366" s="428"/>
      <x:c r="BB366" s="428"/>
      <x:c r="BC366" s="428"/>
      <x:c r="BD366" s="428"/>
      <x:c r="BE366" s="428"/>
      <x:c r="BF366" s="428"/>
      <x:c r="BG366" s="428"/>
      <x:c r="BH366" s="428"/>
      <x:c r="BI366" s="428"/>
      <x:c r="BJ366" s="428"/>
      <x:c r="BK366" s="428"/>
      <x:c r="BL366" s="428"/>
      <x:c r="BM366" s="428"/>
      <x:c r="BN366" s="428"/>
      <x:c r="BO366" s="428"/>
      <x:c r="BP366" s="428"/>
      <x:c r="BQ366" s="428"/>
      <x:c r="BR366" s="428"/>
      <x:c r="BS366" s="428"/>
      <x:c r="BT366" s="428"/>
      <x:c r="BU366" s="428"/>
      <x:c r="BV366" s="428"/>
      <x:c r="BW366" s="428"/>
      <x:c r="BX366" s="428"/>
      <x:c r="BY366" s="428"/>
      <x:c r="BZ366" s="428"/>
      <x:c r="CA366" s="428"/>
      <x:c r="CB366" s="428"/>
      <x:c r="CC366" s="428"/>
      <x:c r="CD366" s="428"/>
      <x:c r="CE366" s="428"/>
      <x:c r="CF366" s="428"/>
      <x:c r="CG366" s="428"/>
      <x:c r="CH366" s="428"/>
      <x:c r="CI366" s="428"/>
      <x:c r="CJ366" s="428"/>
      <x:c r="CK366" s="428"/>
      <x:c r="CL366" s="428"/>
      <x:c r="CM366" s="428"/>
      <x:c r="CN366" s="428"/>
      <x:c r="CO366" s="428"/>
      <x:c r="CP366" s="428"/>
      <x:c r="CQ366" s="428"/>
      <x:c r="CR366" s="428"/>
      <x:c r="CS366" s="428"/>
      <x:c r="CT366" s="428"/>
      <x:c r="CU366" s="428"/>
      <x:c r="CV366" s="428"/>
      <x:c r="CW366" s="428"/>
      <x:c r="CX366" s="428"/>
      <x:c r="CY366" s="428"/>
      <x:c r="CZ366" s="428"/>
      <x:c r="DA366" s="428"/>
      <x:c r="DB366" s="428"/>
      <x:c r="DC366" s="428"/>
      <x:c r="DD366" s="428"/>
      <x:c r="DE366" s="428"/>
      <x:c r="DF366" s="428"/>
      <x:c r="DG366" s="428"/>
      <x:c r="DH366" s="428"/>
      <x:c r="DI366" s="428"/>
      <x:c r="DJ366" s="428"/>
      <x:c r="DK366" s="428"/>
      <x:c r="DL366" s="428"/>
      <x:c r="DM366" s="428"/>
      <x:c r="DN366" s="428"/>
      <x:c r="DO366" s="428"/>
      <x:c r="DP366" s="428"/>
      <x:c r="DQ366" s="428"/>
      <x:c r="DR366" s="428"/>
      <x:c r="DS366" s="428"/>
      <x:c r="DT366" s="428"/>
      <x:c r="DU366" s="428"/>
      <x:c r="DV366" s="428"/>
      <x:c r="DW366" s="428"/>
      <x:c r="DX366" s="428"/>
      <x:c r="DY366" s="428"/>
      <x:c r="DZ366" s="428"/>
      <x:c r="EA366" s="428"/>
      <x:c r="EB366" s="428"/>
      <x:c r="EC366" s="428"/>
      <x:c r="ED366" s="428"/>
      <x:c r="EE366" s="428"/>
      <x:c r="EF366" s="428"/>
      <x:c r="EG366" s="428"/>
      <x:c r="EH366" s="428"/>
      <x:c r="EI366" s="428"/>
      <x:c r="EJ366" s="428"/>
      <x:c r="EK366" s="428"/>
      <x:c r="EL366" s="428"/>
      <x:c r="EM366" s="428"/>
      <x:c r="EN366" s="428"/>
      <x:c r="EO366" s="428"/>
      <x:c r="EP366" s="428"/>
      <x:c r="EQ366" s="428"/>
      <x:c r="ER366" s="428"/>
      <x:c r="ES366" s="428"/>
      <x:c r="ET366" s="428"/>
      <x:c r="EU366" s="428"/>
      <x:c r="EV366" s="428"/>
      <x:c r="EW366" s="428"/>
      <x:c r="EX366" s="428"/>
      <x:c r="EY366" s="428"/>
      <x:c r="EZ366" s="428"/>
      <x:c r="FA366" s="428"/>
      <x:c r="FB366" s="428"/>
      <x:c r="FC366" s="428"/>
      <x:c r="FD366" s="428"/>
      <x:c r="FE366" s="428"/>
      <x:c r="FF366" s="428"/>
    </x:row>
    <x:row r="368" spans="6:162" s="430" customFormat="1" ht="15.75" customHeight="1">
      <x:c r="F368" s="428"/>
      <x:c r="G368" s="428"/>
      <x:c r="H368" s="428"/>
      <x:c r="I368" s="428"/>
      <x:c r="J368" s="428"/>
      <x:c r="K368" s="428"/>
      <x:c r="L368" s="428"/>
      <x:c r="M368" s="428"/>
      <x:c r="N368" s="428"/>
      <x:c r="O368" s="428"/>
      <x:c r="P368" s="428"/>
      <x:c r="Q368" s="428"/>
      <x:c r="R368" s="428"/>
      <x:c r="S368" s="428"/>
      <x:c r="T368" s="428"/>
      <x:c r="U368" s="428"/>
      <x:c r="V368" s="428"/>
      <x:c r="W368" s="428"/>
      <x:c r="X368" s="428"/>
      <x:c r="Y368" s="428"/>
      <x:c r="AA368" s="428"/>
      <x:c r="AC368" s="428"/>
      <x:c r="AD368" s="428"/>
      <x:c r="AE368" s="428"/>
      <x:c r="AF368" s="428"/>
      <x:c r="AG368" s="428"/>
      <x:c r="AH368" s="429"/>
      <x:c r="AI368" s="429"/>
      <x:c r="AJ368" s="428"/>
      <x:c r="AK368" s="428"/>
      <x:c r="AL368" s="428"/>
      <x:c r="AM368" s="428"/>
      <x:c r="AN368" s="428"/>
      <x:c r="AO368" s="428"/>
      <x:c r="AP368" s="428"/>
      <x:c r="AQ368" s="428"/>
      <x:c r="AR368" s="428"/>
      <x:c r="AS368" s="428"/>
      <x:c r="AT368" s="428"/>
      <x:c r="AU368" s="428"/>
      <x:c r="AV368" s="428"/>
      <x:c r="AW368" s="428"/>
      <x:c r="AX368" s="428"/>
      <x:c r="AY368" s="428"/>
      <x:c r="AZ368" s="428"/>
      <x:c r="BA368" s="428"/>
      <x:c r="BB368" s="428"/>
      <x:c r="BC368" s="428"/>
      <x:c r="BD368" s="428"/>
      <x:c r="BE368" s="428"/>
      <x:c r="BF368" s="428"/>
      <x:c r="BG368" s="428"/>
      <x:c r="BH368" s="428"/>
      <x:c r="BI368" s="428"/>
      <x:c r="BJ368" s="428"/>
      <x:c r="BK368" s="428"/>
      <x:c r="BL368" s="428"/>
      <x:c r="BM368" s="428"/>
      <x:c r="BN368" s="428"/>
      <x:c r="BO368" s="428"/>
      <x:c r="BP368" s="428"/>
      <x:c r="BQ368" s="428"/>
      <x:c r="BR368" s="428"/>
      <x:c r="BS368" s="428"/>
      <x:c r="BT368" s="428"/>
      <x:c r="BU368" s="428"/>
      <x:c r="BV368" s="428"/>
      <x:c r="BW368" s="428"/>
      <x:c r="BX368" s="428"/>
      <x:c r="BY368" s="428"/>
      <x:c r="BZ368" s="428"/>
      <x:c r="CA368" s="428"/>
      <x:c r="CB368" s="428"/>
      <x:c r="CC368" s="428"/>
      <x:c r="CD368" s="428"/>
      <x:c r="CE368" s="428"/>
      <x:c r="CF368" s="428"/>
      <x:c r="CG368" s="428"/>
      <x:c r="CH368" s="428"/>
      <x:c r="CI368" s="428"/>
      <x:c r="CJ368" s="428"/>
      <x:c r="CK368" s="428"/>
      <x:c r="CL368" s="428"/>
      <x:c r="CM368" s="428"/>
      <x:c r="CN368" s="428"/>
      <x:c r="CO368" s="428"/>
      <x:c r="CP368" s="428"/>
      <x:c r="CQ368" s="428"/>
      <x:c r="CR368" s="428"/>
      <x:c r="CS368" s="428"/>
      <x:c r="CT368" s="428"/>
      <x:c r="CU368" s="428"/>
      <x:c r="CV368" s="428"/>
      <x:c r="CW368" s="428"/>
      <x:c r="CX368" s="428"/>
      <x:c r="CY368" s="428"/>
      <x:c r="CZ368" s="428"/>
      <x:c r="DA368" s="428"/>
      <x:c r="DB368" s="428"/>
      <x:c r="DC368" s="428"/>
      <x:c r="DD368" s="428"/>
      <x:c r="DE368" s="428"/>
      <x:c r="DF368" s="428"/>
      <x:c r="DG368" s="428"/>
      <x:c r="DH368" s="428"/>
      <x:c r="DI368" s="428"/>
      <x:c r="DJ368" s="428"/>
      <x:c r="DK368" s="428"/>
      <x:c r="DL368" s="428"/>
      <x:c r="DM368" s="428"/>
      <x:c r="DN368" s="428"/>
      <x:c r="DO368" s="428"/>
      <x:c r="DP368" s="428"/>
      <x:c r="DQ368" s="428"/>
      <x:c r="DR368" s="428"/>
      <x:c r="DS368" s="428"/>
      <x:c r="DT368" s="428"/>
      <x:c r="DU368" s="428"/>
      <x:c r="DV368" s="428"/>
      <x:c r="DW368" s="428"/>
      <x:c r="DX368" s="428"/>
      <x:c r="DY368" s="428"/>
      <x:c r="DZ368" s="428"/>
      <x:c r="EA368" s="428"/>
      <x:c r="EB368" s="428"/>
      <x:c r="EC368" s="428"/>
      <x:c r="ED368" s="428"/>
      <x:c r="EE368" s="428"/>
      <x:c r="EF368" s="428"/>
      <x:c r="EG368" s="428"/>
      <x:c r="EH368" s="428"/>
      <x:c r="EI368" s="428"/>
      <x:c r="EJ368" s="428"/>
      <x:c r="EK368" s="428"/>
      <x:c r="EL368" s="428"/>
      <x:c r="EM368" s="428"/>
      <x:c r="EN368" s="428"/>
      <x:c r="EO368" s="428"/>
      <x:c r="EP368" s="428"/>
      <x:c r="EQ368" s="428"/>
      <x:c r="ER368" s="428"/>
      <x:c r="ES368" s="428"/>
      <x:c r="ET368" s="428"/>
      <x:c r="EU368" s="428"/>
      <x:c r="EV368" s="428"/>
      <x:c r="EW368" s="428"/>
      <x:c r="EX368" s="428"/>
      <x:c r="EY368" s="428"/>
      <x:c r="EZ368" s="428"/>
      <x:c r="FA368" s="428"/>
      <x:c r="FB368" s="428"/>
      <x:c r="FC368" s="428"/>
      <x:c r="FD368" s="428"/>
      <x:c r="FE368" s="428"/>
      <x:c r="FF368" s="428"/>
    </x:row>
    <x:row r="370" spans="6:162" s="430" customFormat="1" ht="15.75" customHeight="1">
      <x:c r="F370" s="428"/>
      <x:c r="G370" s="428"/>
      <x:c r="H370" s="428"/>
      <x:c r="I370" s="428"/>
      <x:c r="J370" s="428"/>
      <x:c r="K370" s="428"/>
      <x:c r="L370" s="428"/>
      <x:c r="M370" s="428"/>
      <x:c r="N370" s="428"/>
      <x:c r="O370" s="428"/>
      <x:c r="P370" s="428"/>
      <x:c r="Q370" s="428"/>
      <x:c r="R370" s="428"/>
      <x:c r="S370" s="428"/>
      <x:c r="T370" s="428"/>
      <x:c r="U370" s="428"/>
      <x:c r="V370" s="428"/>
      <x:c r="W370" s="428"/>
      <x:c r="X370" s="428"/>
      <x:c r="Y370" s="428"/>
      <x:c r="AA370" s="428"/>
      <x:c r="AC370" s="428"/>
      <x:c r="AD370" s="428"/>
      <x:c r="AE370" s="428"/>
      <x:c r="AF370" s="428"/>
      <x:c r="AG370" s="428"/>
      <x:c r="AH370" s="429"/>
      <x:c r="AI370" s="429"/>
      <x:c r="AJ370" s="428"/>
      <x:c r="AK370" s="428"/>
      <x:c r="AL370" s="428"/>
      <x:c r="AM370" s="428"/>
      <x:c r="AN370" s="428"/>
      <x:c r="AO370" s="428"/>
      <x:c r="AP370" s="428"/>
      <x:c r="AQ370" s="428"/>
      <x:c r="AR370" s="428"/>
      <x:c r="AS370" s="428"/>
      <x:c r="AT370" s="428"/>
      <x:c r="AU370" s="428"/>
      <x:c r="AV370" s="428"/>
      <x:c r="AW370" s="428"/>
      <x:c r="AX370" s="428"/>
      <x:c r="AY370" s="428"/>
      <x:c r="AZ370" s="428"/>
      <x:c r="BA370" s="428"/>
      <x:c r="BB370" s="428"/>
      <x:c r="BC370" s="428"/>
      <x:c r="BD370" s="428"/>
      <x:c r="BE370" s="428"/>
      <x:c r="BF370" s="428"/>
      <x:c r="BG370" s="428"/>
      <x:c r="BH370" s="428"/>
      <x:c r="BI370" s="428"/>
      <x:c r="BJ370" s="428"/>
      <x:c r="BK370" s="428"/>
      <x:c r="BL370" s="428"/>
      <x:c r="BM370" s="428"/>
      <x:c r="BN370" s="428"/>
      <x:c r="BO370" s="428"/>
      <x:c r="BP370" s="428"/>
      <x:c r="BQ370" s="428"/>
      <x:c r="BR370" s="428"/>
      <x:c r="BS370" s="428"/>
      <x:c r="BT370" s="428"/>
      <x:c r="BU370" s="428"/>
      <x:c r="BV370" s="428"/>
      <x:c r="BW370" s="428"/>
      <x:c r="BX370" s="428"/>
      <x:c r="BY370" s="428"/>
      <x:c r="BZ370" s="428"/>
      <x:c r="CA370" s="428"/>
      <x:c r="CB370" s="428"/>
      <x:c r="CC370" s="428"/>
      <x:c r="CD370" s="428"/>
      <x:c r="CE370" s="428"/>
      <x:c r="CF370" s="428"/>
      <x:c r="CG370" s="428"/>
      <x:c r="CH370" s="428"/>
      <x:c r="CI370" s="428"/>
      <x:c r="CJ370" s="428"/>
      <x:c r="CK370" s="428"/>
      <x:c r="CL370" s="428"/>
      <x:c r="CM370" s="428"/>
      <x:c r="CN370" s="428"/>
      <x:c r="CO370" s="428"/>
      <x:c r="CP370" s="428"/>
      <x:c r="CQ370" s="428"/>
      <x:c r="CR370" s="428"/>
      <x:c r="CS370" s="428"/>
      <x:c r="CT370" s="428"/>
      <x:c r="CU370" s="428"/>
      <x:c r="CV370" s="428"/>
      <x:c r="CW370" s="428"/>
      <x:c r="CX370" s="428"/>
      <x:c r="CY370" s="428"/>
      <x:c r="CZ370" s="428"/>
      <x:c r="DA370" s="428"/>
      <x:c r="DB370" s="428"/>
      <x:c r="DC370" s="428"/>
      <x:c r="DD370" s="428"/>
      <x:c r="DE370" s="428"/>
      <x:c r="DF370" s="428"/>
      <x:c r="DG370" s="428"/>
      <x:c r="DH370" s="428"/>
      <x:c r="DI370" s="428"/>
      <x:c r="DJ370" s="428"/>
      <x:c r="DK370" s="428"/>
      <x:c r="DL370" s="428"/>
      <x:c r="DM370" s="428"/>
      <x:c r="DN370" s="428"/>
      <x:c r="DO370" s="428"/>
      <x:c r="DP370" s="428"/>
      <x:c r="DQ370" s="428"/>
      <x:c r="DR370" s="428"/>
      <x:c r="DS370" s="428"/>
      <x:c r="DT370" s="428"/>
      <x:c r="DU370" s="428"/>
      <x:c r="DV370" s="428"/>
      <x:c r="DW370" s="428"/>
      <x:c r="DX370" s="428"/>
      <x:c r="DY370" s="428"/>
      <x:c r="DZ370" s="428"/>
      <x:c r="EA370" s="428"/>
      <x:c r="EB370" s="428"/>
      <x:c r="EC370" s="428"/>
      <x:c r="ED370" s="428"/>
      <x:c r="EE370" s="428"/>
      <x:c r="EF370" s="428"/>
      <x:c r="EG370" s="428"/>
      <x:c r="EH370" s="428"/>
      <x:c r="EI370" s="428"/>
      <x:c r="EJ370" s="428"/>
      <x:c r="EK370" s="428"/>
      <x:c r="EL370" s="428"/>
      <x:c r="EM370" s="428"/>
      <x:c r="EN370" s="428"/>
      <x:c r="EO370" s="428"/>
      <x:c r="EP370" s="428"/>
      <x:c r="EQ370" s="428"/>
      <x:c r="ER370" s="428"/>
      <x:c r="ES370" s="428"/>
      <x:c r="ET370" s="428"/>
      <x:c r="EU370" s="428"/>
      <x:c r="EV370" s="428"/>
      <x:c r="EW370" s="428"/>
      <x:c r="EX370" s="428"/>
      <x:c r="EY370" s="428"/>
      <x:c r="EZ370" s="428"/>
      <x:c r="FA370" s="428"/>
      <x:c r="FB370" s="428"/>
      <x:c r="FC370" s="428"/>
      <x:c r="FD370" s="428"/>
      <x:c r="FE370" s="428"/>
      <x:c r="FF370" s="428"/>
    </x:row>
    <x:row r="372" spans="6:162" s="430" customFormat="1" ht="15.75" customHeight="1">
      <x:c r="F372" s="428"/>
      <x:c r="G372" s="428"/>
      <x:c r="H372" s="428"/>
      <x:c r="I372" s="428"/>
      <x:c r="J372" s="428"/>
      <x:c r="K372" s="428"/>
      <x:c r="L372" s="428"/>
      <x:c r="M372" s="428"/>
      <x:c r="N372" s="428"/>
      <x:c r="O372" s="428"/>
      <x:c r="P372" s="428"/>
      <x:c r="Q372" s="428"/>
      <x:c r="R372" s="428"/>
      <x:c r="S372" s="428"/>
      <x:c r="T372" s="428"/>
      <x:c r="U372" s="428"/>
      <x:c r="V372" s="428"/>
      <x:c r="W372" s="428"/>
      <x:c r="X372" s="428"/>
      <x:c r="Y372" s="428"/>
      <x:c r="AA372" s="428"/>
      <x:c r="AC372" s="428"/>
      <x:c r="AD372" s="428"/>
      <x:c r="AE372" s="428"/>
      <x:c r="AF372" s="428"/>
      <x:c r="AG372" s="428"/>
      <x:c r="AH372" s="429"/>
      <x:c r="AI372" s="429"/>
      <x:c r="AJ372" s="428"/>
      <x:c r="AK372" s="428"/>
      <x:c r="AL372" s="428"/>
      <x:c r="AM372" s="428"/>
      <x:c r="AN372" s="428"/>
      <x:c r="AO372" s="428"/>
      <x:c r="AP372" s="428"/>
      <x:c r="AQ372" s="428"/>
      <x:c r="AR372" s="428"/>
      <x:c r="AS372" s="428"/>
      <x:c r="AT372" s="428"/>
      <x:c r="AU372" s="428"/>
      <x:c r="AV372" s="428"/>
      <x:c r="AW372" s="428"/>
      <x:c r="AX372" s="428"/>
      <x:c r="AY372" s="428"/>
      <x:c r="AZ372" s="428"/>
      <x:c r="BA372" s="428"/>
      <x:c r="BB372" s="428"/>
      <x:c r="BC372" s="428"/>
      <x:c r="BD372" s="428"/>
      <x:c r="BE372" s="428"/>
      <x:c r="BF372" s="428"/>
      <x:c r="BG372" s="428"/>
      <x:c r="BH372" s="428"/>
      <x:c r="BI372" s="428"/>
      <x:c r="BJ372" s="428"/>
      <x:c r="BK372" s="428"/>
      <x:c r="BL372" s="428"/>
      <x:c r="BM372" s="428"/>
      <x:c r="BN372" s="428"/>
      <x:c r="BO372" s="428"/>
      <x:c r="BP372" s="428"/>
      <x:c r="BQ372" s="428"/>
      <x:c r="BR372" s="428"/>
      <x:c r="BS372" s="428"/>
      <x:c r="BT372" s="428"/>
      <x:c r="BU372" s="428"/>
      <x:c r="BV372" s="428"/>
      <x:c r="BW372" s="428"/>
      <x:c r="BX372" s="428"/>
      <x:c r="BY372" s="428"/>
      <x:c r="BZ372" s="428"/>
      <x:c r="CA372" s="428"/>
      <x:c r="CB372" s="428"/>
      <x:c r="CC372" s="428"/>
      <x:c r="CD372" s="428"/>
      <x:c r="CE372" s="428"/>
      <x:c r="CF372" s="428"/>
      <x:c r="CG372" s="428"/>
      <x:c r="CH372" s="428"/>
      <x:c r="CI372" s="428"/>
      <x:c r="CJ372" s="428"/>
      <x:c r="CK372" s="428"/>
      <x:c r="CL372" s="428"/>
      <x:c r="CM372" s="428"/>
      <x:c r="CN372" s="428"/>
      <x:c r="CO372" s="428"/>
      <x:c r="CP372" s="428"/>
      <x:c r="CQ372" s="428"/>
      <x:c r="CR372" s="428"/>
      <x:c r="CS372" s="428"/>
      <x:c r="CT372" s="428"/>
      <x:c r="CU372" s="428"/>
      <x:c r="CV372" s="428"/>
      <x:c r="CW372" s="428"/>
      <x:c r="CX372" s="428"/>
      <x:c r="CY372" s="428"/>
      <x:c r="CZ372" s="428"/>
      <x:c r="DA372" s="428"/>
      <x:c r="DB372" s="428"/>
      <x:c r="DC372" s="428"/>
      <x:c r="DD372" s="428"/>
      <x:c r="DE372" s="428"/>
      <x:c r="DF372" s="428"/>
      <x:c r="DG372" s="428"/>
      <x:c r="DH372" s="428"/>
      <x:c r="DI372" s="428"/>
      <x:c r="DJ372" s="428"/>
      <x:c r="DK372" s="428"/>
      <x:c r="DL372" s="428"/>
      <x:c r="DM372" s="428"/>
      <x:c r="DN372" s="428"/>
      <x:c r="DO372" s="428"/>
      <x:c r="DP372" s="428"/>
      <x:c r="DQ372" s="428"/>
      <x:c r="DR372" s="428"/>
      <x:c r="DS372" s="428"/>
      <x:c r="DT372" s="428"/>
      <x:c r="DU372" s="428"/>
      <x:c r="DV372" s="428"/>
      <x:c r="DW372" s="428"/>
      <x:c r="DX372" s="428"/>
      <x:c r="DY372" s="428"/>
      <x:c r="DZ372" s="428"/>
      <x:c r="EA372" s="428"/>
      <x:c r="EB372" s="428"/>
      <x:c r="EC372" s="428"/>
      <x:c r="ED372" s="428"/>
      <x:c r="EE372" s="428"/>
      <x:c r="EF372" s="428"/>
      <x:c r="EG372" s="428"/>
      <x:c r="EH372" s="428"/>
      <x:c r="EI372" s="428"/>
      <x:c r="EJ372" s="428"/>
      <x:c r="EK372" s="428"/>
      <x:c r="EL372" s="428"/>
      <x:c r="EM372" s="428"/>
      <x:c r="EN372" s="428"/>
      <x:c r="EO372" s="428"/>
      <x:c r="EP372" s="428"/>
      <x:c r="EQ372" s="428"/>
      <x:c r="ER372" s="428"/>
      <x:c r="ES372" s="428"/>
      <x:c r="ET372" s="428"/>
      <x:c r="EU372" s="428"/>
      <x:c r="EV372" s="428"/>
      <x:c r="EW372" s="428"/>
      <x:c r="EX372" s="428"/>
      <x:c r="EY372" s="428"/>
      <x:c r="EZ372" s="428"/>
      <x:c r="FA372" s="428"/>
      <x:c r="FB372" s="428"/>
      <x:c r="FC372" s="428"/>
      <x:c r="FD372" s="428"/>
      <x:c r="FE372" s="428"/>
      <x:c r="FF372" s="428"/>
    </x:row>
    <x:row r="374" spans="6:162" s="430" customFormat="1" ht="15.75" customHeight="1">
      <x:c r="F374" s="428"/>
      <x:c r="G374" s="428"/>
      <x:c r="H374" s="428"/>
      <x:c r="I374" s="428"/>
      <x:c r="J374" s="428"/>
      <x:c r="K374" s="428"/>
      <x:c r="L374" s="428"/>
      <x:c r="M374" s="428"/>
      <x:c r="N374" s="428"/>
      <x:c r="O374" s="428"/>
      <x:c r="P374" s="428"/>
      <x:c r="Q374" s="428"/>
      <x:c r="R374" s="428"/>
      <x:c r="S374" s="428"/>
      <x:c r="T374" s="428"/>
      <x:c r="U374" s="428"/>
      <x:c r="V374" s="428"/>
      <x:c r="W374" s="428"/>
      <x:c r="X374" s="428"/>
      <x:c r="Y374" s="428"/>
      <x:c r="AA374" s="428"/>
      <x:c r="AC374" s="428"/>
      <x:c r="AD374" s="428"/>
      <x:c r="AE374" s="428"/>
      <x:c r="AF374" s="428"/>
      <x:c r="AG374" s="428"/>
      <x:c r="AH374" s="429"/>
      <x:c r="AI374" s="429"/>
      <x:c r="AJ374" s="428"/>
      <x:c r="AK374" s="428"/>
      <x:c r="AL374" s="428"/>
      <x:c r="AM374" s="428"/>
      <x:c r="AN374" s="428"/>
      <x:c r="AO374" s="428"/>
      <x:c r="AP374" s="428"/>
      <x:c r="AQ374" s="428"/>
      <x:c r="AR374" s="428"/>
      <x:c r="AS374" s="428"/>
      <x:c r="AT374" s="428"/>
      <x:c r="AU374" s="428"/>
      <x:c r="AV374" s="428"/>
      <x:c r="AW374" s="428"/>
      <x:c r="AX374" s="428"/>
      <x:c r="AY374" s="428"/>
      <x:c r="AZ374" s="428"/>
      <x:c r="BA374" s="428"/>
      <x:c r="BB374" s="428"/>
      <x:c r="BC374" s="428"/>
      <x:c r="BD374" s="428"/>
      <x:c r="BE374" s="428"/>
      <x:c r="BF374" s="428"/>
      <x:c r="BG374" s="428"/>
      <x:c r="BH374" s="428"/>
      <x:c r="BI374" s="428"/>
      <x:c r="BJ374" s="428"/>
      <x:c r="BK374" s="428"/>
      <x:c r="BL374" s="428"/>
      <x:c r="BM374" s="428"/>
      <x:c r="BN374" s="428"/>
      <x:c r="BO374" s="428"/>
      <x:c r="BP374" s="428"/>
      <x:c r="BQ374" s="428"/>
      <x:c r="BR374" s="428"/>
      <x:c r="BS374" s="428"/>
      <x:c r="BT374" s="428"/>
      <x:c r="BU374" s="428"/>
      <x:c r="BV374" s="428"/>
      <x:c r="BW374" s="428"/>
      <x:c r="BX374" s="428"/>
      <x:c r="BY374" s="428"/>
      <x:c r="BZ374" s="428"/>
      <x:c r="CA374" s="428"/>
      <x:c r="CB374" s="428"/>
      <x:c r="CC374" s="428"/>
      <x:c r="CD374" s="428"/>
      <x:c r="CE374" s="428"/>
      <x:c r="CF374" s="428"/>
      <x:c r="CG374" s="428"/>
      <x:c r="CH374" s="428"/>
      <x:c r="CI374" s="428"/>
      <x:c r="CJ374" s="428"/>
      <x:c r="CK374" s="428"/>
      <x:c r="CL374" s="428"/>
      <x:c r="CM374" s="428"/>
      <x:c r="CN374" s="428"/>
      <x:c r="CO374" s="428"/>
      <x:c r="CP374" s="428"/>
      <x:c r="CQ374" s="428"/>
      <x:c r="CR374" s="428"/>
      <x:c r="CS374" s="428"/>
      <x:c r="CT374" s="428"/>
      <x:c r="CU374" s="428"/>
      <x:c r="CV374" s="428"/>
      <x:c r="CW374" s="428"/>
      <x:c r="CX374" s="428"/>
      <x:c r="CY374" s="428"/>
      <x:c r="CZ374" s="428"/>
      <x:c r="DA374" s="428"/>
      <x:c r="DB374" s="428"/>
      <x:c r="DC374" s="428"/>
      <x:c r="DD374" s="428"/>
      <x:c r="DE374" s="428"/>
      <x:c r="DF374" s="428"/>
      <x:c r="DG374" s="428"/>
      <x:c r="DH374" s="428"/>
      <x:c r="DI374" s="428"/>
      <x:c r="DJ374" s="428"/>
      <x:c r="DK374" s="428"/>
      <x:c r="DL374" s="428"/>
      <x:c r="DM374" s="428"/>
      <x:c r="DN374" s="428"/>
      <x:c r="DO374" s="428"/>
      <x:c r="DP374" s="428"/>
      <x:c r="DQ374" s="428"/>
      <x:c r="DR374" s="428"/>
      <x:c r="DS374" s="428"/>
      <x:c r="DT374" s="428"/>
      <x:c r="DU374" s="428"/>
      <x:c r="DV374" s="428"/>
      <x:c r="DW374" s="428"/>
      <x:c r="DX374" s="428"/>
      <x:c r="DY374" s="428"/>
      <x:c r="DZ374" s="428"/>
      <x:c r="EA374" s="428"/>
      <x:c r="EB374" s="428"/>
      <x:c r="EC374" s="428"/>
      <x:c r="ED374" s="428"/>
      <x:c r="EE374" s="428"/>
      <x:c r="EF374" s="428"/>
      <x:c r="EG374" s="428"/>
      <x:c r="EH374" s="428"/>
      <x:c r="EI374" s="428"/>
      <x:c r="EJ374" s="428"/>
      <x:c r="EK374" s="428"/>
      <x:c r="EL374" s="428"/>
      <x:c r="EM374" s="428"/>
      <x:c r="EN374" s="428"/>
      <x:c r="EO374" s="428"/>
      <x:c r="EP374" s="428"/>
      <x:c r="EQ374" s="428"/>
      <x:c r="ER374" s="428"/>
      <x:c r="ES374" s="428"/>
      <x:c r="ET374" s="428"/>
      <x:c r="EU374" s="428"/>
      <x:c r="EV374" s="428"/>
      <x:c r="EW374" s="428"/>
      <x:c r="EX374" s="428"/>
      <x:c r="EY374" s="428"/>
      <x:c r="EZ374" s="428"/>
      <x:c r="FA374" s="428"/>
      <x:c r="FB374" s="428"/>
      <x:c r="FC374" s="428"/>
      <x:c r="FD374" s="428"/>
      <x:c r="FE374" s="428"/>
      <x:c r="FF374" s="428"/>
    </x:row>
    <x:row r="376" spans="6:162" s="430" customFormat="1" ht="15.75" customHeight="1">
      <x:c r="F376" s="428"/>
      <x:c r="G376" s="428"/>
      <x:c r="H376" s="428"/>
      <x:c r="I376" s="428"/>
      <x:c r="J376" s="428"/>
      <x:c r="K376" s="428"/>
      <x:c r="L376" s="428"/>
      <x:c r="M376" s="428"/>
      <x:c r="N376" s="428"/>
      <x:c r="O376" s="428"/>
      <x:c r="P376" s="428"/>
      <x:c r="Q376" s="428"/>
      <x:c r="R376" s="428"/>
      <x:c r="S376" s="428"/>
      <x:c r="T376" s="428"/>
      <x:c r="U376" s="428"/>
      <x:c r="V376" s="428"/>
      <x:c r="W376" s="428"/>
      <x:c r="X376" s="428"/>
      <x:c r="Y376" s="428"/>
      <x:c r="AA376" s="428"/>
      <x:c r="AC376" s="428"/>
      <x:c r="AD376" s="428"/>
      <x:c r="AE376" s="428"/>
      <x:c r="AF376" s="428"/>
      <x:c r="AG376" s="428"/>
      <x:c r="AH376" s="429"/>
      <x:c r="AI376" s="429"/>
      <x:c r="AJ376" s="428"/>
      <x:c r="AK376" s="428"/>
      <x:c r="AL376" s="428"/>
      <x:c r="AM376" s="428"/>
      <x:c r="AN376" s="428"/>
      <x:c r="AO376" s="428"/>
      <x:c r="AP376" s="428"/>
      <x:c r="AQ376" s="428"/>
      <x:c r="AR376" s="428"/>
      <x:c r="AS376" s="428"/>
      <x:c r="AT376" s="428"/>
      <x:c r="AU376" s="428"/>
      <x:c r="AV376" s="428"/>
      <x:c r="AW376" s="428"/>
      <x:c r="AX376" s="428"/>
      <x:c r="AY376" s="428"/>
      <x:c r="AZ376" s="428"/>
      <x:c r="BA376" s="428"/>
      <x:c r="BB376" s="428"/>
      <x:c r="BC376" s="428"/>
      <x:c r="BD376" s="428"/>
      <x:c r="BE376" s="428"/>
      <x:c r="BF376" s="428"/>
      <x:c r="BG376" s="428"/>
      <x:c r="BH376" s="428"/>
      <x:c r="BI376" s="428"/>
      <x:c r="BJ376" s="428"/>
      <x:c r="BK376" s="428"/>
      <x:c r="BL376" s="428"/>
      <x:c r="BM376" s="428"/>
      <x:c r="BN376" s="428"/>
      <x:c r="BO376" s="428"/>
      <x:c r="BP376" s="428"/>
      <x:c r="BQ376" s="428"/>
      <x:c r="BR376" s="428"/>
      <x:c r="BS376" s="428"/>
      <x:c r="BT376" s="428"/>
      <x:c r="BU376" s="428"/>
      <x:c r="BV376" s="428"/>
      <x:c r="BW376" s="428"/>
      <x:c r="BX376" s="428"/>
      <x:c r="BY376" s="428"/>
      <x:c r="BZ376" s="428"/>
      <x:c r="CA376" s="428"/>
      <x:c r="CB376" s="428"/>
      <x:c r="CC376" s="428"/>
      <x:c r="CD376" s="428"/>
      <x:c r="CE376" s="428"/>
      <x:c r="CF376" s="428"/>
      <x:c r="CG376" s="428"/>
      <x:c r="CH376" s="428"/>
      <x:c r="CI376" s="428"/>
      <x:c r="CJ376" s="428"/>
      <x:c r="CK376" s="428"/>
      <x:c r="CL376" s="428"/>
      <x:c r="CM376" s="428"/>
      <x:c r="CN376" s="428"/>
      <x:c r="CO376" s="428"/>
      <x:c r="CP376" s="428"/>
      <x:c r="CQ376" s="428"/>
      <x:c r="CR376" s="428"/>
      <x:c r="CS376" s="428"/>
      <x:c r="CT376" s="428"/>
      <x:c r="CU376" s="428"/>
      <x:c r="CV376" s="428"/>
      <x:c r="CW376" s="428"/>
      <x:c r="CX376" s="428"/>
      <x:c r="CY376" s="428"/>
      <x:c r="CZ376" s="428"/>
      <x:c r="DA376" s="428"/>
      <x:c r="DB376" s="428"/>
      <x:c r="DC376" s="428"/>
      <x:c r="DD376" s="428"/>
      <x:c r="DE376" s="428"/>
      <x:c r="DF376" s="428"/>
      <x:c r="DG376" s="428"/>
      <x:c r="DH376" s="428"/>
      <x:c r="DI376" s="428"/>
      <x:c r="DJ376" s="428"/>
      <x:c r="DK376" s="428"/>
      <x:c r="DL376" s="428"/>
      <x:c r="DM376" s="428"/>
      <x:c r="DN376" s="428"/>
      <x:c r="DO376" s="428"/>
      <x:c r="DP376" s="428"/>
      <x:c r="DQ376" s="428"/>
      <x:c r="DR376" s="428"/>
      <x:c r="DS376" s="428"/>
      <x:c r="DT376" s="428"/>
      <x:c r="DU376" s="428"/>
      <x:c r="DV376" s="428"/>
      <x:c r="DW376" s="428"/>
      <x:c r="DX376" s="428"/>
      <x:c r="DY376" s="428"/>
      <x:c r="DZ376" s="428"/>
      <x:c r="EA376" s="428"/>
      <x:c r="EB376" s="428"/>
      <x:c r="EC376" s="428"/>
      <x:c r="ED376" s="428"/>
      <x:c r="EE376" s="428"/>
      <x:c r="EF376" s="428"/>
      <x:c r="EG376" s="428"/>
      <x:c r="EH376" s="428"/>
      <x:c r="EI376" s="428"/>
      <x:c r="EJ376" s="428"/>
      <x:c r="EK376" s="428"/>
      <x:c r="EL376" s="428"/>
      <x:c r="EM376" s="428"/>
      <x:c r="EN376" s="428"/>
      <x:c r="EO376" s="428"/>
      <x:c r="EP376" s="428"/>
      <x:c r="EQ376" s="428"/>
      <x:c r="ER376" s="428"/>
      <x:c r="ES376" s="428"/>
      <x:c r="ET376" s="428"/>
      <x:c r="EU376" s="428"/>
      <x:c r="EV376" s="428"/>
      <x:c r="EW376" s="428"/>
      <x:c r="EX376" s="428"/>
      <x:c r="EY376" s="428"/>
      <x:c r="EZ376" s="428"/>
      <x:c r="FA376" s="428"/>
      <x:c r="FB376" s="428"/>
      <x:c r="FC376" s="428"/>
      <x:c r="FD376" s="428"/>
      <x:c r="FE376" s="428"/>
      <x:c r="FF376" s="428"/>
    </x:row>
    <x:row r="378" spans="6:162" s="430" customFormat="1" ht="15.75" customHeight="1">
      <x:c r="F378" s="428"/>
      <x:c r="G378" s="428"/>
      <x:c r="H378" s="428"/>
      <x:c r="I378" s="428"/>
      <x:c r="J378" s="428"/>
      <x:c r="K378" s="428"/>
      <x:c r="L378" s="428"/>
      <x:c r="M378" s="428"/>
      <x:c r="N378" s="428"/>
      <x:c r="O378" s="428"/>
      <x:c r="P378" s="428"/>
      <x:c r="Q378" s="428"/>
      <x:c r="R378" s="428"/>
      <x:c r="S378" s="428"/>
      <x:c r="T378" s="428"/>
      <x:c r="U378" s="428"/>
      <x:c r="V378" s="428"/>
      <x:c r="W378" s="428"/>
      <x:c r="X378" s="428"/>
      <x:c r="Y378" s="428"/>
      <x:c r="AA378" s="428"/>
      <x:c r="AC378" s="428"/>
      <x:c r="AD378" s="428"/>
      <x:c r="AE378" s="428"/>
      <x:c r="AF378" s="428"/>
      <x:c r="AG378" s="428"/>
      <x:c r="AH378" s="429"/>
      <x:c r="AI378" s="429"/>
      <x:c r="AJ378" s="428"/>
      <x:c r="AK378" s="428"/>
      <x:c r="AL378" s="428"/>
      <x:c r="AM378" s="428"/>
      <x:c r="AN378" s="428"/>
      <x:c r="AO378" s="428"/>
      <x:c r="AP378" s="428"/>
      <x:c r="AQ378" s="428"/>
      <x:c r="AR378" s="428"/>
      <x:c r="AS378" s="428"/>
      <x:c r="AT378" s="428"/>
      <x:c r="AU378" s="428"/>
      <x:c r="AV378" s="428"/>
      <x:c r="AW378" s="428"/>
      <x:c r="AX378" s="428"/>
      <x:c r="AY378" s="428"/>
      <x:c r="AZ378" s="428"/>
      <x:c r="BA378" s="428"/>
      <x:c r="BB378" s="428"/>
      <x:c r="BC378" s="428"/>
      <x:c r="BD378" s="428"/>
      <x:c r="BE378" s="428"/>
      <x:c r="BF378" s="428"/>
      <x:c r="BG378" s="428"/>
      <x:c r="BH378" s="428"/>
      <x:c r="BI378" s="428"/>
      <x:c r="BJ378" s="428"/>
      <x:c r="BK378" s="428"/>
      <x:c r="BL378" s="428"/>
      <x:c r="BM378" s="428"/>
      <x:c r="BN378" s="428"/>
      <x:c r="BO378" s="428"/>
      <x:c r="BP378" s="428"/>
      <x:c r="BQ378" s="428"/>
      <x:c r="BR378" s="428"/>
      <x:c r="BS378" s="428"/>
      <x:c r="BT378" s="428"/>
      <x:c r="BU378" s="428"/>
      <x:c r="BV378" s="428"/>
      <x:c r="BW378" s="428"/>
      <x:c r="BX378" s="428"/>
      <x:c r="BY378" s="428"/>
      <x:c r="BZ378" s="428"/>
      <x:c r="CA378" s="428"/>
      <x:c r="CB378" s="428"/>
      <x:c r="CC378" s="428"/>
      <x:c r="CD378" s="428"/>
      <x:c r="CE378" s="428"/>
      <x:c r="CF378" s="428"/>
      <x:c r="CG378" s="428"/>
      <x:c r="CH378" s="428"/>
      <x:c r="CI378" s="428"/>
      <x:c r="CJ378" s="428"/>
      <x:c r="CK378" s="428"/>
      <x:c r="CL378" s="428"/>
      <x:c r="CM378" s="428"/>
      <x:c r="CN378" s="428"/>
      <x:c r="CO378" s="428"/>
      <x:c r="CP378" s="428"/>
      <x:c r="CQ378" s="428"/>
      <x:c r="CR378" s="428"/>
      <x:c r="CS378" s="428"/>
      <x:c r="CT378" s="428"/>
      <x:c r="CU378" s="428"/>
      <x:c r="CV378" s="428"/>
      <x:c r="CW378" s="428"/>
      <x:c r="CX378" s="428"/>
      <x:c r="CY378" s="428"/>
      <x:c r="CZ378" s="428"/>
      <x:c r="DA378" s="428"/>
      <x:c r="DB378" s="428"/>
      <x:c r="DC378" s="428"/>
      <x:c r="DD378" s="428"/>
      <x:c r="DE378" s="428"/>
      <x:c r="DF378" s="428"/>
      <x:c r="DG378" s="428"/>
      <x:c r="DH378" s="428"/>
      <x:c r="DI378" s="428"/>
      <x:c r="DJ378" s="428"/>
      <x:c r="DK378" s="428"/>
      <x:c r="DL378" s="428"/>
      <x:c r="DM378" s="428"/>
      <x:c r="DN378" s="428"/>
      <x:c r="DO378" s="428"/>
      <x:c r="DP378" s="428"/>
      <x:c r="DQ378" s="428"/>
      <x:c r="DR378" s="428"/>
      <x:c r="DS378" s="428"/>
      <x:c r="DT378" s="428"/>
      <x:c r="DU378" s="428"/>
      <x:c r="DV378" s="428"/>
      <x:c r="DW378" s="428"/>
      <x:c r="DX378" s="428"/>
      <x:c r="DY378" s="428"/>
      <x:c r="DZ378" s="428"/>
      <x:c r="EA378" s="428"/>
      <x:c r="EB378" s="428"/>
      <x:c r="EC378" s="428"/>
      <x:c r="ED378" s="428"/>
      <x:c r="EE378" s="428"/>
      <x:c r="EF378" s="428"/>
      <x:c r="EG378" s="428"/>
      <x:c r="EH378" s="428"/>
      <x:c r="EI378" s="428"/>
      <x:c r="EJ378" s="428"/>
      <x:c r="EK378" s="428"/>
      <x:c r="EL378" s="428"/>
      <x:c r="EM378" s="428"/>
      <x:c r="EN378" s="428"/>
      <x:c r="EO378" s="428"/>
      <x:c r="EP378" s="428"/>
      <x:c r="EQ378" s="428"/>
      <x:c r="ER378" s="428"/>
      <x:c r="ES378" s="428"/>
      <x:c r="ET378" s="428"/>
      <x:c r="EU378" s="428"/>
      <x:c r="EV378" s="428"/>
      <x:c r="EW378" s="428"/>
      <x:c r="EX378" s="428"/>
      <x:c r="EY378" s="428"/>
      <x:c r="EZ378" s="428"/>
      <x:c r="FA378" s="428"/>
      <x:c r="FB378" s="428"/>
      <x:c r="FC378" s="428"/>
      <x:c r="FD378" s="428"/>
      <x:c r="FE378" s="428"/>
      <x:c r="FF378" s="428"/>
    </x:row>
    <x:row r="380" spans="6:162" s="430" customFormat="1" ht="15.75" customHeight="1">
      <x:c r="F380" s="428"/>
      <x:c r="G380" s="428"/>
      <x:c r="H380" s="428"/>
      <x:c r="I380" s="428"/>
      <x:c r="J380" s="428"/>
      <x:c r="K380" s="428"/>
      <x:c r="L380" s="428"/>
      <x:c r="M380" s="428"/>
      <x:c r="N380" s="428"/>
      <x:c r="O380" s="428"/>
      <x:c r="P380" s="428"/>
      <x:c r="Q380" s="428"/>
      <x:c r="R380" s="428"/>
      <x:c r="S380" s="428"/>
      <x:c r="T380" s="428"/>
      <x:c r="U380" s="428"/>
      <x:c r="V380" s="428"/>
      <x:c r="W380" s="428"/>
      <x:c r="X380" s="428"/>
      <x:c r="Y380" s="428"/>
      <x:c r="AA380" s="428"/>
      <x:c r="AC380" s="428"/>
      <x:c r="AD380" s="428"/>
      <x:c r="AE380" s="428"/>
      <x:c r="AF380" s="428"/>
      <x:c r="AG380" s="428"/>
      <x:c r="AH380" s="429"/>
      <x:c r="AI380" s="429"/>
      <x:c r="AJ380" s="428"/>
      <x:c r="AK380" s="428"/>
      <x:c r="AL380" s="428"/>
      <x:c r="AM380" s="428"/>
      <x:c r="AN380" s="428"/>
      <x:c r="AO380" s="428"/>
      <x:c r="AP380" s="428"/>
      <x:c r="AQ380" s="428"/>
      <x:c r="AR380" s="428"/>
      <x:c r="AS380" s="428"/>
      <x:c r="AT380" s="428"/>
      <x:c r="AU380" s="428"/>
      <x:c r="AV380" s="428"/>
      <x:c r="AW380" s="428"/>
      <x:c r="AX380" s="428"/>
      <x:c r="AY380" s="428"/>
      <x:c r="AZ380" s="428"/>
      <x:c r="BA380" s="428"/>
      <x:c r="BB380" s="428"/>
      <x:c r="BC380" s="428"/>
      <x:c r="BD380" s="428"/>
      <x:c r="BE380" s="428"/>
      <x:c r="BF380" s="428"/>
      <x:c r="BG380" s="428"/>
      <x:c r="BH380" s="428"/>
      <x:c r="BI380" s="428"/>
      <x:c r="BJ380" s="428"/>
      <x:c r="BK380" s="428"/>
      <x:c r="BL380" s="428"/>
      <x:c r="BM380" s="428"/>
      <x:c r="BN380" s="428"/>
      <x:c r="BO380" s="428"/>
      <x:c r="BP380" s="428"/>
      <x:c r="BQ380" s="428"/>
      <x:c r="BR380" s="428"/>
      <x:c r="BS380" s="428"/>
      <x:c r="BT380" s="428"/>
      <x:c r="BU380" s="428"/>
      <x:c r="BV380" s="428"/>
      <x:c r="BW380" s="428"/>
      <x:c r="BX380" s="428"/>
      <x:c r="BY380" s="428"/>
      <x:c r="BZ380" s="428"/>
      <x:c r="CA380" s="428"/>
      <x:c r="CB380" s="428"/>
      <x:c r="CC380" s="428"/>
      <x:c r="CD380" s="428"/>
      <x:c r="CE380" s="428"/>
      <x:c r="CF380" s="428"/>
      <x:c r="CG380" s="428"/>
      <x:c r="CH380" s="428"/>
      <x:c r="CI380" s="428"/>
      <x:c r="CJ380" s="428"/>
      <x:c r="CK380" s="428"/>
      <x:c r="CL380" s="428"/>
      <x:c r="CM380" s="428"/>
      <x:c r="CN380" s="428"/>
      <x:c r="CO380" s="428"/>
      <x:c r="CP380" s="428"/>
      <x:c r="CQ380" s="428"/>
      <x:c r="CR380" s="428"/>
      <x:c r="CS380" s="428"/>
      <x:c r="CT380" s="428"/>
      <x:c r="CU380" s="428"/>
      <x:c r="CV380" s="428"/>
      <x:c r="CW380" s="428"/>
      <x:c r="CX380" s="428"/>
      <x:c r="CY380" s="428"/>
      <x:c r="CZ380" s="428"/>
      <x:c r="DA380" s="428"/>
      <x:c r="DB380" s="428"/>
      <x:c r="DC380" s="428"/>
      <x:c r="DD380" s="428"/>
      <x:c r="DE380" s="428"/>
      <x:c r="DF380" s="428"/>
      <x:c r="DG380" s="428"/>
      <x:c r="DH380" s="428"/>
      <x:c r="DI380" s="428"/>
      <x:c r="DJ380" s="428"/>
      <x:c r="DK380" s="428"/>
      <x:c r="DL380" s="428"/>
      <x:c r="DM380" s="428"/>
      <x:c r="DN380" s="428"/>
      <x:c r="DO380" s="428"/>
      <x:c r="DP380" s="428"/>
      <x:c r="DQ380" s="428"/>
      <x:c r="DR380" s="428"/>
      <x:c r="DS380" s="428"/>
      <x:c r="DT380" s="428"/>
      <x:c r="DU380" s="428"/>
      <x:c r="DV380" s="428"/>
      <x:c r="DW380" s="428"/>
      <x:c r="DX380" s="428"/>
      <x:c r="DY380" s="428"/>
      <x:c r="DZ380" s="428"/>
      <x:c r="EA380" s="428"/>
      <x:c r="EB380" s="428"/>
      <x:c r="EC380" s="428"/>
      <x:c r="ED380" s="428"/>
      <x:c r="EE380" s="428"/>
      <x:c r="EF380" s="428"/>
      <x:c r="EG380" s="428"/>
      <x:c r="EH380" s="428"/>
      <x:c r="EI380" s="428"/>
      <x:c r="EJ380" s="428"/>
      <x:c r="EK380" s="428"/>
      <x:c r="EL380" s="428"/>
      <x:c r="EM380" s="428"/>
      <x:c r="EN380" s="428"/>
      <x:c r="EO380" s="428"/>
      <x:c r="EP380" s="428"/>
      <x:c r="EQ380" s="428"/>
      <x:c r="ER380" s="428"/>
      <x:c r="ES380" s="428"/>
      <x:c r="ET380" s="428"/>
      <x:c r="EU380" s="428"/>
      <x:c r="EV380" s="428"/>
      <x:c r="EW380" s="428"/>
      <x:c r="EX380" s="428"/>
      <x:c r="EY380" s="428"/>
      <x:c r="EZ380" s="428"/>
      <x:c r="FA380" s="428"/>
      <x:c r="FB380" s="428"/>
      <x:c r="FC380" s="428"/>
      <x:c r="FD380" s="428"/>
      <x:c r="FE380" s="428"/>
      <x:c r="FF380" s="428"/>
    </x:row>
    <x:row r="382" spans="6:162" s="430" customFormat="1" ht="15.75" customHeight="1">
      <x:c r="F382" s="428"/>
      <x:c r="G382" s="428"/>
      <x:c r="H382" s="428"/>
      <x:c r="I382" s="428"/>
      <x:c r="J382" s="428"/>
      <x:c r="K382" s="428"/>
      <x:c r="L382" s="428"/>
      <x:c r="M382" s="428"/>
      <x:c r="N382" s="428"/>
      <x:c r="O382" s="428"/>
      <x:c r="P382" s="428"/>
      <x:c r="Q382" s="428"/>
      <x:c r="R382" s="428"/>
      <x:c r="S382" s="428"/>
      <x:c r="T382" s="428"/>
      <x:c r="U382" s="428"/>
      <x:c r="V382" s="428"/>
      <x:c r="W382" s="428"/>
      <x:c r="X382" s="428"/>
      <x:c r="Y382" s="428"/>
      <x:c r="AA382" s="428"/>
      <x:c r="AC382" s="428"/>
      <x:c r="AD382" s="428"/>
      <x:c r="AE382" s="428"/>
      <x:c r="AF382" s="428"/>
      <x:c r="AG382" s="428"/>
      <x:c r="AH382" s="429"/>
      <x:c r="AI382" s="429"/>
      <x:c r="AJ382" s="428"/>
      <x:c r="AK382" s="428"/>
      <x:c r="AL382" s="428"/>
      <x:c r="AM382" s="428"/>
      <x:c r="AN382" s="428"/>
      <x:c r="AO382" s="428"/>
      <x:c r="AP382" s="428"/>
      <x:c r="AQ382" s="428"/>
      <x:c r="AR382" s="428"/>
      <x:c r="AS382" s="428"/>
      <x:c r="AT382" s="428"/>
      <x:c r="AU382" s="428"/>
      <x:c r="AV382" s="428"/>
      <x:c r="AW382" s="428"/>
      <x:c r="AX382" s="428"/>
      <x:c r="AY382" s="428"/>
      <x:c r="AZ382" s="428"/>
      <x:c r="BA382" s="428"/>
      <x:c r="BB382" s="428"/>
      <x:c r="BC382" s="428"/>
      <x:c r="BD382" s="428"/>
      <x:c r="BE382" s="428"/>
      <x:c r="BF382" s="428"/>
      <x:c r="BG382" s="428"/>
      <x:c r="BH382" s="428"/>
      <x:c r="BI382" s="428"/>
      <x:c r="BJ382" s="428"/>
      <x:c r="BK382" s="428"/>
      <x:c r="BL382" s="428"/>
      <x:c r="BM382" s="428"/>
      <x:c r="BN382" s="428"/>
      <x:c r="BO382" s="428"/>
      <x:c r="BP382" s="428"/>
      <x:c r="BQ382" s="428"/>
      <x:c r="BR382" s="428"/>
      <x:c r="BS382" s="428"/>
      <x:c r="BT382" s="428"/>
      <x:c r="BU382" s="428"/>
      <x:c r="BV382" s="428"/>
      <x:c r="BW382" s="428"/>
      <x:c r="BX382" s="428"/>
      <x:c r="BY382" s="428"/>
      <x:c r="BZ382" s="428"/>
      <x:c r="CA382" s="428"/>
      <x:c r="CB382" s="428"/>
      <x:c r="CC382" s="428"/>
      <x:c r="CD382" s="428"/>
      <x:c r="CE382" s="428"/>
      <x:c r="CF382" s="428"/>
      <x:c r="CG382" s="428"/>
      <x:c r="CH382" s="428"/>
      <x:c r="CI382" s="428"/>
      <x:c r="CJ382" s="428"/>
      <x:c r="CK382" s="428"/>
      <x:c r="CL382" s="428"/>
      <x:c r="CM382" s="428"/>
      <x:c r="CN382" s="428"/>
      <x:c r="CO382" s="428"/>
      <x:c r="CP382" s="428"/>
      <x:c r="CQ382" s="428"/>
      <x:c r="CR382" s="428"/>
      <x:c r="CS382" s="428"/>
      <x:c r="CT382" s="428"/>
      <x:c r="CU382" s="428"/>
      <x:c r="CV382" s="428"/>
      <x:c r="CW382" s="428"/>
      <x:c r="CX382" s="428"/>
      <x:c r="CY382" s="428"/>
      <x:c r="CZ382" s="428"/>
      <x:c r="DA382" s="428"/>
      <x:c r="DB382" s="428"/>
      <x:c r="DC382" s="428"/>
      <x:c r="DD382" s="428"/>
      <x:c r="DE382" s="428"/>
      <x:c r="DF382" s="428"/>
      <x:c r="DG382" s="428"/>
      <x:c r="DH382" s="428"/>
      <x:c r="DI382" s="428"/>
      <x:c r="DJ382" s="428"/>
      <x:c r="DK382" s="428"/>
      <x:c r="DL382" s="428"/>
      <x:c r="DM382" s="428"/>
      <x:c r="DN382" s="428"/>
      <x:c r="DO382" s="428"/>
      <x:c r="DP382" s="428"/>
      <x:c r="DQ382" s="428"/>
      <x:c r="DR382" s="428"/>
      <x:c r="DS382" s="428"/>
      <x:c r="DT382" s="428"/>
      <x:c r="DU382" s="428"/>
      <x:c r="DV382" s="428"/>
      <x:c r="DW382" s="428"/>
      <x:c r="DX382" s="428"/>
      <x:c r="DY382" s="428"/>
      <x:c r="DZ382" s="428"/>
      <x:c r="EA382" s="428"/>
      <x:c r="EB382" s="428"/>
      <x:c r="EC382" s="428"/>
      <x:c r="ED382" s="428"/>
      <x:c r="EE382" s="428"/>
      <x:c r="EF382" s="428"/>
      <x:c r="EG382" s="428"/>
      <x:c r="EH382" s="428"/>
      <x:c r="EI382" s="428"/>
      <x:c r="EJ382" s="428"/>
      <x:c r="EK382" s="428"/>
      <x:c r="EL382" s="428"/>
      <x:c r="EM382" s="428"/>
      <x:c r="EN382" s="428"/>
      <x:c r="EO382" s="428"/>
      <x:c r="EP382" s="428"/>
      <x:c r="EQ382" s="428"/>
      <x:c r="ER382" s="428"/>
      <x:c r="ES382" s="428"/>
      <x:c r="ET382" s="428"/>
      <x:c r="EU382" s="428"/>
      <x:c r="EV382" s="428"/>
      <x:c r="EW382" s="428"/>
      <x:c r="EX382" s="428"/>
      <x:c r="EY382" s="428"/>
      <x:c r="EZ382" s="428"/>
      <x:c r="FA382" s="428"/>
      <x:c r="FB382" s="428"/>
      <x:c r="FC382" s="428"/>
      <x:c r="FD382" s="428"/>
      <x:c r="FE382" s="428"/>
      <x:c r="FF382" s="428"/>
    </x:row>
    <x:row r="384" spans="6:162" s="430" customFormat="1" ht="15.75" customHeight="1">
      <x:c r="F384" s="428"/>
      <x:c r="G384" s="428"/>
      <x:c r="H384" s="428"/>
      <x:c r="I384" s="428"/>
      <x:c r="J384" s="428"/>
      <x:c r="K384" s="428"/>
      <x:c r="L384" s="428"/>
      <x:c r="M384" s="428"/>
      <x:c r="N384" s="428"/>
      <x:c r="O384" s="428"/>
      <x:c r="P384" s="428"/>
      <x:c r="Q384" s="428"/>
      <x:c r="R384" s="428"/>
      <x:c r="S384" s="428"/>
      <x:c r="T384" s="428"/>
      <x:c r="U384" s="428"/>
      <x:c r="V384" s="428"/>
      <x:c r="W384" s="428"/>
      <x:c r="X384" s="428"/>
      <x:c r="Y384" s="428"/>
      <x:c r="AA384" s="428"/>
      <x:c r="AC384" s="428"/>
      <x:c r="AD384" s="428"/>
      <x:c r="AE384" s="428"/>
      <x:c r="AF384" s="428"/>
      <x:c r="AG384" s="428"/>
      <x:c r="AH384" s="429"/>
      <x:c r="AI384" s="429"/>
      <x:c r="AJ384" s="428"/>
      <x:c r="AK384" s="428"/>
      <x:c r="AL384" s="428"/>
      <x:c r="AM384" s="428"/>
      <x:c r="AN384" s="428"/>
      <x:c r="AO384" s="428"/>
      <x:c r="AP384" s="428"/>
      <x:c r="AQ384" s="428"/>
      <x:c r="AR384" s="428"/>
      <x:c r="AS384" s="428"/>
      <x:c r="AT384" s="428"/>
      <x:c r="AU384" s="428"/>
      <x:c r="AV384" s="428"/>
      <x:c r="AW384" s="428"/>
      <x:c r="AX384" s="428"/>
      <x:c r="AY384" s="428"/>
      <x:c r="AZ384" s="428"/>
      <x:c r="BA384" s="428"/>
      <x:c r="BB384" s="428"/>
      <x:c r="BC384" s="428"/>
      <x:c r="BD384" s="428"/>
      <x:c r="BE384" s="428"/>
      <x:c r="BF384" s="428"/>
      <x:c r="BG384" s="428"/>
      <x:c r="BH384" s="428"/>
      <x:c r="BI384" s="428"/>
      <x:c r="BJ384" s="428"/>
      <x:c r="BK384" s="428"/>
      <x:c r="BL384" s="428"/>
      <x:c r="BM384" s="428"/>
      <x:c r="BN384" s="428"/>
      <x:c r="BO384" s="428"/>
      <x:c r="BP384" s="428"/>
      <x:c r="BQ384" s="428"/>
      <x:c r="BR384" s="428"/>
      <x:c r="BS384" s="428"/>
      <x:c r="BT384" s="428"/>
      <x:c r="BU384" s="428"/>
      <x:c r="BV384" s="428"/>
      <x:c r="BW384" s="428"/>
      <x:c r="BX384" s="428"/>
      <x:c r="BY384" s="428"/>
      <x:c r="BZ384" s="428"/>
      <x:c r="CA384" s="428"/>
      <x:c r="CB384" s="428"/>
      <x:c r="CC384" s="428"/>
      <x:c r="CD384" s="428"/>
      <x:c r="CE384" s="428"/>
      <x:c r="CF384" s="428"/>
      <x:c r="CG384" s="428"/>
      <x:c r="CH384" s="428"/>
      <x:c r="CI384" s="428"/>
      <x:c r="CJ384" s="428"/>
      <x:c r="CK384" s="428"/>
      <x:c r="CL384" s="428"/>
      <x:c r="CM384" s="428"/>
      <x:c r="CN384" s="428"/>
      <x:c r="CO384" s="428"/>
      <x:c r="CP384" s="428"/>
      <x:c r="CQ384" s="428"/>
      <x:c r="CR384" s="428"/>
      <x:c r="CS384" s="428"/>
      <x:c r="CT384" s="428"/>
      <x:c r="CU384" s="428"/>
      <x:c r="CV384" s="428"/>
      <x:c r="CW384" s="428"/>
      <x:c r="CX384" s="428"/>
      <x:c r="CY384" s="428"/>
      <x:c r="CZ384" s="428"/>
      <x:c r="DA384" s="428"/>
      <x:c r="DB384" s="428"/>
      <x:c r="DC384" s="428"/>
      <x:c r="DD384" s="428"/>
      <x:c r="DE384" s="428"/>
      <x:c r="DF384" s="428"/>
      <x:c r="DG384" s="428"/>
      <x:c r="DH384" s="428"/>
      <x:c r="DI384" s="428"/>
      <x:c r="DJ384" s="428"/>
      <x:c r="DK384" s="428"/>
      <x:c r="DL384" s="428"/>
      <x:c r="DM384" s="428"/>
      <x:c r="DN384" s="428"/>
      <x:c r="DO384" s="428"/>
      <x:c r="DP384" s="428"/>
      <x:c r="DQ384" s="428"/>
      <x:c r="DR384" s="428"/>
      <x:c r="DS384" s="428"/>
      <x:c r="DT384" s="428"/>
      <x:c r="DU384" s="428"/>
      <x:c r="DV384" s="428"/>
      <x:c r="DW384" s="428"/>
      <x:c r="DX384" s="428"/>
      <x:c r="DY384" s="428"/>
      <x:c r="DZ384" s="428"/>
      <x:c r="EA384" s="428"/>
      <x:c r="EB384" s="428"/>
      <x:c r="EC384" s="428"/>
      <x:c r="ED384" s="428"/>
      <x:c r="EE384" s="428"/>
      <x:c r="EF384" s="428"/>
      <x:c r="EG384" s="428"/>
      <x:c r="EH384" s="428"/>
      <x:c r="EI384" s="428"/>
      <x:c r="EJ384" s="428"/>
      <x:c r="EK384" s="428"/>
      <x:c r="EL384" s="428"/>
      <x:c r="EM384" s="428"/>
      <x:c r="EN384" s="428"/>
      <x:c r="EO384" s="428"/>
      <x:c r="EP384" s="428"/>
      <x:c r="EQ384" s="428"/>
      <x:c r="ER384" s="428"/>
      <x:c r="ES384" s="428"/>
      <x:c r="ET384" s="428"/>
      <x:c r="EU384" s="428"/>
      <x:c r="EV384" s="428"/>
      <x:c r="EW384" s="428"/>
      <x:c r="EX384" s="428"/>
      <x:c r="EY384" s="428"/>
      <x:c r="EZ384" s="428"/>
      <x:c r="FA384" s="428"/>
      <x:c r="FB384" s="428"/>
      <x:c r="FC384" s="428"/>
      <x:c r="FD384" s="428"/>
      <x:c r="FE384" s="428"/>
      <x:c r="FF384" s="428"/>
    </x:row>
    <x:row r="386" spans="6:162" s="430" customFormat="1" ht="15.75" customHeight="1">
      <x:c r="F386" s="428"/>
      <x:c r="G386" s="428"/>
      <x:c r="H386" s="428"/>
      <x:c r="I386" s="428"/>
      <x:c r="J386" s="428"/>
      <x:c r="K386" s="428"/>
      <x:c r="L386" s="428"/>
      <x:c r="M386" s="428"/>
      <x:c r="N386" s="428"/>
      <x:c r="O386" s="428"/>
      <x:c r="P386" s="428"/>
      <x:c r="Q386" s="428"/>
      <x:c r="R386" s="428"/>
      <x:c r="S386" s="428"/>
      <x:c r="T386" s="428"/>
      <x:c r="U386" s="428"/>
      <x:c r="V386" s="428"/>
      <x:c r="W386" s="428"/>
      <x:c r="X386" s="428"/>
      <x:c r="Y386" s="428"/>
      <x:c r="AA386" s="428"/>
      <x:c r="AC386" s="428"/>
      <x:c r="AD386" s="428"/>
      <x:c r="AE386" s="428"/>
      <x:c r="AF386" s="428"/>
      <x:c r="AG386" s="428"/>
      <x:c r="AH386" s="429"/>
      <x:c r="AI386" s="429"/>
      <x:c r="AJ386" s="428"/>
      <x:c r="AK386" s="428"/>
      <x:c r="AL386" s="428"/>
      <x:c r="AM386" s="428"/>
      <x:c r="AN386" s="428"/>
      <x:c r="AO386" s="428"/>
      <x:c r="AP386" s="428"/>
      <x:c r="AQ386" s="428"/>
      <x:c r="AR386" s="428"/>
      <x:c r="AS386" s="428"/>
      <x:c r="AT386" s="428"/>
      <x:c r="AU386" s="428"/>
      <x:c r="AV386" s="428"/>
      <x:c r="AW386" s="428"/>
      <x:c r="AX386" s="428"/>
      <x:c r="AY386" s="428"/>
      <x:c r="AZ386" s="428"/>
      <x:c r="BA386" s="428"/>
      <x:c r="BB386" s="428"/>
      <x:c r="BC386" s="428"/>
      <x:c r="BD386" s="428"/>
      <x:c r="BE386" s="428"/>
      <x:c r="BF386" s="428"/>
      <x:c r="BG386" s="428"/>
      <x:c r="BH386" s="428"/>
      <x:c r="BI386" s="428"/>
      <x:c r="BJ386" s="428"/>
      <x:c r="BK386" s="428"/>
      <x:c r="BL386" s="428"/>
      <x:c r="BM386" s="428"/>
      <x:c r="BN386" s="428"/>
      <x:c r="BO386" s="428"/>
      <x:c r="BP386" s="428"/>
      <x:c r="BQ386" s="428"/>
      <x:c r="BR386" s="428"/>
      <x:c r="BS386" s="428"/>
      <x:c r="BT386" s="428"/>
      <x:c r="BU386" s="428"/>
      <x:c r="BV386" s="428"/>
      <x:c r="BW386" s="428"/>
      <x:c r="BX386" s="428"/>
      <x:c r="BY386" s="428"/>
      <x:c r="BZ386" s="428"/>
      <x:c r="CA386" s="428"/>
      <x:c r="CB386" s="428"/>
      <x:c r="CC386" s="428"/>
      <x:c r="CD386" s="428"/>
      <x:c r="CE386" s="428"/>
      <x:c r="CF386" s="428"/>
      <x:c r="CG386" s="428"/>
      <x:c r="CH386" s="428"/>
      <x:c r="CI386" s="428"/>
      <x:c r="CJ386" s="428"/>
      <x:c r="CK386" s="428"/>
      <x:c r="CL386" s="428"/>
      <x:c r="CM386" s="428"/>
      <x:c r="CN386" s="428"/>
      <x:c r="CO386" s="428"/>
      <x:c r="CP386" s="428"/>
      <x:c r="CQ386" s="428"/>
      <x:c r="CR386" s="428"/>
      <x:c r="CS386" s="428"/>
      <x:c r="CT386" s="428"/>
      <x:c r="CU386" s="428"/>
      <x:c r="CV386" s="428"/>
      <x:c r="CW386" s="428"/>
      <x:c r="CX386" s="428"/>
      <x:c r="CY386" s="428"/>
      <x:c r="CZ386" s="428"/>
      <x:c r="DA386" s="428"/>
      <x:c r="DB386" s="428"/>
      <x:c r="DC386" s="428"/>
      <x:c r="DD386" s="428"/>
      <x:c r="DE386" s="428"/>
      <x:c r="DF386" s="428"/>
      <x:c r="DG386" s="428"/>
      <x:c r="DH386" s="428"/>
      <x:c r="DI386" s="428"/>
      <x:c r="DJ386" s="428"/>
      <x:c r="DK386" s="428"/>
      <x:c r="DL386" s="428"/>
      <x:c r="DM386" s="428"/>
      <x:c r="DN386" s="428"/>
      <x:c r="DO386" s="428"/>
      <x:c r="DP386" s="428"/>
      <x:c r="DQ386" s="428"/>
      <x:c r="DR386" s="428"/>
      <x:c r="DS386" s="428"/>
      <x:c r="DT386" s="428"/>
      <x:c r="DU386" s="428"/>
      <x:c r="DV386" s="428"/>
      <x:c r="DW386" s="428"/>
      <x:c r="DX386" s="428"/>
      <x:c r="DY386" s="428"/>
      <x:c r="DZ386" s="428"/>
      <x:c r="EA386" s="428"/>
      <x:c r="EB386" s="428"/>
      <x:c r="EC386" s="428"/>
      <x:c r="ED386" s="428"/>
      <x:c r="EE386" s="428"/>
      <x:c r="EF386" s="428"/>
      <x:c r="EG386" s="428"/>
      <x:c r="EH386" s="428"/>
      <x:c r="EI386" s="428"/>
      <x:c r="EJ386" s="428"/>
      <x:c r="EK386" s="428"/>
      <x:c r="EL386" s="428"/>
      <x:c r="EM386" s="428"/>
      <x:c r="EN386" s="428"/>
      <x:c r="EO386" s="428"/>
      <x:c r="EP386" s="428"/>
      <x:c r="EQ386" s="428"/>
      <x:c r="ER386" s="428"/>
      <x:c r="ES386" s="428"/>
      <x:c r="ET386" s="428"/>
      <x:c r="EU386" s="428"/>
      <x:c r="EV386" s="428"/>
      <x:c r="EW386" s="428"/>
      <x:c r="EX386" s="428"/>
      <x:c r="EY386" s="428"/>
      <x:c r="EZ386" s="428"/>
      <x:c r="FA386" s="428"/>
      <x:c r="FB386" s="428"/>
      <x:c r="FC386" s="428"/>
      <x:c r="FD386" s="428"/>
      <x:c r="FE386" s="428"/>
      <x:c r="FF386" s="428"/>
    </x:row>
    <x:row r="388" spans="6:162" s="430" customFormat="1" ht="15.75" customHeight="1">
      <x:c r="F388" s="428"/>
      <x:c r="G388" s="428"/>
      <x:c r="H388" s="428"/>
      <x:c r="I388" s="428"/>
      <x:c r="J388" s="428"/>
      <x:c r="K388" s="428"/>
      <x:c r="L388" s="428"/>
      <x:c r="M388" s="428"/>
      <x:c r="N388" s="428"/>
      <x:c r="O388" s="428"/>
      <x:c r="P388" s="428"/>
      <x:c r="Q388" s="428"/>
      <x:c r="R388" s="428"/>
      <x:c r="S388" s="428"/>
      <x:c r="T388" s="428"/>
      <x:c r="U388" s="428"/>
      <x:c r="V388" s="428"/>
      <x:c r="W388" s="428"/>
      <x:c r="X388" s="428"/>
      <x:c r="Y388" s="428"/>
      <x:c r="AA388" s="428"/>
      <x:c r="AC388" s="428"/>
      <x:c r="AD388" s="428"/>
      <x:c r="AE388" s="428"/>
      <x:c r="AF388" s="428"/>
      <x:c r="AG388" s="428"/>
      <x:c r="AH388" s="429"/>
      <x:c r="AI388" s="429"/>
      <x:c r="AJ388" s="428"/>
      <x:c r="AK388" s="428"/>
      <x:c r="AL388" s="428"/>
      <x:c r="AM388" s="428"/>
      <x:c r="AN388" s="428"/>
      <x:c r="AO388" s="428"/>
      <x:c r="AP388" s="428"/>
      <x:c r="AQ388" s="428"/>
      <x:c r="AR388" s="428"/>
      <x:c r="AS388" s="428"/>
      <x:c r="AT388" s="428"/>
      <x:c r="AU388" s="428"/>
      <x:c r="AV388" s="428"/>
      <x:c r="AW388" s="428"/>
      <x:c r="AX388" s="428"/>
      <x:c r="AY388" s="428"/>
      <x:c r="AZ388" s="428"/>
      <x:c r="BA388" s="428"/>
      <x:c r="BB388" s="428"/>
      <x:c r="BC388" s="428"/>
      <x:c r="BD388" s="428"/>
      <x:c r="BE388" s="428"/>
      <x:c r="BF388" s="428"/>
      <x:c r="BG388" s="428"/>
      <x:c r="BH388" s="428"/>
      <x:c r="BI388" s="428"/>
      <x:c r="BJ388" s="428"/>
      <x:c r="BK388" s="428"/>
      <x:c r="BL388" s="428"/>
      <x:c r="BM388" s="428"/>
      <x:c r="BN388" s="428"/>
      <x:c r="BO388" s="428"/>
      <x:c r="BP388" s="428"/>
      <x:c r="BQ388" s="428"/>
      <x:c r="BR388" s="428"/>
      <x:c r="BS388" s="428"/>
      <x:c r="BT388" s="428"/>
      <x:c r="BU388" s="428"/>
      <x:c r="BV388" s="428"/>
      <x:c r="BW388" s="428"/>
      <x:c r="BX388" s="428"/>
      <x:c r="BY388" s="428"/>
      <x:c r="BZ388" s="428"/>
      <x:c r="CA388" s="428"/>
      <x:c r="CB388" s="428"/>
      <x:c r="CC388" s="428"/>
      <x:c r="CD388" s="428"/>
      <x:c r="CE388" s="428"/>
      <x:c r="CF388" s="428"/>
      <x:c r="CG388" s="428"/>
      <x:c r="CH388" s="428"/>
      <x:c r="CI388" s="428"/>
      <x:c r="CJ388" s="428"/>
      <x:c r="CK388" s="428"/>
      <x:c r="CL388" s="428"/>
      <x:c r="CM388" s="428"/>
      <x:c r="CN388" s="428"/>
      <x:c r="CO388" s="428"/>
      <x:c r="CP388" s="428"/>
      <x:c r="CQ388" s="428"/>
      <x:c r="CR388" s="428"/>
      <x:c r="CS388" s="428"/>
      <x:c r="CT388" s="428"/>
      <x:c r="CU388" s="428"/>
      <x:c r="CV388" s="428"/>
      <x:c r="CW388" s="428"/>
      <x:c r="CX388" s="428"/>
      <x:c r="CY388" s="428"/>
      <x:c r="CZ388" s="428"/>
      <x:c r="DA388" s="428"/>
      <x:c r="DB388" s="428"/>
      <x:c r="DC388" s="428"/>
      <x:c r="DD388" s="428"/>
      <x:c r="DE388" s="428"/>
      <x:c r="DF388" s="428"/>
      <x:c r="DG388" s="428"/>
      <x:c r="DH388" s="428"/>
      <x:c r="DI388" s="428"/>
      <x:c r="DJ388" s="428"/>
      <x:c r="DK388" s="428"/>
      <x:c r="DL388" s="428"/>
      <x:c r="DM388" s="428"/>
      <x:c r="DN388" s="428"/>
      <x:c r="DO388" s="428"/>
      <x:c r="DP388" s="428"/>
      <x:c r="DQ388" s="428"/>
      <x:c r="DR388" s="428"/>
      <x:c r="DS388" s="428"/>
      <x:c r="DT388" s="428"/>
      <x:c r="DU388" s="428"/>
      <x:c r="DV388" s="428"/>
      <x:c r="DW388" s="428"/>
      <x:c r="DX388" s="428"/>
      <x:c r="DY388" s="428"/>
      <x:c r="DZ388" s="428"/>
      <x:c r="EA388" s="428"/>
      <x:c r="EB388" s="428"/>
      <x:c r="EC388" s="428"/>
      <x:c r="ED388" s="428"/>
      <x:c r="EE388" s="428"/>
      <x:c r="EF388" s="428"/>
      <x:c r="EG388" s="428"/>
      <x:c r="EH388" s="428"/>
      <x:c r="EI388" s="428"/>
      <x:c r="EJ388" s="428"/>
      <x:c r="EK388" s="428"/>
      <x:c r="EL388" s="428"/>
      <x:c r="EM388" s="428"/>
      <x:c r="EN388" s="428"/>
      <x:c r="EO388" s="428"/>
      <x:c r="EP388" s="428"/>
      <x:c r="EQ388" s="428"/>
      <x:c r="ER388" s="428"/>
      <x:c r="ES388" s="428"/>
      <x:c r="ET388" s="428"/>
      <x:c r="EU388" s="428"/>
      <x:c r="EV388" s="428"/>
      <x:c r="EW388" s="428"/>
      <x:c r="EX388" s="428"/>
      <x:c r="EY388" s="428"/>
      <x:c r="EZ388" s="428"/>
      <x:c r="FA388" s="428"/>
      <x:c r="FB388" s="428"/>
      <x:c r="FC388" s="428"/>
      <x:c r="FD388" s="428"/>
      <x:c r="FE388" s="428"/>
      <x:c r="FF388" s="428"/>
    </x:row>
    <x:row r="390" spans="6:162" s="430" customFormat="1" ht="15.75" customHeight="1">
      <x:c r="F390" s="428"/>
      <x:c r="G390" s="428"/>
      <x:c r="H390" s="428"/>
      <x:c r="I390" s="428"/>
      <x:c r="J390" s="428"/>
      <x:c r="K390" s="428"/>
      <x:c r="L390" s="428"/>
      <x:c r="M390" s="428"/>
      <x:c r="N390" s="428"/>
      <x:c r="O390" s="428"/>
      <x:c r="P390" s="428"/>
      <x:c r="Q390" s="428"/>
      <x:c r="R390" s="428"/>
      <x:c r="S390" s="428"/>
      <x:c r="T390" s="428"/>
      <x:c r="U390" s="428"/>
      <x:c r="V390" s="428"/>
      <x:c r="W390" s="428"/>
      <x:c r="X390" s="428"/>
      <x:c r="Y390" s="428"/>
      <x:c r="AA390" s="428"/>
      <x:c r="AC390" s="428"/>
      <x:c r="AD390" s="428"/>
      <x:c r="AE390" s="428"/>
      <x:c r="AF390" s="428"/>
      <x:c r="AG390" s="428"/>
      <x:c r="AH390" s="429"/>
      <x:c r="AI390" s="429"/>
      <x:c r="AJ390" s="428"/>
      <x:c r="AK390" s="428"/>
      <x:c r="AL390" s="428"/>
      <x:c r="AM390" s="428"/>
      <x:c r="AN390" s="428"/>
      <x:c r="AO390" s="428"/>
      <x:c r="AP390" s="428"/>
      <x:c r="AQ390" s="428"/>
      <x:c r="AR390" s="428"/>
      <x:c r="AS390" s="428"/>
      <x:c r="AT390" s="428"/>
      <x:c r="AU390" s="428"/>
      <x:c r="AV390" s="428"/>
      <x:c r="AW390" s="428"/>
      <x:c r="AX390" s="428"/>
      <x:c r="AY390" s="428"/>
      <x:c r="AZ390" s="428"/>
      <x:c r="BA390" s="428"/>
      <x:c r="BB390" s="428"/>
      <x:c r="BC390" s="428"/>
      <x:c r="BD390" s="428"/>
      <x:c r="BE390" s="428"/>
      <x:c r="BF390" s="428"/>
      <x:c r="BG390" s="428"/>
      <x:c r="BH390" s="428"/>
      <x:c r="BI390" s="428"/>
      <x:c r="BJ390" s="428"/>
      <x:c r="BK390" s="428"/>
      <x:c r="BL390" s="428"/>
      <x:c r="BM390" s="428"/>
      <x:c r="BN390" s="428"/>
      <x:c r="BO390" s="428"/>
      <x:c r="BP390" s="428"/>
      <x:c r="BQ390" s="428"/>
      <x:c r="BR390" s="428"/>
      <x:c r="BS390" s="428"/>
      <x:c r="BT390" s="428"/>
      <x:c r="BU390" s="428"/>
      <x:c r="BV390" s="428"/>
      <x:c r="BW390" s="428"/>
      <x:c r="BX390" s="428"/>
      <x:c r="BY390" s="428"/>
      <x:c r="BZ390" s="428"/>
      <x:c r="CA390" s="428"/>
      <x:c r="CB390" s="428"/>
      <x:c r="CC390" s="428"/>
      <x:c r="CD390" s="428"/>
      <x:c r="CE390" s="428"/>
      <x:c r="CF390" s="428"/>
      <x:c r="CG390" s="428"/>
      <x:c r="CH390" s="428"/>
      <x:c r="CI390" s="428"/>
      <x:c r="CJ390" s="428"/>
      <x:c r="CK390" s="428"/>
      <x:c r="CL390" s="428"/>
      <x:c r="CM390" s="428"/>
      <x:c r="CN390" s="428"/>
      <x:c r="CO390" s="428"/>
      <x:c r="CP390" s="428"/>
      <x:c r="CQ390" s="428"/>
      <x:c r="CR390" s="428"/>
      <x:c r="CS390" s="428"/>
      <x:c r="CT390" s="428"/>
      <x:c r="CU390" s="428"/>
      <x:c r="CV390" s="428"/>
      <x:c r="CW390" s="428"/>
      <x:c r="CX390" s="428"/>
      <x:c r="CY390" s="428"/>
      <x:c r="CZ390" s="428"/>
      <x:c r="DA390" s="428"/>
      <x:c r="DB390" s="428"/>
      <x:c r="DC390" s="428"/>
      <x:c r="DD390" s="428"/>
      <x:c r="DE390" s="428"/>
      <x:c r="DF390" s="428"/>
      <x:c r="DG390" s="428"/>
      <x:c r="DH390" s="428"/>
      <x:c r="DI390" s="428"/>
      <x:c r="DJ390" s="428"/>
      <x:c r="DK390" s="428"/>
      <x:c r="DL390" s="428"/>
      <x:c r="DM390" s="428"/>
      <x:c r="DN390" s="428"/>
      <x:c r="DO390" s="428"/>
      <x:c r="DP390" s="428"/>
      <x:c r="DQ390" s="428"/>
      <x:c r="DR390" s="428"/>
      <x:c r="DS390" s="428"/>
      <x:c r="DT390" s="428"/>
      <x:c r="DU390" s="428"/>
      <x:c r="DV390" s="428"/>
      <x:c r="DW390" s="428"/>
      <x:c r="DX390" s="428"/>
      <x:c r="DY390" s="428"/>
      <x:c r="DZ390" s="428"/>
      <x:c r="EA390" s="428"/>
      <x:c r="EB390" s="428"/>
      <x:c r="EC390" s="428"/>
      <x:c r="ED390" s="428"/>
      <x:c r="EE390" s="428"/>
      <x:c r="EF390" s="428"/>
      <x:c r="EG390" s="428"/>
      <x:c r="EH390" s="428"/>
      <x:c r="EI390" s="428"/>
      <x:c r="EJ390" s="428"/>
      <x:c r="EK390" s="428"/>
      <x:c r="EL390" s="428"/>
      <x:c r="EM390" s="428"/>
      <x:c r="EN390" s="428"/>
      <x:c r="EO390" s="428"/>
      <x:c r="EP390" s="428"/>
      <x:c r="EQ390" s="428"/>
      <x:c r="ER390" s="428"/>
      <x:c r="ES390" s="428"/>
      <x:c r="ET390" s="428"/>
      <x:c r="EU390" s="428"/>
      <x:c r="EV390" s="428"/>
      <x:c r="EW390" s="428"/>
      <x:c r="EX390" s="428"/>
      <x:c r="EY390" s="428"/>
      <x:c r="EZ390" s="428"/>
      <x:c r="FA390" s="428"/>
      <x:c r="FB390" s="428"/>
      <x:c r="FC390" s="428"/>
      <x:c r="FD390" s="428"/>
      <x:c r="FE390" s="428"/>
      <x:c r="FF390" s="428"/>
    </x:row>
    <x:row r="392" spans="6:162" s="430" customFormat="1" ht="15.75" customHeight="1">
      <x:c r="F392" s="428"/>
      <x:c r="G392" s="428"/>
      <x:c r="H392" s="428"/>
      <x:c r="I392" s="428"/>
      <x:c r="J392" s="428"/>
      <x:c r="K392" s="428"/>
      <x:c r="L392" s="428"/>
      <x:c r="M392" s="428"/>
      <x:c r="N392" s="428"/>
      <x:c r="O392" s="428"/>
      <x:c r="P392" s="428"/>
      <x:c r="Q392" s="428"/>
      <x:c r="R392" s="428"/>
      <x:c r="S392" s="428"/>
      <x:c r="T392" s="428"/>
      <x:c r="U392" s="428"/>
      <x:c r="V392" s="428"/>
      <x:c r="W392" s="428"/>
      <x:c r="X392" s="428"/>
      <x:c r="Y392" s="428"/>
      <x:c r="AA392" s="428"/>
      <x:c r="AC392" s="428"/>
      <x:c r="AD392" s="428"/>
      <x:c r="AE392" s="428"/>
      <x:c r="AF392" s="428"/>
      <x:c r="AG392" s="428"/>
      <x:c r="AH392" s="429"/>
      <x:c r="AI392" s="429"/>
      <x:c r="AJ392" s="428"/>
      <x:c r="AK392" s="428"/>
      <x:c r="AL392" s="428"/>
      <x:c r="AM392" s="428"/>
      <x:c r="AN392" s="428"/>
      <x:c r="AO392" s="428"/>
      <x:c r="AP392" s="428"/>
      <x:c r="AQ392" s="428"/>
      <x:c r="AR392" s="428"/>
      <x:c r="AS392" s="428"/>
      <x:c r="AT392" s="428"/>
      <x:c r="AU392" s="428"/>
      <x:c r="AV392" s="428"/>
      <x:c r="AW392" s="428"/>
      <x:c r="AX392" s="428"/>
      <x:c r="AY392" s="428"/>
      <x:c r="AZ392" s="428"/>
      <x:c r="BA392" s="428"/>
      <x:c r="BB392" s="428"/>
      <x:c r="BC392" s="428"/>
      <x:c r="BD392" s="428"/>
      <x:c r="BE392" s="428"/>
      <x:c r="BF392" s="428"/>
      <x:c r="BG392" s="428"/>
      <x:c r="BH392" s="428"/>
      <x:c r="BI392" s="428"/>
      <x:c r="BJ392" s="428"/>
      <x:c r="BK392" s="428"/>
      <x:c r="BL392" s="428"/>
      <x:c r="BM392" s="428"/>
      <x:c r="BN392" s="428"/>
      <x:c r="BO392" s="428"/>
      <x:c r="BP392" s="428"/>
      <x:c r="BQ392" s="428"/>
      <x:c r="BR392" s="428"/>
      <x:c r="BS392" s="428"/>
      <x:c r="BT392" s="428"/>
      <x:c r="BU392" s="428"/>
      <x:c r="BV392" s="428"/>
      <x:c r="BW392" s="428"/>
      <x:c r="BX392" s="428"/>
      <x:c r="BY392" s="428"/>
      <x:c r="BZ392" s="428"/>
      <x:c r="CA392" s="428"/>
      <x:c r="CB392" s="428"/>
      <x:c r="CC392" s="428"/>
      <x:c r="CD392" s="428"/>
      <x:c r="CE392" s="428"/>
      <x:c r="CF392" s="428"/>
      <x:c r="CG392" s="428"/>
      <x:c r="CH392" s="428"/>
      <x:c r="CI392" s="428"/>
      <x:c r="CJ392" s="428"/>
      <x:c r="CK392" s="428"/>
      <x:c r="CL392" s="428"/>
      <x:c r="CM392" s="428"/>
      <x:c r="CN392" s="428"/>
      <x:c r="CO392" s="428"/>
      <x:c r="CP392" s="428"/>
      <x:c r="CQ392" s="428"/>
      <x:c r="CR392" s="428"/>
      <x:c r="CS392" s="428"/>
      <x:c r="CT392" s="428"/>
      <x:c r="CU392" s="428"/>
      <x:c r="CV392" s="428"/>
      <x:c r="CW392" s="428"/>
      <x:c r="CX392" s="428"/>
      <x:c r="CY392" s="428"/>
      <x:c r="CZ392" s="428"/>
      <x:c r="DA392" s="428"/>
      <x:c r="DB392" s="428"/>
      <x:c r="DC392" s="428"/>
      <x:c r="DD392" s="428"/>
      <x:c r="DE392" s="428"/>
      <x:c r="DF392" s="428"/>
      <x:c r="DG392" s="428"/>
      <x:c r="DH392" s="428"/>
      <x:c r="DI392" s="428"/>
      <x:c r="DJ392" s="428"/>
      <x:c r="DK392" s="428"/>
      <x:c r="DL392" s="428"/>
      <x:c r="DM392" s="428"/>
      <x:c r="DN392" s="428"/>
      <x:c r="DO392" s="428"/>
      <x:c r="DP392" s="428"/>
      <x:c r="DQ392" s="428"/>
      <x:c r="DR392" s="428"/>
      <x:c r="DS392" s="428"/>
      <x:c r="DT392" s="428"/>
      <x:c r="DU392" s="428"/>
      <x:c r="DV392" s="428"/>
      <x:c r="DW392" s="428"/>
      <x:c r="DX392" s="428"/>
      <x:c r="DY392" s="428"/>
      <x:c r="DZ392" s="428"/>
      <x:c r="EA392" s="428"/>
      <x:c r="EB392" s="428"/>
      <x:c r="EC392" s="428"/>
      <x:c r="ED392" s="428"/>
      <x:c r="EE392" s="428"/>
      <x:c r="EF392" s="428"/>
      <x:c r="EG392" s="428"/>
      <x:c r="EH392" s="428"/>
      <x:c r="EI392" s="428"/>
      <x:c r="EJ392" s="428"/>
      <x:c r="EK392" s="428"/>
      <x:c r="EL392" s="428"/>
      <x:c r="EM392" s="428"/>
      <x:c r="EN392" s="428"/>
      <x:c r="EO392" s="428"/>
      <x:c r="EP392" s="428"/>
      <x:c r="EQ392" s="428"/>
      <x:c r="ER392" s="428"/>
      <x:c r="ES392" s="428"/>
      <x:c r="ET392" s="428"/>
      <x:c r="EU392" s="428"/>
      <x:c r="EV392" s="428"/>
      <x:c r="EW392" s="428"/>
      <x:c r="EX392" s="428"/>
      <x:c r="EY392" s="428"/>
      <x:c r="EZ392" s="428"/>
      <x:c r="FA392" s="428"/>
      <x:c r="FB392" s="428"/>
      <x:c r="FC392" s="428"/>
      <x:c r="FD392" s="428"/>
      <x:c r="FE392" s="428"/>
      <x:c r="FF392" s="428"/>
    </x:row>
    <x:row r="394" spans="6:162" s="430" customFormat="1" ht="15.75" customHeight="1">
      <x:c r="F394" s="428"/>
      <x:c r="G394" s="428"/>
      <x:c r="H394" s="428"/>
      <x:c r="I394" s="428"/>
      <x:c r="J394" s="428"/>
      <x:c r="K394" s="428"/>
      <x:c r="L394" s="428"/>
      <x:c r="M394" s="428"/>
      <x:c r="N394" s="428"/>
      <x:c r="O394" s="428"/>
      <x:c r="P394" s="428"/>
      <x:c r="Q394" s="428"/>
      <x:c r="R394" s="428"/>
      <x:c r="S394" s="428"/>
      <x:c r="T394" s="428"/>
      <x:c r="U394" s="428"/>
      <x:c r="V394" s="428"/>
      <x:c r="W394" s="428"/>
      <x:c r="X394" s="428"/>
      <x:c r="Y394" s="428"/>
      <x:c r="AA394" s="428"/>
      <x:c r="AC394" s="428"/>
      <x:c r="AD394" s="428"/>
      <x:c r="AE394" s="428"/>
      <x:c r="AF394" s="428"/>
      <x:c r="AG394" s="428"/>
      <x:c r="AH394" s="429"/>
      <x:c r="AI394" s="429"/>
      <x:c r="AJ394" s="428"/>
      <x:c r="AK394" s="428"/>
      <x:c r="AL394" s="428"/>
      <x:c r="AM394" s="428"/>
      <x:c r="AN394" s="428"/>
      <x:c r="AO394" s="428"/>
      <x:c r="AP394" s="428"/>
      <x:c r="AQ394" s="428"/>
      <x:c r="AR394" s="428"/>
      <x:c r="AS394" s="428"/>
      <x:c r="AT394" s="428"/>
      <x:c r="AU394" s="428"/>
      <x:c r="AV394" s="428"/>
      <x:c r="AW394" s="428"/>
      <x:c r="AX394" s="428"/>
      <x:c r="AY394" s="428"/>
      <x:c r="AZ394" s="428"/>
      <x:c r="BA394" s="428"/>
      <x:c r="BB394" s="428"/>
      <x:c r="BC394" s="428"/>
      <x:c r="BD394" s="428"/>
      <x:c r="BE394" s="428"/>
      <x:c r="BF394" s="428"/>
      <x:c r="BG394" s="428"/>
      <x:c r="BH394" s="428"/>
      <x:c r="BI394" s="428"/>
      <x:c r="BJ394" s="428"/>
      <x:c r="BK394" s="428"/>
      <x:c r="BL394" s="428"/>
      <x:c r="BM394" s="428"/>
      <x:c r="BN394" s="428"/>
      <x:c r="BO394" s="428"/>
      <x:c r="BP394" s="428"/>
      <x:c r="BQ394" s="428"/>
      <x:c r="BR394" s="428"/>
      <x:c r="BS394" s="428"/>
      <x:c r="BT394" s="428"/>
      <x:c r="BU394" s="428"/>
      <x:c r="BV394" s="428"/>
      <x:c r="BW394" s="428"/>
      <x:c r="BX394" s="428"/>
      <x:c r="BY394" s="428"/>
      <x:c r="BZ394" s="428"/>
      <x:c r="CA394" s="428"/>
      <x:c r="CB394" s="428"/>
      <x:c r="CC394" s="428"/>
      <x:c r="CD394" s="428"/>
      <x:c r="CE394" s="428"/>
      <x:c r="CF394" s="428"/>
      <x:c r="CG394" s="428"/>
      <x:c r="CH394" s="428"/>
      <x:c r="CI394" s="428"/>
      <x:c r="CJ394" s="428"/>
      <x:c r="CK394" s="428"/>
      <x:c r="CL394" s="428"/>
      <x:c r="CM394" s="428"/>
      <x:c r="CN394" s="428"/>
      <x:c r="CO394" s="428"/>
      <x:c r="CP394" s="428"/>
      <x:c r="CQ394" s="428"/>
      <x:c r="CR394" s="428"/>
      <x:c r="CS394" s="428"/>
      <x:c r="CT394" s="428"/>
      <x:c r="CU394" s="428"/>
      <x:c r="CV394" s="428"/>
      <x:c r="CW394" s="428"/>
      <x:c r="CX394" s="428"/>
      <x:c r="CY394" s="428"/>
      <x:c r="CZ394" s="428"/>
      <x:c r="DA394" s="428"/>
      <x:c r="DB394" s="428"/>
      <x:c r="DC394" s="428"/>
      <x:c r="DD394" s="428"/>
      <x:c r="DE394" s="428"/>
      <x:c r="DF394" s="428"/>
      <x:c r="DG394" s="428"/>
      <x:c r="DH394" s="428"/>
      <x:c r="DI394" s="428"/>
      <x:c r="DJ394" s="428"/>
      <x:c r="DK394" s="428"/>
      <x:c r="DL394" s="428"/>
      <x:c r="DM394" s="428"/>
      <x:c r="DN394" s="428"/>
      <x:c r="DO394" s="428"/>
      <x:c r="DP394" s="428"/>
      <x:c r="DQ394" s="428"/>
      <x:c r="DR394" s="428"/>
      <x:c r="DS394" s="428"/>
      <x:c r="DT394" s="428"/>
      <x:c r="DU394" s="428"/>
      <x:c r="DV394" s="428"/>
      <x:c r="DW394" s="428"/>
      <x:c r="DX394" s="428"/>
      <x:c r="DY394" s="428"/>
      <x:c r="DZ394" s="428"/>
      <x:c r="EA394" s="428"/>
      <x:c r="EB394" s="428"/>
      <x:c r="EC394" s="428"/>
      <x:c r="ED394" s="428"/>
      <x:c r="EE394" s="428"/>
      <x:c r="EF394" s="428"/>
      <x:c r="EG394" s="428"/>
      <x:c r="EH394" s="428"/>
      <x:c r="EI394" s="428"/>
      <x:c r="EJ394" s="428"/>
      <x:c r="EK394" s="428"/>
      <x:c r="EL394" s="428"/>
      <x:c r="EM394" s="428"/>
      <x:c r="EN394" s="428"/>
      <x:c r="EO394" s="428"/>
      <x:c r="EP394" s="428"/>
      <x:c r="EQ394" s="428"/>
      <x:c r="ER394" s="428"/>
      <x:c r="ES394" s="428"/>
      <x:c r="ET394" s="428"/>
      <x:c r="EU394" s="428"/>
      <x:c r="EV394" s="428"/>
      <x:c r="EW394" s="428"/>
      <x:c r="EX394" s="428"/>
      <x:c r="EY394" s="428"/>
      <x:c r="EZ394" s="428"/>
      <x:c r="FA394" s="428"/>
      <x:c r="FB394" s="428"/>
      <x:c r="FC394" s="428"/>
      <x:c r="FD394" s="428"/>
      <x:c r="FE394" s="428"/>
      <x:c r="FF394" s="428"/>
    </x:row>
    <x:row r="396" spans="6:162" s="430" customFormat="1" ht="15.75" customHeight="1">
      <x:c r="F396" s="428"/>
      <x:c r="G396" s="428"/>
      <x:c r="H396" s="428"/>
      <x:c r="I396" s="428"/>
      <x:c r="J396" s="428"/>
      <x:c r="K396" s="428"/>
      <x:c r="L396" s="428"/>
      <x:c r="M396" s="428"/>
      <x:c r="N396" s="428"/>
      <x:c r="O396" s="428"/>
      <x:c r="P396" s="428"/>
      <x:c r="Q396" s="428"/>
      <x:c r="R396" s="428"/>
      <x:c r="S396" s="428"/>
      <x:c r="T396" s="428"/>
      <x:c r="U396" s="428"/>
      <x:c r="V396" s="428"/>
      <x:c r="W396" s="428"/>
      <x:c r="X396" s="428"/>
      <x:c r="Y396" s="428"/>
      <x:c r="AA396" s="428"/>
      <x:c r="AC396" s="428"/>
      <x:c r="AD396" s="428"/>
      <x:c r="AE396" s="428"/>
      <x:c r="AF396" s="428"/>
      <x:c r="AG396" s="428"/>
      <x:c r="AH396" s="429"/>
      <x:c r="AI396" s="429"/>
      <x:c r="AJ396" s="428"/>
      <x:c r="AK396" s="428"/>
      <x:c r="AL396" s="428"/>
      <x:c r="AM396" s="428"/>
      <x:c r="AN396" s="428"/>
      <x:c r="AO396" s="428"/>
      <x:c r="AP396" s="428"/>
      <x:c r="AQ396" s="428"/>
      <x:c r="AR396" s="428"/>
      <x:c r="AS396" s="428"/>
      <x:c r="AT396" s="428"/>
      <x:c r="AU396" s="428"/>
      <x:c r="AV396" s="428"/>
      <x:c r="AW396" s="428"/>
      <x:c r="AX396" s="428"/>
      <x:c r="AY396" s="428"/>
      <x:c r="AZ396" s="428"/>
      <x:c r="BA396" s="428"/>
      <x:c r="BB396" s="428"/>
      <x:c r="BC396" s="428"/>
      <x:c r="BD396" s="428"/>
      <x:c r="BE396" s="428"/>
      <x:c r="BF396" s="428"/>
      <x:c r="BG396" s="428"/>
      <x:c r="BH396" s="428"/>
      <x:c r="BI396" s="428"/>
      <x:c r="BJ396" s="428"/>
      <x:c r="BK396" s="428"/>
      <x:c r="BL396" s="428"/>
      <x:c r="BM396" s="428"/>
      <x:c r="BN396" s="428"/>
      <x:c r="BO396" s="428"/>
      <x:c r="BP396" s="428"/>
      <x:c r="BQ396" s="428"/>
      <x:c r="BR396" s="428"/>
      <x:c r="BS396" s="428"/>
      <x:c r="BT396" s="428"/>
      <x:c r="BU396" s="428"/>
      <x:c r="BV396" s="428"/>
      <x:c r="BW396" s="428"/>
      <x:c r="BX396" s="428"/>
      <x:c r="BY396" s="428"/>
      <x:c r="BZ396" s="428"/>
      <x:c r="CA396" s="428"/>
      <x:c r="CB396" s="428"/>
      <x:c r="CC396" s="428"/>
      <x:c r="CD396" s="428"/>
      <x:c r="CE396" s="428"/>
      <x:c r="CF396" s="428"/>
      <x:c r="CG396" s="428"/>
      <x:c r="CH396" s="428"/>
      <x:c r="CI396" s="428"/>
      <x:c r="CJ396" s="428"/>
      <x:c r="CK396" s="428"/>
      <x:c r="CL396" s="428"/>
      <x:c r="CM396" s="428"/>
      <x:c r="CN396" s="428"/>
      <x:c r="CO396" s="428"/>
      <x:c r="CP396" s="428"/>
      <x:c r="CQ396" s="428"/>
      <x:c r="CR396" s="428"/>
      <x:c r="CS396" s="428"/>
      <x:c r="CT396" s="428"/>
      <x:c r="CU396" s="428"/>
      <x:c r="CV396" s="428"/>
      <x:c r="CW396" s="428"/>
      <x:c r="CX396" s="428"/>
      <x:c r="CY396" s="428"/>
      <x:c r="CZ396" s="428"/>
      <x:c r="DA396" s="428"/>
      <x:c r="DB396" s="428"/>
      <x:c r="DC396" s="428"/>
      <x:c r="DD396" s="428"/>
      <x:c r="DE396" s="428"/>
      <x:c r="DF396" s="428"/>
      <x:c r="DG396" s="428"/>
      <x:c r="DH396" s="428"/>
      <x:c r="DI396" s="428"/>
      <x:c r="DJ396" s="428"/>
      <x:c r="DK396" s="428"/>
      <x:c r="DL396" s="428"/>
      <x:c r="DM396" s="428"/>
      <x:c r="DN396" s="428"/>
      <x:c r="DO396" s="428"/>
      <x:c r="DP396" s="428"/>
      <x:c r="DQ396" s="428"/>
      <x:c r="DR396" s="428"/>
      <x:c r="DS396" s="428"/>
      <x:c r="DT396" s="428"/>
      <x:c r="DU396" s="428"/>
      <x:c r="DV396" s="428"/>
      <x:c r="DW396" s="428"/>
      <x:c r="DX396" s="428"/>
      <x:c r="DY396" s="428"/>
      <x:c r="DZ396" s="428"/>
      <x:c r="EA396" s="428"/>
      <x:c r="EB396" s="428"/>
      <x:c r="EC396" s="428"/>
      <x:c r="ED396" s="428"/>
      <x:c r="EE396" s="428"/>
      <x:c r="EF396" s="428"/>
      <x:c r="EG396" s="428"/>
      <x:c r="EH396" s="428"/>
      <x:c r="EI396" s="428"/>
      <x:c r="EJ396" s="428"/>
      <x:c r="EK396" s="428"/>
      <x:c r="EL396" s="428"/>
      <x:c r="EM396" s="428"/>
      <x:c r="EN396" s="428"/>
      <x:c r="EO396" s="428"/>
      <x:c r="EP396" s="428"/>
      <x:c r="EQ396" s="428"/>
      <x:c r="ER396" s="428"/>
      <x:c r="ES396" s="428"/>
      <x:c r="ET396" s="428"/>
      <x:c r="EU396" s="428"/>
      <x:c r="EV396" s="428"/>
      <x:c r="EW396" s="428"/>
      <x:c r="EX396" s="428"/>
      <x:c r="EY396" s="428"/>
      <x:c r="EZ396" s="428"/>
      <x:c r="FA396" s="428"/>
      <x:c r="FB396" s="428"/>
      <x:c r="FC396" s="428"/>
      <x:c r="FD396" s="428"/>
      <x:c r="FE396" s="428"/>
      <x:c r="FF396" s="428"/>
    </x:row>
    <x:row r="398" spans="6:162" s="430" customFormat="1" ht="15.75" customHeight="1">
      <x:c r="F398" s="428"/>
      <x:c r="G398" s="428"/>
      <x:c r="H398" s="428"/>
      <x:c r="I398" s="428"/>
      <x:c r="J398" s="428"/>
      <x:c r="K398" s="428"/>
      <x:c r="L398" s="428"/>
      <x:c r="M398" s="428"/>
      <x:c r="N398" s="428"/>
      <x:c r="O398" s="428"/>
      <x:c r="P398" s="428"/>
      <x:c r="Q398" s="428"/>
      <x:c r="R398" s="428"/>
      <x:c r="S398" s="428"/>
      <x:c r="T398" s="428"/>
      <x:c r="U398" s="428"/>
      <x:c r="V398" s="428"/>
      <x:c r="W398" s="428"/>
      <x:c r="X398" s="428"/>
      <x:c r="Y398" s="428"/>
      <x:c r="AA398" s="428"/>
      <x:c r="AC398" s="428"/>
      <x:c r="AD398" s="428"/>
      <x:c r="AE398" s="428"/>
      <x:c r="AF398" s="428"/>
      <x:c r="AG398" s="428"/>
      <x:c r="AH398" s="429"/>
      <x:c r="AI398" s="429"/>
      <x:c r="AJ398" s="428"/>
      <x:c r="AK398" s="428"/>
      <x:c r="AL398" s="428"/>
      <x:c r="AM398" s="428"/>
      <x:c r="AN398" s="428"/>
      <x:c r="AO398" s="428"/>
      <x:c r="AP398" s="428"/>
      <x:c r="AQ398" s="428"/>
      <x:c r="AR398" s="428"/>
      <x:c r="AS398" s="428"/>
      <x:c r="AT398" s="428"/>
      <x:c r="AU398" s="428"/>
      <x:c r="AV398" s="428"/>
      <x:c r="AW398" s="428"/>
      <x:c r="AX398" s="428"/>
      <x:c r="AY398" s="428"/>
      <x:c r="AZ398" s="428"/>
      <x:c r="BA398" s="428"/>
      <x:c r="BB398" s="428"/>
      <x:c r="BC398" s="428"/>
      <x:c r="BD398" s="428"/>
      <x:c r="BE398" s="428"/>
      <x:c r="BF398" s="428"/>
      <x:c r="BG398" s="428"/>
      <x:c r="BH398" s="428"/>
      <x:c r="BI398" s="428"/>
      <x:c r="BJ398" s="428"/>
      <x:c r="BK398" s="428"/>
      <x:c r="BL398" s="428"/>
      <x:c r="BM398" s="428"/>
      <x:c r="BN398" s="428"/>
      <x:c r="BO398" s="428"/>
      <x:c r="BP398" s="428"/>
      <x:c r="BQ398" s="428"/>
      <x:c r="BR398" s="428"/>
      <x:c r="BS398" s="428"/>
      <x:c r="BT398" s="428"/>
      <x:c r="BU398" s="428"/>
      <x:c r="BV398" s="428"/>
      <x:c r="BW398" s="428"/>
      <x:c r="BX398" s="428"/>
      <x:c r="BY398" s="428"/>
      <x:c r="BZ398" s="428"/>
      <x:c r="CA398" s="428"/>
      <x:c r="CB398" s="428"/>
      <x:c r="CC398" s="428"/>
      <x:c r="CD398" s="428"/>
      <x:c r="CE398" s="428"/>
      <x:c r="CF398" s="428"/>
      <x:c r="CG398" s="428"/>
      <x:c r="CH398" s="428"/>
      <x:c r="CI398" s="428"/>
      <x:c r="CJ398" s="428"/>
      <x:c r="CK398" s="428"/>
      <x:c r="CL398" s="428"/>
      <x:c r="CM398" s="428"/>
      <x:c r="CN398" s="428"/>
      <x:c r="CO398" s="428"/>
      <x:c r="CP398" s="428"/>
      <x:c r="CQ398" s="428"/>
      <x:c r="CR398" s="428"/>
      <x:c r="CS398" s="428"/>
      <x:c r="CT398" s="428"/>
      <x:c r="CU398" s="428"/>
      <x:c r="CV398" s="428"/>
      <x:c r="CW398" s="428"/>
      <x:c r="CX398" s="428"/>
      <x:c r="CY398" s="428"/>
      <x:c r="CZ398" s="428"/>
      <x:c r="DA398" s="428"/>
      <x:c r="DB398" s="428"/>
      <x:c r="DC398" s="428"/>
      <x:c r="DD398" s="428"/>
      <x:c r="DE398" s="428"/>
      <x:c r="DF398" s="428"/>
      <x:c r="DG398" s="428"/>
      <x:c r="DH398" s="428"/>
      <x:c r="DI398" s="428"/>
      <x:c r="DJ398" s="428"/>
      <x:c r="DK398" s="428"/>
      <x:c r="DL398" s="428"/>
      <x:c r="DM398" s="428"/>
      <x:c r="DN398" s="428"/>
      <x:c r="DO398" s="428"/>
      <x:c r="DP398" s="428"/>
      <x:c r="DQ398" s="428"/>
      <x:c r="DR398" s="428"/>
      <x:c r="DS398" s="428"/>
      <x:c r="DT398" s="428"/>
      <x:c r="DU398" s="428"/>
      <x:c r="DV398" s="428"/>
      <x:c r="DW398" s="428"/>
      <x:c r="DX398" s="428"/>
      <x:c r="DY398" s="428"/>
      <x:c r="DZ398" s="428"/>
      <x:c r="EA398" s="428"/>
      <x:c r="EB398" s="428"/>
      <x:c r="EC398" s="428"/>
      <x:c r="ED398" s="428"/>
      <x:c r="EE398" s="428"/>
      <x:c r="EF398" s="428"/>
      <x:c r="EG398" s="428"/>
      <x:c r="EH398" s="428"/>
      <x:c r="EI398" s="428"/>
      <x:c r="EJ398" s="428"/>
      <x:c r="EK398" s="428"/>
      <x:c r="EL398" s="428"/>
      <x:c r="EM398" s="428"/>
      <x:c r="EN398" s="428"/>
      <x:c r="EO398" s="428"/>
      <x:c r="EP398" s="428"/>
      <x:c r="EQ398" s="428"/>
      <x:c r="ER398" s="428"/>
      <x:c r="ES398" s="428"/>
      <x:c r="ET398" s="428"/>
      <x:c r="EU398" s="428"/>
      <x:c r="EV398" s="428"/>
      <x:c r="EW398" s="428"/>
      <x:c r="EX398" s="428"/>
      <x:c r="EY398" s="428"/>
      <x:c r="EZ398" s="428"/>
      <x:c r="FA398" s="428"/>
      <x:c r="FB398" s="428"/>
      <x:c r="FC398" s="428"/>
      <x:c r="FD398" s="428"/>
      <x:c r="FE398" s="428"/>
      <x:c r="FF398" s="428"/>
    </x:row>
    <x:row r="400" spans="6:162" s="430" customFormat="1" ht="15.75" customHeight="1">
      <x:c r="F400" s="428"/>
      <x:c r="G400" s="428"/>
      <x:c r="H400" s="428"/>
      <x:c r="I400" s="428"/>
      <x:c r="J400" s="428"/>
      <x:c r="K400" s="428"/>
      <x:c r="L400" s="428"/>
      <x:c r="M400" s="428"/>
      <x:c r="N400" s="428"/>
      <x:c r="O400" s="428"/>
      <x:c r="P400" s="428"/>
      <x:c r="Q400" s="428"/>
      <x:c r="R400" s="428"/>
      <x:c r="S400" s="428"/>
      <x:c r="T400" s="428"/>
      <x:c r="U400" s="428"/>
      <x:c r="V400" s="428"/>
      <x:c r="W400" s="428"/>
      <x:c r="X400" s="428"/>
      <x:c r="Y400" s="428"/>
      <x:c r="AA400" s="428"/>
      <x:c r="AC400" s="428"/>
      <x:c r="AD400" s="428"/>
      <x:c r="AE400" s="428"/>
      <x:c r="AF400" s="428"/>
      <x:c r="AG400" s="428"/>
      <x:c r="AH400" s="429"/>
      <x:c r="AI400" s="429"/>
      <x:c r="AJ400" s="428"/>
      <x:c r="AK400" s="428"/>
      <x:c r="AL400" s="428"/>
      <x:c r="AM400" s="428"/>
      <x:c r="AN400" s="428"/>
      <x:c r="AO400" s="428"/>
      <x:c r="AP400" s="428"/>
      <x:c r="AQ400" s="428"/>
      <x:c r="AR400" s="428"/>
      <x:c r="AS400" s="428"/>
      <x:c r="AT400" s="428"/>
      <x:c r="AU400" s="428"/>
      <x:c r="AV400" s="428"/>
      <x:c r="AW400" s="428"/>
      <x:c r="AX400" s="428"/>
      <x:c r="AY400" s="428"/>
      <x:c r="AZ400" s="428"/>
      <x:c r="BA400" s="428"/>
      <x:c r="BB400" s="428"/>
      <x:c r="BC400" s="428"/>
      <x:c r="BD400" s="428"/>
      <x:c r="BE400" s="428"/>
      <x:c r="BF400" s="428"/>
      <x:c r="BG400" s="428"/>
      <x:c r="BH400" s="428"/>
      <x:c r="BI400" s="428"/>
      <x:c r="BJ400" s="428"/>
      <x:c r="BK400" s="428"/>
      <x:c r="BL400" s="428"/>
      <x:c r="BM400" s="428"/>
      <x:c r="BN400" s="428"/>
      <x:c r="BO400" s="428"/>
      <x:c r="BP400" s="428"/>
      <x:c r="BQ400" s="428"/>
      <x:c r="BR400" s="428"/>
      <x:c r="BS400" s="428"/>
      <x:c r="BT400" s="428"/>
      <x:c r="BU400" s="428"/>
      <x:c r="BV400" s="428"/>
      <x:c r="BW400" s="428"/>
      <x:c r="BX400" s="428"/>
      <x:c r="BY400" s="428"/>
      <x:c r="BZ400" s="428"/>
      <x:c r="CA400" s="428"/>
      <x:c r="CB400" s="428"/>
      <x:c r="CC400" s="428"/>
      <x:c r="CD400" s="428"/>
      <x:c r="CE400" s="428"/>
      <x:c r="CF400" s="428"/>
      <x:c r="CG400" s="428"/>
      <x:c r="CH400" s="428"/>
      <x:c r="CI400" s="428"/>
      <x:c r="CJ400" s="428"/>
      <x:c r="CK400" s="428"/>
      <x:c r="CL400" s="428"/>
      <x:c r="CM400" s="428"/>
      <x:c r="CN400" s="428"/>
      <x:c r="CO400" s="428"/>
      <x:c r="CP400" s="428"/>
      <x:c r="CQ400" s="428"/>
      <x:c r="CR400" s="428"/>
      <x:c r="CS400" s="428"/>
      <x:c r="CT400" s="428"/>
      <x:c r="CU400" s="428"/>
      <x:c r="CV400" s="428"/>
      <x:c r="CW400" s="428"/>
      <x:c r="CX400" s="428"/>
      <x:c r="CY400" s="428"/>
      <x:c r="CZ400" s="428"/>
      <x:c r="DA400" s="428"/>
      <x:c r="DB400" s="428"/>
      <x:c r="DC400" s="428"/>
      <x:c r="DD400" s="428"/>
      <x:c r="DE400" s="428"/>
      <x:c r="DF400" s="428"/>
      <x:c r="DG400" s="428"/>
      <x:c r="DH400" s="428"/>
      <x:c r="DI400" s="428"/>
      <x:c r="DJ400" s="428"/>
      <x:c r="DK400" s="428"/>
      <x:c r="DL400" s="428"/>
      <x:c r="DM400" s="428"/>
      <x:c r="DN400" s="428"/>
      <x:c r="DO400" s="428"/>
      <x:c r="DP400" s="428"/>
      <x:c r="DQ400" s="428"/>
      <x:c r="DR400" s="428"/>
      <x:c r="DS400" s="428"/>
      <x:c r="DT400" s="428"/>
      <x:c r="DU400" s="428"/>
      <x:c r="DV400" s="428"/>
      <x:c r="DW400" s="428"/>
      <x:c r="DX400" s="428"/>
      <x:c r="DY400" s="428"/>
      <x:c r="DZ400" s="428"/>
      <x:c r="EA400" s="428"/>
      <x:c r="EB400" s="428"/>
      <x:c r="EC400" s="428"/>
      <x:c r="ED400" s="428"/>
      <x:c r="EE400" s="428"/>
      <x:c r="EF400" s="428"/>
      <x:c r="EG400" s="428"/>
      <x:c r="EH400" s="428"/>
      <x:c r="EI400" s="428"/>
      <x:c r="EJ400" s="428"/>
      <x:c r="EK400" s="428"/>
      <x:c r="EL400" s="428"/>
      <x:c r="EM400" s="428"/>
      <x:c r="EN400" s="428"/>
      <x:c r="EO400" s="428"/>
      <x:c r="EP400" s="428"/>
      <x:c r="EQ400" s="428"/>
      <x:c r="ER400" s="428"/>
      <x:c r="ES400" s="428"/>
      <x:c r="ET400" s="428"/>
      <x:c r="EU400" s="428"/>
      <x:c r="EV400" s="428"/>
      <x:c r="EW400" s="428"/>
      <x:c r="EX400" s="428"/>
      <x:c r="EY400" s="428"/>
      <x:c r="EZ400" s="428"/>
      <x:c r="FA400" s="428"/>
      <x:c r="FB400" s="428"/>
      <x:c r="FC400" s="428"/>
      <x:c r="FD400" s="428"/>
      <x:c r="FE400" s="428"/>
      <x:c r="FF400" s="428"/>
    </x:row>
    <x:row r="402" spans="6:162" s="430" customFormat="1" ht="15.75" customHeight="1">
      <x:c r="F402" s="428"/>
      <x:c r="G402" s="428"/>
      <x:c r="H402" s="428"/>
      <x:c r="I402" s="428"/>
      <x:c r="J402" s="428"/>
      <x:c r="K402" s="428"/>
      <x:c r="L402" s="428"/>
      <x:c r="M402" s="428"/>
      <x:c r="N402" s="428"/>
      <x:c r="O402" s="428"/>
      <x:c r="P402" s="428"/>
      <x:c r="Q402" s="428"/>
      <x:c r="R402" s="428"/>
      <x:c r="S402" s="428"/>
      <x:c r="T402" s="428"/>
      <x:c r="U402" s="428"/>
      <x:c r="V402" s="428"/>
      <x:c r="W402" s="428"/>
      <x:c r="X402" s="428"/>
      <x:c r="Y402" s="428"/>
      <x:c r="AA402" s="428"/>
      <x:c r="AC402" s="428"/>
      <x:c r="AD402" s="428"/>
      <x:c r="AE402" s="428"/>
      <x:c r="AF402" s="428"/>
      <x:c r="AG402" s="428"/>
      <x:c r="AH402" s="429"/>
      <x:c r="AI402" s="429"/>
      <x:c r="AJ402" s="428"/>
      <x:c r="AK402" s="428"/>
      <x:c r="AL402" s="428"/>
      <x:c r="AM402" s="428"/>
      <x:c r="AN402" s="428"/>
      <x:c r="AO402" s="428"/>
      <x:c r="AP402" s="428"/>
      <x:c r="AQ402" s="428"/>
      <x:c r="AR402" s="428"/>
      <x:c r="AS402" s="428"/>
      <x:c r="AT402" s="428"/>
      <x:c r="AU402" s="428"/>
      <x:c r="AV402" s="428"/>
      <x:c r="AW402" s="428"/>
      <x:c r="AX402" s="428"/>
      <x:c r="AY402" s="428"/>
      <x:c r="AZ402" s="428"/>
      <x:c r="BA402" s="428"/>
      <x:c r="BB402" s="428"/>
      <x:c r="BC402" s="428"/>
      <x:c r="BD402" s="428"/>
      <x:c r="BE402" s="428"/>
      <x:c r="BF402" s="428"/>
      <x:c r="BG402" s="428"/>
      <x:c r="BH402" s="428"/>
      <x:c r="BI402" s="428"/>
      <x:c r="BJ402" s="428"/>
      <x:c r="BK402" s="428"/>
      <x:c r="BL402" s="428"/>
      <x:c r="BM402" s="428"/>
      <x:c r="BN402" s="428"/>
      <x:c r="BO402" s="428"/>
      <x:c r="BP402" s="428"/>
      <x:c r="BQ402" s="428"/>
      <x:c r="BR402" s="428"/>
      <x:c r="BS402" s="428"/>
      <x:c r="BT402" s="428"/>
      <x:c r="BU402" s="428"/>
      <x:c r="BV402" s="428"/>
      <x:c r="BW402" s="428"/>
      <x:c r="BX402" s="428"/>
      <x:c r="BY402" s="428"/>
      <x:c r="BZ402" s="428"/>
      <x:c r="CA402" s="428"/>
      <x:c r="CB402" s="428"/>
      <x:c r="CC402" s="428"/>
      <x:c r="CD402" s="428"/>
      <x:c r="CE402" s="428"/>
      <x:c r="CF402" s="428"/>
      <x:c r="CG402" s="428"/>
      <x:c r="CH402" s="428"/>
      <x:c r="CI402" s="428"/>
      <x:c r="CJ402" s="428"/>
      <x:c r="CK402" s="428"/>
      <x:c r="CL402" s="428"/>
      <x:c r="CM402" s="428"/>
      <x:c r="CN402" s="428"/>
      <x:c r="CO402" s="428"/>
      <x:c r="CP402" s="428"/>
      <x:c r="CQ402" s="428"/>
      <x:c r="CR402" s="428"/>
      <x:c r="CS402" s="428"/>
      <x:c r="CT402" s="428"/>
      <x:c r="CU402" s="428"/>
      <x:c r="CV402" s="428"/>
      <x:c r="CW402" s="428"/>
      <x:c r="CX402" s="428"/>
      <x:c r="CY402" s="428"/>
      <x:c r="CZ402" s="428"/>
      <x:c r="DA402" s="428"/>
      <x:c r="DB402" s="428"/>
      <x:c r="DC402" s="428"/>
      <x:c r="DD402" s="428"/>
      <x:c r="DE402" s="428"/>
      <x:c r="DF402" s="428"/>
      <x:c r="DG402" s="428"/>
      <x:c r="DH402" s="428"/>
      <x:c r="DI402" s="428"/>
      <x:c r="DJ402" s="428"/>
      <x:c r="DK402" s="428"/>
      <x:c r="DL402" s="428"/>
      <x:c r="DM402" s="428"/>
      <x:c r="DN402" s="428"/>
      <x:c r="DO402" s="428"/>
      <x:c r="DP402" s="428"/>
      <x:c r="DQ402" s="428"/>
      <x:c r="DR402" s="428"/>
      <x:c r="DS402" s="428"/>
      <x:c r="DT402" s="428"/>
      <x:c r="DU402" s="428"/>
      <x:c r="DV402" s="428"/>
      <x:c r="DW402" s="428"/>
      <x:c r="DX402" s="428"/>
      <x:c r="DY402" s="428"/>
      <x:c r="DZ402" s="428"/>
      <x:c r="EA402" s="428"/>
      <x:c r="EB402" s="428"/>
      <x:c r="EC402" s="428"/>
      <x:c r="ED402" s="428"/>
      <x:c r="EE402" s="428"/>
      <x:c r="EF402" s="428"/>
      <x:c r="EG402" s="428"/>
      <x:c r="EH402" s="428"/>
      <x:c r="EI402" s="428"/>
      <x:c r="EJ402" s="428"/>
      <x:c r="EK402" s="428"/>
      <x:c r="EL402" s="428"/>
      <x:c r="EM402" s="428"/>
      <x:c r="EN402" s="428"/>
      <x:c r="EO402" s="428"/>
      <x:c r="EP402" s="428"/>
      <x:c r="EQ402" s="428"/>
      <x:c r="ER402" s="428"/>
      <x:c r="ES402" s="428"/>
      <x:c r="ET402" s="428"/>
      <x:c r="EU402" s="428"/>
      <x:c r="EV402" s="428"/>
      <x:c r="EW402" s="428"/>
      <x:c r="EX402" s="428"/>
      <x:c r="EY402" s="428"/>
      <x:c r="EZ402" s="428"/>
      <x:c r="FA402" s="428"/>
      <x:c r="FB402" s="428"/>
      <x:c r="FC402" s="428"/>
      <x:c r="FD402" s="428"/>
      <x:c r="FE402" s="428"/>
      <x:c r="FF402" s="428"/>
    </x:row>
    <x:row r="404" spans="6:162" s="430" customFormat="1" ht="15.75" customHeight="1">
      <x:c r="F404" s="428"/>
      <x:c r="G404" s="428"/>
      <x:c r="H404" s="428"/>
      <x:c r="I404" s="428"/>
      <x:c r="J404" s="428"/>
      <x:c r="K404" s="428"/>
      <x:c r="L404" s="428"/>
      <x:c r="M404" s="428"/>
      <x:c r="N404" s="428"/>
      <x:c r="O404" s="428"/>
      <x:c r="P404" s="428"/>
      <x:c r="Q404" s="428"/>
      <x:c r="R404" s="428"/>
      <x:c r="S404" s="428"/>
      <x:c r="T404" s="428"/>
      <x:c r="U404" s="428"/>
      <x:c r="V404" s="428"/>
      <x:c r="W404" s="428"/>
      <x:c r="X404" s="428"/>
      <x:c r="Y404" s="428"/>
      <x:c r="AA404" s="428"/>
      <x:c r="AC404" s="428"/>
      <x:c r="AD404" s="428"/>
      <x:c r="AE404" s="428"/>
      <x:c r="AF404" s="428"/>
      <x:c r="AG404" s="428"/>
      <x:c r="AH404" s="429"/>
      <x:c r="AI404" s="429"/>
      <x:c r="AJ404" s="428"/>
      <x:c r="AK404" s="428"/>
      <x:c r="AL404" s="428"/>
      <x:c r="AM404" s="428"/>
      <x:c r="AN404" s="428"/>
      <x:c r="AO404" s="428"/>
      <x:c r="AP404" s="428"/>
      <x:c r="AQ404" s="428"/>
      <x:c r="AR404" s="428"/>
      <x:c r="AS404" s="428"/>
      <x:c r="AT404" s="428"/>
      <x:c r="AU404" s="428"/>
      <x:c r="AV404" s="428"/>
      <x:c r="AW404" s="428"/>
      <x:c r="AX404" s="428"/>
      <x:c r="AY404" s="428"/>
      <x:c r="AZ404" s="428"/>
      <x:c r="BA404" s="428"/>
      <x:c r="BB404" s="428"/>
      <x:c r="BC404" s="428"/>
      <x:c r="BD404" s="428"/>
      <x:c r="BE404" s="428"/>
      <x:c r="BF404" s="428"/>
      <x:c r="BG404" s="428"/>
      <x:c r="BH404" s="428"/>
      <x:c r="BI404" s="428"/>
      <x:c r="BJ404" s="428"/>
      <x:c r="BK404" s="428"/>
      <x:c r="BL404" s="428"/>
      <x:c r="BM404" s="428"/>
      <x:c r="BN404" s="428"/>
      <x:c r="BO404" s="428"/>
      <x:c r="BP404" s="428"/>
      <x:c r="BQ404" s="428"/>
      <x:c r="BR404" s="428"/>
      <x:c r="BS404" s="428"/>
      <x:c r="BT404" s="428"/>
      <x:c r="BU404" s="428"/>
      <x:c r="BV404" s="428"/>
      <x:c r="BW404" s="428"/>
      <x:c r="BX404" s="428"/>
      <x:c r="BY404" s="428"/>
      <x:c r="BZ404" s="428"/>
      <x:c r="CA404" s="428"/>
      <x:c r="CB404" s="428"/>
      <x:c r="CC404" s="428"/>
      <x:c r="CD404" s="428"/>
      <x:c r="CE404" s="428"/>
      <x:c r="CF404" s="428"/>
      <x:c r="CG404" s="428"/>
      <x:c r="CH404" s="428"/>
      <x:c r="CI404" s="428"/>
      <x:c r="CJ404" s="428"/>
      <x:c r="CK404" s="428"/>
      <x:c r="CL404" s="428"/>
      <x:c r="CM404" s="428"/>
      <x:c r="CN404" s="428"/>
      <x:c r="CO404" s="428"/>
      <x:c r="CP404" s="428"/>
      <x:c r="CQ404" s="428"/>
      <x:c r="CR404" s="428"/>
      <x:c r="CS404" s="428"/>
      <x:c r="CT404" s="428"/>
      <x:c r="CU404" s="428"/>
      <x:c r="CV404" s="428"/>
      <x:c r="CW404" s="428"/>
      <x:c r="CX404" s="428"/>
      <x:c r="CY404" s="428"/>
      <x:c r="CZ404" s="428"/>
      <x:c r="DA404" s="428"/>
      <x:c r="DB404" s="428"/>
      <x:c r="DC404" s="428"/>
      <x:c r="DD404" s="428"/>
      <x:c r="DE404" s="428"/>
      <x:c r="DF404" s="428"/>
      <x:c r="DG404" s="428"/>
      <x:c r="DH404" s="428"/>
      <x:c r="DI404" s="428"/>
      <x:c r="DJ404" s="428"/>
      <x:c r="DK404" s="428"/>
      <x:c r="DL404" s="428"/>
      <x:c r="DM404" s="428"/>
      <x:c r="DN404" s="428"/>
      <x:c r="DO404" s="428"/>
      <x:c r="DP404" s="428"/>
      <x:c r="DQ404" s="428"/>
      <x:c r="DR404" s="428"/>
      <x:c r="DS404" s="428"/>
      <x:c r="DT404" s="428"/>
      <x:c r="DU404" s="428"/>
      <x:c r="DV404" s="428"/>
      <x:c r="DW404" s="428"/>
      <x:c r="DX404" s="428"/>
      <x:c r="DY404" s="428"/>
      <x:c r="DZ404" s="428"/>
      <x:c r="EA404" s="428"/>
      <x:c r="EB404" s="428"/>
      <x:c r="EC404" s="428"/>
      <x:c r="ED404" s="428"/>
      <x:c r="EE404" s="428"/>
      <x:c r="EF404" s="428"/>
      <x:c r="EG404" s="428"/>
      <x:c r="EH404" s="428"/>
      <x:c r="EI404" s="428"/>
      <x:c r="EJ404" s="428"/>
      <x:c r="EK404" s="428"/>
      <x:c r="EL404" s="428"/>
      <x:c r="EM404" s="428"/>
      <x:c r="EN404" s="428"/>
      <x:c r="EO404" s="428"/>
      <x:c r="EP404" s="428"/>
      <x:c r="EQ404" s="428"/>
      <x:c r="ER404" s="428"/>
      <x:c r="ES404" s="428"/>
      <x:c r="ET404" s="428"/>
      <x:c r="EU404" s="428"/>
      <x:c r="EV404" s="428"/>
      <x:c r="EW404" s="428"/>
      <x:c r="EX404" s="428"/>
      <x:c r="EY404" s="428"/>
      <x:c r="EZ404" s="428"/>
      <x:c r="FA404" s="428"/>
      <x:c r="FB404" s="428"/>
      <x:c r="FC404" s="428"/>
      <x:c r="FD404" s="428"/>
      <x:c r="FE404" s="428"/>
      <x:c r="FF404" s="428"/>
    </x:row>
    <x:row r="406" spans="6:162" s="430" customFormat="1" ht="15.75" customHeight="1">
      <x:c r="F406" s="428"/>
      <x:c r="G406" s="428"/>
      <x:c r="H406" s="428"/>
      <x:c r="I406" s="428"/>
      <x:c r="J406" s="428"/>
      <x:c r="K406" s="428"/>
      <x:c r="L406" s="428"/>
      <x:c r="M406" s="428"/>
      <x:c r="N406" s="428"/>
      <x:c r="O406" s="428"/>
      <x:c r="P406" s="428"/>
      <x:c r="Q406" s="428"/>
      <x:c r="R406" s="428"/>
      <x:c r="S406" s="428"/>
      <x:c r="T406" s="428"/>
      <x:c r="U406" s="428"/>
      <x:c r="V406" s="428"/>
      <x:c r="W406" s="428"/>
      <x:c r="X406" s="428"/>
      <x:c r="Y406" s="428"/>
      <x:c r="AA406" s="428"/>
      <x:c r="AC406" s="428"/>
      <x:c r="AD406" s="428"/>
      <x:c r="AE406" s="428"/>
      <x:c r="AF406" s="428"/>
      <x:c r="AG406" s="428"/>
      <x:c r="AH406" s="429"/>
      <x:c r="AI406" s="429"/>
      <x:c r="AJ406" s="428"/>
      <x:c r="AK406" s="428"/>
      <x:c r="AL406" s="428"/>
      <x:c r="AM406" s="428"/>
      <x:c r="AN406" s="428"/>
      <x:c r="AO406" s="428"/>
      <x:c r="AP406" s="428"/>
      <x:c r="AQ406" s="428"/>
      <x:c r="AR406" s="428"/>
      <x:c r="AS406" s="428"/>
      <x:c r="AT406" s="428"/>
      <x:c r="AU406" s="428"/>
      <x:c r="AV406" s="428"/>
      <x:c r="AW406" s="428"/>
      <x:c r="AX406" s="428"/>
      <x:c r="AY406" s="428"/>
      <x:c r="AZ406" s="428"/>
      <x:c r="BA406" s="428"/>
      <x:c r="BB406" s="428"/>
      <x:c r="BC406" s="428"/>
      <x:c r="BD406" s="428"/>
      <x:c r="BE406" s="428"/>
      <x:c r="BF406" s="428"/>
      <x:c r="BG406" s="428"/>
      <x:c r="BH406" s="428"/>
      <x:c r="BI406" s="428"/>
      <x:c r="BJ406" s="428"/>
      <x:c r="BK406" s="428"/>
      <x:c r="BL406" s="428"/>
      <x:c r="BM406" s="428"/>
      <x:c r="BN406" s="428"/>
      <x:c r="BO406" s="428"/>
      <x:c r="BP406" s="428"/>
      <x:c r="BQ406" s="428"/>
      <x:c r="BR406" s="428"/>
      <x:c r="BS406" s="428"/>
      <x:c r="BT406" s="428"/>
      <x:c r="BU406" s="428"/>
      <x:c r="BV406" s="428"/>
      <x:c r="BW406" s="428"/>
      <x:c r="BX406" s="428"/>
      <x:c r="BY406" s="428"/>
      <x:c r="BZ406" s="428"/>
      <x:c r="CA406" s="428"/>
      <x:c r="CB406" s="428"/>
      <x:c r="CC406" s="428"/>
      <x:c r="CD406" s="428"/>
      <x:c r="CE406" s="428"/>
      <x:c r="CF406" s="428"/>
      <x:c r="CG406" s="428"/>
      <x:c r="CH406" s="428"/>
      <x:c r="CI406" s="428"/>
      <x:c r="CJ406" s="428"/>
      <x:c r="CK406" s="428"/>
      <x:c r="CL406" s="428"/>
      <x:c r="CM406" s="428"/>
      <x:c r="CN406" s="428"/>
      <x:c r="CO406" s="428"/>
      <x:c r="CP406" s="428"/>
      <x:c r="CQ406" s="428"/>
      <x:c r="CR406" s="428"/>
      <x:c r="CS406" s="428"/>
      <x:c r="CT406" s="428"/>
      <x:c r="CU406" s="428"/>
      <x:c r="CV406" s="428"/>
      <x:c r="CW406" s="428"/>
      <x:c r="CX406" s="428"/>
      <x:c r="CY406" s="428"/>
      <x:c r="CZ406" s="428"/>
      <x:c r="DA406" s="428"/>
      <x:c r="DB406" s="428"/>
      <x:c r="DC406" s="428"/>
      <x:c r="DD406" s="428"/>
      <x:c r="DE406" s="428"/>
      <x:c r="DF406" s="428"/>
      <x:c r="DG406" s="428"/>
      <x:c r="DH406" s="428"/>
      <x:c r="DI406" s="428"/>
      <x:c r="DJ406" s="428"/>
      <x:c r="DK406" s="428"/>
      <x:c r="DL406" s="428"/>
      <x:c r="DM406" s="428"/>
      <x:c r="DN406" s="428"/>
      <x:c r="DO406" s="428"/>
      <x:c r="DP406" s="428"/>
      <x:c r="DQ406" s="428"/>
      <x:c r="DR406" s="428"/>
      <x:c r="DS406" s="428"/>
      <x:c r="DT406" s="428"/>
      <x:c r="DU406" s="428"/>
      <x:c r="DV406" s="428"/>
      <x:c r="DW406" s="428"/>
      <x:c r="DX406" s="428"/>
      <x:c r="DY406" s="428"/>
      <x:c r="DZ406" s="428"/>
      <x:c r="EA406" s="428"/>
      <x:c r="EB406" s="428"/>
      <x:c r="EC406" s="428"/>
      <x:c r="ED406" s="428"/>
      <x:c r="EE406" s="428"/>
      <x:c r="EF406" s="428"/>
      <x:c r="EG406" s="428"/>
      <x:c r="EH406" s="428"/>
      <x:c r="EI406" s="428"/>
      <x:c r="EJ406" s="428"/>
      <x:c r="EK406" s="428"/>
      <x:c r="EL406" s="428"/>
      <x:c r="EM406" s="428"/>
      <x:c r="EN406" s="428"/>
      <x:c r="EO406" s="428"/>
      <x:c r="EP406" s="428"/>
      <x:c r="EQ406" s="428"/>
      <x:c r="ER406" s="428"/>
      <x:c r="ES406" s="428"/>
      <x:c r="ET406" s="428"/>
      <x:c r="EU406" s="428"/>
      <x:c r="EV406" s="428"/>
      <x:c r="EW406" s="428"/>
      <x:c r="EX406" s="428"/>
      <x:c r="EY406" s="428"/>
      <x:c r="EZ406" s="428"/>
      <x:c r="FA406" s="428"/>
      <x:c r="FB406" s="428"/>
      <x:c r="FC406" s="428"/>
      <x:c r="FD406" s="428"/>
      <x:c r="FE406" s="428"/>
      <x:c r="FF406" s="428"/>
    </x:row>
    <x:row r="408" spans="6:162" s="430" customFormat="1" ht="15.75" customHeight="1">
      <x:c r="F408" s="428"/>
      <x:c r="G408" s="428"/>
      <x:c r="H408" s="428"/>
      <x:c r="I408" s="428"/>
      <x:c r="J408" s="428"/>
      <x:c r="K408" s="428"/>
      <x:c r="L408" s="428"/>
      <x:c r="M408" s="428"/>
      <x:c r="N408" s="428"/>
      <x:c r="O408" s="428"/>
      <x:c r="P408" s="428"/>
      <x:c r="Q408" s="428"/>
      <x:c r="R408" s="428"/>
      <x:c r="S408" s="428"/>
      <x:c r="T408" s="428"/>
      <x:c r="U408" s="428"/>
      <x:c r="V408" s="428"/>
      <x:c r="W408" s="428"/>
      <x:c r="X408" s="428"/>
      <x:c r="Y408" s="428"/>
      <x:c r="AA408" s="428"/>
      <x:c r="AC408" s="428"/>
      <x:c r="AD408" s="428"/>
      <x:c r="AE408" s="428"/>
      <x:c r="AF408" s="428"/>
      <x:c r="AG408" s="428"/>
      <x:c r="AH408" s="429"/>
      <x:c r="AI408" s="429"/>
      <x:c r="AJ408" s="428"/>
      <x:c r="AK408" s="428"/>
      <x:c r="AL408" s="428"/>
      <x:c r="AM408" s="428"/>
      <x:c r="AN408" s="428"/>
      <x:c r="AO408" s="428"/>
      <x:c r="AP408" s="428"/>
      <x:c r="AQ408" s="428"/>
      <x:c r="AR408" s="428"/>
      <x:c r="AS408" s="428"/>
      <x:c r="AT408" s="428"/>
      <x:c r="AU408" s="428"/>
      <x:c r="AV408" s="428"/>
      <x:c r="AW408" s="428"/>
      <x:c r="AX408" s="428"/>
      <x:c r="AY408" s="428"/>
      <x:c r="AZ408" s="428"/>
      <x:c r="BA408" s="428"/>
      <x:c r="BB408" s="428"/>
      <x:c r="BC408" s="428"/>
      <x:c r="BD408" s="428"/>
      <x:c r="BE408" s="428"/>
      <x:c r="BF408" s="428"/>
      <x:c r="BG408" s="428"/>
      <x:c r="BH408" s="428"/>
      <x:c r="BI408" s="428"/>
      <x:c r="BJ408" s="428"/>
      <x:c r="BK408" s="428"/>
      <x:c r="BL408" s="428"/>
      <x:c r="BM408" s="428"/>
      <x:c r="BN408" s="428"/>
      <x:c r="BO408" s="428"/>
      <x:c r="BP408" s="428"/>
      <x:c r="BQ408" s="428"/>
      <x:c r="BR408" s="428"/>
      <x:c r="BS408" s="428"/>
      <x:c r="BT408" s="428"/>
      <x:c r="BU408" s="428"/>
      <x:c r="BV408" s="428"/>
      <x:c r="BW408" s="428"/>
      <x:c r="BX408" s="428"/>
      <x:c r="BY408" s="428"/>
      <x:c r="BZ408" s="428"/>
      <x:c r="CA408" s="428"/>
      <x:c r="CB408" s="428"/>
      <x:c r="CC408" s="428"/>
      <x:c r="CD408" s="428"/>
      <x:c r="CE408" s="428"/>
      <x:c r="CF408" s="428"/>
      <x:c r="CG408" s="428"/>
      <x:c r="CH408" s="428"/>
      <x:c r="CI408" s="428"/>
      <x:c r="CJ408" s="428"/>
      <x:c r="CK408" s="428"/>
      <x:c r="CL408" s="428"/>
      <x:c r="CM408" s="428"/>
      <x:c r="CN408" s="428"/>
      <x:c r="CO408" s="428"/>
      <x:c r="CP408" s="428"/>
      <x:c r="CQ408" s="428"/>
      <x:c r="CR408" s="428"/>
      <x:c r="CS408" s="428"/>
      <x:c r="CT408" s="428"/>
      <x:c r="CU408" s="428"/>
      <x:c r="CV408" s="428"/>
      <x:c r="CW408" s="428"/>
      <x:c r="CX408" s="428"/>
      <x:c r="CY408" s="428"/>
      <x:c r="CZ408" s="428"/>
      <x:c r="DA408" s="428"/>
      <x:c r="DB408" s="428"/>
      <x:c r="DC408" s="428"/>
      <x:c r="DD408" s="428"/>
      <x:c r="DE408" s="428"/>
      <x:c r="DF408" s="428"/>
      <x:c r="DG408" s="428"/>
      <x:c r="DH408" s="428"/>
      <x:c r="DI408" s="428"/>
      <x:c r="DJ408" s="428"/>
      <x:c r="DK408" s="428"/>
      <x:c r="DL408" s="428"/>
      <x:c r="DM408" s="428"/>
      <x:c r="DN408" s="428"/>
      <x:c r="DO408" s="428"/>
      <x:c r="DP408" s="428"/>
      <x:c r="DQ408" s="428"/>
      <x:c r="DR408" s="428"/>
      <x:c r="DS408" s="428"/>
      <x:c r="DT408" s="428"/>
      <x:c r="DU408" s="428"/>
      <x:c r="DV408" s="428"/>
      <x:c r="DW408" s="428"/>
      <x:c r="DX408" s="428"/>
      <x:c r="DY408" s="428"/>
      <x:c r="DZ408" s="428"/>
      <x:c r="EA408" s="428"/>
      <x:c r="EB408" s="428"/>
      <x:c r="EC408" s="428"/>
      <x:c r="ED408" s="428"/>
      <x:c r="EE408" s="428"/>
      <x:c r="EF408" s="428"/>
      <x:c r="EG408" s="428"/>
      <x:c r="EH408" s="428"/>
      <x:c r="EI408" s="428"/>
      <x:c r="EJ408" s="428"/>
      <x:c r="EK408" s="428"/>
      <x:c r="EL408" s="428"/>
      <x:c r="EM408" s="428"/>
      <x:c r="EN408" s="428"/>
      <x:c r="EO408" s="428"/>
      <x:c r="EP408" s="428"/>
      <x:c r="EQ408" s="428"/>
      <x:c r="ER408" s="428"/>
      <x:c r="ES408" s="428"/>
      <x:c r="ET408" s="428"/>
      <x:c r="EU408" s="428"/>
      <x:c r="EV408" s="428"/>
      <x:c r="EW408" s="428"/>
      <x:c r="EX408" s="428"/>
      <x:c r="EY408" s="428"/>
      <x:c r="EZ408" s="428"/>
      <x:c r="FA408" s="428"/>
      <x:c r="FB408" s="428"/>
      <x:c r="FC408" s="428"/>
      <x:c r="FD408" s="428"/>
      <x:c r="FE408" s="428"/>
      <x:c r="FF408" s="428"/>
    </x:row>
    <x:row r="410" spans="6:162" s="430" customFormat="1" ht="15.75" customHeight="1">
      <x:c r="F410" s="428"/>
      <x:c r="G410" s="428"/>
      <x:c r="H410" s="428"/>
      <x:c r="I410" s="428"/>
      <x:c r="J410" s="428"/>
      <x:c r="K410" s="428"/>
      <x:c r="L410" s="428"/>
      <x:c r="M410" s="428"/>
      <x:c r="N410" s="428"/>
      <x:c r="O410" s="428"/>
      <x:c r="P410" s="428"/>
      <x:c r="Q410" s="428"/>
      <x:c r="R410" s="428"/>
      <x:c r="S410" s="428"/>
      <x:c r="T410" s="428"/>
      <x:c r="U410" s="428"/>
      <x:c r="V410" s="428"/>
      <x:c r="W410" s="428"/>
      <x:c r="X410" s="428"/>
      <x:c r="Y410" s="428"/>
      <x:c r="AA410" s="428"/>
      <x:c r="AC410" s="428"/>
      <x:c r="AD410" s="428"/>
      <x:c r="AE410" s="428"/>
      <x:c r="AF410" s="428"/>
      <x:c r="AG410" s="428"/>
      <x:c r="AH410" s="429"/>
      <x:c r="AI410" s="429"/>
      <x:c r="AJ410" s="428"/>
      <x:c r="AK410" s="428"/>
      <x:c r="AL410" s="428"/>
      <x:c r="AM410" s="428"/>
      <x:c r="AN410" s="428"/>
      <x:c r="AO410" s="428"/>
      <x:c r="AP410" s="428"/>
      <x:c r="AQ410" s="428"/>
      <x:c r="AR410" s="428"/>
      <x:c r="AS410" s="428"/>
      <x:c r="AT410" s="428"/>
      <x:c r="AU410" s="428"/>
      <x:c r="AV410" s="428"/>
      <x:c r="AW410" s="428"/>
      <x:c r="AX410" s="428"/>
      <x:c r="AY410" s="428"/>
      <x:c r="AZ410" s="428"/>
      <x:c r="BA410" s="428"/>
      <x:c r="BB410" s="428"/>
      <x:c r="BC410" s="428"/>
      <x:c r="BD410" s="428"/>
      <x:c r="BE410" s="428"/>
      <x:c r="BF410" s="428"/>
      <x:c r="BG410" s="428"/>
      <x:c r="BH410" s="428"/>
      <x:c r="BI410" s="428"/>
      <x:c r="BJ410" s="428"/>
      <x:c r="BK410" s="428"/>
      <x:c r="BL410" s="428"/>
      <x:c r="BM410" s="428"/>
      <x:c r="BN410" s="428"/>
      <x:c r="BO410" s="428"/>
      <x:c r="BP410" s="428"/>
      <x:c r="BQ410" s="428"/>
      <x:c r="BR410" s="428"/>
      <x:c r="BS410" s="428"/>
      <x:c r="BT410" s="428"/>
      <x:c r="BU410" s="428"/>
      <x:c r="BV410" s="428"/>
      <x:c r="BW410" s="428"/>
      <x:c r="BX410" s="428"/>
      <x:c r="BY410" s="428"/>
      <x:c r="BZ410" s="428"/>
      <x:c r="CA410" s="428"/>
      <x:c r="CB410" s="428"/>
      <x:c r="CC410" s="428"/>
      <x:c r="CD410" s="428"/>
      <x:c r="CE410" s="428"/>
      <x:c r="CF410" s="428"/>
      <x:c r="CG410" s="428"/>
      <x:c r="CH410" s="428"/>
      <x:c r="CI410" s="428"/>
      <x:c r="CJ410" s="428"/>
      <x:c r="CK410" s="428"/>
      <x:c r="CL410" s="428"/>
      <x:c r="CM410" s="428"/>
      <x:c r="CN410" s="428"/>
      <x:c r="CO410" s="428"/>
      <x:c r="CP410" s="428"/>
      <x:c r="CQ410" s="428"/>
      <x:c r="CR410" s="428"/>
      <x:c r="CS410" s="428"/>
      <x:c r="CT410" s="428"/>
      <x:c r="CU410" s="428"/>
      <x:c r="CV410" s="428"/>
      <x:c r="CW410" s="428"/>
      <x:c r="CX410" s="428"/>
      <x:c r="CY410" s="428"/>
      <x:c r="CZ410" s="428"/>
      <x:c r="DA410" s="428"/>
      <x:c r="DB410" s="428"/>
      <x:c r="DC410" s="428"/>
      <x:c r="DD410" s="428"/>
      <x:c r="DE410" s="428"/>
      <x:c r="DF410" s="428"/>
      <x:c r="DG410" s="428"/>
      <x:c r="DH410" s="428"/>
      <x:c r="DI410" s="428"/>
      <x:c r="DJ410" s="428"/>
      <x:c r="DK410" s="428"/>
      <x:c r="DL410" s="428"/>
      <x:c r="DM410" s="428"/>
      <x:c r="DN410" s="428"/>
      <x:c r="DO410" s="428"/>
      <x:c r="DP410" s="428"/>
      <x:c r="DQ410" s="428"/>
      <x:c r="DR410" s="428"/>
      <x:c r="DS410" s="428"/>
      <x:c r="DT410" s="428"/>
      <x:c r="DU410" s="428"/>
      <x:c r="DV410" s="428"/>
      <x:c r="DW410" s="428"/>
      <x:c r="DX410" s="428"/>
      <x:c r="DY410" s="428"/>
      <x:c r="DZ410" s="428"/>
      <x:c r="EA410" s="428"/>
      <x:c r="EB410" s="428"/>
      <x:c r="EC410" s="428"/>
      <x:c r="ED410" s="428"/>
      <x:c r="EE410" s="428"/>
      <x:c r="EF410" s="428"/>
      <x:c r="EG410" s="428"/>
      <x:c r="EH410" s="428"/>
      <x:c r="EI410" s="428"/>
      <x:c r="EJ410" s="428"/>
      <x:c r="EK410" s="428"/>
      <x:c r="EL410" s="428"/>
      <x:c r="EM410" s="428"/>
      <x:c r="EN410" s="428"/>
      <x:c r="EO410" s="428"/>
      <x:c r="EP410" s="428"/>
      <x:c r="EQ410" s="428"/>
      <x:c r="ER410" s="428"/>
      <x:c r="ES410" s="428"/>
      <x:c r="ET410" s="428"/>
      <x:c r="EU410" s="428"/>
      <x:c r="EV410" s="428"/>
      <x:c r="EW410" s="428"/>
      <x:c r="EX410" s="428"/>
      <x:c r="EY410" s="428"/>
      <x:c r="EZ410" s="428"/>
      <x:c r="FA410" s="428"/>
      <x:c r="FB410" s="428"/>
      <x:c r="FC410" s="428"/>
      <x:c r="FD410" s="428"/>
      <x:c r="FE410" s="428"/>
      <x:c r="FF410" s="428"/>
    </x:row>
  </x:sheetData>
  <x:mergeCells count="9">
    <x:mergeCell ref="B201:D201"/>
    <x:mergeCell ref="C205:D208"/>
    <x:mergeCell ref="C209:D210"/>
    <x:mergeCell ref="B5:AH5"/>
    <x:mergeCell ref="F7:J7"/>
    <x:mergeCell ref="L7:P7"/>
    <x:mergeCell ref="R7:AF7"/>
    <x:mergeCell ref="B187:D197"/>
    <x:mergeCell ref="B198:D199"/>
  </x:mergeCells>
  <x:printOptions horizontalCentered="1"/>
  <x:pageMargins left="0.2" right="0.2" top="0.5" bottom="0.5" header="0.3" footer="0.3"/>
  <x:pageSetup scale="40" fitToHeight="0" orientation="landscape" r:id="rId1"/>
  <x:rowBreaks count="2" manualBreakCount="2">
    <x:brk id="93" max="34" man="1"/>
    <x:brk id="183" max="34" man="1"/>
  </x:rowBreaks>
  <x:colBreaks count="1" manualBreakCount="1">
    <x:brk id="16" max="213"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H295"/>
  <x:sheetViews>
    <x:sheetView zoomScaleNormal="100" workbookViewId="0">
      <x:pane xSplit="1" ySplit="7" topLeftCell="B8" activePane="bottomRight" state="frozen"/>
      <x:selection activeCell="J35" sqref="J35:Q35"/>
      <x:selection pane="topRight" activeCell="J35" sqref="J35:Q35"/>
      <x:selection pane="bottomLeft" activeCell="J35" sqref="J35:Q35"/>
      <x:selection pane="bottomRight" sqref="A1:G1"/>
    </x:sheetView>
  </x:sheetViews>
  <x:sheetFormatPr defaultRowHeight="15"/>
  <x:cols>
    <x:col min="1" max="1" width="4.7109375" customWidth="1"/>
    <x:col min="2" max="2" width="5.7109375" style="1188" customWidth="1"/>
    <x:col min="3" max="3" width="59.85546875" style="167" customWidth="1"/>
    <x:col min="4" max="4" width="3.140625" customWidth="1"/>
    <x:col min="5" max="5" width="14.42578125" style="9" customWidth="1"/>
    <x:col min="6" max="6" width="18.42578125" customWidth="1"/>
    <x:col min="7" max="7" width="13.7109375" customWidth="1"/>
    <x:col min="8" max="8" width="12.85546875" bestFit="1" customWidth="1"/>
    <x:col min="9" max="9" width="14" bestFit="1" customWidth="1"/>
    <x:col min="11" max="11" width="15.28515625" bestFit="1" customWidth="1"/>
    <x:col min="14" max="14" width="9.85546875" bestFit="1" customWidth="1"/>
    <x:col min="15" max="15" width="3.85546875" customWidth="1"/>
    <x:col min="16" max="16" width="11.85546875" customWidth="1"/>
  </x:cols>
  <x:sheetData>
    <x:row r="1" spans="1:7" ht="18">
      <x:c r="A1" s="1638" t="str">
        <x:f>+'ATT H-3D'!A4</x:f>
        <x:v>Delmarva Power &amp; Light Company</x:v>
      </x:c>
      <x:c r="B1" s="1638"/>
      <x:c r="C1" s="1638"/>
      <x:c r="D1" s="1638"/>
      <x:c r="E1" s="1638"/>
      <x:c r="F1" s="1638"/>
      <x:c r="G1" s="1638"/>
    </x:row>
    <x:row r="2" spans="1:7" ht="15.75">
      <x:c r="A2" s="1639" t="s">
        <x:v>209</x:v>
      </x:c>
      <x:c r="B2" s="1639"/>
      <x:c r="C2" s="1639"/>
      <x:c r="D2" s="1639"/>
      <x:c r="E2" s="1639"/>
      <x:c r="F2" s="1639"/>
      <x:c r="G2" s="1639"/>
    </x:row>
    <x:row r="3" spans="1:7" s="1340" customFormat="1" ht="15.75">
      <x:c r="A3" s="1338"/>
      <x:c r="B3" s="1338"/>
      <x:c r="C3" s="1338"/>
      <x:c r="D3" s="1338"/>
      <x:c r="E3" s="1338"/>
      <x:c r="F3" s="1338"/>
      <x:c r="G3" s="1338"/>
    </x:row>
    <x:row r="4" spans="1:7" s="167" customFormat="1" ht="12.75">
      <x:c r="B4" s="522"/>
      <x:c r="D4" s="3"/>
      <x:c r="E4" s="329"/>
      <x:c r="G4" s="181"/>
    </x:row>
    <x:row r="5" spans="1:7" s="167" customFormat="1" ht="12.75">
      <x:c r="B5" s="522"/>
      <x:c r="E5" s="1339" t="s">
        <x:v>2125</x:v>
      </x:c>
    </x:row>
    <x:row r="6" spans="1:7" s="167" customFormat="1" ht="12.75">
      <x:c r="B6" s="522"/>
      <x:c r="D6" s="63"/>
      <x:c r="E6" s="1339" t="s">
        <x:v>210</x:v>
      </x:c>
      <x:c r="F6" s="63"/>
      <x:c r="G6" s="63" t="s">
        <x:v>211</x:v>
      </x:c>
    </x:row>
    <x:row r="7" spans="1:7" s="167" customFormat="1" ht="12.75">
      <x:c r="A7" s="64" t="s">
        <x:v>212</x:v>
      </x:c>
      <x:c r="B7" s="357"/>
      <x:c r="D7" s="63"/>
      <x:c r="E7" s="63" t="s">
        <x:v>213</x:v>
      </x:c>
      <x:c r="F7" s="63" t="s">
        <x:v>214</x:v>
      </x:c>
      <x:c r="G7" s="63" t="s">
        <x:v>106</x:v>
      </x:c>
    </x:row>
    <x:row r="8" spans="1:7" s="167" customFormat="1" ht="12.75">
      <x:c r="A8" s="64"/>
      <x:c r="B8" s="357"/>
      <x:c r="D8" s="1364"/>
      <x:c r="E8" s="1364"/>
      <x:c r="F8" s="1364"/>
      <x:c r="G8" s="1364"/>
    </x:row>
    <x:row r="9" spans="1:7" s="167" customFormat="1" ht="12.75">
      <x:c r="B9" s="357" t="s">
        <x:v>107</x:v>
      </x:c>
      <x:c r="D9" s="63"/>
      <x:c r="E9" s="65"/>
      <x:c r="F9" s="63" t="s">
        <x:v>215</x:v>
      </x:c>
      <x:c r="G9" s="63"/>
    </x:row>
    <x:row r="10" spans="1:7" s="167" customFormat="1" ht="12.75">
      <x:c r="B10" s="522"/>
      <x:c r="D10" s="63"/>
      <x:c r="E10" s="65"/>
      <x:c r="F10" s="63"/>
      <x:c r="G10" s="63"/>
    </x:row>
    <x:row r="11" spans="1:7" s="167" customFormat="1" ht="19.5" customHeight="1">
      <x:c r="B11" s="522">
        <x:v>1</x:v>
      </x:c>
      <x:c r="C11" s="1136" t="s">
        <x:v>1739</x:v>
      </x:c>
      <x:c r="E11" s="1139">
        <x:v>37426708</x:v>
      </x:c>
      <x:c r="G11" s="307"/>
    </x:row>
    <x:row r="12" spans="1:7" s="167" customFormat="1" ht="12.75" customHeight="1">
      <x:c r="B12" s="522">
        <x:f>B11+1</x:f>
        <x:v>2</x:v>
      </x:c>
      <x:c r="C12" s="1136" t="s">
        <x:v>1740</x:v>
      </x:c>
      <x:c r="E12" s="359"/>
      <x:c r="G12" s="307"/>
    </x:row>
    <x:row r="13" spans="1:7" s="167" customFormat="1" ht="12.75" customHeight="1">
      <x:c r="B13" s="522">
        <x:f t="shared" ref="B13:B15" si="0">B12+1</x:f>
        <x:v>3</x:v>
      </x:c>
      <x:c r="C13" s="356" t="s">
        <x:v>1741</x:v>
      </x:c>
      <x:c r="E13" s="359"/>
      <x:c r="G13" s="307"/>
    </x:row>
    <x:row r="14" spans="1:7" s="167" customFormat="1" ht="12.75" customHeight="1">
      <x:c r="B14" s="522">
        <x:f t="shared" si="0"/>
        <x:v>4</x:v>
      </x:c>
      <x:c r="C14" s="356"/>
      <x:c r="E14" s="359"/>
      <x:c r="G14" s="307"/>
    </x:row>
    <x:row r="15" spans="1:7" s="167" customFormat="1" ht="12.75" customHeight="1">
      <x:c r="B15" s="522">
        <x:f t="shared" si="0"/>
        <x:v>5</x:v>
      </x:c>
      <x:c r="C15" s="356"/>
      <x:c r="E15" s="359"/>
      <x:c r="G15" s="307"/>
    </x:row>
    <x:row r="16" spans="1:7" s="1324" customFormat="1" ht="12.75" customHeight="1">
      <x:c r="B16" s="1351"/>
      <x:c r="C16" s="1328"/>
      <x:c r="E16" s="1357"/>
      <x:c r="G16" s="1358"/>
    </x:row>
    <x:row r="17" spans="2:7" s="167" customFormat="1" ht="12.75" customHeight="1">
      <x:c r="B17" s="357" t="s">
        <x:v>216</x:v>
      </x:c>
      <x:c r="D17" s="514"/>
      <x:c r="E17" s="1140">
        <x:f>SUM(E11:E16)</x:f>
        <x:v>37426708</x:v>
      </x:c>
      <x:c r="F17" s="1052">
        <x:f>+'ATT H-3D'!H45</x:f>
        <x:v>0.36691024632926028</x:v>
      </x:c>
      <x:c r="G17" s="1140">
        <x:f>+E17*F17</x:f>
        <x:v>13732242.651573297</x:v>
      </x:c>
    </x:row>
    <x:row r="18" spans="2:7" s="167" customFormat="1" ht="12.75" customHeight="1">
      <x:c r="B18" s="522"/>
      <x:c r="D18" s="514"/>
      <x:c r="E18" s="516"/>
      <x:c r="F18" s="514"/>
      <x:c r="G18" s="514"/>
    </x:row>
    <x:row r="19" spans="2:7" s="167" customFormat="1" ht="12.75" customHeight="1">
      <x:c r="B19" s="357" t="s">
        <x:v>217</x:v>
      </x:c>
      <x:c r="D19" s="514"/>
      <x:c r="E19" s="516"/>
      <x:c r="F19" s="63" t="s">
        <x:v>218</x:v>
      </x:c>
      <x:c r="G19" s="514"/>
    </x:row>
    <x:row r="20" spans="2:7" s="167" customFormat="1" ht="12.75" customHeight="1">
      <x:c r="B20" s="357"/>
      <x:c r="D20" s="514"/>
      <x:c r="E20" s="329"/>
      <x:c r="G20" s="514"/>
    </x:row>
    <x:row r="21" spans="2:7" s="167" customFormat="1" ht="12.75" customHeight="1">
      <x:c r="B21" s="522">
        <x:f>B15+1</x:f>
        <x:v>6</x:v>
      </x:c>
      <x:c r="C21" s="361" t="s">
        <x:v>1742</x:v>
      </x:c>
      <x:c r="D21" s="1138"/>
      <x:c r="E21" s="1139">
        <x:v>3182644</x:v>
      </x:c>
      <x:c r="F21" s="517"/>
      <x:c r="G21" s="517"/>
    </x:row>
    <x:row r="22" spans="2:7" s="167" customFormat="1" ht="12.75" customHeight="1">
      <x:c r="B22" s="522">
        <x:f>B21+1</x:f>
        <x:v>7</x:v>
      </x:c>
      <x:c r="C22" s="361"/>
      <x:c r="D22" s="1138"/>
      <x:c r="E22" s="360"/>
      <x:c r="F22" s="517"/>
      <x:c r="G22" s="517"/>
    </x:row>
    <x:row r="23" spans="2:7" s="167" customFormat="1" ht="12.75" customHeight="1">
      <x:c r="B23" s="522">
        <x:f t="shared" ref="B23:B25" si="1">B22+1</x:f>
        <x:v>8</x:v>
      </x:c>
      <x:c r="C23" s="361"/>
      <x:c r="D23" s="1138"/>
      <x:c r="E23" s="360"/>
      <x:c r="F23" s="517"/>
      <x:c r="G23" s="517"/>
    </x:row>
    <x:row r="24" spans="2:7" s="167" customFormat="1" ht="12.75" customHeight="1">
      <x:c r="B24" s="522">
        <x:f t="shared" si="1"/>
        <x:v>9</x:v>
      </x:c>
      <x:c r="C24" s="361"/>
      <x:c r="D24" s="1138"/>
      <x:c r="E24" s="360"/>
      <x:c r="F24" s="517"/>
      <x:c r="G24" s="517"/>
    </x:row>
    <x:row r="25" spans="2:7" s="1324" customFormat="1" ht="12.75">
      <x:c r="B25" s="522">
        <x:f t="shared" si="1"/>
        <x:v>10</x:v>
      </x:c>
      <x:c r="C25" s="361"/>
      <x:c r="D25" s="1138"/>
      <x:c r="E25" s="360"/>
    </x:row>
    <x:row r="26" spans="2:7" s="1324" customFormat="1" ht="12.75">
      <x:c r="B26" s="1351"/>
      <x:c r="C26" s="1354"/>
      <x:c r="D26" s="1355"/>
      <x:c r="E26" s="1356"/>
    </x:row>
    <x:row r="27" spans="2:7" s="167" customFormat="1" ht="12.75">
      <x:c r="B27" s="357" t="s">
        <x:v>219</x:v>
      </x:c>
      <x:c r="E27" s="1140">
        <x:f>SUM(E21:E25)</x:f>
        <x:v>3182644</x:v>
      </x:c>
      <x:c r="F27" s="1052">
        <x:f>'ATT H-3D'!H24</x:f>
        <x:v>0.14582932326077899</x:v>
      </x:c>
      <x:c r="G27" s="1140">
        <x:f>+F27*E27</x:f>
        <x:v>464122.82069997868</x:v>
      </x:c>
    </x:row>
    <x:row r="28" spans="2:7" s="167" customFormat="1" ht="12.75">
      <x:c r="B28" s="357"/>
      <x:c r="C28" s="516"/>
      <x:c r="E28" s="329"/>
    </x:row>
    <x:row r="29" spans="2:7" s="167" customFormat="1" ht="12.75">
      <x:c r="B29" s="357" t="s">
        <x:v>220</x:v>
      </x:c>
      <x:c r="E29" s="329"/>
      <x:c r="F29" s="63" t="s">
        <x:v>215</x:v>
      </x:c>
    </x:row>
    <x:row r="30" spans="2:7" s="167" customFormat="1" ht="12.75">
      <x:c r="B30" s="522"/>
      <x:c r="E30" s="329"/>
    </x:row>
    <x:row r="31" spans="2:7" s="167" customFormat="1" ht="12.75">
      <x:c r="B31" s="522">
        <x:f>B25+1</x:f>
        <x:v>11</x:v>
      </x:c>
      <x:c r="C31" s="1137" t="s">
        <x:v>1743</x:v>
      </x:c>
      <x:c r="E31" s="1139">
        <x:v>8280</x:v>
      </x:c>
    </x:row>
    <x:row r="32" spans="2:7" s="1324" customFormat="1" ht="12.75">
      <x:c r="B32" s="1351"/>
      <x:c r="C32" s="1352"/>
      <x:c r="E32" s="1353"/>
    </x:row>
    <x:row r="33" spans="2:8" s="167" customFormat="1" ht="12.75">
      <x:c r="B33" s="357" t="s">
        <x:v>221</x:v>
      </x:c>
      <x:c r="E33" s="1140">
        <x:f>SUM(E31:E31)</x:f>
        <x:v>8280</x:v>
      </x:c>
      <x:c r="F33" s="1052">
        <x:f>'ATT H-3D'!H45</x:f>
        <x:v>0.36691024632926028</x:v>
      </x:c>
      <x:c r="G33" s="1140">
        <x:f>+F33*E33</x:f>
        <x:v>3038.016839606275</x:v>
      </x:c>
    </x:row>
    <x:row r="34" spans="2:8" s="167" customFormat="1" ht="12.75">
      <x:c r="B34" s="357"/>
      <x:c r="E34" s="1140"/>
      <x:c r="F34" s="1323"/>
      <x:c r="G34" s="1140"/>
    </x:row>
    <x:row r="35" spans="2:8" s="167" customFormat="1" ht="12.75">
      <x:c r="B35" s="522"/>
      <x:c r="E35" s="329"/>
    </x:row>
    <x:row r="36" spans="2:8" s="167" customFormat="1" ht="12.75">
      <x:c r="B36" s="357" t="s">
        <x:v>222</x:v>
      </x:c>
      <x:c r="E36" s="329"/>
      <x:c r="G36" s="1140">
        <x:f>+G33+G27+G17</x:f>
        <x:v>14199403.489112882</x:v>
      </x:c>
    </x:row>
    <x:row r="37" spans="2:8" s="167" customFormat="1" ht="12.75">
      <x:c r="B37" s="357"/>
      <x:c r="E37" s="329"/>
      <x:c r="G37" s="1140"/>
    </x:row>
    <x:row r="38" spans="2:8" s="167" customFormat="1" ht="12.75">
      <x:c r="B38" s="522"/>
      <x:c r="C38" s="66"/>
      <x:c r="E38" s="329"/>
    </x:row>
    <x:row r="39" spans="2:8" s="167" customFormat="1" ht="12.75">
      <x:c r="B39" s="357" t="s">
        <x:v>1112</x:v>
      </x:c>
      <x:c r="E39" s="358"/>
    </x:row>
    <x:row r="40" spans="2:8" s="167" customFormat="1" ht="12.75">
      <x:c r="B40" s="522">
        <x:f>B31+1</x:f>
        <x:v>12</x:v>
      </x:c>
      <x:c r="C40" s="1135" t="s">
        <x:v>1744</x:v>
      </x:c>
      <x:c r="E40" s="1141">
        <x:v>9551116</x:v>
      </x:c>
    </x:row>
    <x:row r="41" spans="2:8" s="167" customFormat="1" ht="12.75">
      <x:c r="B41" s="522">
        <x:f>B40+1</x:f>
        <x:v>13</x:v>
      </x:c>
      <x:c r="C41" s="1135" t="s">
        <x:v>1745</x:v>
      </x:c>
      <x:c r="E41" s="1141">
        <x:v>690488</x:v>
      </x:c>
    </x:row>
    <x:row r="42" spans="2:8" s="167" customFormat="1" ht="12.75">
      <x:c r="B42" s="522">
        <x:f t="shared" ref="B42:B50" si="2">B41+1</x:f>
        <x:v>14</x:v>
      </x:c>
      <x:c r="C42" s="1135" t="s">
        <x:v>1746</x:v>
      </x:c>
      <x:c r="E42" s="1141">
        <x:v>38559</x:v>
      </x:c>
      <x:c r="G42" s="64"/>
      <x:c r="H42" s="329"/>
    </x:row>
    <x:row r="43" spans="2:8" s="167" customFormat="1" ht="12.75">
      <x:c r="B43" s="522">
        <x:f t="shared" si="2"/>
        <x:v>15</x:v>
      </x:c>
      <x:c r="C43" s="1135" t="s">
        <x:v>1747</x:v>
      </x:c>
      <x:c r="E43" s="1141">
        <x:v>0</x:v>
      </x:c>
      <x:c r="G43" s="64"/>
      <x:c r="H43" s="329"/>
    </x:row>
    <x:row r="44" spans="2:8" s="167" customFormat="1" ht="12.75">
      <x:c r="B44" s="522">
        <x:f t="shared" si="2"/>
        <x:v>16</x:v>
      </x:c>
      <x:c r="C44" s="1135" t="s">
        <x:v>1748</x:v>
      </x:c>
      <x:c r="E44" s="1141">
        <x:v>0</x:v>
      </x:c>
      <x:c r="G44" s="64"/>
      <x:c r="H44" s="329"/>
    </x:row>
    <x:row r="45" spans="2:8" s="167" customFormat="1" ht="12.75">
      <x:c r="B45" s="522">
        <x:f t="shared" si="2"/>
        <x:v>17</x:v>
      </x:c>
      <x:c r="C45" s="1135" t="s">
        <x:v>1749</x:v>
      </x:c>
      <x:c r="E45" s="1141">
        <x:v>8432145</x:v>
      </x:c>
      <x:c r="G45" s="64"/>
      <x:c r="H45" s="329"/>
    </x:row>
    <x:row r="46" spans="2:8" s="167" customFormat="1" ht="12.75">
      <x:c r="B46" s="522">
        <x:f t="shared" si="2"/>
        <x:v>18</x:v>
      </x:c>
      <x:c r="C46" s="1135" t="s">
        <x:v>1750</x:v>
      </x:c>
      <x:c r="E46" s="1141">
        <x:v>1396463</x:v>
      </x:c>
      <x:c r="G46" s="64"/>
      <x:c r="H46" s="329"/>
    </x:row>
    <x:row r="47" spans="2:8" s="167" customFormat="1" ht="12.75">
      <x:c r="B47" s="522">
        <x:f t="shared" si="2"/>
        <x:v>19</x:v>
      </x:c>
      <x:c r="C47" s="1135" t="s">
        <x:v>1751</x:v>
      </x:c>
      <x:c r="E47" s="1141">
        <x:v>2962338</x:v>
      </x:c>
      <x:c r="G47" s="1019"/>
      <x:c r="H47" s="329"/>
    </x:row>
    <x:row r="48" spans="2:8" s="167" customFormat="1" ht="12.75">
      <x:c r="B48" s="522">
        <x:f t="shared" si="2"/>
        <x:v>20</x:v>
      </x:c>
      <x:c r="C48" s="1135" t="s">
        <x:v>1873</x:v>
      </x:c>
      <x:c r="E48" s="1141">
        <x:v>905163</x:v>
      </x:c>
      <x:c r="G48" s="1019"/>
      <x:c r="H48" s="329"/>
    </x:row>
    <x:row r="49" spans="2:8" s="167" customFormat="1" ht="12.75">
      <x:c r="B49" s="522">
        <x:f t="shared" si="2"/>
        <x:v>21</x:v>
      </x:c>
      <x:c r="C49" s="1135" t="s">
        <x:v>1874</x:v>
      </x:c>
      <x:c r="E49" s="1141">
        <x:v>620463</x:v>
      </x:c>
      <x:c r="G49" s="1019"/>
      <x:c r="H49" s="329"/>
    </x:row>
    <x:row r="50" spans="2:8" s="167" customFormat="1" ht="12.75">
      <x:c r="B50" s="522">
        <x:f t="shared" si="2"/>
        <x:v>22</x:v>
      </x:c>
      <x:c r="C50" s="1135" t="s">
        <x:v>1752</x:v>
      </x:c>
      <x:c r="E50" s="1141">
        <x:v>0</x:v>
      </x:c>
      <x:c r="G50" s="1019"/>
      <x:c r="H50" s="329"/>
    </x:row>
    <x:row r="51" spans="2:8" s="167" customFormat="1" ht="12.75">
      <x:c r="B51" s="522"/>
      <x:c r="C51" s="66"/>
      <x:c r="E51" s="1142"/>
      <x:c r="F51" s="2"/>
      <x:c r="H51" s="329"/>
    </x:row>
    <x:row r="52" spans="2:8" s="167" customFormat="1" ht="12.75">
      <x:c r="B52" s="522">
        <x:f>B50+1</x:f>
        <x:v>23</x:v>
      </x:c>
      <x:c r="C52" s="167" t="s">
        <x:v>223</x:v>
      </x:c>
      <x:c r="D52" s="518"/>
      <x:c r="E52" s="520">
        <x:f>SUM(E40:E50)+E33+E27+E17</x:f>
        <x:v>65214367</x:v>
      </x:c>
      <x:c r="H52" s="329"/>
    </x:row>
    <x:row r="53" spans="2:8" s="167" customFormat="1" ht="12.75">
      <x:c r="B53" s="522"/>
      <x:c r="C53" s="6"/>
      <x:c r="D53" s="518"/>
      <x:c r="E53" s="520"/>
      <x:c r="H53" s="329"/>
    </x:row>
    <x:row r="54" spans="2:8" s="167" customFormat="1" ht="12.75">
      <x:c r="B54" s="522">
        <x:f>B52+1</x:f>
        <x:v>24</x:v>
      </x:c>
      <x:c r="C54" s="1135" t="s">
        <x:v>224</x:v>
      </x:c>
      <x:c r="E54" s="521">
        <x:v>65214367</x:v>
      </x:c>
      <x:c r="F54" s="1071"/>
      <x:c r="G54" s="1071"/>
    </x:row>
    <x:row r="55" spans="2:8" s="167" customFormat="1" ht="12.75">
      <x:c r="B55" s="522"/>
      <x:c r="C55" s="518"/>
      <x:c r="D55" s="518"/>
      <x:c r="E55" s="520"/>
    </x:row>
    <x:row r="56" spans="2:8" s="167" customFormat="1" ht="12.75">
      <x:c r="B56" s="522">
        <x:f>B54+1</x:f>
        <x:v>25</x:v>
      </x:c>
      <x:c r="C56" s="518" t="s">
        <x:v>225</x:v>
      </x:c>
      <x:c r="D56" s="67"/>
      <x:c r="E56" s="520">
        <x:f>+E52-E54</x:f>
        <x:v>0</x:v>
      </x:c>
    </x:row>
    <x:row r="57" spans="2:8" s="167" customFormat="1" ht="12.75">
      <x:c r="B57" s="522"/>
      <x:c r="C57" s="518"/>
      <x:c r="D57" s="67"/>
      <x:c r="E57" s="520"/>
    </x:row>
    <x:row r="58" spans="2:8" s="167" customFormat="1" ht="12.75">
      <x:c r="B58" s="522" t="s">
        <x:v>226</x:v>
      </x:c>
      <x:c r="C58" s="6"/>
      <x:c r="E58" s="515"/>
      <x:c r="F58" s="2"/>
      <x:c r="G58" s="2"/>
    </x:row>
    <x:row r="59" spans="2:8" s="167" customFormat="1" ht="12.75">
      <x:c r="B59" s="522" t="s">
        <x:v>9</x:v>
      </x:c>
      <x:c r="C59" s="6" t="s">
        <x:v>227</x:v>
      </x:c>
      <x:c r="E59" s="515"/>
      <x:c r="F59" s="2"/>
      <x:c r="G59" s="2"/>
    </x:row>
    <x:row r="60" spans="2:8" s="167" customFormat="1" ht="12.75">
      <x:c r="B60" s="522"/>
      <x:c r="C60" s="1336" t="s">
        <x:v>2140</x:v>
      </x:c>
      <x:c r="E60" s="515"/>
      <x:c r="G60" s="2"/>
    </x:row>
    <x:row r="61" spans="2:8" s="167" customFormat="1" ht="12.75">
      <x:c r="B61" s="522" t="s">
        <x:v>10</x:v>
      </x:c>
      <x:c r="C61" s="6" t="s">
        <x:v>228</x:v>
      </x:c>
      <x:c r="E61" s="515"/>
      <x:c r="G61" s="2"/>
    </x:row>
    <x:row r="62" spans="2:8" s="167" customFormat="1" ht="12.75">
      <x:c r="B62" s="522"/>
      <x:c r="C62" s="1336" t="s">
        <x:v>2140</x:v>
      </x:c>
      <x:c r="E62" s="515"/>
      <x:c r="G62" s="2"/>
    </x:row>
    <x:row r="63" spans="2:8" s="167" customFormat="1" ht="12.75">
      <x:c r="B63" s="522" t="s">
        <x:v>11</x:v>
      </x:c>
      <x:c r="C63" s="6" t="s">
        <x:v>2141</x:v>
      </x:c>
      <x:c r="E63" s="515"/>
      <x:c r="G63" s="2"/>
    </x:row>
    <x:row r="64" spans="2:8" s="167" customFormat="1" ht="12.75">
      <x:c r="B64" s="522" t="s">
        <x:v>14</x:v>
      </x:c>
      <x:c r="C64" s="522" t="s">
        <x:v>229</x:v>
      </x:c>
      <x:c r="E64" s="515"/>
      <x:c r="G64" s="2"/>
    </x:row>
    <x:row r="65" spans="1:5" s="167" customFormat="1" ht="12.75">
      <x:c r="B65" s="522"/>
      <x:c r="C65" s="6" t="s">
        <x:v>230</x:v>
      </x:c>
      <x:c r="E65" s="515"/>
    </x:row>
    <x:row r="66" spans="1:5" s="167" customFormat="1" ht="12.75">
      <x:c r="B66" s="522"/>
      <x:c r="C66" s="1337" t="s">
        <x:v>2142</x:v>
      </x:c>
      <x:c r="E66" s="329"/>
    </x:row>
    <x:row r="67" spans="1:5" s="167" customFormat="1" ht="12.75">
      <x:c r="B67" s="522" t="s">
        <x:v>133</x:v>
      </x:c>
      <x:c r="C67" s="6" t="s">
        <x:v>2143</x:v>
      </x:c>
      <x:c r="E67" s="329"/>
    </x:row>
    <x:row r="68" spans="1:5" s="167" customFormat="1" ht="12.75">
      <x:c r="B68" s="522"/>
      <x:c r="E68" s="329"/>
    </x:row>
    <x:row r="70" spans="1:5">
      <x:c r="A70" s="164"/>
    </x:row>
    <x:row r="295" spans="3:3">
      <x:c r="C295" s="6"/>
    </x:row>
  </x:sheetData>
  <x:mergeCells count="2">
    <x:mergeCell ref="A1:G1"/>
    <x:mergeCell ref="A2:G2"/>
  </x:mergeCells>
  <x:printOptions horizontalCentered="1"/>
  <x:pageMargins left="0.25" right="0.25" top="0.5" bottom="0.5" header="0.25" footer="0.25"/>
  <x:pageSetup scale="81"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C9C90AE-36E0-4F19-B128-46A4DD2E3859}" mc:Ignorable="x14ac xr xr2 xr3">
  <x:sheetPr>
    <x:pageSetUpPr fitToPage="1"/>
  </x:sheetPr>
  <x:dimension ref="A1:J282"/>
  <x:sheetViews>
    <x:sheetView zoomScaleNormal="100" workbookViewId="0">
      <x:pane ySplit="2" topLeftCell="A3" activePane="bottomLeft" state="frozen"/>
      <x:selection activeCell="J35" sqref="J35:Q35"/>
      <x:selection pane="bottomLeft" sqref="A1:G1"/>
    </x:sheetView>
  </x:sheetViews>
  <x:sheetFormatPr defaultColWidth="9.140625" defaultRowHeight="15"/>
  <x:cols>
    <x:col min="1" max="1" width="5.7109375" style="1403" customWidth="1"/>
    <x:col min="2" max="2" width="76.85546875" style="1400" customWidth="1"/>
    <x:col min="3" max="3" width="15.7109375" style="1400" customWidth="1"/>
    <x:col min="4" max="4" width="15.5703125" style="1527" customWidth="1"/>
    <x:col min="5" max="5" width="19.28515625" style="1536" customWidth="1"/>
    <x:col min="6" max="6" width="14.28515625" style="1527" bestFit="1" customWidth="1"/>
    <x:col min="7" max="7" width="18.42578125" style="1551" customWidth="1"/>
    <x:col min="8" max="8" width="12.28515625" customWidth="1"/>
    <x:col min="10" max="10" width="11" customWidth="1"/>
  </x:cols>
  <x:sheetData>
    <x:row r="1" spans="1:7" s="1131" customFormat="1" ht="18.75">
      <x:c r="A1" s="1638" t="str">
        <x:f>+'ATT H-3D'!A4</x:f>
        <x:v>Delmarva Power &amp; Light Company</x:v>
      </x:c>
      <x:c r="B1" s="1638"/>
      <x:c r="C1" s="1638"/>
      <x:c r="D1" s="1638"/>
      <x:c r="E1" s="1638"/>
      <x:c r="F1" s="1638"/>
      <x:c r="G1" s="1638"/>
    </x:row>
    <x:row r="2" spans="1:7" s="1132" customFormat="1" ht="15.75">
      <x:c r="A2" s="1639" t="s">
        <x:v>156</x:v>
      </x:c>
      <x:c r="B2" s="1639"/>
      <x:c r="C2" s="1639"/>
      <x:c r="D2" s="1639"/>
      <x:c r="E2" s="1639"/>
      <x:c r="F2" s="1639"/>
      <x:c r="G2" s="1639"/>
    </x:row>
    <x:row r="3" spans="1:7" s="167" customFormat="1" ht="12.75">
      <x:c r="A3" s="1640"/>
      <x:c r="B3" s="1641"/>
      <x:c r="C3" s="1641"/>
      <x:c r="D3" s="1641"/>
      <x:c r="E3" s="1641"/>
      <x:c r="F3" s="1641"/>
      <x:c r="G3" s="1641"/>
    </x:row>
    <x:row r="4" spans="1:7" s="167" customFormat="1" ht="12.75">
      <x:c r="A4" s="1360"/>
      <x:c r="B4" s="1394"/>
      <x:c r="C4" s="1404"/>
      <x:c r="D4" s="1505"/>
      <x:c r="E4" s="1528"/>
      <x:c r="F4" s="1505"/>
      <x:c r="G4" s="1537"/>
    </x:row>
    <x:row r="5" spans="1:7" s="1365" customFormat="1" ht="30" customHeight="1">
      <x:c r="A5" s="514"/>
      <x:c r="B5" s="1409"/>
      <x:c r="C5" s="1362"/>
      <x:c r="D5" s="453" t="s">
        <x:v>959</x:v>
      </x:c>
      <x:c r="E5" s="1410" t="s">
        <x:v>960</x:v>
      </x:c>
      <x:c r="F5" s="453" t="s">
        <x:v>961</x:v>
      </x:c>
      <x:c r="G5" s="453" t="s">
        <x:v>962</x:v>
      </x:c>
    </x:row>
    <x:row r="6" spans="1:7" s="167" customFormat="1" ht="15" customHeight="1">
      <x:c r="A6" s="1360"/>
      <x:c r="B6" s="1395" t="s">
        <x:v>186</x:v>
      </x:c>
      <x:c r="C6" s="1396"/>
      <x:c r="D6" s="1515"/>
      <x:c r="E6" s="1529"/>
      <x:c r="F6" s="1515"/>
      <x:c r="G6" s="1538"/>
    </x:row>
    <x:row r="7" spans="1:7" s="167" customFormat="1" ht="15" customHeight="1">
      <x:c r="A7" s="1360">
        <x:v>1</x:v>
      </x:c>
      <x:c r="B7" s="1360" t="s">
        <x:v>1437</x:v>
      </x:c>
      <x:c r="C7" s="1398"/>
      <x:c r="D7" s="1516">
        <x:v>0</x:v>
      </x:c>
      <x:c r="E7" s="1530" t="s">
        <x:v>206</x:v>
      </x:c>
      <x:c r="F7" s="1539">
        <x:v>1</x:v>
      </x:c>
      <x:c r="G7" s="1540">
        <x:f>D7*F7</x:f>
        <x:v>0</x:v>
      </x:c>
    </x:row>
    <x:row r="8" spans="1:7" s="2" customFormat="1" ht="15" customHeight="1">
      <x:c r="A8" s="1402">
        <x:v>2</x:v>
      </x:c>
      <x:c r="B8" s="1360" t="s">
        <x:v>187</x:v>
      </x:c>
      <x:c r="C8" s="1398" t="s">
        <x:v>188</x:v>
      </x:c>
      <x:c r="D8" s="1517">
        <x:f>SUM(D7)</x:f>
        <x:v>0</x:v>
      </x:c>
      <x:c r="E8" s="1531"/>
      <x:c r="F8" s="1369"/>
      <x:c r="G8" s="1541">
        <x:f>G7</x:f>
        <x:v>0</x:v>
      </x:c>
    </x:row>
    <x:row r="9" spans="1:7" s="167" customFormat="1" ht="7.5" customHeight="1">
      <x:c r="A9" s="1360"/>
      <x:c r="B9" s="1396"/>
      <x:c r="C9" s="1396"/>
      <x:c r="D9" s="1518"/>
      <x:c r="E9" s="1529"/>
      <x:c r="F9" s="1515"/>
      <x:c r="G9" s="1542"/>
    </x:row>
    <x:row r="10" spans="1:7" s="167" customFormat="1" ht="15" customHeight="1">
      <x:c r="A10" s="1360"/>
      <x:c r="B10" s="1395" t="s">
        <x:v>189</x:v>
      </x:c>
      <x:c r="C10" s="1396"/>
      <x:c r="D10" s="1518"/>
      <x:c r="E10" s="1529"/>
      <x:c r="F10" s="1515"/>
      <x:c r="G10" s="1543"/>
    </x:row>
    <x:row r="11" spans="1:7" s="167" customFormat="1" ht="15" customHeight="1">
      <x:c r="A11" s="1360">
        <x:v>3</x:v>
      </x:c>
      <x:c r="B11" s="1360" t="s">
        <x:v>190</x:v>
      </x:c>
      <x:c r="C11" s="1359"/>
      <x:c r="D11" s="1519">
        <x:v>1469993.82</x:v>
      </x:c>
      <x:c r="E11" s="1530" t="s">
        <x:v>206</x:v>
      </x:c>
      <x:c r="F11" s="1539">
        <x:v>1</x:v>
      </x:c>
      <x:c r="G11" s="1541">
        <x:f>D11*F11</x:f>
        <x:v>1469993.82</x:v>
      </x:c>
    </x:row>
    <x:row r="12" spans="1:7" s="167" customFormat="1" ht="39" customHeight="1">
      <x:c r="A12" s="1360">
        <x:v>4</x:v>
      </x:c>
      <x:c r="B12" s="1359" t="s">
        <x:v>1495</x:v>
      </x:c>
      <x:c r="C12" s="1359"/>
      <x:c r="D12" s="1520"/>
      <x:c r="E12" s="1530" t="s">
        <x:v>206</x:v>
      </x:c>
      <x:c r="F12" s="1539">
        <x:v>1</x:v>
      </x:c>
      <x:c r="G12" s="1541">
        <x:f>D12*F12</x:f>
        <x:v>0</x:v>
      </x:c>
    </x:row>
    <x:row r="13" spans="1:7" s="167" customFormat="1" ht="26.1" customHeight="1">
      <x:c r="A13" s="1360">
        <x:v>5</x:v>
      </x:c>
      <x:c r="B13" s="1179" t="s">
        <x:v>1496</x:v>
      </x:c>
      <x:c r="C13" s="1359"/>
      <x:c r="D13" s="1521">
        <x:v>3133305.4</x:v>
      </x:c>
      <x:c r="E13" s="1530" t="s">
        <x:v>206</x:v>
      </x:c>
      <x:c r="F13" s="1539">
        <x:v>1</x:v>
      </x:c>
      <x:c r="G13" s="1541">
        <x:f>D13*F13</x:f>
        <x:v>3133305.4</x:v>
      </x:c>
    </x:row>
    <x:row r="14" spans="1:7" s="167" customFormat="1" ht="15" customHeight="1">
      <x:c r="A14" s="1360">
        <x:v>6</x:v>
      </x:c>
      <x:c r="B14" s="1396" t="s">
        <x:v>191</x:v>
      </x:c>
      <x:c r="C14" s="1405"/>
      <x:c r="D14" s="1520"/>
      <x:c r="E14" s="1530" t="s">
        <x:v>206</x:v>
      </x:c>
      <x:c r="F14" s="1539">
        <x:v>1</x:v>
      </x:c>
      <x:c r="G14" s="1541">
        <x:f t="shared" ref="G14:G19" si="0">D14*F14</x:f>
        <x:v>0</x:v>
      </x:c>
    </x:row>
    <x:row r="15" spans="1:7" s="167" customFormat="1" ht="15" customHeight="1">
      <x:c r="A15" s="1360">
        <x:v>7</x:v>
      </x:c>
      <x:c r="B15" s="1396" t="s">
        <x:v>192</x:v>
      </x:c>
      <x:c r="C15" s="1359"/>
      <x:c r="D15" s="1520"/>
      <x:c r="E15" s="1530" t="s">
        <x:v>206</x:v>
      </x:c>
      <x:c r="F15" s="1539">
        <x:v>1</x:v>
      </x:c>
      <x:c r="G15" s="1541">
        <x:f t="shared" si="0"/>
        <x:v>0</x:v>
      </x:c>
    </x:row>
    <x:row r="16" spans="1:7" s="167" customFormat="1" ht="15" customHeight="1">
      <x:c r="A16" s="1360">
        <x:v>8</x:v>
      </x:c>
      <x:c r="B16" s="1396" t="s">
        <x:v>1438</x:v>
      </x:c>
      <x:c r="C16" s="1398"/>
      <x:c r="D16" s="1520"/>
      <x:c r="E16" s="1530" t="s">
        <x:v>206</x:v>
      </x:c>
      <x:c r="F16" s="1539">
        <x:v>1</x:v>
      </x:c>
      <x:c r="G16" s="1541">
        <x:f t="shared" si="0"/>
        <x:v>0</x:v>
      </x:c>
    </x:row>
    <x:row r="17" spans="1:10" s="167" customFormat="1" ht="15" customHeight="1">
      <x:c r="A17" s="1360">
        <x:v>9</x:v>
      </x:c>
      <x:c r="B17" s="1396" t="s">
        <x:v>193</x:v>
      </x:c>
      <x:c r="C17" s="1398"/>
      <x:c r="D17" s="1521">
        <x:v>2554596</x:v>
      </x:c>
      <x:c r="E17" s="1530" t="s">
        <x:v>206</x:v>
      </x:c>
      <x:c r="F17" s="1539">
        <x:v>1</x:v>
      </x:c>
      <x:c r="G17" s="1541">
        <x:f t="shared" si="0"/>
        <x:v>2554596</x:v>
      </x:c>
    </x:row>
    <x:row r="18" spans="1:10" s="167" customFormat="1" ht="15" customHeight="1">
      <x:c r="A18" s="1360">
        <x:v>10</x:v>
      </x:c>
      <x:c r="B18" s="1396" t="s">
        <x:v>1439</x:v>
      </x:c>
      <x:c r="C18" s="1398"/>
      <x:c r="D18" s="1522"/>
      <x:c r="E18" s="1530" t="s">
        <x:v>206</x:v>
      </x:c>
      <x:c r="F18" s="1539">
        <x:v>1</x:v>
      </x:c>
      <x:c r="G18" s="1541">
        <x:f t="shared" si="0"/>
        <x:v>0</x:v>
      </x:c>
    </x:row>
    <x:row r="19" spans="1:10" s="167" customFormat="1" ht="15" customHeight="1">
      <x:c r="A19" s="1360">
        <x:f t="shared" ref="A19" si="1">+A18+1</x:f>
        <x:v>11</x:v>
      </x:c>
      <x:c r="B19" s="1396" t="s">
        <x:v>1109</x:v>
      </x:c>
      <x:c r="C19" s="1398"/>
      <x:c r="D19" s="1521">
        <x:v>4649933.83</x:v>
      </x:c>
      <x:c r="E19" s="1532" t="s">
        <x:v>963</x:v>
      </x:c>
      <x:c r="F19" s="1544">
        <x:f>'ATT H-3D'!H24</x:f>
        <x:v>0.14582932326077899</x:v>
      </x:c>
      <x:c r="G19" s="1541">
        <x:f t="shared" si="0"/>
        <x:v>678096.70363630215</x:v>
      </x:c>
    </x:row>
    <x:row r="20" spans="1:10" s="167" customFormat="1" ht="15" customHeight="1">
      <x:c r="A20" s="1360" t="s">
        <x:v>792</x:v>
      </x:c>
      <x:c r="B20" s="1396" t="s">
        <x:v>1063</x:v>
      </x:c>
      <x:c r="C20" s="1398"/>
      <x:c r="D20" s="1517"/>
      <x:c r="E20" s="1532" t="s">
        <x:v>1068</x:v>
      </x:c>
      <x:c r="F20" s="1544"/>
      <x:c r="G20" s="1541">
        <x:f>'5 - Cost Support 1'!G151</x:f>
        <x:v>289528.37944487878</x:v>
      </x:c>
    </x:row>
    <x:row r="21" spans="1:10" s="167" customFormat="1" ht="7.5" customHeight="1">
      <x:c r="A21" s="1360"/>
      <x:c r="B21" s="1396"/>
      <x:c r="C21" s="1396"/>
      <x:c r="D21" s="1518"/>
      <x:c r="E21" s="1529"/>
      <x:c r="F21" s="1515"/>
      <x:c r="G21" s="1542"/>
    </x:row>
    <x:row r="22" spans="1:10" s="167" customFormat="1" ht="15" customHeight="1">
      <x:c r="A22" s="1360">
        <x:v>12</x:v>
      </x:c>
      <x:c r="B22" s="1396" t="s">
        <x:v>1440</x:v>
      </x:c>
      <x:c r="C22" s="1398"/>
      <x:c r="D22" s="1523">
        <x:f>+'3a - Shared Revenues'!E41</x:f>
        <x:v>392897.01252575684</x:v>
      </x:c>
      <x:c r="E22" s="1531" t="s">
        <x:v>206</x:v>
      </x:c>
      <x:c r="F22" s="1539">
        <x:v>1</x:v>
      </x:c>
      <x:c r="G22" s="1541">
        <x:f>D22*F22</x:f>
        <x:v>392897.01252575684</x:v>
      </x:c>
    </x:row>
    <x:row r="23" spans="1:10" s="167" customFormat="1" ht="7.5" customHeight="1">
      <x:c r="A23" s="1360"/>
      <x:c r="B23" s="1396"/>
      <x:c r="C23" s="1396"/>
      <x:c r="D23" s="1515"/>
      <x:c r="E23" s="1529"/>
      <x:c r="F23" s="1515"/>
      <x:c r="G23" s="1545"/>
    </x:row>
    <x:row r="24" spans="1:10" s="167" customFormat="1" ht="15" customHeight="1">
      <x:c r="A24" s="1360">
        <x:v>13</x:v>
      </x:c>
      <x:c r="B24" s="1396" t="s">
        <x:v>194</x:v>
      </x:c>
      <x:c r="C24" s="1398" t="s">
        <x:v>1485</x:v>
      </x:c>
      <x:c r="D24" s="1368">
        <x:f>SUM(D8:D22)</x:f>
        <x:v>12200726.062525757</x:v>
      </x:c>
      <x:c r="E24" s="1531"/>
      <x:c r="F24" s="1369"/>
      <x:c r="G24" s="1546">
        <x:f>SUM(G8:G22)</x:f>
        <x:v>8518417.3156069368</x:v>
      </x:c>
    </x:row>
    <x:row r="25" spans="1:10" s="167" customFormat="1" ht="7.5" customHeight="1">
      <x:c r="A25" s="1360"/>
      <x:c r="B25" s="1396"/>
      <x:c r="C25" s="1396"/>
      <x:c r="D25" s="1515"/>
      <x:c r="E25" s="1529"/>
      <x:c r="F25" s="1515"/>
      <x:c r="G25" s="1545"/>
    </x:row>
    <x:row r="26" spans="1:10" s="167" customFormat="1" ht="15" customHeight="1">
      <x:c r="A26" s="1360"/>
      <x:c r="B26" s="1397" t="s">
        <x:v>195</x:v>
      </x:c>
      <x:c r="C26" s="1396"/>
      <x:c r="D26" s="1515"/>
      <x:c r="E26" s="1529"/>
      <x:c r="F26" s="1515"/>
      <x:c r="G26" s="1547"/>
      <x:c r="H26" s="308"/>
      <x:c r="J26" s="308"/>
    </x:row>
    <x:row r="27" spans="1:10" s="167" customFormat="1" ht="52.15" customHeight="1">
      <x:c r="A27" s="1360">
        <x:v>14</x:v>
      </x:c>
      <x:c r="B27" s="1242" t="s">
        <x:v>2161</x:v>
      </x:c>
      <x:c r="C27" s="1396"/>
      <x:c r="D27" s="1515"/>
      <x:c r="E27" s="1529"/>
      <x:c r="F27" s="1515"/>
      <x:c r="G27" s="1548"/>
      <x:c r="H27" s="308"/>
    </x:row>
    <x:row r="28" spans="1:10" s="167" customFormat="1" ht="7.5" customHeight="1">
      <x:c r="A28" s="1360"/>
      <x:c r="B28" s="1396"/>
      <x:c r="C28" s="1396"/>
      <x:c r="D28" s="1515"/>
      <x:c r="E28" s="1529"/>
      <x:c r="F28" s="1515"/>
      <x:c r="G28" s="1545"/>
    </x:row>
    <x:row r="29" spans="1:10" s="167" customFormat="1" ht="52.15" customHeight="1">
      <x:c r="A29" s="1360">
        <x:v>15</x:v>
      </x:c>
      <x:c r="B29" s="1179" t="s">
        <x:v>196</x:v>
      </x:c>
      <x:c r="C29" s="1396"/>
      <x:c r="D29" s="1515"/>
      <x:c r="E29" s="1529"/>
      <x:c r="F29" s="1515"/>
      <x:c r="G29" s="1549"/>
      <x:c r="H29" s="308"/>
    </x:row>
    <x:row r="30" spans="1:10" s="167" customFormat="1" ht="7.5" customHeight="1">
      <x:c r="A30" s="1360"/>
      <x:c r="B30" s="1396"/>
      <x:c r="C30" s="1396"/>
      <x:c r="D30" s="1515"/>
      <x:c r="E30" s="1529"/>
      <x:c r="F30" s="1515"/>
      <x:c r="G30" s="1545"/>
    </x:row>
    <x:row r="31" spans="1:10" s="167" customFormat="1" ht="52.15" customHeight="1">
      <x:c r="A31" s="1360">
        <x:v>16</x:v>
      </x:c>
      <x:c r="B31" s="1179" t="s">
        <x:v>1493</x:v>
      </x:c>
      <x:c r="C31" s="1406"/>
      <x:c r="D31" s="1524">
        <x:f>263581974.61-D24-D33</x:f>
        <x:v>15823377.857474267</x:v>
      </x:c>
      <x:c r="E31" s="1533"/>
      <x:c r="F31" s="1550"/>
      <x:c r="G31" s="1538"/>
    </x:row>
    <x:row r="32" spans="1:10" s="167" customFormat="1" ht="7.5" customHeight="1">
      <x:c r="A32" s="1360"/>
      <x:c r="B32" s="1396"/>
      <x:c r="C32" s="1396"/>
      <x:c r="D32" s="1515"/>
      <x:c r="E32" s="1529"/>
      <x:c r="F32" s="1515"/>
      <x:c r="G32" s="1545"/>
    </x:row>
    <x:row r="33" spans="1:7" s="167" customFormat="1" ht="15" customHeight="1">
      <x:c r="A33" s="1360">
        <x:v>17</x:v>
      </x:c>
      <x:c r="B33" s="1396" t="s">
        <x:v>203</x:v>
      </x:c>
      <x:c r="C33" s="1407"/>
      <x:c r="D33" s="1524">
        <x:v>235557870.69</x:v>
      </x:c>
      <x:c r="E33" s="1534"/>
      <x:c r="F33" s="1525"/>
      <x:c r="G33" s="1538"/>
    </x:row>
    <x:row r="34" spans="1:7" s="167" customFormat="1" ht="7.5" customHeight="1">
      <x:c r="A34" s="1360"/>
      <x:c r="B34" s="1396"/>
      <x:c r="C34" s="1396"/>
      <x:c r="D34" s="1515"/>
      <x:c r="E34" s="1529"/>
      <x:c r="F34" s="1515"/>
      <x:c r="G34" s="1545"/>
    </x:row>
    <x:row r="35" spans="1:7" s="167" customFormat="1" ht="15" customHeight="1">
      <x:c r="A35" s="1360">
        <x:v>18</x:v>
      </x:c>
      <x:c r="B35" s="1398" t="s">
        <x:v>204</x:v>
      </x:c>
      <x:c r="C35" s="1398"/>
      <x:c r="D35" s="1380">
        <x:f>+D24+D27+D31+D33</x:f>
        <x:v>263581974.61000001</x:v>
      </x:c>
      <x:c r="E35" s="1531"/>
      <x:c r="F35" s="1369"/>
      <x:c r="G35" s="1538"/>
    </x:row>
    <x:row r="36" spans="1:7" s="167" customFormat="1" ht="15" customHeight="1">
      <x:c r="A36" s="1360">
        <x:v>19</x:v>
      </x:c>
      <x:c r="B36" s="1398" t="s">
        <x:v>1494</x:v>
      </x:c>
      <x:c r="C36" s="1396"/>
      <x:c r="D36" s="1515"/>
      <x:c r="E36" s="1529"/>
      <x:c r="F36" s="1515"/>
      <x:c r="G36" s="1538"/>
    </x:row>
    <x:row r="37" spans="1:7" s="167" customFormat="1" ht="12.75">
      <x:c r="A37" s="1360"/>
      <x:c r="B37" s="1396"/>
      <x:c r="C37" s="1396"/>
      <x:c r="D37" s="1515"/>
      <x:c r="E37" s="1529"/>
      <x:c r="F37" s="1515"/>
      <x:c r="G37" s="1538"/>
    </x:row>
    <x:row r="38" spans="1:7" s="167" customFormat="1" ht="12.75">
      <x:c r="A38" s="1360"/>
      <x:c r="B38" s="1396"/>
      <x:c r="C38" s="1396"/>
      <x:c r="D38" s="1515"/>
      <x:c r="E38" s="1529"/>
      <x:c r="F38" s="1515"/>
      <x:c r="G38" s="1538"/>
    </x:row>
    <x:row r="39" spans="1:7" s="167" customFormat="1" ht="12.75">
      <x:c r="A39" s="1360"/>
      <x:c r="B39" s="1399"/>
      <x:c r="C39" s="1396"/>
      <x:c r="D39" s="1515"/>
      <x:c r="E39" s="1529"/>
      <x:c r="F39" s="1515"/>
      <x:c r="G39" s="1538"/>
    </x:row>
    <x:row r="40" spans="1:7" s="167" customFormat="1" ht="12.75">
      <x:c r="A40" s="1360"/>
      <x:c r="B40" s="1396"/>
      <x:c r="C40" s="1407"/>
      <x:c r="D40" s="1525"/>
      <x:c r="E40" s="1534"/>
      <x:c r="F40" s="1525"/>
      <x:c r="G40" s="1547"/>
    </x:row>
    <x:row r="41" spans="1:7" s="167" customFormat="1" ht="12.75">
      <x:c r="A41" s="1360"/>
      <x:c r="B41" s="1396"/>
      <x:c r="C41" s="1396"/>
      <x:c r="D41" s="1515"/>
      <x:c r="E41" s="1529"/>
      <x:c r="F41" s="1515"/>
      <x:c r="G41" s="1547"/>
    </x:row>
    <x:row r="42" spans="1:7" s="167" customFormat="1" ht="12.75">
      <x:c r="A42" s="1360"/>
      <x:c r="B42" s="1396"/>
      <x:c r="C42" s="1396"/>
      <x:c r="D42" s="1515"/>
      <x:c r="E42" s="1529"/>
      <x:c r="F42" s="1515"/>
      <x:c r="G42" s="1547"/>
    </x:row>
    <x:row r="43" spans="1:7" s="167" customFormat="1" ht="12.75">
      <x:c r="A43" s="1360"/>
      <x:c r="B43" s="1396"/>
      <x:c r="C43" s="1396"/>
      <x:c r="D43" s="1515"/>
      <x:c r="E43" s="1529"/>
      <x:c r="F43" s="1515"/>
      <x:c r="G43" s="1547"/>
    </x:row>
    <x:row r="44" spans="1:7" s="167" customFormat="1" ht="12.75">
      <x:c r="A44" s="1360"/>
      <x:c r="B44" s="1396"/>
      <x:c r="C44" s="1396"/>
      <x:c r="D44" s="1515"/>
      <x:c r="E44" s="1529"/>
      <x:c r="F44" s="1515"/>
      <x:c r="G44" s="1547"/>
    </x:row>
    <x:row r="45" spans="1:7" s="167" customFormat="1" ht="12.75">
      <x:c r="A45" s="1360"/>
      <x:c r="B45" s="1396"/>
      <x:c r="C45" s="1396"/>
      <x:c r="D45" s="1515"/>
      <x:c r="E45" s="1529"/>
      <x:c r="F45" s="1515"/>
      <x:c r="G45" s="1538"/>
    </x:row>
    <x:row r="46" spans="1:7" s="167" customFormat="1" ht="12.75">
      <x:c r="A46" s="1360"/>
      <x:c r="B46" s="1396"/>
      <x:c r="C46" s="1396"/>
      <x:c r="D46" s="1515"/>
      <x:c r="E46" s="1529"/>
      <x:c r="F46" s="1515"/>
      <x:c r="G46" s="1538"/>
    </x:row>
    <x:row r="47" spans="1:7" s="167" customFormat="1" ht="12.75">
      <x:c r="A47" s="1360"/>
      <x:c r="B47" s="1396"/>
      <x:c r="C47" s="1396"/>
      <x:c r="D47" s="1515"/>
      <x:c r="E47" s="1529"/>
      <x:c r="F47" s="1515"/>
      <x:c r="G47" s="1538"/>
    </x:row>
    <x:row r="48" spans="1:7" s="167" customFormat="1" ht="12.75">
      <x:c r="A48" s="1360"/>
      <x:c r="B48" s="1396"/>
      <x:c r="C48" s="1396"/>
      <x:c r="D48" s="1515"/>
      <x:c r="E48" s="1529"/>
      <x:c r="F48" s="1515"/>
      <x:c r="G48" s="1538"/>
    </x:row>
    <x:row r="49" spans="1:7" s="167" customFormat="1" ht="12.75">
      <x:c r="A49" s="1360"/>
      <x:c r="B49" s="1396"/>
      <x:c r="C49" s="1396"/>
      <x:c r="D49" s="1515"/>
      <x:c r="E49" s="1529"/>
      <x:c r="F49" s="1515"/>
      <x:c r="G49" s="1538"/>
    </x:row>
    <x:row r="50" spans="1:7" s="167" customFormat="1" ht="12.75">
      <x:c r="A50" s="1360"/>
      <x:c r="B50" s="1396"/>
      <x:c r="C50" s="1396"/>
      <x:c r="D50" s="1515"/>
      <x:c r="E50" s="1529"/>
      <x:c r="F50" s="1515"/>
      <x:c r="G50" s="1538"/>
    </x:row>
    <x:row r="51" spans="1:7" s="167" customFormat="1" ht="12.75">
      <x:c r="A51" s="1360"/>
      <x:c r="B51" s="1396"/>
      <x:c r="C51" s="1396"/>
      <x:c r="D51" s="1515"/>
      <x:c r="E51" s="1529"/>
      <x:c r="F51" s="1515"/>
      <x:c r="G51" s="1538"/>
    </x:row>
    <x:row r="52" spans="1:7" s="167" customFormat="1" ht="12.75">
      <x:c r="A52" s="1360"/>
      <x:c r="B52" s="1396"/>
      <x:c r="C52" s="1396"/>
      <x:c r="D52" s="1515"/>
      <x:c r="E52" s="1529"/>
      <x:c r="F52" s="1515"/>
      <x:c r="G52" s="1538"/>
    </x:row>
    <x:row r="53" spans="1:7" s="167" customFormat="1" ht="12.75">
      <x:c r="A53" s="1360"/>
      <x:c r="B53" s="1396"/>
      <x:c r="C53" s="1396"/>
      <x:c r="D53" s="1515"/>
      <x:c r="E53" s="1529"/>
      <x:c r="F53" s="1515"/>
      <x:c r="G53" s="1538"/>
    </x:row>
    <x:row r="54" spans="1:7" s="167" customFormat="1" ht="12.75">
      <x:c r="A54" s="1360"/>
      <x:c r="B54" s="1396"/>
      <x:c r="C54" s="1396"/>
      <x:c r="D54" s="1515"/>
      <x:c r="E54" s="1529"/>
      <x:c r="F54" s="1515"/>
      <x:c r="G54" s="1538"/>
    </x:row>
    <x:row r="55" spans="1:7" s="167" customFormat="1" ht="12.75">
      <x:c r="A55" s="1360"/>
      <x:c r="B55" s="1396"/>
      <x:c r="C55" s="1396"/>
      <x:c r="D55" s="1515"/>
      <x:c r="E55" s="1529"/>
      <x:c r="F55" s="1515"/>
      <x:c r="G55" s="1538"/>
    </x:row>
    <x:row r="56" spans="1:7" s="167" customFormat="1" ht="12.75">
      <x:c r="A56" s="1360"/>
      <x:c r="B56" s="1396"/>
      <x:c r="C56" s="1396"/>
      <x:c r="D56" s="1515"/>
      <x:c r="E56" s="1529"/>
      <x:c r="F56" s="1515"/>
      <x:c r="G56" s="1538"/>
    </x:row>
    <x:row r="57" spans="1:7" s="167" customFormat="1" ht="12.75">
      <x:c r="A57" s="1360"/>
      <x:c r="B57" s="1396"/>
      <x:c r="C57" s="1396"/>
      <x:c r="D57" s="1515"/>
      <x:c r="E57" s="1529"/>
      <x:c r="F57" s="1515"/>
      <x:c r="G57" s="1538"/>
    </x:row>
    <x:row r="58" spans="1:7" s="167" customFormat="1" ht="12.75">
      <x:c r="A58" s="1360"/>
      <x:c r="B58" s="1396"/>
      <x:c r="C58" s="1396"/>
      <x:c r="D58" s="1515"/>
      <x:c r="E58" s="1529"/>
      <x:c r="F58" s="1515"/>
      <x:c r="G58" s="1538"/>
    </x:row>
    <x:row r="59" spans="1:7" s="167" customFormat="1" ht="12.75">
      <x:c r="A59" s="1360"/>
      <x:c r="B59" s="1396"/>
      <x:c r="C59" s="1396"/>
      <x:c r="D59" s="1515"/>
      <x:c r="E59" s="1529"/>
      <x:c r="F59" s="1515"/>
      <x:c r="G59" s="1538"/>
    </x:row>
    <x:row r="60" spans="1:7" s="167" customFormat="1" ht="12.75">
      <x:c r="A60" s="1360"/>
      <x:c r="B60" s="1396"/>
      <x:c r="C60" s="1396"/>
      <x:c r="D60" s="1515"/>
      <x:c r="E60" s="1529"/>
      <x:c r="F60" s="1515"/>
      <x:c r="G60" s="1538"/>
    </x:row>
    <x:row r="61" spans="1:7" s="167" customFormat="1" ht="12.75">
      <x:c r="A61" s="1360"/>
      <x:c r="B61" s="1396"/>
      <x:c r="C61" s="1396"/>
      <x:c r="D61" s="1515"/>
      <x:c r="E61" s="1529"/>
      <x:c r="F61" s="1515"/>
      <x:c r="G61" s="1538"/>
    </x:row>
    <x:row r="62" spans="1:7" s="167" customFormat="1" ht="12.75">
      <x:c r="A62" s="1360"/>
      <x:c r="B62" s="1396"/>
      <x:c r="C62" s="1396"/>
      <x:c r="D62" s="1515"/>
      <x:c r="E62" s="1529"/>
      <x:c r="F62" s="1515"/>
      <x:c r="G62" s="1538"/>
    </x:row>
    <x:row r="63" spans="1:7" s="167" customFormat="1" ht="12.75">
      <x:c r="A63" s="1360"/>
      <x:c r="B63" s="1396"/>
      <x:c r="C63" s="1396"/>
      <x:c r="D63" s="1515"/>
      <x:c r="E63" s="1529"/>
      <x:c r="F63" s="1515"/>
      <x:c r="G63" s="1538"/>
    </x:row>
    <x:row r="64" spans="1:7" s="167" customFormat="1" ht="12.75">
      <x:c r="A64" s="1360"/>
      <x:c r="B64" s="1396"/>
      <x:c r="C64" s="1396"/>
      <x:c r="D64" s="1515"/>
      <x:c r="E64" s="1529"/>
      <x:c r="F64" s="1515"/>
      <x:c r="G64" s="1538"/>
    </x:row>
    <x:row r="65" spans="1:7" s="167" customFormat="1" ht="12.75">
      <x:c r="A65" s="1360"/>
      <x:c r="B65" s="1396"/>
      <x:c r="C65" s="1396"/>
      <x:c r="D65" s="1515"/>
      <x:c r="E65" s="1529"/>
      <x:c r="F65" s="1515"/>
      <x:c r="G65" s="1538"/>
    </x:row>
    <x:row r="66" spans="1:7" s="167" customFormat="1" ht="12.75">
      <x:c r="A66" s="1360"/>
      <x:c r="B66" s="1396"/>
      <x:c r="C66" s="1396"/>
      <x:c r="D66" s="1515"/>
      <x:c r="E66" s="1529"/>
      <x:c r="F66" s="1515"/>
      <x:c r="G66" s="1538"/>
    </x:row>
    <x:row r="67" spans="1:7" s="167" customFormat="1" ht="12.75">
      <x:c r="A67" s="1360"/>
      <x:c r="B67" s="1396"/>
      <x:c r="C67" s="1396"/>
      <x:c r="D67" s="1515"/>
      <x:c r="E67" s="1529"/>
      <x:c r="F67" s="1515"/>
      <x:c r="G67" s="1538"/>
    </x:row>
    <x:row r="68" spans="1:7" s="167" customFormat="1" ht="12.75">
      <x:c r="A68" s="1360"/>
      <x:c r="B68" s="1396"/>
      <x:c r="C68" s="1396"/>
      <x:c r="D68" s="1515"/>
      <x:c r="E68" s="1529"/>
      <x:c r="F68" s="1515"/>
      <x:c r="G68" s="1538"/>
    </x:row>
    <x:row r="69" spans="1:7" s="167" customFormat="1" ht="12.75">
      <x:c r="A69" s="1360"/>
      <x:c r="B69" s="1396"/>
      <x:c r="C69" s="1396"/>
      <x:c r="D69" s="1515"/>
      <x:c r="E69" s="1529"/>
      <x:c r="F69" s="1515"/>
      <x:c r="G69" s="1538"/>
    </x:row>
    <x:row r="70" spans="1:7" s="167" customFormat="1" ht="12.75">
      <x:c r="A70" s="1360"/>
      <x:c r="B70" s="1396"/>
      <x:c r="C70" s="1396"/>
      <x:c r="D70" s="1515"/>
      <x:c r="E70" s="1529"/>
      <x:c r="F70" s="1515"/>
      <x:c r="G70" s="1538"/>
    </x:row>
    <x:row r="282" spans="3:6" ht="15.75">
      <x:c r="C282" s="1408" t="s">
        <x:v>205</x:v>
      </x:c>
      <x:c r="D282" s="1526"/>
      <x:c r="E282" s="1535"/>
      <x:c r="F282" s="1526"/>
    </x:row>
  </x:sheetData>
  <x:mergeCells count="3">
    <x:mergeCell ref="A3:G3"/>
    <x:mergeCell ref="A1:G1"/>
    <x:mergeCell ref="A2:G2"/>
  </x:mergeCells>
  <x:printOptions horizontalCentered="1"/>
  <x:pageMargins left="0.25" right="0.25" top="0.5" bottom="0.5" header="0.25" footer="0.25"/>
  <x:pageSetup scale="80" fitToHeight="0" orientation="landscape"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1D5BF6-4A78-436B-8E5A-F6A1B2BE0984}" mc:Ignorable="x14ac xr xr2 xr3">
  <x:sheetPr>
    <x:pageSetUpPr fitToPage="1"/>
  </x:sheetPr>
  <x:dimension ref="A1:S68"/>
  <x:sheetViews>
    <x:sheetView zoomScaleNormal="100" workbookViewId="0">
      <x:pane xSplit="2" ySplit="2" topLeftCell="C3" activePane="bottomRight" state="frozen"/>
      <x:selection activeCell="K27" sqref="K27"/>
      <x:selection pane="topRight" activeCell="K27" sqref="K27"/>
      <x:selection pane="bottomLeft" activeCell="K27" sqref="K27"/>
      <x:selection pane="bottomRight" sqref="A1:M1"/>
    </x:sheetView>
  </x:sheetViews>
  <x:sheetFormatPr defaultColWidth="9.140625" defaultRowHeight="15.75"/>
  <x:cols>
    <x:col min="1" max="1" width="3.85546875" style="1191" bestFit="1" customWidth="1"/>
    <x:col min="2" max="2" width="2.5703125" style="456" bestFit="1" customWidth="1"/>
    <x:col min="3" max="3" width="51" style="456" bestFit="1" customWidth="1"/>
    <x:col min="4" max="4" width="1.85546875" style="455" customWidth="1"/>
    <x:col min="5" max="5" width="13.7109375" style="457" customWidth="1"/>
    <x:col min="6" max="6" width="2.28515625" style="455" bestFit="1" customWidth="1"/>
    <x:col min="7" max="7" width="13.7109375" style="457" customWidth="1"/>
    <x:col min="8" max="8" width="1.42578125" style="456" customWidth="1"/>
    <x:col min="9" max="9" width="13.7109375" style="457" customWidth="1"/>
    <x:col min="10" max="10" width="1.42578125" style="456" customWidth="1"/>
    <x:col min="11" max="11" width="13.7109375" style="457" customWidth="1"/>
    <x:col min="12" max="12" width="1.42578125" style="456" customWidth="1"/>
    <x:col min="13" max="13" width="13.7109375" style="457" customWidth="1"/>
    <x:col min="14" max="16384" width="9.140625" style="456"/>
  </x:cols>
  <x:sheetData>
    <x:row r="1" spans="1:13" s="1133" customFormat="1" ht="18">
      <x:c r="A1" s="1638" t="s">
        <x:v>1328</x:v>
      </x:c>
      <x:c r="B1" s="1638"/>
      <x:c r="C1" s="1638"/>
      <x:c r="D1" s="1638"/>
      <x:c r="E1" s="1638"/>
      <x:c r="F1" s="1638"/>
      <x:c r="G1" s="1638"/>
      <x:c r="H1" s="1638"/>
      <x:c r="I1" s="1638"/>
      <x:c r="J1" s="1638"/>
      <x:c r="K1" s="1638"/>
      <x:c r="L1" s="1638"/>
      <x:c r="M1" s="1638"/>
    </x:row>
    <x:row r="2" spans="1:13" s="1134" customFormat="1">
      <x:c r="A2" s="1639" t="s">
        <x:v>156</x:v>
      </x:c>
      <x:c r="B2" s="1639"/>
      <x:c r="C2" s="1639"/>
      <x:c r="D2" s="1639"/>
      <x:c r="E2" s="1639"/>
      <x:c r="F2" s="1639"/>
      <x:c r="G2" s="1639"/>
      <x:c r="H2" s="1639"/>
      <x:c r="I2" s="1639"/>
      <x:c r="J2" s="1639"/>
      <x:c r="K2" s="1639"/>
      <x:c r="L2" s="1639"/>
      <x:c r="M2" s="1639"/>
    </x:row>
    <x:row r="3" spans="1:13" s="527" customFormat="1" ht="12.75">
      <x:c r="A3" s="1189"/>
      <x:c r="D3" s="526"/>
      <x:c r="E3" s="528"/>
      <x:c r="F3" s="526"/>
      <x:c r="G3" s="528"/>
      <x:c r="I3" s="528"/>
      <x:c r="K3" s="528"/>
      <x:c r="M3" s="528"/>
    </x:row>
    <x:row r="4" spans="1:13" s="527" customFormat="1" ht="12.75">
      <x:c r="A4" s="1189"/>
      <x:c r="D4" s="526"/>
      <x:c r="E4" s="528"/>
      <x:c r="F4" s="526"/>
      <x:c r="G4" s="528"/>
      <x:c r="I4" s="528"/>
      <x:c r="K4" s="528"/>
      <x:c r="M4" s="528"/>
    </x:row>
    <x:row r="5" spans="1:13" s="530" customFormat="1" ht="25.5">
      <x:c r="A5" s="1190" t="s">
        <x:v>1441</x:v>
      </x:c>
      <x:c r="C5" s="529" t="s">
        <x:v>1442</x:v>
      </x:c>
      <x:c r="E5" s="531" t="s">
        <x:v>1443</x:v>
      </x:c>
      <x:c r="G5" s="531" t="s">
        <x:v>1444</x:v>
      </x:c>
      <x:c r="I5" s="531" t="s">
        <x:v>1445</x:v>
      </x:c>
      <x:c r="K5" s="531" t="s">
        <x:v>1446</x:v>
      </x:c>
      <x:c r="M5" s="531" t="s">
        <x:v>1447</x:v>
      </x:c>
    </x:row>
    <x:row r="6" spans="1:13" s="530" customFormat="1" ht="12.75">
      <x:c r="A6" s="1189">
        <x:v>1</x:v>
      </x:c>
      <x:c r="C6" s="532" t="s">
        <x:v>1448</x:v>
      </x:c>
      <x:c r="E6" s="533"/>
      <x:c r="G6" s="533"/>
      <x:c r="I6" s="533"/>
      <x:c r="K6" s="533"/>
      <x:c r="M6" s="533"/>
    </x:row>
    <x:row r="7" spans="1:13" s="530" customFormat="1" ht="12.75">
      <x:c r="A7" s="1189" t="str">
        <x:f>IF(ISBLANK(C7)=TRUE,"",MAX($A$6:A6)+1)</x:f>
        <x:v/>
      </x:c>
      <x:c r="E7" s="533"/>
      <x:c r="G7" s="533"/>
      <x:c r="I7" s="533"/>
      <x:c r="K7" s="533"/>
      <x:c r="M7" s="533"/>
    </x:row>
    <x:row r="8" spans="1:13" s="527" customFormat="1" ht="12.75">
      <x:c r="A8" s="1189">
        <x:f>IF(ISBLANK(C8)=TRUE,"",MAX($A$6:A7)+1)</x:f>
        <x:v>2</x:v>
      </x:c>
      <x:c r="C8" s="534" t="s">
        <x:v>1449</x:v>
      </x:c>
      <x:c r="D8" s="526"/>
      <x:c r="E8" s="535">
        <x:v>0</x:v>
      </x:c>
      <x:c r="F8" s="526"/>
      <x:c r="G8" s="535"/>
      <x:c r="H8" s="528">
        <x:v>1000</x:v>
      </x:c>
      <x:c r="I8" s="535">
        <x:v>0</x:v>
      </x:c>
      <x:c r="J8" s="528">
        <x:v>1000</x:v>
      </x:c>
      <x:c r="K8" s="535">
        <x:v>0</x:v>
      </x:c>
      <x:c r="L8" s="528">
        <x:v>1000</x:v>
      </x:c>
      <x:c r="M8" s="535">
        <x:v>0</x:v>
      </x:c>
    </x:row>
    <x:row r="9" spans="1:13" s="527" customFormat="1" ht="12.75">
      <x:c r="A9" s="1189">
        <x:f>IF(ISBLANK(C9)=TRUE,"",MAX($A$6:A8)+1)</x:f>
        <x:v>3</x:v>
      </x:c>
      <x:c r="C9" s="534" t="s">
        <x:v>1450</x:v>
      </x:c>
      <x:c r="D9" s="536" t="s">
        <x:v>1451</x:v>
      </x:c>
      <x:c r="E9" s="535">
        <x:v>0</x:v>
      </x:c>
      <x:c r="F9" s="526"/>
      <x:c r="G9" s="535">
        <x:v>0</x:v>
      </x:c>
      <x:c r="H9" s="528"/>
      <x:c r="I9" s="535">
        <x:v>0</x:v>
      </x:c>
      <x:c r="J9" s="528">
        <x:v>1000</x:v>
      </x:c>
      <x:c r="K9" s="535">
        <x:v>0</x:v>
      </x:c>
      <x:c r="L9" s="528"/>
      <x:c r="M9" s="535">
        <x:v>0</x:v>
      </x:c>
    </x:row>
    <x:row r="10" spans="1:13" s="527" customFormat="1" ht="12.75">
      <x:c r="A10" s="1189">
        <x:f>IF(ISBLANK(C10)=TRUE,"",MAX($A$6:A9)+1)</x:f>
        <x:v>4</x:v>
      </x:c>
      <x:c r="C10" s="537" t="s">
        <x:v>1452</x:v>
      </x:c>
      <x:c r="D10" s="526"/>
      <x:c r="E10" s="538">
        <x:f>E8+E9</x:f>
        <x:v>0</x:v>
      </x:c>
      <x:c r="F10" s="526"/>
      <x:c r="G10" s="538">
        <x:f>G8+G9</x:f>
        <x:v>0</x:v>
      </x:c>
      <x:c r="H10" s="538">
        <x:f t="shared" ref="H10:M10" si="0">H8+H9</x:f>
        <x:v>1000</x:v>
      </x:c>
      <x:c r="I10" s="538">
        <x:f t="shared" si="0"/>
        <x:v>0</x:v>
      </x:c>
      <x:c r="J10" s="538">
        <x:f t="shared" si="0"/>
        <x:v>2000</x:v>
      </x:c>
      <x:c r="K10" s="538">
        <x:f t="shared" si="0"/>
        <x:v>0</x:v>
      </x:c>
      <x:c r="L10" s="538">
        <x:f t="shared" si="0"/>
        <x:v>1000</x:v>
      </x:c>
      <x:c r="M10" s="538">
        <x:f t="shared" si="0"/>
        <x:v>0</x:v>
      </x:c>
    </x:row>
    <x:row r="11" spans="1:13" s="527" customFormat="1" ht="12.75">
      <x:c r="A11" s="1189">
        <x:f>IF(ISBLANK(C11)=TRUE,"",MAX($A$6:A10)+1)</x:f>
        <x:v>5</x:v>
      </x:c>
      <x:c r="C11" s="534" t="s">
        <x:v>1453</x:v>
      </x:c>
      <x:c r="D11" s="526" t="s">
        <x:v>1454</x:v>
      </x:c>
      <x:c r="E11" s="539">
        <x:f>FA</x:f>
        <x:v>1</x:v>
      </x:c>
      <x:c r="F11" s="526"/>
      <x:c r="G11" s="539">
        <x:f>FA</x:f>
        <x:v>1</x:v>
      </x:c>
      <x:c r="H11" s="526"/>
      <x:c r="I11" s="539">
        <x:f>FA</x:f>
        <x:v>1</x:v>
      </x:c>
      <x:c r="J11" s="526"/>
      <x:c r="K11" s="539">
        <x:f>FA</x:f>
        <x:v>1</x:v>
      </x:c>
      <x:c r="L11" s="526"/>
      <x:c r="M11" s="539">
        <x:f>FA</x:f>
        <x:v>1</x:v>
      </x:c>
    </x:row>
    <x:row r="12" spans="1:13" s="527" customFormat="1" ht="12.75">
      <x:c r="A12" s="1189">
        <x:f>IF(ISBLANK(C12)=TRUE,"",MAX($A$6:A11)+1)</x:f>
        <x:v>6</x:v>
      </x:c>
      <x:c r="C12" s="537" t="s">
        <x:v>1455</x:v>
      </x:c>
      <x:c r="D12" s="526"/>
      <x:c r="E12" s="538">
        <x:f>E10*E11</x:f>
        <x:v>0</x:v>
      </x:c>
      <x:c r="F12" s="526"/>
      <x:c r="G12" s="538">
        <x:f t="shared" ref="G12" si="1">G10*G11</x:f>
        <x:v>0</x:v>
      </x:c>
      <x:c r="H12" s="526"/>
      <x:c r="I12" s="538">
        <x:f t="shared" ref="I12" si="2">I10*I11</x:f>
        <x:v>0</x:v>
      </x:c>
      <x:c r="J12" s="526"/>
      <x:c r="K12" s="538">
        <x:f t="shared" ref="K12" si="3">K10*K11</x:f>
        <x:v>0</x:v>
      </x:c>
      <x:c r="L12" s="526"/>
      <x:c r="M12" s="538">
        <x:f t="shared" ref="M12" si="4">M10*M11</x:f>
        <x:v>0</x:v>
      </x:c>
    </x:row>
    <x:row r="13" spans="1:13" s="527" customFormat="1" ht="12.75">
      <x:c r="A13" s="1189" t="str">
        <x:f>IF(ISBLANK(C13)=TRUE,"",MAX($A$6:A12)+1)</x:f>
        <x:v/>
      </x:c>
      <x:c r="D13" s="526"/>
      <x:c r="E13" s="528"/>
      <x:c r="F13" s="526"/>
      <x:c r="G13" s="528"/>
      <x:c r="H13" s="528"/>
      <x:c r="I13" s="528"/>
      <x:c r="J13" s="528"/>
      <x:c r="K13" s="528"/>
      <x:c r="L13" s="528"/>
      <x:c r="M13" s="528"/>
    </x:row>
    <x:row r="14" spans="1:13" s="527" customFormat="1" ht="12.75">
      <x:c r="A14" s="1189">
        <x:f>IF(ISBLANK(C14)=TRUE,"",MAX($A$6:A13)+1)</x:f>
        <x:v>7</x:v>
      </x:c>
      <x:c r="C14" s="534" t="s">
        <x:v>1456</x:v>
      </x:c>
      <x:c r="D14" s="526"/>
      <x:c r="E14" s="535">
        <x:v>0</x:v>
      </x:c>
      <x:c r="F14" s="526"/>
      <x:c r="G14" s="535">
        <x:v>0</x:v>
      </x:c>
      <x:c r="H14" s="528">
        <x:v>1000</x:v>
      </x:c>
      <x:c r="I14" s="535">
        <x:v>0</x:v>
      </x:c>
      <x:c r="J14" s="528">
        <x:v>1000</x:v>
      </x:c>
      <x:c r="K14" s="535">
        <x:v>0</x:v>
      </x:c>
      <x:c r="L14" s="528">
        <x:v>1000</x:v>
      </x:c>
      <x:c r="M14" s="535">
        <x:v>0</x:v>
      </x:c>
    </x:row>
    <x:row r="15" spans="1:13" s="527" customFormat="1" ht="12.75">
      <x:c r="A15" s="1189">
        <x:f>IF(ISBLANK(C15)=TRUE,"",MAX($A$6:A14)+1)</x:f>
        <x:v>8</x:v>
      </x:c>
      <x:c r="C15" s="534" t="s">
        <x:v>1457</x:v>
      </x:c>
      <x:c r="D15" s="536" t="s">
        <x:v>1451</x:v>
      </x:c>
      <x:c r="E15" s="535">
        <x:v>0</x:v>
      </x:c>
      <x:c r="F15" s="526"/>
      <x:c r="G15" s="535">
        <x:v>0</x:v>
      </x:c>
      <x:c r="H15" s="528"/>
      <x:c r="I15" s="535">
        <x:v>0</x:v>
      </x:c>
      <x:c r="J15" s="528"/>
      <x:c r="K15" s="535">
        <x:v>0</x:v>
      </x:c>
      <x:c r="L15" s="528"/>
      <x:c r="M15" s="535">
        <x:v>0</x:v>
      </x:c>
    </x:row>
    <x:row r="16" spans="1:13" s="527" customFormat="1" ht="12.75">
      <x:c r="A16" s="1189">
        <x:f>IF(ISBLANK(C16)=TRUE,"",MAX($A$6:A15)+1)</x:f>
        <x:v>9</x:v>
      </x:c>
      <x:c r="C16" s="537" t="s">
        <x:v>1458</x:v>
      </x:c>
      <x:c r="D16" s="526"/>
      <x:c r="E16" s="538">
        <x:f>E14+E15</x:f>
        <x:v>0</x:v>
      </x:c>
      <x:c r="F16" s="526"/>
      <x:c r="G16" s="538">
        <x:f>G14+G15</x:f>
        <x:v>0</x:v>
      </x:c>
      <x:c r="H16" s="538">
        <x:f t="shared" ref="H16:M16" si="5">H14+H15</x:f>
        <x:v>1000</x:v>
      </x:c>
      <x:c r="I16" s="538">
        <x:f t="shared" si="5"/>
        <x:v>0</x:v>
      </x:c>
      <x:c r="J16" s="538">
        <x:f t="shared" si="5"/>
        <x:v>1000</x:v>
      </x:c>
      <x:c r="K16" s="538">
        <x:f t="shared" si="5"/>
        <x:v>0</x:v>
      </x:c>
      <x:c r="L16" s="538">
        <x:f t="shared" si="5"/>
        <x:v>1000</x:v>
      </x:c>
      <x:c r="M16" s="538">
        <x:f t="shared" si="5"/>
        <x:v>0</x:v>
      </x:c>
    </x:row>
    <x:row r="17" spans="1:19" s="527" customFormat="1" ht="12.75">
      <x:c r="A17" s="1189">
        <x:f>IF(ISBLANK(C17)=TRUE,"",MAX($A$6:A16)+1)</x:f>
        <x:v>10</x:v>
      </x:c>
      <x:c r="C17" s="534" t="s">
        <x:v>1459</x:v>
      </x:c>
      <x:c r="D17" s="526" t="s">
        <x:v>1454</x:v>
      </x:c>
      <x:c r="E17" s="539">
        <x:f>WS</x:f>
        <x:v>0.14582932326077899</x:v>
      </x:c>
      <x:c r="F17" s="526"/>
      <x:c r="G17" s="539">
        <x:f>WS</x:f>
        <x:v>0.14582932326077899</x:v>
      </x:c>
      <x:c r="H17" s="526"/>
      <x:c r="I17" s="539">
        <x:f>WS</x:f>
        <x:v>0.14582932326077899</x:v>
      </x:c>
      <x:c r="J17" s="526"/>
      <x:c r="K17" s="539">
        <x:f>WS</x:f>
        <x:v>0.14582932326077899</x:v>
      </x:c>
      <x:c r="L17" s="526"/>
      <x:c r="M17" s="539">
        <x:f>WS</x:f>
        <x:v>0.14582932326077899</x:v>
      </x:c>
    </x:row>
    <x:row r="18" spans="1:19" s="527" customFormat="1" ht="12.75">
      <x:c r="A18" s="1189">
        <x:f>IF(ISBLANK(C18)=TRUE,"",MAX($A$6:A17)+1)</x:f>
        <x:v>11</x:v>
      </x:c>
      <x:c r="C18" s="537" t="s">
        <x:v>1460</x:v>
      </x:c>
      <x:c r="D18" s="526"/>
      <x:c r="E18" s="538">
        <x:f>E16*E17</x:f>
        <x:v>0</x:v>
      </x:c>
      <x:c r="F18" s="526"/>
      <x:c r="G18" s="538">
        <x:f t="shared" ref="G18" si="6">G16*G17</x:f>
        <x:v>0</x:v>
      </x:c>
      <x:c r="H18" s="526"/>
      <x:c r="I18" s="538">
        <x:f t="shared" ref="I18" si="7">I16*I17</x:f>
        <x:v>0</x:v>
      </x:c>
      <x:c r="J18" s="526"/>
      <x:c r="K18" s="538">
        <x:f t="shared" ref="K18" si="8">K16*K17</x:f>
        <x:v>0</x:v>
      </x:c>
      <x:c r="L18" s="526"/>
      <x:c r="M18" s="538">
        <x:f t="shared" ref="M18" si="9">M16*M17</x:f>
        <x:v>0</x:v>
      </x:c>
    </x:row>
    <x:row r="19" spans="1:19" s="527" customFormat="1" ht="12.75">
      <x:c r="A19" s="1189" t="str">
        <x:f>IF(ISBLANK(C19)=TRUE,"",MAX($A$6:A18)+1)</x:f>
        <x:v/>
      </x:c>
      <x:c r="D19" s="526"/>
      <x:c r="E19" s="528"/>
      <x:c r="F19" s="526"/>
      <x:c r="G19" s="528"/>
      <x:c r="H19" s="528"/>
      <x:c r="I19" s="528"/>
      <x:c r="J19" s="528"/>
      <x:c r="K19" s="528"/>
      <x:c r="L19" s="528"/>
      <x:c r="M19" s="528"/>
    </x:row>
    <x:row r="20" spans="1:19" s="527" customFormat="1" ht="12.75">
      <x:c r="A20" s="1189">
        <x:f>IF(ISBLANK(C20)=TRUE,"",MAX($A$6:A19)+1)</x:f>
        <x:v>12</x:v>
      </x:c>
      <x:c r="C20" s="534" t="s">
        <x:v>939</x:v>
      </x:c>
      <x:c r="D20" s="526"/>
      <x:c r="E20" s="535">
        <x:v>0</x:v>
      </x:c>
      <x:c r="F20" s="526"/>
      <x:c r="G20" s="535">
        <x:v>0</x:v>
      </x:c>
      <x:c r="H20" s="528">
        <x:v>1000</x:v>
      </x:c>
      <x:c r="I20" s="535">
        <x:v>0</x:v>
      </x:c>
      <x:c r="J20" s="528">
        <x:v>1000</x:v>
      </x:c>
      <x:c r="K20" s="535">
        <x:v>0</x:v>
      </x:c>
      <x:c r="L20" s="528">
        <x:v>1000</x:v>
      </x:c>
      <x:c r="M20" s="535">
        <x:v>0</x:v>
      </x:c>
    </x:row>
    <x:row r="21" spans="1:19" s="527" customFormat="1" ht="12.75">
      <x:c r="A21" s="1189">
        <x:f>IF(ISBLANK(C21)=TRUE,"",MAX($A$6:A20)+1)</x:f>
        <x:v>13</x:v>
      </x:c>
      <x:c r="C21" s="534" t="s">
        <x:v>1461</x:v>
      </x:c>
      <x:c r="D21" s="536" t="s">
        <x:v>1451</x:v>
      </x:c>
      <x:c r="E21" s="535">
        <x:v>0</x:v>
      </x:c>
      <x:c r="F21" s="526"/>
      <x:c r="G21" s="535">
        <x:v>0</x:v>
      </x:c>
      <x:c r="H21" s="528"/>
      <x:c r="I21" s="535">
        <x:v>0</x:v>
      </x:c>
      <x:c r="J21" s="528"/>
      <x:c r="K21" s="535">
        <x:v>0</x:v>
      </x:c>
      <x:c r="L21" s="528"/>
      <x:c r="M21" s="535">
        <x:v>0</x:v>
      </x:c>
    </x:row>
    <x:row r="22" spans="1:19" s="527" customFormat="1" ht="12.75">
      <x:c r="A22" s="1189">
        <x:f>IF(ISBLANK(C22)=TRUE,"",MAX($A$6:A21)+1)</x:f>
        <x:v>14</x:v>
      </x:c>
      <x:c r="C22" s="537" t="s">
        <x:v>1462</x:v>
      </x:c>
      <x:c r="D22" s="526"/>
      <x:c r="E22" s="538">
        <x:f>E20+E21</x:f>
        <x:v>0</x:v>
      </x:c>
      <x:c r="F22" s="526"/>
      <x:c r="G22" s="538">
        <x:f t="shared" ref="G22" si="10">G20+G21</x:f>
        <x:v>0</x:v>
      </x:c>
      <x:c r="H22" s="526"/>
      <x:c r="I22" s="538">
        <x:f t="shared" ref="I22" si="11">I20+I21</x:f>
        <x:v>0</x:v>
      </x:c>
      <x:c r="J22" s="526"/>
      <x:c r="K22" s="538">
        <x:f t="shared" ref="K22" si="12">K20+K21</x:f>
        <x:v>0</x:v>
      </x:c>
      <x:c r="L22" s="526"/>
      <x:c r="M22" s="538">
        <x:f t="shared" ref="M22" si="13">M20+M21</x:f>
        <x:v>0</x:v>
      </x:c>
    </x:row>
    <x:row r="23" spans="1:19" s="527" customFormat="1" ht="12.75">
      <x:c r="A23" s="1189">
        <x:f>IF(ISBLANK(C23)=TRUE,"",MAX($A$6:A22)+1)</x:f>
        <x:v>15</x:v>
      </x:c>
      <x:c r="C23" s="534" t="s">
        <x:v>215</x:v>
      </x:c>
      <x:c r="D23" s="526" t="s">
        <x:v>1454</x:v>
      </x:c>
      <x:c r="E23" s="539" cm="1">
        <x:f t="array" ref="E23">GP</x:f>
        <x:v>0.36691024632926028</x:v>
      </x:c>
      <x:c r="F23" s="526"/>
      <x:c r="G23" s="539">
        <x:f>GP</x:f>
        <x:v>0.36691024632926028</x:v>
      </x:c>
      <x:c r="H23" s="526"/>
      <x:c r="I23" s="539">
        <x:f>GP</x:f>
        <x:v>0.36691024632926028</x:v>
      </x:c>
      <x:c r="J23" s="526"/>
      <x:c r="K23" s="539">
        <x:f>GP</x:f>
        <x:v>0.36691024632926028</x:v>
      </x:c>
      <x:c r="L23" s="526"/>
      <x:c r="M23" s="539">
        <x:f>GP</x:f>
        <x:v>0.36691024632926028</x:v>
      </x:c>
    </x:row>
    <x:row r="24" spans="1:19" s="527" customFormat="1" ht="12.75">
      <x:c r="A24" s="1189">
        <x:f>IF(ISBLANK(C24)=TRUE,"",MAX($A$6:A23)+1)</x:f>
        <x:v>16</x:v>
      </x:c>
      <x:c r="C24" s="537" t="s">
        <x:v>1463</x:v>
      </x:c>
      <x:c r="D24" s="526"/>
      <x:c r="E24" s="538">
        <x:f>E22*E23</x:f>
        <x:v>0</x:v>
      </x:c>
      <x:c r="F24" s="526"/>
      <x:c r="G24" s="538">
        <x:f t="shared" ref="G24" si="14">G22*G23</x:f>
        <x:v>0</x:v>
      </x:c>
      <x:c r="H24" s="526"/>
      <x:c r="I24" s="538">
        <x:f t="shared" ref="I24" si="15">I22*I23</x:f>
        <x:v>0</x:v>
      </x:c>
      <x:c r="J24" s="526"/>
      <x:c r="K24" s="538">
        <x:f t="shared" ref="K24" si="16">K22*K23</x:f>
        <x:v>0</x:v>
      </x:c>
      <x:c r="L24" s="526"/>
      <x:c r="M24" s="538">
        <x:f t="shared" ref="M24" si="17">M22*M23</x:f>
        <x:v>0</x:v>
      </x:c>
    </x:row>
    <x:row r="25" spans="1:19" s="527" customFormat="1" ht="12.75">
      <x:c r="A25" s="1189" t="str">
        <x:f>IF(ISBLANK(C25)=TRUE,"",MAX($A$6:A24)+1)</x:f>
        <x:v/>
      </x:c>
      <x:c r="D25" s="526"/>
      <x:c r="E25" s="540"/>
      <x:c r="F25" s="526"/>
      <x:c r="G25" s="540"/>
      <x:c r="H25" s="540"/>
      <x:c r="I25" s="540"/>
      <x:c r="J25" s="540"/>
      <x:c r="K25" s="540"/>
      <x:c r="L25" s="540"/>
      <x:c r="M25" s="540"/>
    </x:row>
    <x:row r="26" spans="1:19" s="527" customFormat="1" ht="12.75">
      <x:c r="A26" s="1189">
        <x:f>IF(ISBLANK(C26)=TRUE,"",MAX($A$6:A25)+1)</x:f>
        <x:v>17</x:v>
      </x:c>
      <x:c r="C26" s="527" t="str">
        <x:f>"Customer Incremental Expenses (Ln "&amp;A12&amp;" + Ln "&amp;A18&amp;" + Ln "&amp;A24&amp;")"</x:f>
        <x:v>Customer Incremental Expenses (Ln 6 + Ln 11 + Ln 16)</x:v>
      </x:c>
      <x:c r="D26" s="526"/>
      <x:c r="E26" s="540">
        <x:f>E12+E18+E24</x:f>
        <x:v>0</x:v>
      </x:c>
      <x:c r="F26" s="526"/>
      <x:c r="G26" s="540">
        <x:f t="shared" ref="G26:M26" si="18">G12+G18+G24</x:f>
        <x:v>0</x:v>
      </x:c>
      <x:c r="H26" s="540">
        <x:f t="shared" si="18"/>
        <x:v>0</x:v>
      </x:c>
      <x:c r="I26" s="540">
        <x:f t="shared" si="18"/>
        <x:v>0</x:v>
      </x:c>
      <x:c r="J26" s="540">
        <x:f t="shared" si="18"/>
        <x:v>0</x:v>
      </x:c>
      <x:c r="K26" s="540">
        <x:f t="shared" si="18"/>
        <x:v>0</x:v>
      </x:c>
      <x:c r="L26" s="540">
        <x:f t="shared" si="18"/>
        <x:v>0</x:v>
      </x:c>
      <x:c r="M26" s="540">
        <x:f t="shared" si="18"/>
        <x:v>0</x:v>
      </x:c>
    </x:row>
    <x:row r="27" spans="1:19" s="527" customFormat="1" ht="12.75">
      <x:c r="A27" s="1189" t="str">
        <x:f>IF(ISBLANK(C27)=TRUE,"",MAX($A$6:A26)+1)</x:f>
        <x:v/>
      </x:c>
      <x:c r="D27" s="526"/>
      <x:c r="E27" s="528"/>
      <x:c r="F27" s="526"/>
      <x:c r="G27" s="528"/>
      <x:c r="I27" s="528"/>
      <x:c r="K27" s="528"/>
      <x:c r="M27" s="528"/>
    </x:row>
    <x:row r="28" spans="1:19" s="527" customFormat="1" ht="12.75">
      <x:c r="A28" s="1189">
        <x:f>IF(ISBLANK(C28)=TRUE,"",MAX($A$6:A27)+1)</x:f>
        <x:v>18</x:v>
      </x:c>
      <x:c r="C28" s="527" t="s">
        <x:v>1464</x:v>
      </x:c>
      <x:c r="D28" s="526"/>
      <x:c r="E28" s="1072">
        <x:v>936435.8</x:v>
      </x:c>
      <x:c r="F28" s="526"/>
      <x:c r="G28" s="535">
        <x:v>0</x:v>
      </x:c>
      <x:c r="H28" s="528">
        <x:v>1000</x:v>
      </x:c>
      <x:c r="I28" s="535">
        <x:v>0</x:v>
      </x:c>
      <x:c r="J28" s="528">
        <x:v>1000</x:v>
      </x:c>
      <x:c r="K28" s="535">
        <x:v>0</x:v>
      </x:c>
      <x:c r="L28" s="528">
        <x:v>1000</x:v>
      </x:c>
      <x:c r="M28" s="535">
        <x:v>0</x:v>
      </x:c>
    </x:row>
    <x:row r="29" spans="1:19" s="527" customFormat="1" ht="12.75">
      <x:c r="A29" s="1189">
        <x:f>IF(ISBLANK(C29)=TRUE,"",MAX($A$6:A28)+1)</x:f>
        <x:v>19</x:v>
      </x:c>
      <x:c r="C29" s="534" t="s">
        <x:v>1465</x:v>
      </x:c>
      <x:c r="D29" s="526"/>
      <x:c r="E29" s="535">
        <x:v>0</x:v>
      </x:c>
      <x:c r="F29" s="526"/>
      <x:c r="G29" s="535">
        <x:v>0</x:v>
      </x:c>
      <x:c r="H29" s="528"/>
      <x:c r="I29" s="535">
        <x:v>0</x:v>
      </x:c>
      <x:c r="J29" s="528"/>
      <x:c r="K29" s="535">
        <x:v>0</x:v>
      </x:c>
      <x:c r="L29" s="528"/>
      <x:c r="M29" s="535">
        <x:v>0</x:v>
      </x:c>
    </x:row>
    <x:row r="30" spans="1:19" s="527" customFormat="1" ht="12.75">
      <x:c r="A30" s="1189">
        <x:f>IF(ISBLANK(C30)=TRUE,"",MAX($A$6:A29)+1)</x:f>
        <x:v>20</x:v>
      </x:c>
      <x:c r="C30" s="534" t="str">
        <x:f>"Total Recovered Expenses (Ln "&amp;A10&amp;" + Ln "&amp;A16&amp;" + Ln "&amp;A22&amp;")"</x:f>
        <x:v>Total Recovered Expenses (Ln 4 + Ln 9 + Ln 14)</x:v>
      </x:c>
      <x:c r="D30" s="526" t="s">
        <x:v>1466</x:v>
      </x:c>
      <x:c r="E30" s="528">
        <x:f>E10+E16+E22</x:f>
        <x:v>0</x:v>
      </x:c>
      <x:c r="F30" s="526"/>
      <x:c r="G30" s="528">
        <x:f t="shared" ref="G30" si="19">G10+G16+G22</x:f>
        <x:v>0</x:v>
      </x:c>
      <x:c r="H30" s="526"/>
      <x:c r="I30" s="528">
        <x:f t="shared" ref="I30" si="20">I10+I16+I22</x:f>
        <x:v>0</x:v>
      </x:c>
      <x:c r="J30" s="526"/>
      <x:c r="K30" s="528">
        <x:f t="shared" ref="K30" si="21">K10+K16+K22</x:f>
        <x:v>0</x:v>
      </x:c>
      <x:c r="L30" s="526"/>
      <x:c r="M30" s="528">
        <x:f t="shared" ref="M30" si="22">M10+M16+M22</x:f>
        <x:v>0</x:v>
      </x:c>
    </x:row>
    <x:row r="31" spans="1:19" s="527" customFormat="1" ht="15">
      <x:c r="A31" s="1189">
        <x:f>IF(ISBLANK(C31)=TRUE,"",MAX($A$6:A30)+1)</x:f>
        <x:v>21</x:v>
      </x:c>
      <x:c r="C31" s="537" t="s">
        <x:v>1467</x:v>
      </x:c>
      <x:c r="D31" s="526"/>
      <x:c r="E31" s="538">
        <x:f>IF(E28-(E29+E30)&lt;0,0,E28-E29-E30)</x:f>
        <x:v>936435.8</x:v>
      </x:c>
      <x:c r="F31" s="526"/>
      <x:c r="G31" s="538">
        <x:f t="shared" ref="G31" si="23">IF(G28-(G29+G30)&lt;0,0,G28-G29-G30)</x:f>
        <x:v>0</x:v>
      </x:c>
      <x:c r="H31" s="526"/>
      <x:c r="I31" s="538">
        <x:f t="shared" ref="I31" si="24">IF(I28-(I29+I30)&lt;0,0,I28-I29-I30)</x:f>
        <x:v>0</x:v>
      </x:c>
      <x:c r="J31" s="526"/>
      <x:c r="K31" s="538">
        <x:f t="shared" ref="K31" si="25">IF(K28-(K29+K30)&lt;0,0,K28-K29-K30)</x:f>
        <x:v>0</x:v>
      </x:c>
      <x:c r="L31" s="526"/>
      <x:c r="M31" s="538">
        <x:f t="shared" ref="M31" si="26">IF(M28-(M29+M30)&lt;0,0,M28-M29-M30)</x:f>
        <x:v>0</x:v>
      </x:c>
      <x:c r="N31"/>
      <x:c r="O31"/>
      <x:c r="P31"/>
      <x:c r="Q31"/>
      <x:c r="R31"/>
      <x:c r="S31"/>
    </x:row>
    <x:row r="32" spans="1:19" s="527" customFormat="1" ht="15">
      <x:c r="A32" s="1189">
        <x:f>IF(ISBLANK(C32)=TRUE,"",MAX($A$6:A31)+1)</x:f>
        <x:v>22</x:v>
      </x:c>
      <x:c r="C32" s="534" t="s">
        <x:v>1468</x:v>
      </x:c>
      <x:c r="D32" s="526" t="s">
        <x:v>1454</x:v>
      </x:c>
      <x:c r="E32" s="539">
        <x:f>$E$53</x:f>
        <x:v>0.5804335838871636</x:v>
      </x:c>
      <x:c r="F32" s="526"/>
      <x:c r="G32" s="539">
        <x:f>$E$53</x:f>
        <x:v>0.5804335838871636</x:v>
      </x:c>
      <x:c r="H32" s="526"/>
      <x:c r="I32" s="539">
        <x:f>$E$53</x:f>
        <x:v>0.5804335838871636</x:v>
      </x:c>
      <x:c r="J32" s="526"/>
      <x:c r="K32" s="539">
        <x:f>$E$53</x:f>
        <x:v>0.5804335838871636</x:v>
      </x:c>
      <x:c r="L32" s="526"/>
      <x:c r="M32" s="539">
        <x:f>$E$53</x:f>
        <x:v>0.5804335838871636</x:v>
      </x:c>
      <x:c r="N32"/>
      <x:c r="O32"/>
      <x:c r="P32"/>
      <x:c r="Q32"/>
      <x:c r="R32"/>
      <x:c r="S32"/>
    </x:row>
    <x:row r="33" spans="1:19" s="527" customFormat="1" ht="15">
      <x:c r="A33" s="1189">
        <x:f>IF(ISBLANK(C33)=TRUE,"",MAX($A$6:A32)+1)</x:f>
        <x:v>23</x:v>
      </x:c>
      <x:c r="C33" s="537" t="str">
        <x:f>"Pre-Tax Utility Allocation (Ln "&amp;A31&amp;" "&amp;CHAR(215)&amp;" Ln "&amp;A32&amp;")"</x:f>
        <x:v>Pre-Tax Utility Allocation (Ln 21 × Ln 22)</x:v>
      </x:c>
      <x:c r="D33" s="526"/>
      <x:c r="E33" s="905">
        <x:f>E31*E32</x:f>
        <x:v>543538.7874742432</x:v>
      </x:c>
      <x:c r="F33" s="526"/>
      <x:c r="G33" s="538">
        <x:f t="shared" ref="G33" si="27">G31*$E$53</x:f>
        <x:v>0</x:v>
      </x:c>
      <x:c r="H33" s="526"/>
      <x:c r="I33" s="538">
        <x:f t="shared" ref="I33" si="28">I31*$E$53</x:f>
        <x:v>0</x:v>
      </x:c>
      <x:c r="J33" s="526"/>
      <x:c r="K33" s="538">
        <x:f t="shared" ref="K33" si="29">K31*$E$53</x:f>
        <x:v>0</x:v>
      </x:c>
      <x:c r="L33" s="526"/>
      <x:c r="M33" s="538">
        <x:f t="shared" ref="M33" si="30">M31*$E$53</x:f>
        <x:v>0</x:v>
      </x:c>
      <x:c r="N33"/>
      <x:c r="O33"/>
      <x:c r="P33"/>
      <x:c r="Q33"/>
      <x:c r="R33"/>
      <x:c r="S33"/>
    </x:row>
    <x:row r="34" spans="1:19" s="527" customFormat="1" ht="15">
      <x:c r="A34" s="1189">
        <x:f>IF(ISBLANK(C34)=TRUE,"",MAX($A$6:A33)+1)</x:f>
        <x:v>24</x:v>
      </x:c>
      <x:c r="C34" s="534" t="str">
        <x:f>C50</x:f>
        <x:v>Composite Tax Rate</x:v>
      </x:c>
      <x:c r="D34" s="526" t="s">
        <x:v>1454</x:v>
      </x:c>
      <x:c r="E34" s="539">
        <x:f>CTR</x:f>
        <x:v>0.2771499999999999</x:v>
      </x:c>
      <x:c r="F34" s="526"/>
      <x:c r="G34" s="539">
        <x:f>CTR</x:f>
        <x:v>0.2771499999999999</x:v>
      </x:c>
      <x:c r="H34" s="526"/>
      <x:c r="I34" s="539">
        <x:f>CTR</x:f>
        <x:v>0.2771499999999999</x:v>
      </x:c>
      <x:c r="J34" s="526"/>
      <x:c r="K34" s="539">
        <x:f>CTR</x:f>
        <x:v>0.2771499999999999</x:v>
      </x:c>
      <x:c r="L34" s="526"/>
      <x:c r="M34" s="539">
        <x:f>CTR</x:f>
        <x:v>0.2771499999999999</x:v>
      </x:c>
      <x:c r="N34"/>
      <x:c r="O34"/>
      <x:c r="P34"/>
      <x:c r="Q34"/>
      <x:c r="R34"/>
      <x:c r="S34"/>
    </x:row>
    <x:row r="35" spans="1:19" s="527" customFormat="1" ht="15">
      <x:c r="A35" s="1189">
        <x:f>IF(ISBLANK(C35)=TRUE,"",MAX($A$6:A34)+1)</x:f>
        <x:v>25</x:v>
      </x:c>
      <x:c r="C35" s="537" t="str">
        <x:f>"State and Federal Income Taxes (Ln "&amp;A33&amp;" "&amp;CHAR(215)&amp;" Ln "&amp;A34&amp;")"</x:f>
        <x:v>State and Federal Income Taxes (Ln 23 × Ln 24)</x:v>
      </x:c>
      <x:c r="D35" s="526"/>
      <x:c r="E35" s="538">
        <x:f>E33*E34</x:f>
        <x:v>150641.77494848645</x:v>
      </x:c>
      <x:c r="F35" s="526"/>
      <x:c r="G35" s="538">
        <x:f t="shared" ref="G35" si="31">G33*G34</x:f>
        <x:v>0</x:v>
      </x:c>
      <x:c r="H35" s="526"/>
      <x:c r="I35" s="538">
        <x:f t="shared" ref="I35" si="32">I33*I34</x:f>
        <x:v>0</x:v>
      </x:c>
      <x:c r="J35" s="526"/>
      <x:c r="K35" s="538">
        <x:f t="shared" ref="K35" si="33">K33*K34</x:f>
        <x:v>0</x:v>
      </x:c>
      <x:c r="L35" s="526"/>
      <x:c r="M35" s="538">
        <x:f t="shared" ref="M35" si="34">M33*M34</x:f>
        <x:v>0</x:v>
      </x:c>
      <x:c r="N35"/>
      <x:c r="O35"/>
      <x:c r="P35"/>
      <x:c r="Q35"/>
      <x:c r="R35"/>
      <x:c r="S35"/>
    </x:row>
    <x:row r="36" spans="1:19" s="527" customFormat="1" ht="12.75">
      <x:c r="A36" s="1189"/>
      <x:c r="D36" s="526"/>
      <x:c r="E36" s="540"/>
      <x:c r="F36" s="526"/>
      <x:c r="G36" s="540"/>
      <x:c r="H36" s="526"/>
      <x:c r="I36" s="540"/>
      <x:c r="J36" s="526"/>
      <x:c r="K36" s="540"/>
      <x:c r="L36" s="526"/>
      <x:c r="M36" s="540"/>
    </x:row>
    <x:row r="37" spans="1:19" s="527" customFormat="1" ht="12.75">
      <x:c r="A37" s="1189">
        <x:f>IF(ISBLANK(C37)=TRUE,"",MAX($A$6:A36)+1)</x:f>
        <x:v>26</x:v>
      </x:c>
      <x:c r="C37" s="534" t="str">
        <x:f>"Customer Net Revenue Share (Ln "&amp;A31&amp;" - Ln "&amp;A33&amp;")"</x:f>
        <x:v>Customer Net Revenue Share (Ln 21 - Ln 23)</x:v>
      </x:c>
      <x:c r="D37" s="526"/>
      <x:c r="E37" s="528">
        <x:f>E31-E33</x:f>
        <x:v>392897.01252575684</x:v>
      </x:c>
      <x:c r="F37" s="526"/>
      <x:c r="G37" s="528">
        <x:f>G31-G33</x:f>
        <x:v>0</x:v>
      </x:c>
      <x:c r="H37" s="526"/>
      <x:c r="I37" s="528">
        <x:f>I31-I33</x:f>
        <x:v>0</x:v>
      </x:c>
      <x:c r="J37" s="526"/>
      <x:c r="K37" s="528">
        <x:f>K31-K33</x:f>
        <x:v>0</x:v>
      </x:c>
      <x:c r="L37" s="526"/>
      <x:c r="M37" s="528">
        <x:f>M31-M33</x:f>
        <x:v>0</x:v>
      </x:c>
    </x:row>
    <x:row r="38" spans="1:19" s="527" customFormat="1" ht="12.75">
      <x:c r="A38" s="1189">
        <x:f>IF(ISBLANK(C38)=TRUE,"",MAX($A$6:A37)+1)</x:f>
        <x:v>27</x:v>
      </x:c>
      <x:c r="C38" s="534" t="str">
        <x:f>"Minimum Customer Revenue Credit (Ln "&amp;A26&amp;")"</x:f>
        <x:v>Minimum Customer Revenue Credit (Ln 17)</x:v>
      </x:c>
      <x:c r="D38" s="536" t="s">
        <x:v>1451</x:v>
      </x:c>
      <x:c r="E38" s="528">
        <x:f>E26</x:f>
        <x:v>0</x:v>
      </x:c>
      <x:c r="F38" s="526"/>
      <x:c r="G38" s="528">
        <x:f t="shared" ref="G38" si="35">G26</x:f>
        <x:v>0</x:v>
      </x:c>
      <x:c r="H38" s="526"/>
      <x:c r="I38" s="528">
        <x:f t="shared" ref="I38" si="36">I26</x:f>
        <x:v>0</x:v>
      </x:c>
      <x:c r="J38" s="526"/>
      <x:c r="K38" s="528">
        <x:f t="shared" ref="K38" si="37">K26</x:f>
        <x:v>0</x:v>
      </x:c>
      <x:c r="L38" s="526"/>
      <x:c r="M38" s="528">
        <x:f t="shared" ref="M38" si="38">M26</x:f>
        <x:v>0</x:v>
      </x:c>
    </x:row>
    <x:row r="39" spans="1:19" s="527" customFormat="1" ht="12.75">
      <x:c r="A39" s="1189">
        <x:f>IF(ISBLANK(C39)=TRUE,"",MAX($A$6:A38)+1)</x:f>
        <x:v>28</x:v>
      </x:c>
      <x:c r="C39" s="537" t="str">
        <x:f>"Total Customer Revenue Credit (Ln "&amp;A37&amp;" + Ln "&amp;A38&amp;")"</x:f>
        <x:v>Total Customer Revenue Credit (Ln 26 + Ln 27)</x:v>
      </x:c>
      <x:c r="D39" s="526"/>
      <x:c r="E39" s="538">
        <x:f>E38+E37</x:f>
        <x:v>392897.01252575684</x:v>
      </x:c>
      <x:c r="F39" s="526"/>
      <x:c r="G39" s="538">
        <x:f>G38+G37</x:f>
        <x:v>0</x:v>
      </x:c>
      <x:c r="H39" s="526"/>
      <x:c r="I39" s="538">
        <x:f>I38+I37</x:f>
        <x:v>0</x:v>
      </x:c>
      <x:c r="J39" s="526"/>
      <x:c r="K39" s="538">
        <x:f>K38+K37</x:f>
        <x:v>0</x:v>
      </x:c>
      <x:c r="L39" s="526"/>
      <x:c r="M39" s="538">
        <x:f>M38+M37</x:f>
        <x:v>0</x:v>
      </x:c>
    </x:row>
    <x:row r="40" spans="1:19" s="527" customFormat="1" ht="12.75">
      <x:c r="A40" s="1189" t="str">
        <x:f>IF(ISBLANK(C40)=TRUE,"",MAX($A$6:A39)+1)</x:f>
        <x:v/>
      </x:c>
      <x:c r="D40" s="526"/>
      <x:c r="E40" s="528"/>
      <x:c r="F40" s="526"/>
      <x:c r="G40" s="528"/>
      <x:c r="H40" s="526"/>
      <x:c r="I40" s="528"/>
      <x:c r="J40" s="526"/>
      <x:c r="K40" s="528"/>
      <x:c r="L40" s="526"/>
      <x:c r="M40" s="528"/>
    </x:row>
    <x:row r="41" spans="1:19" s="527" customFormat="1" ht="12.75">
      <x:c r="A41" s="1189">
        <x:f>IF(ISBLANK(C41)=TRUE,"",MAX($A$6:A40)+1)</x:f>
        <x:v>29</x:v>
      </x:c>
      <x:c r="C41" s="527" t="str">
        <x:f>"Sum of Customer Credits (Sum of Ln "&amp;A39&amp;")"</x:f>
        <x:v>Sum of Customer Credits (Sum of Ln 28)</x:v>
      </x:c>
      <x:c r="D41" s="526"/>
      <x:c r="E41" s="528">
        <x:f>SUM(E39:M39)</x:f>
        <x:v>392897.01252575684</x:v>
      </x:c>
      <x:c r="F41" s="526"/>
      <x:c r="G41" s="541"/>
      <x:c r="I41" s="528"/>
      <x:c r="K41" s="528"/>
      <x:c r="M41" s="528"/>
    </x:row>
    <x:row r="42" spans="1:19" s="527" customFormat="1" ht="12.75">
      <x:c r="A42" s="1189" t="str">
        <x:f>IF(ISBLANK(C42)=TRUE,"",MAX($A$6:A41)+1)</x:f>
        <x:v/>
      </x:c>
      <x:c r="D42" s="526"/>
      <x:c r="E42" s="528"/>
      <x:c r="F42" s="526"/>
      <x:c r="G42" s="528"/>
      <x:c r="I42" s="528"/>
      <x:c r="K42" s="528"/>
      <x:c r="M42" s="528"/>
    </x:row>
    <x:row r="43" spans="1:19" s="527" customFormat="1" ht="12.75">
      <x:c r="A43" s="1189">
        <x:f>IF(ISBLANK(C43)=TRUE,"",MAX($A$6:A42)+1)</x:f>
        <x:v>30</x:v>
      </x:c>
      <x:c r="C43" s="527" t="str">
        <x:f>"Post-Tax Utility Share (Ln "&amp;A31&amp;" - Ln "&amp;A35&amp;" - Ln "&amp;A37&amp;")"</x:f>
        <x:v>Post-Tax Utility Share (Ln 21 - Ln 25 - Ln 26)</x:v>
      </x:c>
      <x:c r="D43" s="526"/>
      <x:c r="E43" s="540">
        <x:f>E31-E35-E37</x:f>
        <x:v>392897.01252575673</x:v>
      </x:c>
      <x:c r="F43" s="526"/>
      <x:c r="G43" s="540">
        <x:f>G31-G35-G37</x:f>
        <x:v>0</x:v>
      </x:c>
      <x:c r="H43" s="526"/>
      <x:c r="I43" s="540">
        <x:f>I31-I35-I37</x:f>
        <x:v>0</x:v>
      </x:c>
      <x:c r="J43" s="526"/>
      <x:c r="K43" s="540">
        <x:f>K31-K35-K37</x:f>
        <x:v>0</x:v>
      </x:c>
      <x:c r="L43" s="526"/>
      <x:c r="M43" s="540">
        <x:f>M31-M35-M37</x:f>
        <x:v>0</x:v>
      </x:c>
    </x:row>
    <x:row r="44" spans="1:19" s="527" customFormat="1" ht="12.75">
      <x:c r="A44" s="1189" t="str">
        <x:f>IF(ISBLANK(C44)=TRUE,"",MAX($A$6:A43)+1)</x:f>
        <x:v/>
      </x:c>
      <x:c r="D44" s="526"/>
      <x:c r="E44" s="528"/>
      <x:c r="F44" s="526"/>
      <x:c r="G44" s="528"/>
      <x:c r="I44" s="528"/>
      <x:c r="K44" s="528"/>
      <x:c r="M44" s="528"/>
    </x:row>
    <x:row r="45" spans="1:19" s="527" customFormat="1" ht="12.75">
      <x:c r="A45" s="1189">
        <x:f>IF(ISBLANK(C45)=TRUE,"",MAX($A$6:A44)+1)</x:f>
        <x:v>31</x:v>
      </x:c>
      <x:c r="C45" s="527" t="str">
        <x:f>"Sum of Utility Share (Sum of Ln "&amp;A43&amp;")"</x:f>
        <x:v>Sum of Utility Share (Sum of Ln 30)</x:v>
      </x:c>
      <x:c r="D45" s="526"/>
      <x:c r="E45" s="528">
        <x:f>SUM(E43:M43)</x:f>
        <x:v>392897.01252575673</x:v>
      </x:c>
      <x:c r="F45" s="526"/>
      <x:c r="G45" s="541"/>
      <x:c r="I45" s="528"/>
      <x:c r="K45" s="528"/>
      <x:c r="M45" s="528"/>
    </x:row>
    <x:row r="46" spans="1:19" s="527" customFormat="1" ht="12.75">
      <x:c r="A46" s="1189" t="str">
        <x:f>IF(ISBLANK(C46)=TRUE,"",MAX($A$6:A45)+1)</x:f>
        <x:v/>
      </x:c>
      <x:c r="D46" s="526"/>
      <x:c r="E46" s="528"/>
      <x:c r="F46" s="526"/>
      <x:c r="G46" s="528"/>
      <x:c r="I46" s="528"/>
      <x:c r="K46" s="528"/>
      <x:c r="M46" s="528"/>
    </x:row>
    <x:row r="47" spans="1:19" s="527" customFormat="1" ht="12.75">
      <x:c r="A47" s="1189">
        <x:f>IF(ISBLANK(C47)=TRUE,"",MAX($A$6:A46)+1)</x:f>
        <x:v>32</x:v>
      </x:c>
      <x:c r="C47" s="527" t="s">
        <x:v>1469</x:v>
      </x:c>
      <x:c r="D47" s="536"/>
      <x:c r="E47" s="539">
        <x:f>'ATT H-3D'!H257</x:f>
        <x:v>0.21</x:v>
      </x:c>
      <x:c r="F47" s="536" t="s">
        <x:v>1130</x:v>
      </x:c>
      <x:c r="G47" s="539" t="s">
        <x:v>1470</x:v>
      </x:c>
      <x:c r="I47" s="539"/>
      <x:c r="K47" s="539"/>
      <x:c r="M47" s="539"/>
    </x:row>
    <x:row r="48" spans="1:19" s="527" customFormat="1" ht="12.75">
      <x:c r="A48" s="1189">
        <x:f>IF(ISBLANK(C48)=TRUE,"",MAX($A$6:A47)+1)</x:f>
        <x:v>33</x:v>
      </x:c>
      <x:c r="C48" s="527" t="s">
        <x:v>1471</x:v>
      </x:c>
      <x:c r="D48" s="536"/>
      <x:c r="E48" s="539">
        <x:f>'ATT H-3D'!H258</x:f>
        <x:v>8.5000000000000006E-2</x:v>
      </x:c>
      <x:c r="F48" s="536" t="s">
        <x:v>1130</x:v>
      </x:c>
      <x:c r="G48" s="539" t="s">
        <x:v>1472</x:v>
      </x:c>
      <x:c r="I48" s="539"/>
      <x:c r="K48" s="539"/>
      <x:c r="M48" s="539"/>
    </x:row>
    <x:row r="49" spans="1:13" s="527" customFormat="1" ht="12.75">
      <x:c r="A49" s="1189">
        <x:f>IF(ISBLANK(C49)=TRUE,"",MAX($A$6:A48)+1)</x:f>
        <x:v>34</x:v>
      </x:c>
      <x:c r="C49" s="527" t="s">
        <x:v>1473</x:v>
      </x:c>
      <x:c r="D49" s="536"/>
      <x:c r="E49" s="539">
        <x:f>'ATT H-3D'!H259</x:f>
        <x:v>0</x:v>
      </x:c>
      <x:c r="F49" s="536" t="s">
        <x:v>1130</x:v>
      </x:c>
      <x:c r="G49" s="539" t="s">
        <x:v>1474</x:v>
      </x:c>
      <x:c r="I49" s="539"/>
      <x:c r="K49" s="539"/>
      <x:c r="M49" s="539"/>
    </x:row>
    <x:row r="50" spans="1:13" s="527" customFormat="1" ht="12.75">
      <x:c r="A50" s="1189">
        <x:f>IF(ISBLANK(C50)=TRUE,"",MAX($A$6:A49)+1)</x:f>
        <x:v>35</x:v>
      </x:c>
      <x:c r="C50" s="527" t="s">
        <x:v>1475</x:v>
      </x:c>
      <x:c r="D50" s="536"/>
      <x:c r="E50" s="539">
        <x:f>1-((1-SIT)*(1-FIT))/(1-(SIT*FIT*p))</x:f>
        <x:v>0.2771499999999999</x:v>
      </x:c>
      <x:c r="F50" s="536" t="s">
        <x:v>1130</x:v>
      </x:c>
      <x:c r="G50" s="542" t="s">
        <x:v>1476</x:v>
      </x:c>
      <x:c r="I50" s="539"/>
      <x:c r="K50" s="539"/>
      <x:c r="M50" s="539"/>
    </x:row>
    <x:row r="51" spans="1:13" s="527" customFormat="1" ht="12.75">
      <x:c r="A51" s="1189">
        <x:f>IF(ISBLANK(C51)=TRUE,"",MAX($A$6:A50)+1)</x:f>
        <x:v>36</x:v>
      </x:c>
      <x:c r="C51" s="527" t="s">
        <x:v>1477</x:v>
      </x:c>
      <x:c r="D51" s="536"/>
      <x:c r="E51" s="539">
        <x:v>0.5</x:v>
      </x:c>
      <x:c r="F51" s="536" t="s">
        <x:v>1130</x:v>
      </x:c>
      <x:c r="G51" s="539" t="s">
        <x:v>1478</x:v>
      </x:c>
      <x:c r="I51" s="539"/>
      <x:c r="K51" s="539"/>
      <x:c r="M51" s="539"/>
    </x:row>
    <x:row r="52" spans="1:13" s="527" customFormat="1" ht="12.75">
      <x:c r="A52" s="1189">
        <x:f>IF(ISBLANK(C52)=TRUE,"",MAX($A$6:A51)+1)</x:f>
        <x:v>37</x:v>
      </x:c>
      <x:c r="C52" s="527" t="s">
        <x:v>1479</x:v>
      </x:c>
      <x:c r="D52" s="536"/>
      <x:c r="E52" s="539">
        <x:f>1/((1-CUSTP)/CUSTP)</x:f>
        <x:v>1</x:v>
      </x:c>
      <x:c r="F52" s="536" t="s">
        <x:v>1130</x:v>
      </x:c>
      <x:c r="G52" s="539" t="s">
        <x:v>1480</x:v>
      </x:c>
      <x:c r="I52" s="539"/>
      <x:c r="K52" s="539"/>
      <x:c r="M52" s="539"/>
    </x:row>
    <x:row r="53" spans="1:13" s="527" customFormat="1" ht="12.75">
      <x:c r="A53" s="1189">
        <x:f>IF(ISBLANK(C53)=TRUE,"",MAX($A$6:A52)+1)</x:f>
        <x:v>38</x:v>
      </x:c>
      <x:c r="C53" s="527" t="str">
        <x:f>C32</x:f>
        <x:v>Utility Pre-Tax Allocation Factor</x:v>
      </x:c>
      <x:c r="D53" s="536"/>
      <x:c r="E53" s="539">
        <x:f>1/(1+CUSTR-(CTR*CUSTR))</x:f>
        <x:v>0.5804335838871636</x:v>
      </x:c>
      <x:c r="F53" s="536" t="s">
        <x:v>1130</x:v>
      </x:c>
      <x:c r="G53" s="539" t="s">
        <x:v>1481</x:v>
      </x:c>
      <x:c r="I53" s="539"/>
      <x:c r="K53" s="539"/>
      <x:c r="M53" s="539"/>
    </x:row>
    <x:row r="54" spans="1:13" s="527" customFormat="1" ht="12.75">
      <x:c r="A54" s="1189">
        <x:f>IF(ISBLANK(C54)=TRUE,"",MAX($A$28:A53)+1)</x:f>
        <x:v>39</x:v>
      </x:c>
      <x:c r="C54" s="527" t="s">
        <x:v>1453</x:v>
      </x:c>
      <x:c r="D54" s="526"/>
      <x:c r="E54" s="539">
        <x:v>1</x:v>
      </x:c>
      <x:c r="F54" s="536" t="s">
        <x:v>1130</x:v>
      </x:c>
      <x:c r="G54" s="528" t="s">
        <x:v>1482</x:v>
      </x:c>
      <x:c r="I54" s="528"/>
      <x:c r="K54" s="528"/>
      <x:c r="M54" s="528"/>
    </x:row>
    <x:row r="55" spans="1:13" s="527" customFormat="1" ht="12.75">
      <x:c r="A55" s="1189">
        <x:f>IF(ISBLANK(C55)=TRUE,"",MAX($A$28:A54)+1)</x:f>
        <x:v>40</x:v>
      </x:c>
      <x:c r="C55" s="527" t="s">
        <x:v>1459</x:v>
      </x:c>
      <x:c r="D55" s="526"/>
      <x:c r="E55" s="539">
        <x:f>+'ATT H-3D'!H24</x:f>
        <x:v>0.14582932326077899</x:v>
      </x:c>
      <x:c r="F55" s="536" t="s">
        <x:v>1130</x:v>
      </x:c>
      <x:c r="G55" s="539" t="s">
        <x:v>1483</x:v>
      </x:c>
      <x:c r="I55" s="539"/>
      <x:c r="K55" s="539"/>
      <x:c r="M55" s="539"/>
    </x:row>
    <x:row r="56" spans="1:13" s="527" customFormat="1" ht="12.75">
      <x:c r="A56" s="1189">
        <x:f>IF(ISBLANK(C56)=TRUE,"",MAX($A$28:A55)+1)</x:f>
        <x:v>41</x:v>
      </x:c>
      <x:c r="C56" s="527" t="s">
        <x:v>215</x:v>
      </x:c>
      <x:c r="D56" s="526"/>
      <x:c r="E56" s="539">
        <x:f>+'ATT H-3D'!H45</x:f>
        <x:v>0.36691024632926028</x:v>
      </x:c>
      <x:c r="F56" s="536" t="s">
        <x:v>1130</x:v>
      </x:c>
      <x:c r="G56" s="528" t="s">
        <x:v>1486</x:v>
      </x:c>
      <x:c r="I56" s="528"/>
      <x:c r="K56" s="528"/>
      <x:c r="M56" s="528"/>
    </x:row>
    <x:row r="57" spans="1:13" s="527" customFormat="1" ht="12.75">
      <x:c r="A57" s="1189"/>
      <x:c r="D57" s="526"/>
      <x:c r="E57" s="528"/>
      <x:c r="F57" s="526"/>
      <x:c r="G57" s="528"/>
      <x:c r="I57" s="528"/>
      <x:c r="K57" s="528"/>
      <x:c r="M57" s="528"/>
    </x:row>
    <x:row r="58" spans="1:13" s="527" customFormat="1" ht="12.75">
      <x:c r="A58" s="1189"/>
      <x:c r="C58" s="543" t="s">
        <x:v>244</x:v>
      </x:c>
      <x:c r="D58" s="526"/>
      <x:c r="E58" s="528"/>
      <x:c r="F58" s="526"/>
      <x:c r="G58" s="528"/>
      <x:c r="I58" s="528"/>
      <x:c r="K58" s="528"/>
      <x:c r="M58" s="528"/>
    </x:row>
    <x:row r="59" spans="1:13" s="527" customFormat="1" ht="15.75" customHeight="1">
      <x:c r="A59" s="1189"/>
      <x:c r="B59" s="527">
        <x:v>1</x:v>
      </x:c>
      <x:c r="C59" s="1642" t="s">
        <x:v>1906</x:v>
      </x:c>
      <x:c r="D59" s="1642"/>
      <x:c r="E59" s="1642"/>
      <x:c r="F59" s="1642"/>
      <x:c r="G59" s="1642"/>
      <x:c r="H59" s="1642"/>
      <x:c r="I59" s="1642"/>
      <x:c r="J59" s="1642"/>
      <x:c r="K59" s="1642"/>
      <x:c r="L59" s="1642"/>
      <x:c r="M59" s="1642"/>
    </x:row>
    <x:row r="60" spans="1:13" s="527" customFormat="1" ht="12.75">
      <x:c r="A60" s="1189"/>
      <x:c r="C60" s="1642"/>
      <x:c r="D60" s="1642"/>
      <x:c r="E60" s="1642"/>
      <x:c r="F60" s="1642"/>
      <x:c r="G60" s="1642"/>
      <x:c r="H60" s="1642"/>
      <x:c r="I60" s="1642"/>
      <x:c r="J60" s="1642"/>
      <x:c r="K60" s="1642"/>
      <x:c r="L60" s="1642"/>
      <x:c r="M60" s="1642"/>
    </x:row>
    <x:row r="61" spans="1:13" s="527" customFormat="1" ht="12.75">
      <x:c r="A61" s="1189"/>
      <x:c r="C61" s="1642"/>
      <x:c r="D61" s="1642"/>
      <x:c r="E61" s="1642"/>
      <x:c r="F61" s="1642"/>
      <x:c r="G61" s="1642"/>
      <x:c r="H61" s="1642"/>
      <x:c r="I61" s="1642"/>
      <x:c r="J61" s="1642"/>
      <x:c r="K61" s="1642"/>
      <x:c r="L61" s="1642"/>
      <x:c r="M61" s="1642"/>
    </x:row>
    <x:row r="62" spans="1:13" s="527" customFormat="1" ht="12.75">
      <x:c r="A62" s="1189"/>
      <x:c r="C62" s="1642"/>
      <x:c r="D62" s="1642"/>
      <x:c r="E62" s="1642"/>
      <x:c r="F62" s="1642"/>
      <x:c r="G62" s="1642"/>
      <x:c r="H62" s="1642"/>
      <x:c r="I62" s="1642"/>
      <x:c r="J62" s="1642"/>
      <x:c r="K62" s="1642"/>
      <x:c r="L62" s="1642"/>
      <x:c r="M62" s="1642"/>
    </x:row>
    <x:row r="63" spans="1:13" s="527" customFormat="1" ht="12.75">
      <x:c r="A63" s="1189"/>
      <x:c r="C63" s="1642"/>
      <x:c r="D63" s="1642"/>
      <x:c r="E63" s="1642"/>
      <x:c r="F63" s="1642"/>
      <x:c r="G63" s="1642"/>
      <x:c r="H63" s="1642"/>
      <x:c r="I63" s="1642"/>
      <x:c r="J63" s="1642"/>
      <x:c r="K63" s="1642"/>
      <x:c r="L63" s="1642"/>
      <x:c r="M63" s="1642"/>
    </x:row>
    <x:row r="64" spans="1:13" s="527" customFormat="1" ht="12.75">
      <x:c r="A64" s="1189"/>
      <x:c r="C64" s="1642"/>
      <x:c r="D64" s="1642"/>
      <x:c r="E64" s="1642"/>
      <x:c r="F64" s="1642"/>
      <x:c r="G64" s="1642"/>
      <x:c r="H64" s="1642"/>
      <x:c r="I64" s="1642"/>
      <x:c r="J64" s="1642"/>
      <x:c r="K64" s="1642"/>
      <x:c r="L64" s="1642"/>
      <x:c r="M64" s="1642"/>
    </x:row>
    <x:row r="65" spans="1:13" s="527" customFormat="1" ht="12.75">
      <x:c r="A65" s="1189"/>
      <x:c r="C65" s="1642"/>
      <x:c r="D65" s="1642"/>
      <x:c r="E65" s="1642"/>
      <x:c r="F65" s="1642"/>
      <x:c r="G65" s="1642"/>
      <x:c r="H65" s="1642"/>
      <x:c r="I65" s="1642"/>
      <x:c r="J65" s="1642"/>
      <x:c r="K65" s="1642"/>
      <x:c r="L65" s="1642"/>
      <x:c r="M65" s="1642"/>
    </x:row>
    <x:row r="66" spans="1:13" s="527" customFormat="1" ht="12.75">
      <x:c r="A66" s="1189"/>
      <x:c r="C66" s="1642"/>
      <x:c r="D66" s="1642"/>
      <x:c r="E66" s="1642"/>
      <x:c r="F66" s="1642"/>
      <x:c r="G66" s="1642"/>
      <x:c r="H66" s="1642"/>
      <x:c r="I66" s="1642"/>
      <x:c r="J66" s="1642"/>
      <x:c r="K66" s="1642"/>
      <x:c r="L66" s="1642"/>
      <x:c r="M66" s="1642"/>
    </x:row>
    <x:row r="67" spans="1:13" s="527" customFormat="1" ht="12.75">
      <x:c r="A67" s="1189"/>
      <x:c r="B67" s="527">
        <x:v>2</x:v>
      </x:c>
      <x:c r="C67" s="1642" t="s">
        <x:v>1484</x:v>
      </x:c>
      <x:c r="D67" s="1642"/>
      <x:c r="E67" s="1642"/>
      <x:c r="F67" s="1642"/>
      <x:c r="G67" s="1642"/>
      <x:c r="H67" s="1642"/>
      <x:c r="I67" s="1642"/>
      <x:c r="J67" s="1642"/>
      <x:c r="K67" s="1642"/>
      <x:c r="L67" s="1642"/>
      <x:c r="M67" s="1642"/>
    </x:row>
    <x:row r="68" spans="1:13" s="527" customFormat="1" ht="12.75">
      <x:c r="A68" s="1189"/>
      <x:c r="D68" s="526"/>
      <x:c r="E68" s="528"/>
      <x:c r="F68" s="526"/>
      <x:c r="G68" s="528"/>
      <x:c r="I68" s="528"/>
      <x:c r="K68" s="528"/>
      <x:c r="M68" s="528"/>
    </x:row>
  </x:sheetData>
  <x:mergeCells count="4">
    <x:mergeCell ref="C59:M66"/>
    <x:mergeCell ref="C67:M67"/>
    <x:mergeCell ref="A1:M1"/>
    <x:mergeCell ref="A2:M2"/>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O308"/>
  <x:sheetViews>
    <x:sheetView zoomScaleNormal="100" workbookViewId="0">
      <x:selection sqref="A1:I1"/>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3.85546875" customWidth="1"/>
    <x:col min="9" max="9" width="18" customWidth="1"/>
  </x:cols>
  <x:sheetData>
    <x:row r="1" spans="1:9" s="1131" customFormat="1" ht="18.75">
      <x:c r="A1" s="1638" t="s">
        <x:v>1328</x:v>
      </x:c>
      <x:c r="B1" s="1638"/>
      <x:c r="C1" s="1638"/>
      <x:c r="D1" s="1638"/>
      <x:c r="E1" s="1638"/>
      <x:c r="F1" s="1638"/>
      <x:c r="G1" s="1638"/>
      <x:c r="H1" s="1643"/>
      <x:c r="I1" s="1643"/>
    </x:row>
    <x:row r="2" spans="1:9" s="1132" customFormat="1" ht="15.75">
      <x:c r="A2" s="1639" t="s">
        <x:v>167</x:v>
      </x:c>
      <x:c r="B2" s="1639"/>
      <x:c r="C2" s="1639"/>
      <x:c r="D2" s="1639"/>
      <x:c r="E2" s="1639"/>
      <x:c r="F2" s="1639"/>
      <x:c r="G2" s="1639"/>
      <x:c r="H2" s="1646"/>
      <x:c r="I2" s="1646"/>
    </x:row>
    <x:row r="3" spans="1:9" ht="18">
      <x:c r="A3" s="1644"/>
      <x:c r="B3" s="1644"/>
      <x:c r="C3" s="1644"/>
      <x:c r="D3" s="1644"/>
      <x:c r="E3" s="1644"/>
      <x:c r="F3" s="1644"/>
      <x:c r="G3" s="1644"/>
      <x:c r="H3" s="1645"/>
      <x:c r="I3" s="1645"/>
    </x:row>
    <x:row r="4" spans="1:9" s="18" customFormat="1"/>
    <x:row r="5" spans="1:9" s="18" customFormat="1">
      <x:c r="C5" s="18" t="s">
        <x:v>168</x:v>
      </x:c>
    </x:row>
    <x:row r="6" spans="1:9" s="18" customFormat="1">
      <x:c r="A6" s="16" t="s">
        <x:v>9</x:v>
      </x:c>
      <x:c r="B6" s="16"/>
      <x:c r="D6" s="18" t="s">
        <x:v>169</x:v>
      </x:c>
      <x:c r="G6" s="18" t="s">
        <x:v>170</x:v>
      </x:c>
      <x:c r="I6" s="11">
        <x:f>+I51+I79</x:f>
        <x:v>145576971.87028086</x:v>
      </x:c>
    </x:row>
    <x:row r="7" spans="1:9" s="18" customFormat="1">
      <x:c r="A7" s="16"/>
      <x:c r="B7" s="16"/>
    </x:row>
    <x:row r="8" spans="1:9" s="18" customFormat="1">
      <x:c r="A8" s="16" t="s">
        <x:v>10</x:v>
      </x:c>
      <x:c r="B8" s="16"/>
      <x:c r="D8" s="18" t="s">
        <x:v>779</x:v>
      </x:c>
      <x:c r="I8" s="12">
        <x:v>0.01</x:v>
      </x:c>
    </x:row>
    <x:row r="9" spans="1:9" s="18" customFormat="1">
      <x:c r="A9" s="16"/>
      <x:c r="B9" s="16"/>
      <x:c r="I9" s="12"/>
    </x:row>
    <x:row r="10" spans="1:9" s="18" customFormat="1" ht="15.75">
      <x:c r="A10" s="85" t="s">
        <x:v>171</x:v>
      </x:c>
      <x:c r="B10" s="13"/>
      <x:c r="C10" s="13"/>
      <x:c r="D10" s="13"/>
      <x:c r="E10" s="13"/>
      <x:c r="F10" s="13"/>
      <x:c r="G10" s="13"/>
      <x:c r="H10" s="13"/>
      <x:c r="I10" s="13"/>
    </x:row>
    <x:row r="11" spans="1:9" s="18" customFormat="1">
      <x:c r="I11" s="14"/>
    </x:row>
    <x:row r="12" spans="1:9" s="18" customFormat="1">
      <x:c r="A12" s="16">
        <x:v>59</x:v>
      </x:c>
      <x:c r="C12" s="15" t="s">
        <x:v>305</x:v>
      </x:c>
      <x:c r="D12" s="15"/>
      <x:c r="F12" s="15"/>
      <x:c r="G12" s="19" t="s">
        <x:v>753</x:v>
      </x:c>
      <x:c r="H12" s="15"/>
      <x:c r="I12" s="11">
        <x:f>+'ATT H-3D'!H139</x:f>
        <x:v>1437708770.6234069</x:v>
      </x:c>
    </x:row>
    <x:row r="13" spans="1:9" s="18" customFormat="1">
      <x:c r="G13" s="15"/>
      <x:c r="I13" s="14"/>
    </x:row>
    <x:row r="14" spans="1:9" s="18" customFormat="1" ht="15.75">
      <x:c r="A14" s="16"/>
      <x:c r="B14" s="15"/>
      <x:c r="C14" s="19" t="s">
        <x:v>2</x:v>
      </x:c>
      <x:c r="D14" s="17"/>
      <x:c r="G14" s="19"/>
      <x:c r="H14" s="22"/>
    </x:row>
    <x:row r="15" spans="1:9" s="18" customFormat="1">
      <x:c r="A15" s="16">
        <x:v>100</x:v>
      </x:c>
      <x:c r="B15" s="15"/>
      <x:c r="C15" s="15"/>
      <x:c r="D15" s="22" t="s">
        <x:v>2</x:v>
      </x:c>
      <x:c r="G15" s="19" t="s">
        <x:v>348</x:v>
      </x:c>
      <x:c r="H15" s="22"/>
      <x:c r="I15" s="22">
        <x:f>+'ATT H-3D'!H215</x:f>
        <x:v>96325604.920000017</x:v>
      </x:c>
    </x:row>
    <x:row r="16" spans="1:9" s="18" customFormat="1">
      <x:c r="A16" s="16">
        <x:v>101</x:v>
      </x:c>
      <x:c r="B16" s="15"/>
      <x:c r="C16" s="15"/>
      <x:c r="D16" s="15" t="s">
        <x:v>349</x:v>
      </x:c>
      <x:c r="E16" s="119" t="s">
        <x:v>762</x:v>
      </x:c>
      <x:c r="F16" s="20"/>
      <x:c r="G16" s="21" t="s">
        <x:v>350</x:v>
      </x:c>
      <x:c r="H16" s="119"/>
      <x:c r="I16" s="119">
        <x:f>+'ATT H-3D'!H216</x:f>
        <x:v>0</x:v>
      </x:c>
    </x:row>
    <x:row r="17" spans="1:9" s="18" customFormat="1" ht="15.75">
      <x:c r="A17" s="16">
        <x:v>102</x:v>
      </x:c>
      <x:c r="B17" s="15"/>
      <x:c r="C17" s="15"/>
      <x:c r="D17" s="19" t="s">
        <x:v>2</x:v>
      </x:c>
      <x:c r="F17" s="17"/>
      <x:c r="G17" s="19" t="s">
        <x:v>2184</x:v>
      </x:c>
      <x:c r="H17" s="22"/>
      <x:c r="I17" s="22">
        <x:f>+I15-I16</x:f>
        <x:v>96325604.920000017</x:v>
      </x:c>
    </x:row>
    <x:row r="18" spans="1:9" s="18" customFormat="1">
      <x:c r="A18" s="16"/>
      <x:c r="B18" s="15"/>
      <x:c r="C18" s="15"/>
      <x:c r="D18" s="15"/>
      <x:c r="F18" s="22"/>
      <x:c r="G18" s="15"/>
      <x:c r="H18" s="22"/>
      <x:c r="I18" s="22"/>
    </x:row>
    <x:row r="19" spans="1:9" s="18" customFormat="1" ht="15.75">
      <x:c r="A19" s="16">
        <x:v>103</x:v>
      </x:c>
      <x:c r="B19" s="15"/>
      <x:c r="C19" s="19" t="s">
        <x:v>351</x:v>
      </x:c>
      <x:c r="D19" s="23"/>
      <x:c r="F19" s="22" t="s">
        <x:v>352</x:v>
      </x:c>
      <x:c r="G19" s="19" t="s">
        <x:v>353</x:v>
      </x:c>
      <x:c r="H19" s="22"/>
      <x:c r="I19" s="22">
        <x:f>+'ATT H-3D'!H219</x:f>
        <x:v>0</x:v>
      </x:c>
    </x:row>
    <x:row r="20" spans="1:9" s="18" customFormat="1">
      <x:c r="A20" s="16"/>
      <x:c r="B20" s="15"/>
      <x:c r="C20" s="15"/>
      <x:c r="D20" s="15"/>
      <x:c r="G20" s="19"/>
      <x:c r="H20" s="22"/>
      <x:c r="I20" s="22"/>
    </x:row>
    <x:row r="21" spans="1:9" s="18" customFormat="1" ht="15.75">
      <x:c r="A21" s="16"/>
      <x:c r="B21" s="15"/>
      <x:c r="C21" s="15" t="s">
        <x:v>354</x:v>
      </x:c>
      <x:c r="D21" s="24"/>
      <x:c r="G21" s="19"/>
      <x:c r="H21" s="22"/>
      <x:c r="I21" s="22"/>
    </x:row>
    <x:row r="22" spans="1:9" s="18" customFormat="1">
      <x:c r="A22" s="16">
        <x:v>104</x:v>
      </x:c>
      <x:c r="B22" s="15"/>
      <x:c r="C22" s="15"/>
      <x:c r="D22" s="19" t="s">
        <x:v>355</x:v>
      </x:c>
      <x:c r="E22" s="22"/>
      <x:c r="F22" s="22"/>
      <x:c r="G22" s="19" t="s">
        <x:v>356</x:v>
      </x:c>
      <x:c r="H22" s="22"/>
      <x:c r="I22" s="22">
        <x:f>+'ATT H-3D'!H222</x:f>
        <x:v>2226953302.5607696</x:v>
      </x:c>
    </x:row>
    <x:row r="23" spans="1:9" s="18" customFormat="1">
      <x:c r="A23" s="16">
        <x:v>105</x:v>
      </x:c>
      <x:c r="B23" s="15"/>
      <x:c r="C23" s="15"/>
      <x:c r="D23" s="19" t="s">
        <x:v>357</x:v>
      </x:c>
      <x:c r="F23" s="22" t="s">
        <x:v>181</x:v>
      </x:c>
      <x:c r="G23" s="19" t="s">
        <x:v>763</x:v>
      </x:c>
      <x:c r="H23" s="22"/>
      <x:c r="I23" s="22">
        <x:f>-I34</x:f>
        <x:v>0</x:v>
      </x:c>
    </x:row>
    <x:row r="24" spans="1:9" s="18" customFormat="1">
      <x:c r="A24" s="16">
        <x:v>106</x:v>
      </x:c>
      <x:c r="B24" s="15"/>
      <x:c r="C24" s="15"/>
      <x:c r="D24" s="19" t="s">
        <x:v>358</x:v>
      </x:c>
      <x:c r="F24" s="119" t="s">
        <x:v>181</x:v>
      </x:c>
      <x:c r="G24" s="21" t="s">
        <x:v>359</x:v>
      </x:c>
      <x:c r="H24" s="119"/>
      <x:c r="I24" s="119">
        <x:f>+'ATT H-3D'!H224</x:f>
        <x:v>2177779</x:v>
      </x:c>
    </x:row>
    <x:row r="25" spans="1:9" s="18" customFormat="1">
      <x:c r="A25" s="16">
        <x:v>107</x:v>
      </x:c>
      <x:c r="B25" s="15"/>
      <x:c r="C25" s="15"/>
      <x:c r="D25" s="19" t="s">
        <x:v>354</x:v>
      </x:c>
      <x:c r="F25" s="22"/>
      <x:c r="G25" s="19" t="s">
        <x:v>764</x:v>
      </x:c>
      <x:c r="I25" s="22">
        <x:f>SUM(I22:I24)</x:f>
        <x:v>2229131081.5607696</x:v>
      </x:c>
    </x:row>
    <x:row r="26" spans="1:9" s="18" customFormat="1">
      <x:c r="A26" s="16"/>
      <x:c r="B26" s="15"/>
      <x:c r="C26" s="15"/>
      <x:c r="D26" s="15"/>
      <x:c r="G26" s="19"/>
      <x:c r="I26" s="22"/>
    </x:row>
    <x:row r="27" spans="1:9" s="18" customFormat="1" ht="15.75">
      <x:c r="A27" s="16"/>
      <x:c r="B27" s="15"/>
      <x:c r="C27" s="15" t="s">
        <x:v>3</x:v>
      </x:c>
      <x:c r="D27" s="24"/>
      <x:c r="G27" s="19"/>
      <x:c r="I27" s="22"/>
    </x:row>
    <x:row r="28" spans="1:9" s="18" customFormat="1">
      <x:c r="A28" s="16">
        <x:v>108</x:v>
      </x:c>
      <x:c r="B28" s="15"/>
      <x:c r="C28" s="15"/>
      <x:c r="D28" s="15" t="s">
        <x:v>360</x:v>
      </x:c>
      <x:c r="G28" s="15" t="s">
        <x:v>361</x:v>
      </x:c>
      <x:c r="I28" s="22">
        <x:f>+'ATT H-3D'!H229</x:f>
        <x:v>2186462307.6923075</x:v>
      </x:c>
    </x:row>
    <x:row r="29" spans="1:9" s="18" customFormat="1">
      <x:c r="A29" s="16">
        <x:v>109</x:v>
      </x:c>
      <x:c r="B29" s="15"/>
      <x:c r="C29" s="15"/>
      <x:c r="D29" s="15" t="s">
        <x:v>362</x:v>
      </x:c>
      <x:c r="F29" s="22" t="s">
        <x:v>181</x:v>
      </x:c>
      <x:c r="G29" s="19" t="s">
        <x:v>363</x:v>
      </x:c>
      <x:c r="I29" s="22">
        <x:f>+'ATT H-3D'!H230</x:f>
        <x:v>-2866664.7369230743</x:v>
      </x:c>
    </x:row>
    <x:row r="30" spans="1:9" s="18" customFormat="1">
      <x:c r="A30" s="16">
        <x:v>110</x:v>
      </x:c>
      <x:c r="B30" s="15"/>
      <x:c r="C30" s="15"/>
      <x:c r="D30" s="15" t="s">
        <x:v>364</x:v>
      </x:c>
      <x:c r="F30" s="18" t="s">
        <x:v>365</x:v>
      </x:c>
      <x:c r="G30" s="15" t="s">
        <x:v>366</x:v>
      </x:c>
      <x:c r="I30" s="22">
        <x:f>+'ATT H-3D'!H231</x:f>
        <x:v>0</x:v>
      </x:c>
    </x:row>
    <x:row r="31" spans="1:9" s="18" customFormat="1">
      <x:c r="A31" s="16">
        <x:v>111</x:v>
      </x:c>
      <x:c r="B31" s="15"/>
      <x:c r="C31" s="15"/>
      <x:c r="D31" s="15" t="s">
        <x:v>367</x:v>
      </x:c>
      <x:c r="F31" s="22" t="s">
        <x:v>181</x:v>
      </x:c>
      <x:c r="G31" s="15" t="s">
        <x:v>1086</x:v>
      </x:c>
      <x:c r="I31" s="22">
        <x:f>+'ATT H-3D'!H232</x:f>
        <x:v>794496</x:v>
      </x:c>
    </x:row>
    <x:row r="32" spans="1:9" s="18" customFormat="1">
      <x:c r="A32" s="16">
        <x:v>112</x:v>
      </x:c>
      <x:c r="B32" s="15"/>
      <x:c r="C32" s="15"/>
      <x:c r="D32" s="15" t="s">
        <x:v>368</x:v>
      </x:c>
      <x:c r="F32" s="22" t="s">
        <x:v>181</x:v>
      </x:c>
      <x:c r="G32" s="19" t="s">
        <x:v>350</x:v>
      </x:c>
      <x:c r="I32" s="22">
        <x:f>+'ATT H-3D'!H233</x:f>
        <x:v>0</x:v>
      </x:c>
    </x:row>
    <x:row r="33" spans="1:9" s="18" customFormat="1">
      <x:c r="A33" s="16">
        <x:v>113</x:v>
      </x:c>
      <x:c r="B33" s="15"/>
      <x:c r="C33" s="15"/>
      <x:c r="D33" s="15" t="s">
        <x:v>369</x:v>
      </x:c>
      <x:c r="E33" s="25"/>
      <x:c r="F33" s="25"/>
      <x:c r="G33" s="126" t="s">
        <x:v>765</x:v>
      </x:c>
      <x:c r="H33" s="25"/>
      <x:c r="I33" s="26">
        <x:f>SUM(I28:I32)</x:f>
        <x:v>2184390138.9553843</x:v>
      </x:c>
    </x:row>
    <x:row r="34" spans="1:9" s="18" customFormat="1">
      <x:c r="A34" s="16">
        <x:v>114</x:v>
      </x:c>
      <x:c r="B34" s="15"/>
      <x:c r="C34" s="15"/>
      <x:c r="D34" s="15" t="s">
        <x:v>370</x:v>
      </x:c>
      <x:c r="G34" s="15" t="s">
        <x:v>371</x:v>
      </x:c>
      <x:c r="I34" s="22">
        <x:f>+'ATT H-3D'!H235</x:f>
        <x:v>0</x:v>
      </x:c>
    </x:row>
    <x:row r="35" spans="1:9" s="18" customFormat="1">
      <x:c r="A35" s="16">
        <x:v>115</x:v>
      </x:c>
      <x:c r="B35" s="15"/>
      <x:c r="C35" s="15"/>
      <x:c r="D35" s="15" t="s">
        <x:v>354</x:v>
      </x:c>
      <x:c r="G35" s="19" t="s">
        <x:v>766</x:v>
      </x:c>
      <x:c r="I35" s="22">
        <x:f>I25</x:f>
        <x:v>2229131081.5607696</x:v>
      </x:c>
    </x:row>
    <x:row r="36" spans="1:9" s="18" customFormat="1" ht="15.75">
      <x:c r="A36" s="16">
        <x:v>116</x:v>
      </x:c>
      <x:c r="B36" s="15"/>
      <x:c r="C36" s="15"/>
      <x:c r="D36" s="15" t="s">
        <x:v>372</x:v>
      </x:c>
      <x:c r="E36" s="25"/>
      <x:c r="F36" s="27"/>
      <x:c r="G36" s="126" t="s">
        <x:v>767</x:v>
      </x:c>
      <x:c r="H36" s="26"/>
      <x:c r="I36" s="26">
        <x:f>I35+I34+I33</x:f>
        <x:v>4413521220.5161533</x:v>
      </x:c>
    </x:row>
    <x:row r="37" spans="1:9" s="18" customFormat="1">
      <x:c r="A37" s="16"/>
      <x:c r="B37" s="15"/>
      <x:c r="C37" s="15"/>
      <x:c r="D37" s="15"/>
      <x:c r="G37" s="15"/>
      <x:c r="H37" s="22"/>
      <x:c r="I37" s="29"/>
    </x:row>
    <x:row r="38" spans="1:9" s="18" customFormat="1">
      <x:c r="A38" s="16">
        <x:v>117</x:v>
      </x:c>
      <x:c r="B38" s="15"/>
      <x:c r="C38" s="15"/>
      <x:c r="D38" s="15" t="s">
        <x:v>373</x:v>
      </x:c>
      <x:c r="F38" s="15" t="s">
        <x:v>369</x:v>
      </x:c>
      <x:c r="G38" s="19" t="s">
        <x:v>2187</x:v>
      </x:c>
      <x:c r="H38" s="22"/>
      <x:c r="I38" s="339">
        <x:f>IF(I36&gt;0,I28/(I28++I34+I35),0)</x:f>
        <x:v>0.49516839866049361</x:v>
      </x:c>
    </x:row>
    <x:row r="39" spans="1:9" s="18" customFormat="1">
      <x:c r="A39" s="16">
        <x:v>118</x:v>
      </x:c>
      <x:c r="B39" s="15"/>
      <x:c r="C39" s="15"/>
      <x:c r="D39" s="15" t="s">
        <x:v>374</x:v>
      </x:c>
      <x:c r="F39" s="15" t="s">
        <x:v>370</x:v>
      </x:c>
      <x:c r="G39" s="19" t="s">
        <x:v>2185</x:v>
      </x:c>
      <x:c r="H39" s="22"/>
      <x:c r="I39" s="339">
        <x:f>IF(I36&gt;0,I34/(I28+I34+I35),0)</x:f>
        <x:v>0</x:v>
      </x:c>
    </x:row>
    <x:row r="40" spans="1:9" s="18" customFormat="1">
      <x:c r="A40" s="16">
        <x:v>119</x:v>
      </x:c>
      <x:c r="B40" s="15"/>
      <x:c r="C40" s="15"/>
      <x:c r="D40" s="15" t="s">
        <x:v>375</x:v>
      </x:c>
      <x:c r="F40" s="15" t="s">
        <x:v>354</x:v>
      </x:c>
      <x:c r="G40" s="19" t="s">
        <x:v>2186</x:v>
      </x:c>
      <x:c r="H40" s="22"/>
      <x:c r="I40" s="339">
        <x:f>IF(I36&gt;0,I35/(I28+I34+I35),0)</x:f>
        <x:v>0.50483160133950655</x:v>
      </x:c>
    </x:row>
    <x:row r="41" spans="1:9" s="18" customFormat="1">
      <x:c r="A41" s="16"/>
      <x:c r="B41" s="15"/>
      <x:c r="C41" s="15"/>
      <x:c r="D41" s="15"/>
      <x:c r="F41" s="19"/>
      <x:c r="G41" s="15"/>
      <x:c r="H41" s="22"/>
      <x:c r="I41" s="29"/>
    </x:row>
    <x:row r="42" spans="1:9" s="18" customFormat="1">
      <x:c r="A42" s="16">
        <x:v>120</x:v>
      </x:c>
      <x:c r="B42" s="15"/>
      <x:c r="C42" s="15"/>
      <x:c r="D42" s="19" t="s">
        <x:v>376</x:v>
      </x:c>
      <x:c r="F42" s="19" t="s">
        <x:v>369</x:v>
      </x:c>
      <x:c r="G42" s="19" t="s">
        <x:v>768</x:v>
      </x:c>
      <x:c r="H42" s="22"/>
      <x:c r="I42" s="30">
        <x:f>IF(I33&gt;0,I17/I33,0)</x:f>
        <x:v>4.4097253142730587E-2</x:v>
      </x:c>
    </x:row>
    <x:row r="43" spans="1:9" s="18" customFormat="1">
      <x:c r="A43" s="16">
        <x:v>121</x:v>
      </x:c>
      <x:c r="B43" s="15"/>
      <x:c r="C43" s="15"/>
      <x:c r="D43" s="19" t="s">
        <x:v>377</x:v>
      </x:c>
      <x:c r="F43" s="19" t="s">
        <x:v>370</x:v>
      </x:c>
      <x:c r="G43" s="19" t="s">
        <x:v>769</x:v>
      </x:c>
      <x:c r="H43" s="22"/>
      <x:c r="I43" s="30">
        <x:f>IF(I34&gt;0,I19/I34,0)</x:f>
        <x:v>0</x:v>
      </x:c>
    </x:row>
    <x:row r="44" spans="1:9" s="18" customFormat="1">
      <x:c r="A44" s="16">
        <x:v>122</x:v>
      </x:c>
      <x:c r="B44" s="15"/>
      <x:c r="C44" s="15"/>
      <x:c r="D44" s="19" t="s">
        <x:v>378</x:v>
      </x:c>
      <x:c r="E44" s="18" t="s">
        <x:v>172</x:v>
      </x:c>
      <x:c r="F44" s="19" t="s">
        <x:v>354</x:v>
      </x:c>
      <x:c r="G44" s="15" t="s">
        <x:v>173</x:v>
      </x:c>
      <x:c r="H44" s="22"/>
      <x:c r="I44" s="31">
        <x:f>+'ATT H-3D'!H245+0.01</x:f>
        <x:v>0.11499999999999999</x:v>
      </x:c>
    </x:row>
    <x:row r="45" spans="1:9" s="18" customFormat="1">
      <x:c r="A45" s="16"/>
      <x:c r="B45" s="15"/>
      <x:c r="C45" s="15"/>
      <x:c r="D45" s="15"/>
      <x:c r="F45" s="19"/>
      <x:c r="G45" s="15"/>
      <x:c r="H45" s="22"/>
    </x:row>
    <x:row r="46" spans="1:9" s="18" customFormat="1">
      <x:c r="A46" s="16">
        <x:v>123</x:v>
      </x:c>
      <x:c r="B46" s="15"/>
      <x:c r="C46" s="15"/>
      <x:c r="D46" s="15" t="s">
        <x:v>380</x:v>
      </x:c>
      <x:c r="F46" s="15" t="s">
        <x:v>381</x:v>
      </x:c>
      <x:c r="G46" s="19" t="s">
        <x:v>770</x:v>
      </x:c>
      <x:c r="H46" s="32"/>
      <x:c r="I46" s="30">
        <x:f>I42*I38</x:f>
        <x:v>2.1835566224012323E-2</x:v>
      </x:c>
    </x:row>
    <x:row r="47" spans="1:9" s="18" customFormat="1">
      <x:c r="A47" s="16">
        <x:v>124</x:v>
      </x:c>
      <x:c r="B47" s="15"/>
      <x:c r="C47" s="15"/>
      <x:c r="D47" s="15" t="s">
        <x:v>382</x:v>
      </x:c>
      <x:c r="F47" s="15" t="s">
        <x:v>370</x:v>
      </x:c>
      <x:c r="G47" s="19" t="s">
        <x:v>771</x:v>
      </x:c>
      <x:c r="H47" s="33"/>
      <x:c r="I47" s="30">
        <x:f>I43*I39</x:f>
        <x:v>0</x:v>
      </x:c>
    </x:row>
    <x:row r="48" spans="1:9" s="18" customFormat="1">
      <x:c r="A48" s="16">
        <x:v>125</x:v>
      </x:c>
      <x:c r="B48" s="15"/>
      <x:c r="C48" s="15"/>
      <x:c r="D48" s="52" t="s">
        <x:v>383</x:v>
      </x:c>
      <x:c r="E48" s="104"/>
      <x:c r="F48" s="52" t="s">
        <x:v>354</x:v>
      </x:c>
      <x:c r="G48" s="21" t="s">
        <x:v>772</x:v>
      </x:c>
      <x:c r="H48" s="34"/>
      <x:c r="I48" s="35">
        <x:f>I44*I40</x:f>
        <x:v>5.8055634154043252E-2</x:v>
      </x:c>
    </x:row>
    <x:row r="49" spans="1:15" s="18" customFormat="1" ht="15.75">
      <x:c r="A49" s="16">
        <x:v>126</x:v>
      </x:c>
      <x:c r="B49" s="15"/>
      <x:c r="C49" s="15" t="s">
        <x:v>384</x:v>
      </x:c>
      <x:c r="D49" s="15"/>
      <x:c r="E49" s="36"/>
      <x:c r="F49" s="36"/>
      <x:c r="G49" s="23" t="s">
        <x:v>773</x:v>
      </x:c>
      <x:c r="H49" s="37"/>
      <x:c r="I49" s="38">
        <x:f>SUM(I46:I48)</x:f>
        <x:v>7.9891200378055582E-2</x:v>
      </x:c>
    </x:row>
    <x:row r="50" spans="1:15" s="18" customFormat="1" ht="15.75">
      <x:c r="A50" s="39"/>
      <x:c r="B50" s="15"/>
      <x:c r="C50" s="15"/>
      <x:c r="D50" s="15"/>
      <x:c r="E50" s="36"/>
      <x:c r="F50" s="36"/>
      <x:c r="G50" s="24"/>
      <x:c r="H50" s="37"/>
      <x:c r="I50" s="38"/>
    </x:row>
    <x:row r="51" spans="1:15" s="18" customFormat="1" ht="16.5" thickBot="1">
      <x:c r="A51" s="16">
        <x:v>127</x:v>
      </x:c>
      <x:c r="B51" s="15"/>
      <x:c r="C51" s="15" t="s">
        <x:v>385</x:v>
      </x:c>
      <x:c r="D51" s="15"/>
      <x:c r="E51" s="40"/>
      <x:c r="F51" s="41"/>
      <x:c r="G51" s="42" t="s">
        <x:v>774</x:v>
      </x:c>
      <x:c r="H51" s="43"/>
      <x:c r="I51" s="44">
        <x:f>+I49*I12</x:f>
        <x:v>114860279.47916254</x:v>
      </x:c>
    </x:row>
    <x:row r="52" spans="1:15" s="18" customFormat="1" ht="15.75" thickTop="1">
      <x:c r="A52" s="16"/>
      <x:c r="B52" s="16"/>
      <x:c r="C52" s="16"/>
      <x:c r="F52" s="16"/>
      <x:c r="G52" s="22"/>
      <x:c r="H52" s="22"/>
      <x:c r="I52" s="30"/>
    </x:row>
    <x:row r="53" spans="1:15" s="18" customFormat="1" ht="15.75">
      <x:c r="A53" s="84" t="s">
        <x:v>174</x:v>
      </x:c>
      <x:c r="B53" s="84"/>
      <x:c r="C53" s="85"/>
      <x:c r="D53" s="544"/>
      <x:c r="E53" s="13"/>
      <x:c r="F53" s="465"/>
      <x:c r="G53" s="13"/>
      <x:c r="H53" s="13"/>
      <x:c r="I53" s="45"/>
    </x:row>
    <x:row r="54" spans="1:15" s="18" customFormat="1" ht="15.75">
      <x:c r="A54" s="15"/>
      <x:c r="B54" s="15"/>
      <x:c r="C54" s="16"/>
      <x:c r="D54" s="36"/>
      <x:c r="F54" s="29"/>
      <x:c r="I54" s="46"/>
    </x:row>
    <x:row r="55" spans="1:15" s="18" customFormat="1">
      <x:c r="A55" s="16" t="s">
        <x:v>83</x:v>
      </x:c>
      <x:c r="B55" s="16"/>
      <x:c r="C55" s="48" t="s">
        <x:v>84</x:v>
      </x:c>
      <x:c r="F55" s="29"/>
      <x:c r="G55" s="22"/>
      <x:c r="H55" s="47"/>
    </x:row>
    <x:row r="56" spans="1:15" s="18" customFormat="1">
      <x:c r="A56" s="16">
        <x:f>'ATT H-3D'!A257</x:f>
        <x:v>128</x:v>
      </x:c>
      <x:c r="B56" s="16"/>
      <x:c r="C56" s="16"/>
      <x:c r="D56" s="18" t="s">
        <x:v>175</x:v>
      </x:c>
      <x:c r="F56" s="105" t="s">
        <x:v>1393</x:v>
      </x:c>
      <x:c r="G56" s="22"/>
      <x:c r="I56" s="339">
        <x:f>+'ATT H-3D'!H257</x:f>
        <x:v>0.21</x:v>
      </x:c>
    </x:row>
    <x:row r="57" spans="1:15" s="18" customFormat="1" ht="15.75">
      <x:c r="A57" s="16">
        <x:f>'ATT H-3D'!A258</x:f>
        <x:v>129</x:v>
      </x:c>
      <x:c r="B57" s="16"/>
      <x:c r="C57" s="16"/>
      <x:c r="D57" s="18" t="s">
        <x:v>176</x:v>
      </x:c>
      <x:c r="E57" s="170"/>
      <x:c r="F57" s="105" t="s">
        <x:v>1393</x:v>
      </x:c>
      <x:c r="G57" s="22"/>
      <x:c r="I57" s="339">
        <x:f>+'ATT H-3D'!H258</x:f>
        <x:v>8.5000000000000006E-2</x:v>
      </x:c>
      <x:c r="K57"/>
      <x:c r="L57"/>
      <x:c r="M57"/>
      <x:c r="N57"/>
      <x:c r="O57"/>
    </x:row>
    <x:row r="58" spans="1:15" s="18" customFormat="1" ht="15.75">
      <x:c r="A58" s="16">
        <x:f>'ATT H-3D'!A259</x:f>
        <x:v>130</x:v>
      </x:c>
      <x:c r="B58" s="16"/>
      <x:c r="C58" s="16"/>
      <x:c r="D58" s="18" t="s">
        <x:v>438</x:v>
      </x:c>
      <x:c r="E58" s="18" t="s">
        <x:v>1422</x:v>
      </x:c>
      <x:c r="F58" s="16"/>
      <x:c r="G58" s="18" t="s">
        <x:v>1491</x:v>
      </x:c>
      <x:c r="I58" s="339">
        <x:f>+'ATT H-3D'!H259</x:f>
        <x:v>0</x:v>
      </x:c>
      <x:c r="K58"/>
      <x:c r="L58"/>
      <x:c r="M58"/>
      <x:c r="N58"/>
      <x:c r="O58"/>
    </x:row>
    <x:row r="59" spans="1:15" s="18" customFormat="1" ht="15.75">
      <x:c r="A59" s="16">
        <x:f>'ATT H-3D'!A260</x:f>
        <x:v>131</x:v>
      </x:c>
      <x:c r="B59" s="16"/>
      <x:c r="C59" s="16"/>
      <x:c r="D59" s="18" t="s">
        <x:v>177</x:v>
      </x:c>
      <x:c r="E59" s="48" t="s">
        <x:v>178</x:v>
      </x:c>
      <x:c r="F59" s="16"/>
      <x:c r="I59" s="339">
        <x:f>+'ATT H-3D'!H260</x:f>
        <x:v>0.2771499999999999</x:v>
      </x:c>
      <x:c r="K59"/>
      <x:c r="L59"/>
      <x:c r="M59"/>
      <x:c r="N59"/>
      <x:c r="O59"/>
    </x:row>
    <x:row r="60" spans="1:15" s="18" customFormat="1" ht="15.75">
      <x:c r="A60" s="16" t="str">
        <x:f>'ATT H-3D'!A261</x:f>
        <x:v>132a</x:v>
      </x:c>
      <x:c r="B60" s="16"/>
      <x:c r="C60" s="16"/>
      <x:c r="D60" s="18" t="s">
        <x:v>179</x:v>
      </x:c>
      <x:c r="E60" s="170"/>
      <x:c r="F60" s="16"/>
      <x:c r="I60" s="339">
        <x:f>+'ATT H-3D'!H261</x:f>
        <x:v>0.38341287957390863</x:v>
      </x:c>
      <x:c r="K60"/>
      <x:c r="L60"/>
      <x:c r="M60"/>
      <x:c r="N60"/>
      <x:c r="O60"/>
    </x:row>
    <x:row r="61" spans="1:15" s="18" customFormat="1" ht="15.75">
      <x:c r="A61" s="16" t="str">
        <x:f>'ATT H-3D'!A262</x:f>
        <x:v>132b</x:v>
      </x:c>
      <x:c r="B61" s="16"/>
      <x:c r="D61" s="18" t="s">
        <x:v>1089</x:v>
      </x:c>
      <x:c r="E61" s="170" t="s">
        <x:v>1090</x:v>
      </x:c>
      <x:c r="F61" s="16"/>
      <x:c r="I61" s="171">
        <x:f>1*1/(1-I59)</x:f>
        <x:v>1.3834128795739087</x:v>
      </x:c>
      <x:c r="K61"/>
      <x:c r="L61"/>
      <x:c r="M61"/>
      <x:c r="N61"/>
      <x:c r="O61"/>
    </x:row>
    <x:row r="62" spans="1:15" s="18" customFormat="1" ht="15.75">
      <x:c r="A62" s="16"/>
      <x:c r="B62" s="16"/>
      <x:c r="C62" s="16"/>
      <x:c r="F62" s="49"/>
      <x:c r="G62" s="48"/>
      <x:c r="H62" s="47"/>
      <x:c r="I62" s="50"/>
      <x:c r="K62"/>
      <x:c r="L62"/>
      <x:c r="M62"/>
      <x:c r="N62"/>
      <x:c r="O62"/>
    </x:row>
    <x:row r="63" spans="1:15" s="18" customFormat="1" ht="15.75">
      <x:c r="A63" s="16"/>
      <x:c r="B63" s="16"/>
      <x:c r="C63" s="48" t="s">
        <x:v>180</x:v>
      </x:c>
      <x:c r="F63" s="105" t="s">
        <x:v>1394</x:v>
      </x:c>
      <x:c r="G63" s="22"/>
      <x:c r="H63" s="47"/>
      <x:c r="I63" s="51"/>
      <x:c r="K63"/>
      <x:c r="L63"/>
      <x:c r="M63"/>
      <x:c r="N63"/>
      <x:c r="O63"/>
    </x:row>
    <x:row r="64" spans="1:15" s="18" customFormat="1" ht="15.75">
      <x:c r="A64" s="16">
        <x:f>'ATT H-3D'!A265</x:f>
        <x:v>133</x:v>
      </x:c>
      <x:c r="B64" s="16"/>
      <x:c r="C64" s="16"/>
      <x:c r="D64" s="18" t="s">
        <x:v>1110</x:v>
      </x:c>
      <x:c r="F64" s="29" t="s">
        <x:v>181</x:v>
      </x:c>
      <x:c r="G64" s="15" t="s">
        <x:v>1091</x:v>
      </x:c>
      <x:c r="H64" s="47"/>
      <x:c r="I64" s="22">
        <x:f>+'ATT H-3D'!H265</x:f>
        <x:v>-53105.855233204471</x:v>
      </x:c>
      <x:c r="K64"/>
      <x:c r="L64"/>
      <x:c r="M64"/>
      <x:c r="N64"/>
      <x:c r="O64"/>
    </x:row>
    <x:row r="65" spans="1:15" s="18" customFormat="1" ht="15.75">
      <x:c r="A65" s="16">
        <x:f>'ATT H-3D'!A266</x:f>
        <x:v>134</x:v>
      </x:c>
      <x:c r="B65" s="16"/>
      <x:c r="C65" s="16"/>
      <x:c r="D65" s="18" t="s">
        <x:v>1111</x:v>
      </x:c>
      <x:c r="E65" s="104"/>
      <x:c r="F65" s="53"/>
      <x:c r="G65" s="119" t="str">
        <x:f>"(Line "&amp;A61&amp;")"</x:f>
        <x:v>(Line 132b)</x:v>
      </x:c>
      <x:c r="H65" s="178"/>
      <x:c r="I65" s="171">
        <x:f>+I61</x:f>
        <x:v>1.3834128795739087</x:v>
      </x:c>
      <x:c r="K65"/>
      <x:c r="L65"/>
      <x:c r="M65"/>
      <x:c r="N65"/>
      <x:c r="O65"/>
    </x:row>
    <x:row r="66" spans="1:15" s="18" customFormat="1" ht="15.75">
      <x:c r="A66" s="16">
        <x:f>'ATT H-3D'!A267</x:f>
        <x:v>135</x:v>
      </x:c>
      <x:c r="B66" s="16"/>
      <x:c r="C66" s="16"/>
      <x:c r="D66" s="28" t="s">
        <x:v>182</x:v>
      </x:c>
      <x:c r="E66" s="25"/>
      <x:c r="F66" s="54"/>
      <x:c r="G66" s="22" t="str">
        <x:f>"(Line "&amp;A64&amp;" * "&amp;A65&amp;")"</x:f>
        <x:v>(Line 133 * 134)</x:v>
      </x:c>
      <x:c r="H66" s="340"/>
      <x:c r="I66" s="173">
        <x:f>+I64*I65</x:f>
        <x:v>-73467.324110402522</x:v>
      </x:c>
      <x:c r="K66"/>
      <x:c r="L66"/>
      <x:c r="M66"/>
      <x:c r="N66"/>
      <x:c r="O66"/>
    </x:row>
    <x:row r="67" spans="1:15" s="18" customFormat="1" ht="15.75">
      <x:c r="A67" s="16"/>
      <x:c r="B67" s="16"/>
      <x:c r="C67" s="16"/>
      <x:c r="D67" s="24"/>
      <x:c r="F67" s="108"/>
      <x:c r="G67" s="172"/>
      <x:c r="H67" s="174"/>
      <x:c r="I67" s="175"/>
      <x:c r="K67"/>
      <x:c r="L67"/>
      <x:c r="M67"/>
      <x:c r="N67"/>
      <x:c r="O67"/>
    </x:row>
    <x:row r="68" spans="1:15" s="18" customFormat="1" ht="15.75">
      <x:c r="B68" s="24"/>
      <x:c r="C68" s="15" t="s">
        <x:v>946</x:v>
      </x:c>
      <x:c r="D68" s="24"/>
      <x:c r="F68" s="108"/>
      <x:c r="G68" s="172"/>
      <x:c r="H68" s="174"/>
      <x:c r="I68" s="175"/>
    </x:row>
    <x:row r="69" spans="1:15" s="18" customFormat="1">
      <x:c r="A69" s="16" t="str">
        <x:f>'ATT H-3D'!A270</x:f>
        <x:v>136a</x:v>
      </x:c>
      <x:c r="C69" s="15"/>
      <x:c r="D69" s="15" t="s">
        <x:v>1093</x:v>
      </x:c>
      <x:c r="F69" s="105" t="s">
        <x:v>1395</x:v>
      </x:c>
      <x:c r="G69" s="22" t="str">
        <x:f>'ATT H-3D'!F270</x:f>
        <x:v>Attachment 5, Line 136a</x:v>
      </x:c>
      <x:c r="H69" s="174"/>
      <x:c r="I69" s="58">
        <x:f>'ATT H-3D'!H270</x:f>
        <x:v>251685.73514999991</x:v>
      </x:c>
    </x:row>
    <x:row r="70" spans="1:15" s="18" customFormat="1">
      <x:c r="A70" s="16" t="str">
        <x:f>'ATT H-3D'!A271</x:f>
        <x:v>136b</x:v>
      </x:c>
      <x:c r="C70" s="15"/>
      <x:c r="D70" s="15" t="s">
        <x:v>1094</x:v>
      </x:c>
      <x:c r="F70" s="105" t="s">
        <x:v>1395</x:v>
      </x:c>
      <x:c r="G70" s="22" t="str">
        <x:f>'ATT H-3D'!F271</x:f>
        <x:v>Attachment 5, Line 136b</x:v>
      </x:c>
      <x:c r="H70" s="174"/>
      <x:c r="I70" s="58">
        <x:f>'ATT H-3D'!H271</x:f>
        <x:v>-1127924</x:v>
      </x:c>
    </x:row>
    <x:row r="71" spans="1:15" s="18" customFormat="1">
      <x:c r="A71" s="16" t="str">
        <x:f>'ATT H-3D'!A272</x:f>
        <x:v>136c</x:v>
      </x:c>
      <x:c r="C71" s="15"/>
      <x:c r="D71" s="15" t="s">
        <x:v>1096</x:v>
      </x:c>
      <x:c r="F71" s="105" t="s">
        <x:v>1395</x:v>
      </x:c>
      <x:c r="G71" s="22" t="str">
        <x:f>'ATT H-3D'!F272</x:f>
        <x:v>Attachment 5, Line 136c</x:v>
      </x:c>
      <x:c r="H71" s="174"/>
      <x:c r="I71" s="58">
        <x:f>'ATT H-3D'!H272</x:f>
        <x:v>0</x:v>
      </x:c>
    </x:row>
    <x:row r="72" spans="1:15" s="18" customFormat="1">
      <x:c r="A72" s="16" t="str">
        <x:f>'ATT H-3D'!A273</x:f>
        <x:v>136d</x:v>
      </x:c>
      <x:c r="C72" s="15"/>
      <x:c r="D72" s="52" t="s">
        <x:v>1098</x:v>
      </x:c>
      <x:c r="E72" s="104"/>
      <x:c r="F72" s="99" t="s">
        <x:v>1395</x:v>
      </x:c>
      <x:c r="G72" s="119" t="str">
        <x:f>'ATT H-3D'!F273</x:f>
        <x:v>Attachment 5, Line 136d</x:v>
      </x:c>
      <x:c r="H72" s="176"/>
      <x:c r="I72" s="34">
        <x:f>'ATT H-3D'!H273</x:f>
        <x:v>0</x:v>
      </x:c>
    </x:row>
    <x:row r="73" spans="1:15" s="18" customFormat="1">
      <x:c r="A73" s="16" t="str">
        <x:f>'ATT H-3D'!A274</x:f>
        <x:v>136e</x:v>
      </x:c>
      <x:c r="C73" s="15"/>
      <x:c r="D73" s="15" t="s">
        <x:v>1100</x:v>
      </x:c>
      <x:c r="F73" s="105"/>
      <x:c r="G73" s="22" t="str">
        <x:f>"(Line "&amp;A69&amp;" + "&amp;A70&amp;" + "&amp;A71&amp;" + "&amp;A72&amp;")"</x:f>
        <x:v>(Line 136a + 136b + 136c + 136d)</x:v>
      </x:c>
      <x:c r="H73" s="174"/>
      <x:c r="I73" s="22">
        <x:f>SUM(I69:I72)</x:f>
        <x:v>-876238.26485000015</x:v>
      </x:c>
    </x:row>
    <x:row r="74" spans="1:15" s="18" customFormat="1">
      <x:c r="A74" s="16" t="str">
        <x:f>'ATT H-3D'!A275</x:f>
        <x:v>136f</x:v>
      </x:c>
      <x:c r="B74" s="16"/>
      <x:c r="D74" s="104" t="s">
        <x:v>1492</x:v>
      </x:c>
      <x:c r="E74" s="104"/>
      <x:c r="F74" s="53"/>
      <x:c r="G74" s="119" t="str">
        <x:f>"(Line "&amp;A61&amp;")"</x:f>
        <x:v>(Line 132b)</x:v>
      </x:c>
      <x:c r="H74" s="176"/>
      <x:c r="I74" s="171">
        <x:f>I61</x:f>
        <x:v>1.3834128795739087</x:v>
      </x:c>
    </x:row>
    <x:row r="75" spans="1:15" s="18" customFormat="1">
      <x:c r="A75" s="16" t="str">
        <x:f>'ATT H-3D'!A276</x:f>
        <x:v>136g</x:v>
      </x:c>
      <x:c r="B75" s="16"/>
      <x:c r="D75" s="15" t="s">
        <x:v>946</x:v>
      </x:c>
      <x:c r="E75" s="18" t="s">
        <x:v>83</x:v>
      </x:c>
      <x:c r="G75" s="22" t="str">
        <x:f>"(Line "&amp;A73&amp;" * "&amp;A74&amp;")"</x:f>
        <x:v>(Line 136e * 136f)</x:v>
      </x:c>
      <x:c r="H75" s="174"/>
      <x:c r="I75" s="173">
        <x:f>+I73*I74</x:f>
        <x:v>-1212199.301168984</x:v>
      </x:c>
    </x:row>
    <x:row r="76" spans="1:15" s="18" customFormat="1" ht="15.75">
      <x:c r="A76" s="16"/>
      <x:c r="B76" s="16"/>
      <x:c r="C76" s="16"/>
      <x:c r="F76" s="49"/>
      <x:c r="G76" s="48"/>
      <x:c r="H76" s="47"/>
      <x:c r="I76" s="337"/>
    </x:row>
    <x:row r="77" spans="1:15" s="18" customFormat="1">
      <x:c r="A77" s="16">
        <x:f>'ATT H-3D'!A278</x:f>
        <x:v>137</x:v>
      </x:c>
      <x:c r="B77" s="16"/>
      <x:c r="C77" s="18" t="s">
        <x:v>183</x:v>
      </x:c>
      <x:c r="E77" s="18" t="s">
        <x:v>184</x:v>
      </x:c>
      <x:c r="F77" s="29"/>
      <x:c r="G77" s="22" t="str">
        <x:f>"(Line "&amp;A60&amp;" * "&amp;A51&amp;" * (1 - ("&amp;A46&amp;" / "&amp;A49&amp;")))"</x:f>
        <x:v>(Line 132a * 127 * (1 - (123 / 126)))</x:v>
      </x:c>
      <x:c r="I77" s="338">
        <x:f>+I60*(1-I46/I49)*I51</x:f>
        <x:v>32002359.016397703</x:v>
      </x:c>
    </x:row>
    <x:row r="78" spans="1:15" s="18" customFormat="1">
      <x:c r="A78" s="16"/>
      <x:c r="B78" s="16"/>
      <x:c r="C78" s="16"/>
      <x:c r="D78" s="15"/>
      <x:c r="F78" s="16"/>
      <x:c r="G78" s="22"/>
      <x:c r="H78" s="174"/>
      <x:c r="I78" s="58"/>
    </x:row>
    <x:row r="79" spans="1:15" s="18" customFormat="1" ht="16.5" thickBot="1">
      <x:c r="A79" s="16">
        <x:f>'ATT H-3D'!A280</x:f>
        <x:v>138</x:v>
      </x:c>
      <x:c r="B79" s="16"/>
      <x:c r="C79" s="115" t="s">
        <x:v>185</x:v>
      </x:c>
      <x:c r="D79" s="55"/>
      <x:c r="E79" s="40"/>
      <x:c r="F79" s="56"/>
      <x:c r="G79" s="90" t="str">
        <x:f>"(Line "&amp;A66&amp;" + "&amp;A75&amp;" + "&amp;A77&amp;")"</x:f>
        <x:v>(Line 135 + 136g + 137)</x:v>
      </x:c>
      <x:c r="H79" s="57"/>
      <x:c r="I79" s="341">
        <x:f>+I77+I66+I75</x:f>
        <x:v>30716692.391118314</x:v>
      </x:c>
    </x:row>
    <x:row r="80" spans="1:15" s="18" customFormat="1" ht="15.75" thickTop="1">
      <x:c r="A80" s="16"/>
      <x:c r="B80" s="16"/>
      <x:c r="C80" s="16"/>
      <x:c r="D80" s="48"/>
      <x:c r="F80" s="16"/>
      <x:c r="G80" s="58"/>
      <x:c r="H80" s="59"/>
      <x:c r="I80" s="60"/>
    </x:row>
    <x:row r="81" s="18" customFormat="1"/>
    <x:row r="82" s="156" customFormat="1"/>
    <x:row r="83" s="156" customFormat="1"/>
    <x:row r="84" s="156" customFormat="1"/>
    <x:row r="85" s="156" customFormat="1"/>
    <x:row r="86" s="156" customFormat="1"/>
    <x:row r="87" s="156" customFormat="1"/>
    <x:row r="88" s="156" customFormat="1"/>
    <x:row r="89" s="156" customFormat="1"/>
    <x:row r="90" s="156" customFormat="1"/>
    <x:row r="91" s="156" customFormat="1"/>
    <x:row r="92" s="156" customFormat="1"/>
    <x:row r="93" s="156" customFormat="1"/>
    <x:row r="94" s="156" customFormat="1"/>
    <x:row r="95" s="156" customFormat="1"/>
    <x:row r="96" s="156" customFormat="1"/>
    <x:row r="97" s="156" customFormat="1"/>
    <x:row r="98" s="156" customFormat="1"/>
    <x:row r="99" s="156" customFormat="1"/>
    <x:row r="100" s="156" customFormat="1"/>
    <x:row r="101" s="156" customFormat="1"/>
    <x:row r="102" s="156" customFormat="1"/>
    <x:row r="103" s="156" customFormat="1"/>
    <x:row r="104" s="156" customFormat="1"/>
    <x:row r="105" s="156" customFormat="1"/>
    <x:row r="106" s="156" customFormat="1"/>
    <x:row r="107" s="156" customFormat="1"/>
    <x:row r="108" s="156" customFormat="1"/>
    <x:row r="308" spans="3:3" ht="15.75">
      <x:c r="C308" s="4"/>
    </x:row>
  </x:sheetData>
  <x:mergeCells count="3">
    <x:mergeCell ref="A1:I1"/>
    <x:mergeCell ref="A3:I3"/>
    <x:mergeCell ref="A2:I2"/>
  </x:mergeCells>
  <x:printOptions horizontalCentered="1"/>
  <x:pageMargins left="0.25" right="0.25" top="0.5" bottom="0.5" header="0.25" footer="0.25"/>
  <x:pageSetup scale="50"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55"/>
  <x:sheetViews>
    <x:sheetView zoomScaleNormal="100" zoomScaleSheetLayoutView="100" workbookViewId="0">
      <x:pane xSplit="2" ySplit="2" topLeftCell="C3" activePane="bottomRight" state="frozen"/>
      <x:selection activeCell="K27" sqref="K27"/>
      <x:selection pane="topRight" activeCell="K27" sqref="K27"/>
      <x:selection pane="bottomLeft" activeCell="K27" sqref="K27"/>
      <x:selection pane="bottomRight" sqref="A1:Q1"/>
    </x:sheetView>
  </x:sheetViews>
  <x:sheetFormatPr defaultColWidth="9.140625" defaultRowHeight="12.75"/>
  <x:cols>
    <x:col min="1" max="1" width="6.42578125" style="522" customWidth="1"/>
    <x:col min="2" max="2" width="5.7109375" style="167" customWidth="1"/>
    <x:col min="3" max="3" width="60.5703125" style="167" customWidth="1"/>
    <x:col min="4" max="4" width="21.42578125" style="167" customWidth="1"/>
    <x:col min="5" max="5" width="14.5703125" style="167" customWidth="1"/>
    <x:col min="6" max="6" width="39.5703125" style="167" customWidth="1"/>
    <x:col min="7" max="7" width="15.85546875" style="167" bestFit="1" customWidth="1"/>
    <x:col min="8" max="8" width="16.42578125" style="167" customWidth="1"/>
    <x:col min="9" max="9" width="17.5703125" style="167" bestFit="1" customWidth="1"/>
    <x:col min="10" max="10" width="17.7109375" style="167" customWidth="1"/>
    <x:col min="11" max="11" width="14" style="167" customWidth="1"/>
    <x:col min="12" max="12" width="15" style="167" customWidth="1"/>
    <x:col min="13" max="14" width="13.42578125" style="167" bestFit="1" customWidth="1"/>
    <x:col min="15" max="16" width="13.5703125" style="167" bestFit="1" customWidth="1"/>
    <x:col min="17" max="17" width="14.7109375" style="167" customWidth="1"/>
    <x:col min="18" max="18" width="13.28515625" style="167" bestFit="1" customWidth="1"/>
    <x:col min="19" max="19" width="13.42578125" style="167" bestFit="1" customWidth="1"/>
    <x:col min="20" max="20" width="13.28515625" style="167" customWidth="1"/>
    <x:col min="21" max="21" width="12.140625" style="167" customWidth="1"/>
    <x:col min="22" max="22" width="11.5703125" style="167" customWidth="1"/>
    <x:col min="23" max="23" width="15.28515625" style="167" customWidth="1"/>
    <x:col min="24" max="24" width="16.42578125" style="167" customWidth="1"/>
    <x:col min="25" max="25" width="26.28515625" style="167" customWidth="1"/>
    <x:col min="26" max="26" width="12.85546875" style="167" customWidth="1"/>
    <x:col min="27" max="27" width="14.85546875" style="167" customWidth="1"/>
    <x:col min="28" max="28" width="12.85546875" style="167" customWidth="1"/>
    <x:col min="29" max="29" width="16.140625" style="167" customWidth="1"/>
    <x:col min="30" max="30" width="9.140625" style="167"/>
    <x:col min="31" max="32" width="8.5703125" style="167" customWidth="1"/>
    <x:col min="33" max="36" width="9.140625" style="167"/>
    <x:col min="37" max="38" width="4.28515625" style="167" customWidth="1"/>
    <x:col min="39" max="39" width="4.140625" style="167" customWidth="1"/>
    <x:col min="40" max="16384" width="9.140625" style="167"/>
  </x:cols>
  <x:sheetData>
    <x:row r="1" spans="1:22" s="1129" customFormat="1" ht="18">
      <x:c r="A1" s="1655" t="str">
        <x:f>'ATT H-3D'!$A$4</x:f>
        <x:v>Delmarva Power &amp; Light Company</x:v>
      </x:c>
      <x:c r="B1" s="1655"/>
      <x:c r="C1" s="1655"/>
      <x:c r="D1" s="1655"/>
      <x:c r="E1" s="1655"/>
      <x:c r="F1" s="1655"/>
      <x:c r="G1" s="1655"/>
      <x:c r="H1" s="1655"/>
      <x:c r="I1" s="1655"/>
      <x:c r="J1" s="1655"/>
      <x:c r="K1" s="1655"/>
      <x:c r="L1" s="1655"/>
      <x:c r="M1" s="1655"/>
      <x:c r="N1" s="1655"/>
      <x:c r="O1" s="1655"/>
      <x:c r="P1" s="1655"/>
      <x:c r="Q1" s="1655"/>
    </x:row>
    <x:row r="2" spans="1:22" s="156" customFormat="1" ht="15.75">
      <x:c r="A2" s="1639" t="s">
        <x:v>46</x:v>
      </x:c>
      <x:c r="B2" s="1639"/>
      <x:c r="C2" s="1639"/>
      <x:c r="D2" s="1639"/>
      <x:c r="E2" s="1639"/>
      <x:c r="F2" s="1639"/>
      <x:c r="G2" s="1639"/>
      <x:c r="H2" s="1639"/>
      <x:c r="I2" s="1639"/>
      <x:c r="J2" s="1639"/>
      <x:c r="K2" s="1639"/>
      <x:c r="L2" s="1639"/>
      <x:c r="M2" s="1639"/>
      <x:c r="N2" s="1639"/>
      <x:c r="O2" s="1639"/>
      <x:c r="P2" s="1639"/>
      <x:c r="Q2" s="1639"/>
    </x:row>
    <x:row r="3" spans="1:22" ht="21" customHeight="1">
      <x:c r="A3" s="1193"/>
      <x:c r="B3" s="464"/>
      <x:c r="D3" s="6"/>
      <x:c r="E3" s="612"/>
      <x:c r="F3" s="613"/>
      <x:c r="G3" s="63"/>
      <x:c r="H3" s="6"/>
      <x:c r="I3" s="6"/>
      <x:c r="J3" s="6"/>
      <x:c r="K3" s="6"/>
      <x:c r="L3" s="6"/>
      <x:c r="M3" s="6"/>
      <x:c r="N3" s="6"/>
      <x:c r="O3" s="6"/>
      <x:c r="P3" s="6"/>
      <x:c r="Q3" s="358"/>
    </x:row>
    <x:row r="4" spans="1:22" ht="18.75" thickBot="1">
      <x:c r="A4" s="662" t="s">
        <x:v>47</x:v>
      </x:c>
      <x:c r="B4" s="464"/>
      <x:c r="D4" s="6"/>
      <x:c r="E4" s="612"/>
      <x:c r="F4" s="613"/>
      <x:c r="G4" s="6"/>
      <x:c r="H4" s="6"/>
      <x:c r="I4" s="6"/>
      <x:c r="J4" s="6"/>
      <x:c r="K4" s="6"/>
      <x:c r="L4" s="6"/>
      <x:c r="M4" s="6"/>
      <x:c r="N4" s="6"/>
      <x:c r="O4" s="6"/>
      <x:c r="P4" s="6"/>
      <x:c r="Q4" s="6"/>
    </x:row>
    <x:row r="5" spans="1:22" ht="26.25">
      <x:c r="A5" s="1664" t="s">
        <x:v>48</x:v>
      </x:c>
      <x:c r="B5" s="1665"/>
      <x:c r="C5" s="1665"/>
      <x:c r="D5" s="1665"/>
      <x:c r="E5" s="1665"/>
      <x:c r="F5" s="1666"/>
      <x:c r="G5" s="557" t="s">
        <x:v>49</x:v>
      </x:c>
      <x:c r="H5" s="1424" t="s">
        <x:v>50</x:v>
      </x:c>
      <x:c r="I5" s="1424" t="s">
        <x:v>51</x:v>
      </x:c>
      <x:c r="J5" s="1667" t="s">
        <x:v>18</x:v>
      </x:c>
      <x:c r="K5" s="1668"/>
      <x:c r="L5" s="1668"/>
      <x:c r="M5" s="1668"/>
      <x:c r="N5" s="1668"/>
      <x:c r="O5" s="1668"/>
      <x:c r="P5" s="1668"/>
      <x:c r="Q5" s="1669"/>
      <x:c r="U5" s="36"/>
      <x:c r="V5" s="36"/>
    </x:row>
    <x:row r="6" spans="1:22">
      <x:c r="A6" s="1194"/>
      <x:c r="B6" s="1444" t="s">
        <x:v>52</x:v>
      </x:c>
      <x:c r="C6" s="1445"/>
      <x:c r="D6" s="1445"/>
      <x:c r="E6" s="1446"/>
      <x:c r="F6" s="367"/>
      <x:c r="G6" s="365"/>
      <x:c r="H6" s="1445"/>
      <x:c r="I6" s="1445"/>
      <x:c r="J6" s="1670"/>
      <x:c r="K6" s="1659"/>
      <x:c r="L6" s="1659"/>
      <x:c r="M6" s="1659"/>
      <x:c r="N6" s="1659"/>
      <x:c r="O6" s="1659"/>
      <x:c r="P6" s="1659"/>
      <x:c r="Q6" s="1660"/>
    </x:row>
    <x:row r="7" spans="1:22" ht="15.75" customHeight="1">
      <x:c r="A7" s="1194">
        <x:v>10</x:v>
      </x:c>
      <x:c r="B7" s="1445"/>
      <x:c r="C7" s="1447" t="s">
        <x:v>143</x:v>
      </x:c>
      <x:c r="D7" s="1445"/>
      <x:c r="E7" s="1448" t="s">
        <x:v>743</x:v>
      </x:c>
      <x:c r="F7" s="615" t="s">
        <x:v>902</x:v>
      </x:c>
      <x:c r="G7" s="1061">
        <x:f>'9 - Rate Base'!$I$23</x:f>
        <x:v>3841807.1708584134</x:v>
      </x:c>
      <x:c r="H7" s="1449"/>
      <x:c r="I7" s="1449"/>
      <x:c r="J7" s="1671"/>
      <x:c r="K7" s="1672"/>
      <x:c r="L7" s="1672"/>
      <x:c r="M7" s="1672"/>
      <x:c r="N7" s="1672"/>
      <x:c r="O7" s="1672"/>
      <x:c r="P7" s="1672"/>
      <x:c r="Q7" s="1673"/>
    </x:row>
    <x:row r="8" spans="1:22">
      <x:c r="A8" s="1194">
        <x:v>11</x:v>
      </x:c>
      <x:c r="B8" s="1445"/>
      <x:c r="C8" s="1447" t="s">
        <x:v>255</x:v>
      </x:c>
      <x:c r="D8" s="1445"/>
      <x:c r="E8" s="1448" t="s">
        <x:v>743</x:v>
      </x:c>
      <x:c r="F8" s="615" t="s">
        <x:v>903</x:v>
      </x:c>
      <x:c r="G8" s="1061">
        <x:f>'9 - Rate Base'!$J$23</x:f>
        <x:v>56697809.500585996</x:v>
      </x:c>
      <x:c r="H8" s="1449"/>
      <x:c r="I8" s="1449"/>
      <x:c r="J8" s="1671"/>
      <x:c r="K8" s="1672"/>
      <x:c r="L8" s="1672"/>
      <x:c r="M8" s="1672"/>
      <x:c r="N8" s="1672"/>
      <x:c r="O8" s="1672"/>
      <x:c r="P8" s="1672"/>
      <x:c r="Q8" s="1673"/>
    </x:row>
    <x:row r="9" spans="1:22">
      <x:c r="A9" s="1194">
        <x:v>12</x:v>
      </x:c>
      <x:c r="B9" s="1445"/>
      <x:c r="C9" s="1447" t="s">
        <x:v>257</x:v>
      </x:c>
      <x:c r="D9" s="1445"/>
      <x:c r="E9" s="1448" t="s">
        <x:v>743</x:v>
      </x:c>
      <x:c r="F9" s="615" t="s">
        <x:v>904</x:v>
      </x:c>
      <x:c r="G9" s="1061">
        <x:f>'9 - Rate Base'!$H$23</x:f>
        <x:v>70401318.478665918</x:v>
      </x:c>
      <x:c r="H9" s="1449"/>
      <x:c r="I9" s="1449"/>
      <x:c r="J9" s="1671"/>
      <x:c r="K9" s="1672"/>
      <x:c r="L9" s="1672"/>
      <x:c r="M9" s="1672"/>
      <x:c r="N9" s="1672"/>
      <x:c r="O9" s="1672"/>
      <x:c r="P9" s="1672"/>
      <x:c r="Q9" s="1673"/>
    </x:row>
    <x:row r="10" spans="1:22">
      <x:c r="A10" s="1194"/>
      <x:c r="B10" s="1444" t="s">
        <x:v>53</x:v>
      </x:c>
      <x:c r="C10" s="1445"/>
      <x:c r="D10" s="1445"/>
      <x:c r="E10" s="1450"/>
      <x:c r="F10" s="615"/>
      <x:c r="G10" s="1060"/>
      <x:c r="H10" s="1445"/>
      <x:c r="I10" s="1445"/>
      <x:c r="J10" s="1451"/>
      <x:c r="K10" s="1452"/>
      <x:c r="L10" s="1452"/>
      <x:c r="M10" s="1452"/>
      <x:c r="N10" s="1452"/>
      <x:c r="O10" s="1452"/>
      <x:c r="P10" s="1452"/>
      <x:c r="Q10" s="1192"/>
    </x:row>
    <x:row r="11" spans="1:22">
      <x:c r="A11" s="1194">
        <x:v>24</x:v>
      </x:c>
      <x:c r="B11" s="1446"/>
      <x:c r="C11" s="1447" t="s">
        <x:v>267</x:v>
      </x:c>
      <x:c r="D11" s="1445"/>
      <x:c r="E11" s="1448" t="s">
        <x:v>749</x:v>
      </x:c>
      <x:c r="F11" s="615" t="s">
        <x:v>905</x:v>
      </x:c>
      <x:c r="G11" s="1061">
        <x:f>'9 - Rate Base'!$E$23</x:f>
        <x:v>248426689.49631014</x:v>
      </x:c>
      <x:c r="H11" s="1449"/>
      <x:c r="I11" s="1449"/>
      <x:c r="J11" s="1671"/>
      <x:c r="K11" s="1672"/>
      <x:c r="L11" s="1672"/>
      <x:c r="M11" s="1672"/>
      <x:c r="N11" s="1672"/>
      <x:c r="O11" s="1672"/>
      <x:c r="P11" s="1672"/>
      <x:c r="Q11" s="1673"/>
    </x:row>
    <x:row r="12" spans="1:22">
      <x:c r="A12" s="1194"/>
      <x:c r="B12" s="1453" t="s">
        <x:v>54</x:v>
      </x:c>
      <x:c r="C12" s="1447"/>
      <x:c r="D12" s="1445"/>
      <x:c r="E12" s="1454"/>
      <x:c r="F12" s="367"/>
      <x:c r="G12" s="1060"/>
      <x:c r="H12" s="1445"/>
      <x:c r="I12" s="1445"/>
      <x:c r="J12" s="1451"/>
      <x:c r="K12" s="1452"/>
      <x:c r="L12" s="1452"/>
      <x:c r="M12" s="1452"/>
      <x:c r="N12" s="1452"/>
      <x:c r="O12" s="1452"/>
      <x:c r="P12" s="1452"/>
      <x:c r="Q12" s="1192"/>
    </x:row>
    <x:row r="13" spans="1:22" ht="15.75" customHeight="1">
      <x:c r="A13" s="1194">
        <x:v>41</x:v>
      </x:c>
      <x:c r="B13" s="1445"/>
      <x:c r="C13" s="1447" t="s">
        <x:v>280</x:v>
      </x:c>
      <x:c r="D13" s="1455"/>
      <x:c r="E13" s="1448" t="s">
        <x:v>1500</x:v>
      </x:c>
      <x:c r="F13" s="615" t="s">
        <x:v>900</x:v>
      </x:c>
      <x:c r="G13" s="1061">
        <x:f>-'1B - ADIT EOY'!$E$285</x:f>
        <x:v>497362</x:v>
      </x:c>
      <x:c r="H13" s="1461">
        <x:f>G13</x:f>
        <x:v>497362</x:v>
      </x:c>
      <x:c r="I13" s="1449"/>
      <x:c r="J13" s="1671"/>
      <x:c r="K13" s="1672"/>
      <x:c r="L13" s="1672"/>
      <x:c r="M13" s="1672"/>
      <x:c r="N13" s="1672"/>
      <x:c r="O13" s="1672"/>
      <x:c r="P13" s="1672"/>
      <x:c r="Q13" s="1673"/>
    </x:row>
    <x:row r="14" spans="1:22">
      <x:c r="A14" s="1194"/>
      <x:c r="B14" s="1453" t="s">
        <x:v>55</x:v>
      </x:c>
      <x:c r="C14" s="1447"/>
      <x:c r="D14" s="1445"/>
      <x:c r="E14" s="1448"/>
      <x:c r="F14" s="617"/>
      <x:c r="G14" s="1060"/>
      <x:c r="H14" s="1445"/>
      <x:c r="I14" s="1445"/>
      <x:c r="J14" s="1451"/>
      <x:c r="K14" s="1452"/>
      <x:c r="L14" s="1452"/>
      <x:c r="M14" s="1452"/>
      <x:c r="N14" s="1452"/>
      <x:c r="O14" s="1452"/>
      <x:c r="P14" s="1452"/>
      <x:c r="Q14" s="1192"/>
    </x:row>
    <x:row r="15" spans="1:22" ht="15.75" customHeight="1">
      <x:c r="A15" s="1194">
        <x:v>47</x:v>
      </x:c>
      <x:c r="B15" s="1445"/>
      <x:c r="C15" s="1447" t="s">
        <x:v>291</x:v>
      </x:c>
      <x:c r="D15" s="1445"/>
      <x:c r="E15" s="1448" t="s">
        <x:v>743</x:v>
      </x:c>
      <x:c r="F15" s="367" t="s">
        <x:v>906</x:v>
      </x:c>
      <x:c r="G15" s="1061">
        <x:v>0</x:v>
      </x:c>
      <x:c r="H15" s="1449"/>
      <x:c r="I15" s="1449"/>
      <x:c r="J15" s="1671"/>
      <x:c r="K15" s="1672"/>
      <x:c r="L15" s="1672"/>
      <x:c r="M15" s="1672"/>
      <x:c r="N15" s="1672"/>
      <x:c r="O15" s="1672"/>
      <x:c r="P15" s="1672"/>
      <x:c r="Q15" s="1673"/>
    </x:row>
    <x:row r="16" spans="1:22">
      <x:c r="A16" s="1194"/>
      <x:c r="B16" s="1444" t="s">
        <x:v>56</x:v>
      </x:c>
      <x:c r="C16" s="1447"/>
      <x:c r="D16" s="1445"/>
      <x:c r="E16" s="1450"/>
      <x:c r="F16" s="367"/>
      <x:c r="G16" s="1062"/>
      <x:c r="H16" s="1445"/>
      <x:c r="I16" s="1445"/>
      <x:c r="J16" s="1451"/>
      <x:c r="K16" s="1452"/>
      <x:c r="L16" s="1452"/>
      <x:c r="M16" s="1452"/>
      <x:c r="N16" s="1452"/>
      <x:c r="O16" s="1452"/>
      <x:c r="P16" s="1452"/>
      <x:c r="Q16" s="1192"/>
    </x:row>
    <x:row r="17" spans="1:17">
      <x:c r="A17" s="1194">
        <x:v>65</x:v>
      </x:c>
      <x:c r="B17" s="1444"/>
      <x:c r="C17" s="1447" t="s">
        <x:v>313</x:v>
      </x:c>
      <x:c r="D17" s="1445"/>
      <x:c r="E17" s="1448" t="s">
        <x:v>743</x:v>
      </x:c>
      <x:c r="F17" s="615" t="s">
        <x:v>314</x:v>
      </x:c>
      <x:c r="G17" s="1063"/>
      <x:c r="H17" s="1449"/>
      <x:c r="I17" s="1449"/>
      <x:c r="J17" s="1451"/>
      <x:c r="K17" s="1452"/>
      <x:c r="L17" s="1452"/>
      <x:c r="M17" s="1452"/>
      <x:c r="N17" s="1452"/>
      <x:c r="O17" s="1452"/>
      <x:c r="P17" s="1452"/>
      <x:c r="Q17" s="1192"/>
    </x:row>
    <x:row r="18" spans="1:17" ht="16.5" customHeight="1" thickBot="1">
      <x:c r="A18" s="1195">
        <x:v>67</x:v>
      </x:c>
      <x:c r="B18" s="618"/>
      <x:c r="C18" s="604" t="s">
        <x:v>315</x:v>
      </x:c>
      <x:c r="D18" s="8"/>
      <x:c r="E18" s="619" t="s">
        <x:v>743</x:v>
      </x:c>
      <x:c r="F18" s="369" t="s">
        <x:v>256</x:v>
      </x:c>
      <x:c r="G18" s="1064"/>
      <x:c r="H18" s="546"/>
      <x:c r="I18" s="546"/>
      <x:c r="J18" s="1674"/>
      <x:c r="K18" s="1675"/>
      <x:c r="L18" s="1675"/>
      <x:c r="M18" s="1675"/>
      <x:c r="N18" s="1675"/>
      <x:c r="O18" s="1675"/>
      <x:c r="P18" s="1675"/>
      <x:c r="Q18" s="1676"/>
    </x:row>
    <x:row r="19" spans="1:17">
      <x:c r="G19" s="6"/>
      <x:c r="H19" s="6"/>
      <x:c r="I19" s="6"/>
      <x:c r="J19" s="6"/>
      <x:c r="K19" s="6"/>
      <x:c r="L19" s="6"/>
      <x:c r="M19" s="6"/>
      <x:c r="N19" s="6"/>
      <x:c r="O19" s="6"/>
      <x:c r="P19" s="6"/>
      <x:c r="Q19" s="6"/>
    </x:row>
    <x:row r="20" spans="1:17">
      <x:c r="G20" s="6"/>
      <x:c r="H20" s="6"/>
      <x:c r="I20" s="6"/>
      <x:c r="J20" s="6"/>
      <x:c r="K20" s="6"/>
      <x:c r="L20" s="6"/>
      <x:c r="M20" s="6"/>
      <x:c r="N20" s="6"/>
      <x:c r="O20" s="6"/>
      <x:c r="P20" s="6"/>
      <x:c r="Q20" s="6"/>
    </x:row>
    <x:row r="21" spans="1:17" ht="18.75" thickBot="1">
      <x:c r="A21" s="662" t="s">
        <x:v>58</x:v>
      </x:c>
      <x:c r="G21" s="6"/>
      <x:c r="H21" s="6"/>
      <x:c r="I21" s="6"/>
      <x:c r="J21" s="6"/>
      <x:c r="K21" s="6"/>
      <x:c r="L21" s="6"/>
      <x:c r="M21" s="6"/>
      <x:c r="N21" s="6"/>
      <x:c r="O21" s="6"/>
      <x:c r="P21" s="6"/>
      <x:c r="Q21" s="6"/>
    </x:row>
    <x:row r="22" spans="1:17" ht="25.5">
      <x:c r="A22" s="1664" t="s">
        <x:v>48</x:v>
      </x:c>
      <x:c r="B22" s="1665"/>
      <x:c r="C22" s="1665"/>
      <x:c r="D22" s="1665"/>
      <x:c r="E22" s="1665"/>
      <x:c r="F22" s="1666"/>
      <x:c r="G22" s="1424" t="s">
        <x:v>49</x:v>
      </x:c>
      <x:c r="H22" s="1424" t="s">
        <x:v>59</x:v>
      </x:c>
      <x:c r="I22" s="1424" t="s">
        <x:v>60</x:v>
      </x:c>
      <x:c r="J22" s="1667" t="s">
        <x:v>18</x:v>
      </x:c>
      <x:c r="K22" s="1668"/>
      <x:c r="L22" s="1668"/>
      <x:c r="M22" s="1668"/>
      <x:c r="N22" s="1668"/>
      <x:c r="O22" s="1668"/>
      <x:c r="P22" s="1668"/>
      <x:c r="Q22" s="1669"/>
    </x:row>
    <x:row r="23" spans="1:17">
      <x:c r="A23" s="1194">
        <x:v>28</x:v>
      </x:c>
      <x:c r="B23" s="1446"/>
      <x:c r="C23" s="1453" t="s">
        <x:v>271</x:v>
      </x:c>
      <x:c r="D23" s="1456"/>
      <x:c r="E23" s="1448" t="s">
        <x:v>64</x:v>
      </x:c>
      <x:c r="F23" s="622" t="s">
        <x:v>907</x:v>
      </x:c>
      <x:c r="G23" s="1457">
        <x:v>20786706</x:v>
      </x:c>
      <x:c r="H23" s="1457">
        <x:v>5435571</x:v>
      </x:c>
      <x:c r="I23" s="1458">
        <x:f>G23-H23</x:f>
        <x:v>15351135</x:v>
      </x:c>
      <x:c r="J23" s="1659" t="s">
        <x:v>61</x:v>
      </x:c>
      <x:c r="K23" s="1659"/>
      <x:c r="L23" s="1659"/>
      <x:c r="M23" s="1659"/>
      <x:c r="N23" s="1659"/>
      <x:c r="O23" s="1659"/>
      <x:c r="P23" s="1659"/>
      <x:c r="Q23" s="1660"/>
    </x:row>
    <x:row r="24" spans="1:17">
      <x:c r="A24" s="1194"/>
      <x:c r="B24" s="1459"/>
      <x:c r="C24" s="1447"/>
      <x:c r="D24" s="1445"/>
      <x:c r="E24" s="1448"/>
      <x:c r="F24" s="623"/>
      <x:c r="G24" s="1445"/>
      <x:c r="H24" s="1460"/>
      <x:c r="I24" s="1445"/>
      <x:c r="J24" s="1445">
        <x:v>1</x:v>
      </x:c>
      <x:c r="K24" s="1445" t="s">
        <x:v>1872</x:v>
      </x:c>
      <x:c r="L24" s="1445"/>
      <x:c r="M24" s="1445"/>
      <x:c r="N24" s="1445"/>
      <x:c r="O24" s="1445"/>
      <x:c r="P24" s="1445"/>
      <x:c r="Q24" s="367"/>
    </x:row>
    <x:row r="25" spans="1:17">
      <x:c r="A25" s="1194"/>
      <x:c r="B25" s="1459"/>
      <x:c r="C25" s="1447"/>
      <x:c r="D25" s="1445"/>
      <x:c r="E25" s="1448"/>
      <x:c r="F25" s="623"/>
      <x:c r="G25" s="1445"/>
      <x:c r="H25" s="1460"/>
      <x:c r="I25" s="1445"/>
      <x:c r="J25" s="1445">
        <x:v>2</x:v>
      </x:c>
      <x:c r="K25" s="1445"/>
      <x:c r="L25" s="1445"/>
      <x:c r="M25" s="1445"/>
      <x:c r="N25" s="1445"/>
      <x:c r="O25" s="1445"/>
      <x:c r="P25" s="1445"/>
      <x:c r="Q25" s="367"/>
    </x:row>
    <x:row r="26" spans="1:17">
      <x:c r="A26" s="1194"/>
      <x:c r="B26" s="1459"/>
      <x:c r="C26" s="1447"/>
      <x:c r="D26" s="1445"/>
      <x:c r="E26" s="1448"/>
      <x:c r="F26" s="623"/>
      <x:c r="G26" s="1445"/>
      <x:c r="H26" s="1460"/>
      <x:c r="I26" s="1445"/>
      <x:c r="J26" s="1445">
        <x:v>3</x:v>
      </x:c>
      <x:c r="K26" s="1445"/>
      <x:c r="L26" s="1445"/>
      <x:c r="M26" s="1445"/>
      <x:c r="N26" s="1445"/>
      <x:c r="O26" s="1445"/>
      <x:c r="P26" s="1445"/>
      <x:c r="Q26" s="367"/>
    </x:row>
    <x:row r="27" spans="1:17" ht="13.5" thickBot="1">
      <x:c r="A27" s="1196"/>
      <x:c r="B27" s="620"/>
      <x:c r="C27" s="620"/>
      <x:c r="D27" s="620"/>
      <x:c r="E27" s="620"/>
      <x:c r="F27" s="621"/>
      <x:c r="G27" s="8"/>
      <x:c r="H27" s="8"/>
      <x:c r="I27" s="8"/>
      <x:c r="J27" s="8">
        <x:v>4</x:v>
      </x:c>
      <x:c r="K27" s="8"/>
      <x:c r="L27" s="8"/>
      <x:c r="M27" s="8"/>
      <x:c r="N27" s="8"/>
      <x:c r="O27" s="8"/>
      <x:c r="P27" s="8"/>
      <x:c r="Q27" s="369"/>
    </x:row>
    <x:row r="28" spans="1:17">
      <x:c r="G28" s="6"/>
      <x:c r="H28" s="6"/>
      <x:c r="I28" s="6"/>
      <x:c r="J28" s="6"/>
      <x:c r="K28" s="6"/>
      <x:c r="L28" s="6"/>
      <x:c r="M28" s="6"/>
      <x:c r="N28" s="6"/>
      <x:c r="O28" s="6"/>
      <x:c r="P28" s="6"/>
      <x:c r="Q28" s="6"/>
    </x:row>
    <x:row r="29" spans="1:17">
      <x:c r="G29" s="6"/>
      <x:c r="H29" s="6"/>
      <x:c r="I29" s="6"/>
      <x:c r="J29" s="6"/>
      <x:c r="K29" s="6"/>
      <x:c r="L29" s="6"/>
      <x:c r="M29" s="6"/>
      <x:c r="N29" s="6"/>
      <x:c r="O29" s="6"/>
      <x:c r="P29" s="6"/>
      <x:c r="Q29" s="6"/>
    </x:row>
    <x:row r="30" spans="1:17" ht="18.75" thickBot="1">
      <x:c r="A30" s="662" t="s">
        <x:v>66</x:v>
      </x:c>
      <x:c r="G30" s="6"/>
      <x:c r="H30" s="6"/>
      <x:c r="I30" s="6"/>
      <x:c r="J30" s="6"/>
      <x:c r="K30" s="6"/>
      <x:c r="L30" s="6"/>
      <x:c r="M30" s="6"/>
      <x:c r="N30" s="6"/>
      <x:c r="O30" s="6"/>
      <x:c r="P30" s="6"/>
      <x:c r="Q30" s="6"/>
    </x:row>
    <x:row r="31" spans="1:17" ht="25.5">
      <x:c r="A31" s="1664" t="s">
        <x:v>48</x:v>
      </x:c>
      <x:c r="B31" s="1665"/>
      <x:c r="C31" s="1665"/>
      <x:c r="D31" s="1665"/>
      <x:c r="E31" s="1665"/>
      <x:c r="F31" s="1666"/>
      <x:c r="G31" s="1424" t="s">
        <x:v>49</x:v>
      </x:c>
      <x:c r="H31" s="1424" t="s">
        <x:v>67</x:v>
      </x:c>
      <x:c r="I31" s="1424" t="s">
        <x:v>68</x:v>
      </x:c>
      <x:c r="J31" s="1667" t="s">
        <x:v>18</x:v>
      </x:c>
      <x:c r="K31" s="1668"/>
      <x:c r="L31" s="1668"/>
      <x:c r="M31" s="1668"/>
      <x:c r="N31" s="1668"/>
      <x:c r="O31" s="1668"/>
      <x:c r="P31" s="1668"/>
      <x:c r="Q31" s="1669"/>
    </x:row>
    <x:row r="32" spans="1:17">
      <x:c r="A32" s="1194"/>
      <x:c r="B32" s="1444" t="s">
        <x:v>52</x:v>
      </x:c>
      <x:c r="C32" s="1447"/>
      <x:c r="D32" s="1445"/>
      <x:c r="E32" s="1446"/>
      <x:c r="F32" s="367"/>
      <x:c r="G32" s="1445"/>
      <x:c r="H32" s="1445"/>
      <x:c r="I32" s="1445"/>
      <x:c r="J32" s="1677"/>
      <x:c r="K32" s="1659"/>
      <x:c r="L32" s="1659"/>
      <x:c r="M32" s="1659"/>
      <x:c r="N32" s="1659"/>
      <x:c r="O32" s="1659"/>
      <x:c r="P32" s="1659"/>
      <x:c r="Q32" s="1660"/>
    </x:row>
    <x:row r="33" spans="1:19" ht="15.75" customHeight="1">
      <x:c r="A33" s="1194">
        <x:v>6</x:v>
      </x:c>
      <x:c r="B33" s="1445"/>
      <x:c r="C33" s="1447" t="s">
        <x:v>141</x:v>
      </x:c>
      <x:c r="D33" s="1445"/>
      <x:c r="E33" s="1448" t="s">
        <x:v>285</x:v>
      </x:c>
      <x:c r="F33" s="623" t="s">
        <x:v>901</x:v>
      </x:c>
      <x:c r="G33" s="1461">
        <x:f>'9A - Gross Plant &amp; ARO'!$C$23</x:f>
        <x:v>6378772197.4676085</x:v>
      </x:c>
      <x:c r="H33" s="1462"/>
      <x:c r="I33" s="1449"/>
      <x:c r="J33" s="1659"/>
      <x:c r="K33" s="1659"/>
      <x:c r="L33" s="1659"/>
      <x:c r="M33" s="1659"/>
      <x:c r="N33" s="1659"/>
      <x:c r="O33" s="1659"/>
      <x:c r="P33" s="1659"/>
      <x:c r="Q33" s="1660"/>
    </x:row>
    <x:row r="34" spans="1:19">
      <x:c r="A34" s="1194"/>
      <x:c r="B34" s="1444" t="s">
        <x:v>53</x:v>
      </x:c>
      <x:c r="C34" s="1447"/>
      <x:c r="D34" s="1445"/>
      <x:c r="E34" s="1450"/>
      <x:c r="F34" s="622"/>
      <x:c r="G34" s="1065"/>
      <x:c r="H34" s="1445"/>
      <x:c r="I34" s="1445"/>
      <x:c r="J34" s="1659"/>
      <x:c r="K34" s="1659"/>
      <x:c r="L34" s="1659"/>
      <x:c r="M34" s="1659"/>
      <x:c r="N34" s="1659"/>
      <x:c r="O34" s="1659"/>
      <x:c r="P34" s="1659"/>
      <x:c r="Q34" s="1660"/>
    </x:row>
    <x:row r="35" spans="1:19">
      <x:c r="A35" s="1194">
        <x:v>19</x:v>
      </x:c>
      <x:c r="B35" s="1446"/>
      <x:c r="C35" s="1447" t="s">
        <x:v>264</x:v>
      </x:c>
      <x:c r="D35" s="1445"/>
      <x:c r="E35" s="1448" t="s">
        <x:v>285</x:v>
      </x:c>
      <x:c r="F35" s="622" t="s">
        <x:v>908</x:v>
      </x:c>
      <x:c r="G35" s="1065">
        <x:f>'9 - Rate Base'!$C$23</x:f>
        <x:v>2320095327.297183</x:v>
      </x:c>
      <x:c r="H35" s="1446"/>
      <x:c r="I35" s="1446"/>
      <x:c r="J35" s="1659" t="s">
        <x:v>69</x:v>
      </x:c>
      <x:c r="K35" s="1659"/>
      <x:c r="L35" s="1659"/>
      <x:c r="M35" s="1659"/>
      <x:c r="N35" s="1659"/>
      <x:c r="O35" s="1659"/>
      <x:c r="P35" s="1659"/>
      <x:c r="Q35" s="1660"/>
    </x:row>
    <x:row r="36" spans="1:19">
      <x:c r="A36" s="1194">
        <x:v>24</x:v>
      </x:c>
      <x:c r="B36" s="1445"/>
      <x:c r="C36" s="1447" t="s">
        <x:v>267</x:v>
      </x:c>
      <x:c r="D36" s="1445"/>
      <x:c r="E36" s="1448" t="s">
        <x:v>749</x:v>
      </x:c>
      <x:c r="F36" s="622" t="s">
        <x:v>905</x:v>
      </x:c>
      <x:c r="G36" s="1065">
        <x:f>'9 - Rate Base'!$E$23</x:f>
        <x:v>248426689.49631014</x:v>
      </x:c>
      <x:c r="H36" s="1446"/>
      <x:c r="I36" s="1446"/>
      <x:c r="J36" s="1659"/>
      <x:c r="K36" s="1659"/>
      <x:c r="L36" s="1659"/>
      <x:c r="M36" s="1659"/>
      <x:c r="N36" s="1659"/>
      <x:c r="O36" s="1659"/>
      <x:c r="P36" s="1659"/>
      <x:c r="Q36" s="1660"/>
    </x:row>
    <x:row r="37" spans="1:19">
      <x:c r="A37" s="1194"/>
      <x:c r="B37" s="1444" t="s">
        <x:v>70</x:v>
      </x:c>
      <x:c r="C37" s="1453"/>
      <x:c r="D37" s="1463"/>
      <x:c r="E37" s="1450"/>
      <x:c r="F37" s="622"/>
      <x:c r="G37" s="1464"/>
      <x:c r="H37" s="1445"/>
      <x:c r="I37" s="1445"/>
      <x:c r="J37" s="1445"/>
      <x:c r="K37" s="1445"/>
      <x:c r="L37" s="1445"/>
      <x:c r="M37" s="1445"/>
      <x:c r="N37" s="1445"/>
      <x:c r="O37" s="1445"/>
      <x:c r="P37" s="1445"/>
      <x:c r="Q37" s="367"/>
    </x:row>
    <x:row r="38" spans="1:19" ht="13.5" thickBot="1">
      <x:c r="A38" s="1195">
        <x:v>30</x:v>
      </x:c>
      <x:c r="B38" s="548"/>
      <x:c r="C38" s="604" t="s">
        <x:v>273</x:v>
      </x:c>
      <x:c r="D38" s="8"/>
      <x:c r="E38" s="619" t="s">
        <x:v>285</x:v>
      </x:c>
      <x:c r="F38" s="624" t="s">
        <x:v>909</x:v>
      </x:c>
      <x:c r="G38" s="1066">
        <x:f>'9 - Rate Base'!$F$23</x:f>
        <x:v>631400292.52075946</x:v>
      </x:c>
      <x:c r="H38" s="548"/>
      <x:c r="I38" s="548"/>
      <x:c r="J38" s="1662" t="s">
        <x:v>69</x:v>
      </x:c>
      <x:c r="K38" s="1662"/>
      <x:c r="L38" s="1662"/>
      <x:c r="M38" s="1662"/>
      <x:c r="N38" s="1662"/>
      <x:c r="O38" s="1662"/>
      <x:c r="P38" s="1662"/>
      <x:c r="Q38" s="1663"/>
    </x:row>
    <x:row r="39" spans="1:19">
      <x:c r="G39" s="6"/>
      <x:c r="H39" s="6"/>
      <x:c r="I39" s="6"/>
      <x:c r="J39" s="6"/>
      <x:c r="K39" s="6"/>
      <x:c r="L39" s="6"/>
      <x:c r="M39" s="6"/>
      <x:c r="N39" s="6"/>
      <x:c r="O39" s="6"/>
      <x:c r="P39" s="6"/>
      <x:c r="Q39" s="6"/>
    </x:row>
    <x:row r="40" spans="1:19">
      <x:c r="G40" s="6"/>
      <x:c r="H40" s="6"/>
      <x:c r="I40" s="6"/>
      <x:c r="J40" s="6"/>
      <x:c r="K40" s="6"/>
      <x:c r="L40" s="6"/>
      <x:c r="M40" s="6"/>
      <x:c r="N40" s="6"/>
      <x:c r="O40" s="6"/>
      <x:c r="P40" s="6"/>
      <x:c r="Q40" s="6"/>
    </x:row>
    <x:row r="41" spans="1:19" ht="18.75" thickBot="1">
      <x:c r="A41" s="662" t="s">
        <x:v>71</x:v>
      </x:c>
      <x:c r="G41" s="6"/>
      <x:c r="H41" s="6"/>
      <x:c r="I41" s="6"/>
      <x:c r="J41" s="6"/>
      <x:c r="K41" s="6"/>
      <x:c r="L41" s="6"/>
      <x:c r="M41" s="6"/>
      <x:c r="N41" s="6"/>
      <x:c r="O41" s="6"/>
      <x:c r="P41" s="6"/>
      <x:c r="Q41" s="6"/>
      <x:c r="S41" s="180"/>
    </x:row>
    <x:row r="42" spans="1:19">
      <x:c r="A42" s="1664" t="s">
        <x:v>48</x:v>
      </x:c>
      <x:c r="B42" s="1665"/>
      <x:c r="C42" s="1665"/>
      <x:c r="D42" s="1665"/>
      <x:c r="E42" s="1665"/>
      <x:c r="F42" s="1666"/>
      <x:c r="G42" s="1424" t="s">
        <x:v>49</x:v>
      </x:c>
      <x:c r="H42" s="1424" t="s">
        <x:v>72</x:v>
      </x:c>
      <x:c r="I42" s="1424"/>
      <x:c r="J42" s="1667" t="s">
        <x:v>18</x:v>
      </x:c>
      <x:c r="K42" s="1668"/>
      <x:c r="L42" s="1668"/>
      <x:c r="M42" s="1668"/>
      <x:c r="N42" s="1668"/>
      <x:c r="O42" s="1668"/>
      <x:c r="P42" s="1668"/>
      <x:c r="Q42" s="1669"/>
    </x:row>
    <x:row r="43" spans="1:19">
      <x:c r="A43" s="1194"/>
      <x:c r="B43" s="1444" t="s">
        <x:v>56</x:v>
      </x:c>
      <x:c r="C43" s="1445"/>
      <x:c r="D43" s="1445"/>
      <x:c r="E43" s="1449"/>
      <x:c r="F43" s="367"/>
      <x:c r="G43" s="1445"/>
      <x:c r="H43" s="1445"/>
      <x:c r="I43" s="1445"/>
      <x:c r="J43" s="1677"/>
      <x:c r="K43" s="1659"/>
      <x:c r="L43" s="1659"/>
      <x:c r="M43" s="1659"/>
      <x:c r="N43" s="1659"/>
      <x:c r="O43" s="1659"/>
      <x:c r="P43" s="1659"/>
      <x:c r="Q43" s="1660"/>
    </x:row>
    <x:row r="44" spans="1:19" ht="13.5" thickBot="1">
      <x:c r="A44" s="1195">
        <x:v>73</x:v>
      </x:c>
      <x:c r="B44" s="548"/>
      <x:c r="C44" s="604" t="s">
        <x:v>326</x:v>
      </x:c>
      <x:c r="D44" s="1286"/>
      <x:c r="E44" s="619" t="s">
        <x:v>755</x:v>
      </x:c>
      <x:c r="F44" s="624" t="s">
        <x:v>327</x:v>
      </x:c>
      <x:c r="G44" s="1067">
        <x:v>208472</x:v>
      </x:c>
      <x:c r="H44" s="1067">
        <x:v>72965</x:v>
      </x:c>
      <x:c r="I44" s="548"/>
      <x:c r="J44" s="1662" t="s">
        <x:v>1871</x:v>
      </x:c>
      <x:c r="K44" s="1662"/>
      <x:c r="L44" s="1662"/>
      <x:c r="M44" s="1662"/>
      <x:c r="N44" s="1662"/>
      <x:c r="O44" s="1662"/>
      <x:c r="P44" s="1662"/>
      <x:c r="Q44" s="1663"/>
    </x:row>
    <x:row r="45" spans="1:19">
      <x:c r="G45" s="6"/>
      <x:c r="H45" s="6"/>
      <x:c r="I45" s="6"/>
      <x:c r="J45" s="6"/>
      <x:c r="K45" s="6"/>
      <x:c r="L45" s="6"/>
      <x:c r="M45" s="6"/>
      <x:c r="N45" s="6"/>
      <x:c r="O45" s="6"/>
      <x:c r="P45" s="6"/>
      <x:c r="Q45" s="6"/>
    </x:row>
    <x:row r="46" spans="1:19">
      <x:c r="G46" s="6"/>
      <x:c r="H46" s="6"/>
      <x:c r="I46" s="6"/>
      <x:c r="J46" s="6"/>
      <x:c r="K46" s="6"/>
      <x:c r="L46" s="6"/>
      <x:c r="M46" s="6"/>
      <x:c r="N46" s="6"/>
      <x:c r="O46" s="6"/>
      <x:c r="P46" s="6"/>
      <x:c r="Q46" s="6"/>
    </x:row>
    <x:row r="47" spans="1:19" ht="18.75" thickBot="1">
      <x:c r="A47" s="662" t="s">
        <x:v>73</x:v>
      </x:c>
      <x:c r="G47" s="6"/>
      <x:c r="H47" s="6"/>
      <x:c r="I47" s="6"/>
      <x:c r="J47" s="6"/>
      <x:c r="K47" s="6"/>
      <x:c r="L47" s="6"/>
      <x:c r="M47" s="6"/>
      <x:c r="N47" s="6"/>
      <x:c r="O47" s="6"/>
      <x:c r="P47" s="6"/>
      <x:c r="Q47" s="6"/>
    </x:row>
    <x:row r="48" spans="1:19" ht="25.5">
      <x:c r="A48" s="1664" t="s">
        <x:v>48</x:v>
      </x:c>
      <x:c r="B48" s="1665"/>
      <x:c r="C48" s="1665"/>
      <x:c r="D48" s="1665"/>
      <x:c r="E48" s="1665"/>
      <x:c r="F48" s="1666"/>
      <x:c r="G48" s="1424" t="s">
        <x:v>49</x:v>
      </x:c>
      <x:c r="H48" s="1424" t="s">
        <x:v>59</x:v>
      </x:c>
      <x:c r="I48" s="1424" t="s">
        <x:v>60</x:v>
      </x:c>
      <x:c r="J48" s="1667" t="s">
        <x:v>18</x:v>
      </x:c>
      <x:c r="K48" s="1668"/>
      <x:c r="L48" s="1668"/>
      <x:c r="M48" s="1668"/>
      <x:c r="N48" s="1668"/>
      <x:c r="O48" s="1668"/>
      <x:c r="P48" s="1668"/>
      <x:c r="Q48" s="1669"/>
    </x:row>
    <x:row r="49" spans="1:17">
      <x:c r="A49" s="1194"/>
      <x:c r="B49" s="1444" t="s">
        <x:v>56</x:v>
      </x:c>
      <x:c r="C49" s="1445"/>
      <x:c r="D49" s="1445"/>
      <x:c r="E49" s="1449"/>
      <x:c r="F49" s="367"/>
      <x:c r="G49" s="1445"/>
      <x:c r="H49" s="1445"/>
      <x:c r="I49" s="1445"/>
      <x:c r="J49" s="1445"/>
      <x:c r="K49" s="1445"/>
      <x:c r="L49" s="1445"/>
      <x:c r="M49" s="1445"/>
      <x:c r="N49" s="1445"/>
      <x:c r="O49" s="1445"/>
      <x:c r="P49" s="1445"/>
      <x:c r="Q49" s="367"/>
    </x:row>
    <x:row r="50" spans="1:17">
      <x:c r="A50" s="1194">
        <x:v>70</x:v>
      </x:c>
      <x:c r="B50" s="1446"/>
      <x:c r="C50" s="1447" t="s">
        <x:v>321</x:v>
      </x:c>
      <x:c r="D50" s="1465"/>
      <x:c r="E50" s="1448" t="s">
        <x:v>754</x:v>
      </x:c>
      <x:c r="F50" s="623" t="s">
        <x:v>65</x:v>
      </x:c>
      <x:c r="G50" s="1061">
        <x:f>'11B - A&amp;G'!E18</x:f>
        <x:v>1394524.5000000002</x:v>
      </x:c>
      <x:c r="H50" s="1458">
        <x:f>'11B - A&amp;G'!J18</x:f>
        <x:v>266043.89</x:v>
      </x:c>
      <x:c r="I50" s="1458">
        <x:f>G50-H50</x:f>
        <x:v>1128480.6100000003</x:v>
      </x:c>
      <x:c r="J50" s="1447" t="s">
        <x:v>1900</x:v>
      </x:c>
      <x:c r="K50" s="1466"/>
      <x:c r="L50" s="1466"/>
      <x:c r="M50" s="1466"/>
      <x:c r="N50" s="1466"/>
      <x:c r="O50" s="1466"/>
      <x:c r="P50" s="1466"/>
      <x:c r="Q50" s="550"/>
    </x:row>
    <x:row r="51" spans="1:17">
      <x:c r="A51" s="1194"/>
      <x:c r="B51" s="1444" t="s">
        <x:v>62</x:v>
      </x:c>
      <x:c r="C51" s="1447"/>
      <x:c r="D51" s="1456"/>
      <x:c r="E51" s="1450"/>
      <x:c r="F51" s="623"/>
      <x:c r="G51" s="1467"/>
      <x:c r="H51" s="1468"/>
      <x:c r="I51" s="1468"/>
      <x:c r="J51" s="1445"/>
      <x:c r="K51" s="1445"/>
      <x:c r="L51" s="1445"/>
      <x:c r="M51" s="1445"/>
      <x:c r="N51" s="1445"/>
      <x:c r="O51" s="1445"/>
      <x:c r="P51" s="1445"/>
      <x:c r="Q51" s="367"/>
    </x:row>
    <x:row r="52" spans="1:17" ht="13.5" thickBot="1">
      <x:c r="A52" s="1195">
        <x:v>77</x:v>
      </x:c>
      <x:c r="B52" s="618"/>
      <x:c r="C52" s="604" t="s">
        <x:v>63</x:v>
      </x:c>
      <x:c r="D52" s="1286"/>
      <x:c r="E52" s="619" t="s">
        <x:v>757</x:v>
      </x:c>
      <x:c r="F52" s="605" t="s">
        <x:v>65</x:v>
      </x:c>
      <x:c r="G52" s="1068">
        <x:f>'11B - A&amp;G'!E18</x:f>
        <x:v>1394524.5000000002</x:v>
      </x:c>
      <x:c r="H52" s="1068">
        <x:f>H50</x:f>
        <x:v>266043.89</x:v>
      </x:c>
      <x:c r="I52" s="1068">
        <x:f>G52-H52</x:f>
        <x:v>1128480.6100000003</x:v>
      </x:c>
      <x:c r="J52" s="1682" t="s">
        <x:v>1900</x:v>
      </x:c>
      <x:c r="K52" s="1682"/>
      <x:c r="L52" s="1682"/>
      <x:c r="M52" s="1682"/>
      <x:c r="N52" s="1682"/>
      <x:c r="O52" s="1682"/>
      <x:c r="P52" s="1682"/>
      <x:c r="Q52" s="1683"/>
    </x:row>
    <x:row r="53" spans="1:17">
      <x:c r="G53" s="6"/>
      <x:c r="H53" s="6"/>
      <x:c r="I53" s="6"/>
      <x:c r="J53" s="6"/>
      <x:c r="K53" s="6"/>
      <x:c r="L53" s="6"/>
      <x:c r="M53" s="6"/>
      <x:c r="N53" s="6"/>
      <x:c r="O53" s="6"/>
      <x:c r="P53" s="6"/>
      <x:c r="Q53" s="6"/>
    </x:row>
    <x:row r="54" spans="1:17">
      <x:c r="G54" s="6"/>
      <x:c r="H54" s="6"/>
      <x:c r="I54" s="6"/>
      <x:c r="J54" s="6"/>
      <x:c r="K54" s="6"/>
      <x:c r="L54" s="6"/>
      <x:c r="M54" s="6"/>
      <x:c r="N54" s="6"/>
      <x:c r="O54" s="6"/>
      <x:c r="P54" s="6"/>
      <x:c r="Q54" s="6"/>
    </x:row>
    <x:row r="55" spans="1:17" ht="18.75" thickBot="1">
      <x:c r="A55" s="662" t="s">
        <x:v>74</x:v>
      </x:c>
      <x:c r="G55" s="6"/>
      <x:c r="H55" s="6"/>
      <x:c r="I55" s="6"/>
      <x:c r="J55" s="6"/>
      <x:c r="K55" s="6"/>
      <x:c r="L55" s="6"/>
      <x:c r="M55" s="6"/>
      <x:c r="N55" s="6"/>
      <x:c r="O55" s="6"/>
      <x:c r="P55" s="6"/>
      <x:c r="Q55" s="6"/>
    </x:row>
    <x:row r="56" spans="1:17" ht="42" customHeight="1">
      <x:c r="A56" s="1664" t="s">
        <x:v>48</x:v>
      </x:c>
      <x:c r="B56" s="1665"/>
      <x:c r="C56" s="1665"/>
      <x:c r="D56" s="1665"/>
      <x:c r="E56" s="1665"/>
      <x:c r="F56" s="1666"/>
      <x:c r="G56" s="1424" t="s">
        <x:v>49</x:v>
      </x:c>
      <x:c r="H56" s="1424" t="s">
        <x:v>75</x:v>
      </x:c>
      <x:c r="I56" s="1424" t="s">
        <x:v>76</x:v>
      </x:c>
      <x:c r="J56" s="1667" t="s">
        <x:v>18</x:v>
      </x:c>
      <x:c r="K56" s="1668"/>
      <x:c r="L56" s="1668"/>
      <x:c r="M56" s="1668"/>
      <x:c r="N56" s="1668"/>
      <x:c r="O56" s="1668"/>
      <x:c r="P56" s="1668"/>
      <x:c r="Q56" s="1669"/>
    </x:row>
    <x:row r="57" spans="1:17">
      <x:c r="A57" s="1194"/>
      <x:c r="B57" s="1444" t="s">
        <x:v>62</x:v>
      </x:c>
      <x:c r="C57" s="1445"/>
      <x:c r="D57" s="1445"/>
      <x:c r="E57" s="1449"/>
      <x:c r="F57" s="367"/>
      <x:c r="G57" s="1445"/>
      <x:c r="H57" s="1445"/>
      <x:c r="I57" s="1445"/>
      <x:c r="J57" s="1445"/>
      <x:c r="K57" s="1445"/>
      <x:c r="L57" s="1445"/>
      <x:c r="M57" s="1445"/>
      <x:c r="N57" s="1445"/>
      <x:c r="O57" s="1445"/>
      <x:c r="P57" s="1445"/>
      <x:c r="Q57" s="367"/>
    </x:row>
    <x:row r="58" spans="1:17" ht="13.5" thickBot="1">
      <x:c r="A58" s="1195">
        <x:v>81</x:v>
      </x:c>
      <x:c r="B58" s="618"/>
      <x:c r="C58" s="604" t="s">
        <x:v>330</x:v>
      </x:c>
      <x:c r="D58" s="1286"/>
      <x:c r="E58" s="619" t="s">
        <x:v>588</x:v>
      </x:c>
      <x:c r="F58" s="605" t="s">
        <x:v>323</x:v>
      </x:c>
      <x:c r="G58" s="1069">
        <x:f>'11B - A&amp;G'!E20</x:f>
        <x:v>836691.13800000004</x:v>
      </x:c>
      <x:c r="H58" s="551"/>
      <x:c r="I58" s="551"/>
      <x:c r="J58" s="1680" t="s">
        <x:v>77</x:v>
      </x:c>
      <x:c r="K58" s="1680"/>
      <x:c r="L58" s="1680"/>
      <x:c r="M58" s="1680"/>
      <x:c r="N58" s="1680"/>
      <x:c r="O58" s="1680"/>
      <x:c r="P58" s="1680"/>
      <x:c r="Q58" s="1681"/>
    </x:row>
    <x:row r="59" spans="1:17">
      <x:c r="A59" s="66"/>
      <x:c r="B59" s="358"/>
      <x:c r="C59" s="66"/>
      <x:c r="D59" s="6"/>
      <x:c r="E59" s="614"/>
      <x:c r="F59" s="66"/>
      <x:c r="G59" s="547"/>
      <x:c r="H59" s="547"/>
      <x:c r="I59" s="547"/>
      <x:c r="J59" s="552"/>
      <x:c r="K59" s="553"/>
      <x:c r="L59" s="553"/>
      <x:c r="M59" s="553"/>
      <x:c r="N59" s="553"/>
      <x:c r="O59" s="553"/>
      <x:c r="P59" s="553"/>
      <x:c r="Q59" s="553"/>
    </x:row>
    <x:row r="60" spans="1:17">
      <x:c r="G60" s="6"/>
      <x:c r="H60" s="6"/>
      <x:c r="I60" s="6"/>
      <x:c r="J60" s="6"/>
      <x:c r="K60" s="6"/>
      <x:c r="L60" s="6"/>
      <x:c r="M60" s="6"/>
      <x:c r="N60" s="6"/>
      <x:c r="O60" s="6"/>
      <x:c r="P60" s="6"/>
      <x:c r="Q60" s="6"/>
    </x:row>
    <x:row r="61" spans="1:17" ht="18.75" thickBot="1">
      <x:c r="A61" s="662" t="s">
        <x:v>1321</x:v>
      </x:c>
      <x:c r="G61" s="6"/>
      <x:c r="H61" s="6"/>
      <x:c r="I61" s="6"/>
      <x:c r="J61" s="6"/>
      <x:c r="K61" s="6"/>
      <x:c r="L61" s="6"/>
      <x:c r="M61" s="6"/>
      <x:c r="N61" s="6"/>
      <x:c r="O61" s="6"/>
      <x:c r="P61" s="6"/>
      <x:c r="Q61" s="6"/>
    </x:row>
    <x:row r="62" spans="1:17">
      <x:c r="A62" s="1664" t="s">
        <x:v>48</x:v>
      </x:c>
      <x:c r="B62" s="1665"/>
      <x:c r="C62" s="1665"/>
      <x:c r="D62" s="1665"/>
      <x:c r="E62" s="1665"/>
      <x:c r="F62" s="1666"/>
      <x:c r="G62" s="1424" t="s">
        <x:v>78</x:v>
      </x:c>
      <x:c r="H62" s="1424" t="s">
        <x:v>79</x:v>
      </x:c>
      <x:c r="I62" s="1424" t="s">
        <x:v>80</x:v>
      </x:c>
      <x:c r="J62" s="1424" t="s">
        <x:v>81</x:v>
      </x:c>
      <x:c r="K62" s="1424" t="s">
        <x:v>82</x:v>
      </x:c>
      <x:c r="L62" s="1667" t="s">
        <x:v>18</x:v>
      </x:c>
      <x:c r="M62" s="1668"/>
      <x:c r="N62" s="1668"/>
      <x:c r="O62" s="1668"/>
      <x:c r="P62" s="1668"/>
      <x:c r="Q62" s="1669"/>
    </x:row>
    <x:row r="63" spans="1:17">
      <x:c r="A63" s="1194" t="s">
        <x:v>83</x:v>
      </x:c>
      <x:c r="B63" s="1469" t="s">
        <x:v>84</x:v>
      </x:c>
      <x:c r="C63" s="1445"/>
      <x:c r="D63" s="1445"/>
      <x:c r="E63" s="1449"/>
      <x:c r="F63" s="615"/>
      <x:c r="G63" s="1445"/>
      <x:c r="H63" s="1445"/>
      <x:c r="I63" s="1445"/>
      <x:c r="J63" s="1445"/>
      <x:c r="K63" s="1445"/>
      <x:c r="L63" s="1445"/>
      <x:c r="M63" s="1445"/>
      <x:c r="N63" s="1445"/>
      <x:c r="O63" s="1445"/>
      <x:c r="P63" s="1445"/>
      <x:c r="Q63" s="367"/>
    </x:row>
    <x:row r="64" spans="1:17">
      <x:c r="A64" s="1194"/>
      <x:c r="B64" s="1469"/>
      <x:c r="C64" s="1445"/>
      <x:c r="D64" s="1445"/>
      <x:c r="E64" s="1449"/>
      <x:c r="F64" s="615"/>
      <x:c r="G64" s="554" t="s">
        <x:v>1330</x:v>
      </x:c>
      <x:c r="H64" s="1470" t="s">
        <x:v>1331</x:v>
      </x:c>
      <x:c r="I64" s="1470"/>
      <x:c r="J64" s="1470"/>
      <x:c r="K64" s="1470"/>
      <x:c r="L64" s="1677" t="s">
        <x:v>85</x:v>
      </x:c>
      <x:c r="M64" s="1659"/>
      <x:c r="N64" s="1659"/>
      <x:c r="O64" s="1659"/>
      <x:c r="P64" s="1659"/>
      <x:c r="Q64" s="1660"/>
    </x:row>
    <x:row r="65" spans="1:20" ht="16.5" customHeight="1" thickBot="1">
      <x:c r="A65" s="1195">
        <x:v>129</x:v>
      </x:c>
      <x:c r="B65" s="548"/>
      <x:c r="C65" s="604" t="s">
        <x:v>176</x:v>
      </x:c>
      <x:c r="D65" s="1286"/>
      <x:c r="E65" s="619" t="s">
        <x:v>775</x:v>
      </x:c>
      <x:c r="F65" s="922">
        <x:v>8.5000000000000006E-2</x:v>
      </x:c>
      <x:c r="G65" s="555">
        <x:v>8.2500000000000004E-2</x:v>
      </x:c>
      <x:c r="H65" s="556">
        <x:v>8.6999999999999994E-2</x:v>
      </x:c>
      <x:c r="I65" s="548"/>
      <x:c r="J65" s="548"/>
      <x:c r="K65" s="548"/>
      <x:c r="L65" s="1678" t="s">
        <x:v>1753</x:v>
      </x:c>
      <x:c r="M65" s="1678"/>
      <x:c r="N65" s="1678"/>
      <x:c r="O65" s="1678"/>
      <x:c r="P65" s="1678"/>
      <x:c r="Q65" s="1679"/>
      <x:c r="S65" s="464"/>
      <x:c r="T65" s="66"/>
    </x:row>
    <x:row r="66" spans="1:20">
      <x:c r="G66" s="6"/>
      <x:c r="H66" s="6"/>
      <x:c r="I66" s="6"/>
      <x:c r="J66" s="6"/>
      <x:c r="K66" s="6"/>
      <x:c r="L66" s="6"/>
      <x:c r="M66" s="6"/>
      <x:c r="N66" s="6"/>
      <x:c r="O66" s="6"/>
      <x:c r="P66" s="6"/>
      <x:c r="Q66" s="6"/>
    </x:row>
    <x:row r="67" spans="1:20">
      <x:c r="G67" s="6"/>
      <x:c r="H67" s="6"/>
      <x:c r="I67" s="6"/>
      <x:c r="J67" s="6"/>
      <x:c r="K67" s="6"/>
      <x:c r="L67" s="6"/>
      <x:c r="M67" s="6"/>
      <x:c r="N67" s="6"/>
      <x:c r="O67" s="6"/>
      <x:c r="P67" s="6"/>
      <x:c r="Q67" s="6"/>
    </x:row>
    <x:row r="68" spans="1:20" ht="18.75" thickBot="1">
      <x:c r="A68" s="662" t="s">
        <x:v>86</x:v>
      </x:c>
      <x:c r="G68" s="6"/>
      <x:c r="H68" s="6"/>
      <x:c r="I68" s="6"/>
      <x:c r="J68" s="6"/>
      <x:c r="K68" s="6"/>
      <x:c r="L68" s="6"/>
      <x:c r="M68" s="6"/>
      <x:c r="N68" s="6"/>
      <x:c r="O68" s="6"/>
      <x:c r="P68" s="6"/>
      <x:c r="Q68" s="6"/>
    </x:row>
    <x:row r="69" spans="1:20" ht="25.5">
      <x:c r="A69" s="1664" t="s">
        <x:v>48</x:v>
      </x:c>
      <x:c r="B69" s="1665"/>
      <x:c r="C69" s="1665"/>
      <x:c r="D69" s="1665"/>
      <x:c r="E69" s="1665"/>
      <x:c r="F69" s="1666"/>
      <x:c r="G69" s="1424" t="s">
        <x:v>49</x:v>
      </x:c>
      <x:c r="H69" s="1424" t="s">
        <x:v>87</x:v>
      </x:c>
      <x:c r="I69" s="1424" t="s">
        <x:v>88</x:v>
      </x:c>
      <x:c r="J69" s="1667" t="s">
        <x:v>18</x:v>
      </x:c>
      <x:c r="K69" s="1668"/>
      <x:c r="L69" s="1668"/>
      <x:c r="M69" s="1668"/>
      <x:c r="N69" s="1668"/>
      <x:c r="O69" s="1668"/>
      <x:c r="P69" s="1668"/>
      <x:c r="Q69" s="1669"/>
    </x:row>
    <x:row r="70" spans="1:20">
      <x:c r="A70" s="1194"/>
      <x:c r="B70" s="1444" t="s">
        <x:v>62</x:v>
      </x:c>
      <x:c r="C70" s="1445"/>
      <x:c r="D70" s="1445"/>
      <x:c r="E70" s="1449"/>
      <x:c r="F70" s="367"/>
      <x:c r="G70" s="1445"/>
      <x:c r="H70" s="1445"/>
      <x:c r="I70" s="1445"/>
      <x:c r="J70" s="1445"/>
      <x:c r="K70" s="1445"/>
      <x:c r="L70" s="1445"/>
      <x:c r="M70" s="1445"/>
      <x:c r="N70" s="1445"/>
      <x:c r="O70" s="1445"/>
      <x:c r="P70" s="1445"/>
      <x:c r="Q70" s="367"/>
    </x:row>
    <x:row r="71" spans="1:20" ht="13.5" thickBot="1">
      <x:c r="A71" s="1195">
        <x:v>78</x:v>
      </x:c>
      <x:c r="B71" s="618"/>
      <x:c r="C71" s="604" t="s">
        <x:v>330</x:v>
      </x:c>
      <x:c r="D71" s="1286"/>
      <x:c r="E71" s="619" t="s">
        <x:v>586</x:v>
      </x:c>
      <x:c r="F71" s="605" t="s">
        <x:v>323</x:v>
      </x:c>
      <x:c r="G71" s="1069">
        <x:f>+G58</x:f>
        <x:v>836691.13800000004</x:v>
      </x:c>
      <x:c r="H71" s="548">
        <x:v>0</x:v>
      </x:c>
      <x:c r="I71" s="1068">
        <x:f>G71-H71</x:f>
        <x:v>836691.13800000004</x:v>
      </x:c>
      <x:c r="J71" s="1661" t="s">
        <x:v>77</x:v>
      </x:c>
      <x:c r="K71" s="1662"/>
      <x:c r="L71" s="1662"/>
      <x:c r="M71" s="1662"/>
      <x:c r="N71" s="1662"/>
      <x:c r="O71" s="1662"/>
      <x:c r="P71" s="1662"/>
      <x:c r="Q71" s="1663"/>
    </x:row>
    <x:row r="72" spans="1:20">
      <x:c r="G72" s="6"/>
      <x:c r="H72" s="6"/>
      <x:c r="I72" s="6"/>
      <x:c r="J72" s="6"/>
      <x:c r="K72" s="6"/>
      <x:c r="L72" s="6"/>
      <x:c r="M72" s="6"/>
      <x:c r="N72" s="6"/>
      <x:c r="O72" s="6"/>
      <x:c r="P72" s="6"/>
      <x:c r="Q72" s="6"/>
    </x:row>
    <x:row r="73" spans="1:20">
      <x:c r="G73" s="6"/>
      <x:c r="H73" s="6"/>
      <x:c r="I73" s="6"/>
      <x:c r="J73" s="6"/>
      <x:c r="K73" s="6"/>
      <x:c r="L73" s="6"/>
      <x:c r="M73" s="6"/>
      <x:c r="N73" s="6"/>
      <x:c r="O73" s="6"/>
      <x:c r="P73" s="6"/>
      <x:c r="Q73" s="6"/>
    </x:row>
    <x:row r="74" spans="1:20" ht="18.75" thickBot="1">
      <x:c r="A74" s="662" t="s">
        <x:v>89</x:v>
      </x:c>
      <x:c r="G74" s="6"/>
      <x:c r="H74" s="6"/>
      <x:c r="I74" s="6"/>
      <x:c r="J74" s="6"/>
      <x:c r="K74" s="6"/>
      <x:c r="L74" s="6"/>
      <x:c r="M74" s="6"/>
      <x:c r="N74" s="6"/>
      <x:c r="O74" s="6"/>
      <x:c r="P74" s="6"/>
      <x:c r="Q74" s="6"/>
    </x:row>
    <x:row r="75" spans="1:20" ht="38.25">
      <x:c r="A75" s="1664" t="s">
        <x:v>48</x:v>
      </x:c>
      <x:c r="B75" s="1665"/>
      <x:c r="C75" s="1665"/>
      <x:c r="D75" s="1665"/>
      <x:c r="E75" s="1665"/>
      <x:c r="F75" s="1665"/>
      <x:c r="G75" s="557" t="s">
        <x:v>395</x:v>
      </x:c>
      <x:c r="H75" s="1667" t="s">
        <x:v>90</x:v>
      </x:c>
      <x:c r="I75" s="1695"/>
      <x:c r="J75" s="1695"/>
      <x:c r="K75" s="1695"/>
      <x:c r="L75" s="1695"/>
      <x:c r="M75" s="1695"/>
      <x:c r="N75" s="1695"/>
      <x:c r="O75" s="1695"/>
      <x:c r="P75" s="1695"/>
      <x:c r="Q75" s="1696"/>
      <x:c r="R75" s="7"/>
    </x:row>
    <x:row r="76" spans="1:20">
      <x:c r="A76" s="1197"/>
      <x:c r="B76" s="1453" t="s">
        <x:v>91</x:v>
      </x:c>
      <x:c r="C76" s="1444"/>
      <x:c r="D76" s="1444"/>
      <x:c r="E76" s="1471"/>
      <x:c r="F76" s="1472"/>
      <x:c r="G76" s="365"/>
      <x:c r="H76" s="1445"/>
      <x:c r="I76" s="1445"/>
      <x:c r="J76" s="1445"/>
      <x:c r="K76" s="1445"/>
      <x:c r="L76" s="1445"/>
      <x:c r="M76" s="1445"/>
      <x:c r="N76" s="1445"/>
      <x:c r="O76" s="1445"/>
      <x:c r="P76" s="1445"/>
      <x:c r="Q76" s="367"/>
    </x:row>
    <x:row r="77" spans="1:20">
      <x:c r="A77" s="1194">
        <x:v>149</x:v>
      </x:c>
      <x:c r="B77" s="1446"/>
      <x:c r="C77" s="1447" t="s">
        <x:v>395</x:v>
      </x:c>
      <x:c r="D77" s="1444"/>
      <x:c r="E77" s="1448" t="s">
        <x:v>776</x:v>
      </x:c>
      <x:c r="F77" s="1473" t="s">
        <x:v>288</x:v>
      </x:c>
      <x:c r="G77" s="558">
        <x:v>0</x:v>
      </x:c>
      <x:c r="H77" s="1677" t="s">
        <x:v>92</x:v>
      </x:c>
      <x:c r="I77" s="1659"/>
      <x:c r="J77" s="1659"/>
      <x:c r="K77" s="1659"/>
      <x:c r="L77" s="1659"/>
      <x:c r="M77" s="1659"/>
      <x:c r="N77" s="1659"/>
      <x:c r="O77" s="1659"/>
      <x:c r="P77" s="1659"/>
      <x:c r="Q77" s="1660"/>
    </x:row>
    <x:row r="78" spans="1:20">
      <x:c r="A78" s="1194"/>
      <x:c r="B78" s="1446"/>
      <x:c r="C78" s="1445"/>
      <x:c r="D78" s="1444"/>
      <x:c r="E78" s="1450"/>
      <x:c r="F78" s="1463"/>
      <x:c r="G78" s="365"/>
      <x:c r="H78" s="1445"/>
      <x:c r="I78" s="1445"/>
      <x:c r="J78" s="1445"/>
      <x:c r="K78" s="1445"/>
      <x:c r="L78" s="1445"/>
      <x:c r="M78" s="1445"/>
      <x:c r="N78" s="1445"/>
      <x:c r="O78" s="1470"/>
      <x:c r="P78" s="1445"/>
      <x:c r="Q78" s="367"/>
    </x:row>
    <x:row r="79" spans="1:20">
      <x:c r="A79" s="1194"/>
      <x:c r="B79" s="1446"/>
      <x:c r="C79" s="1445" t="s">
        <x:v>93</x:v>
      </x:c>
      <x:c r="D79" s="1444"/>
      <x:c r="E79" s="1450"/>
      <x:c r="F79" s="1463"/>
      <x:c r="G79" s="554" t="s">
        <x:v>94</x:v>
      </x:c>
      <x:c r="H79" s="1677" t="s">
        <x:v>77</x:v>
      </x:c>
      <x:c r="I79" s="1659"/>
      <x:c r="J79" s="1659"/>
      <x:c r="K79" s="1659"/>
      <x:c r="L79" s="1659"/>
      <x:c r="M79" s="1659"/>
      <x:c r="N79" s="1659"/>
      <x:c r="O79" s="1659"/>
      <x:c r="P79" s="1659"/>
      <x:c r="Q79" s="1660"/>
    </x:row>
    <x:row r="80" spans="1:20">
      <x:c r="A80" s="1194"/>
      <x:c r="B80" s="1446">
        <x:v>1</x:v>
      </x:c>
      <x:c r="C80" s="1445" t="s">
        <x:v>95</x:v>
      </x:c>
      <x:c r="D80" s="1444"/>
      <x:c r="E80" s="1450"/>
      <x:c r="F80" s="1463"/>
      <x:c r="G80" s="559"/>
      <x:c r="H80" s="1677"/>
      <x:c r="I80" s="1659"/>
      <x:c r="J80" s="1659"/>
      <x:c r="K80" s="1659"/>
      <x:c r="L80" s="1659"/>
      <x:c r="M80" s="1659"/>
      <x:c r="N80" s="1659"/>
      <x:c r="O80" s="1659"/>
      <x:c r="P80" s="1659"/>
      <x:c r="Q80" s="1660"/>
    </x:row>
    <x:row r="81" spans="1:32">
      <x:c r="A81" s="1194"/>
      <x:c r="B81" s="1446"/>
      <x:c r="C81" s="1445" t="s">
        <x:v>96</x:v>
      </x:c>
      <x:c r="D81" s="1444"/>
      <x:c r="E81" s="1450"/>
      <x:c r="F81" s="1463"/>
      <x:c r="G81" s="559"/>
      <x:c r="H81" s="1474"/>
      <x:c r="I81" s="1475"/>
      <x:c r="J81" s="1475"/>
      <x:c r="K81" s="1475"/>
      <x:c r="L81" s="1475"/>
      <x:c r="M81" s="1475"/>
      <x:c r="N81" s="1475"/>
      <x:c r="O81" s="1475"/>
      <x:c r="P81" s="1475"/>
      <x:c r="Q81" s="1428"/>
    </x:row>
    <x:row r="82" spans="1:32">
      <x:c r="A82" s="1194"/>
      <x:c r="B82" s="1446">
        <x:v>2</x:v>
      </x:c>
      <x:c r="C82" s="1445" t="s">
        <x:v>97</x:v>
      </x:c>
      <x:c r="D82" s="1444"/>
      <x:c r="E82" s="1450"/>
      <x:c r="F82" s="1463"/>
      <x:c r="G82" s="554" t="s">
        <x:v>98</x:v>
      </x:c>
      <x:c r="H82" s="1677"/>
      <x:c r="I82" s="1659"/>
      <x:c r="J82" s="1659"/>
      <x:c r="K82" s="1659"/>
      <x:c r="L82" s="1659"/>
      <x:c r="M82" s="1659"/>
      <x:c r="N82" s="1659"/>
      <x:c r="O82" s="1659"/>
      <x:c r="P82" s="1659"/>
      <x:c r="Q82" s="1660"/>
    </x:row>
    <x:row r="83" spans="1:32">
      <x:c r="A83" s="1194"/>
      <x:c r="B83" s="1446"/>
      <x:c r="C83" s="1445" t="s">
        <x:v>99</x:v>
      </x:c>
      <x:c r="D83" s="1470" t="s">
        <x:v>100</x:v>
      </x:c>
      <x:c r="E83" s="1450"/>
      <x:c r="F83" s="1463"/>
      <x:c r="G83" s="554" t="s">
        <x:v>94</x:v>
      </x:c>
      <x:c r="H83" s="1677"/>
      <x:c r="I83" s="1659"/>
      <x:c r="J83" s="1659"/>
      <x:c r="K83" s="1659"/>
      <x:c r="L83" s="1659"/>
      <x:c r="M83" s="1659"/>
      <x:c r="N83" s="1659"/>
      <x:c r="O83" s="1659"/>
      <x:c r="P83" s="1659"/>
      <x:c r="Q83" s="1660"/>
    </x:row>
    <x:row r="84" spans="1:32">
      <x:c r="A84" s="1198"/>
      <x:c r="B84" s="1476" t="s">
        <x:v>9</x:v>
      </x:c>
      <x:c r="C84" s="1445" t="s">
        <x:v>101</x:v>
      </x:c>
      <x:c r="D84" s="626">
        <x:v>1000000</x:v>
      </x:c>
      <x:c r="E84" s="1477"/>
      <x:c r="F84" s="1477"/>
      <x:c r="G84" s="559"/>
      <x:c r="H84" s="1677"/>
      <x:c r="I84" s="1659"/>
      <x:c r="J84" s="1659"/>
      <x:c r="K84" s="1659"/>
      <x:c r="L84" s="1659"/>
      <x:c r="M84" s="1659"/>
      <x:c r="N84" s="1659"/>
      <x:c r="O84" s="1659"/>
      <x:c r="P84" s="1659"/>
      <x:c r="Q84" s="1660"/>
    </x:row>
    <x:row r="85" spans="1:32">
      <x:c r="A85" s="1198"/>
      <x:c r="B85" s="1476" t="s">
        <x:v>10</x:v>
      </x:c>
      <x:c r="C85" s="1445" t="s">
        <x:v>102</x:v>
      </x:c>
      <x:c r="D85" s="626">
        <x:v>500000</x:v>
      </x:c>
      <x:c r="E85" s="1477"/>
      <x:c r="F85" s="1477"/>
      <x:c r="G85" s="559"/>
      <x:c r="H85" s="1677"/>
      <x:c r="I85" s="1659"/>
      <x:c r="J85" s="1659"/>
      <x:c r="K85" s="1659"/>
      <x:c r="L85" s="1659"/>
      <x:c r="M85" s="1659"/>
      <x:c r="N85" s="1659"/>
      <x:c r="O85" s="1659"/>
      <x:c r="P85" s="1659"/>
      <x:c r="Q85" s="1660"/>
    </x:row>
    <x:row r="86" spans="1:32">
      <x:c r="A86" s="1198"/>
      <x:c r="B86" s="1476" t="s">
        <x:v>11</x:v>
      </x:c>
      <x:c r="C86" s="1445" t="s">
        <x:v>103</x:v>
      </x:c>
      <x:c r="D86" s="626">
        <x:v>400000</x:v>
      </x:c>
      <x:c r="E86" s="1477"/>
      <x:c r="F86" s="1477"/>
      <x:c r="G86" s="559"/>
      <x:c r="H86" s="1677"/>
      <x:c r="I86" s="1659"/>
      <x:c r="J86" s="1659"/>
      <x:c r="K86" s="1659"/>
      <x:c r="L86" s="1659"/>
      <x:c r="M86" s="1659"/>
      <x:c r="N86" s="1659"/>
      <x:c r="O86" s="1659"/>
      <x:c r="P86" s="1659"/>
      <x:c r="Q86" s="1660"/>
    </x:row>
    <x:row r="87" spans="1:32">
      <x:c r="A87" s="1198"/>
      <x:c r="B87" s="1476" t="s">
        <x:v>14</x:v>
      </x:c>
      <x:c r="C87" s="1445" t="s">
        <x:v>104</x:v>
      </x:c>
      <x:c r="D87" s="626">
        <x:v>444444.44444444444</x:v>
      </x:c>
      <x:c r="E87" s="1477"/>
      <x:c r="F87" s="1477"/>
      <x:c r="G87" s="559"/>
      <x:c r="H87" s="1677"/>
      <x:c r="I87" s="1659"/>
      <x:c r="J87" s="1659"/>
      <x:c r="K87" s="1659"/>
      <x:c r="L87" s="1659"/>
      <x:c r="M87" s="1659"/>
      <x:c r="N87" s="1659"/>
      <x:c r="O87" s="1659"/>
      <x:c r="P87" s="1659"/>
      <x:c r="Q87" s="1660"/>
    </x:row>
    <x:row r="88" spans="1:32">
      <x:c r="A88" s="1198"/>
      <x:c r="B88" s="1476"/>
      <x:c r="C88" s="1445"/>
      <x:c r="D88" s="626"/>
      <x:c r="E88" s="1477"/>
      <x:c r="F88" s="1477"/>
      <x:c r="G88" s="554"/>
      <x:c r="H88" s="1474"/>
      <x:c r="I88" s="1475"/>
      <x:c r="J88" s="1475"/>
      <x:c r="K88" s="1477"/>
      <x:c r="L88" s="1475"/>
      <x:c r="M88" s="1475"/>
      <x:c r="N88" s="1475"/>
      <x:c r="O88" s="1475"/>
      <x:c r="P88" s="1475"/>
      <x:c r="Q88" s="1428"/>
    </x:row>
    <x:row r="89" spans="1:32" ht="13.5" thickBot="1">
      <x:c r="A89" s="1196"/>
      <x:c r="B89" s="1206"/>
      <x:c r="C89" s="8"/>
      <x:c r="D89" s="1207"/>
      <x:c r="E89" s="620"/>
      <x:c r="F89" s="1208" t="s">
        <x:v>42</x:v>
      </x:c>
      <x:c r="G89" s="1209">
        <x:f>G77+G81+G87</x:f>
        <x:v>0</x:v>
      </x:c>
      <x:c r="H89" s="1425"/>
      <x:c r="I89" s="1426"/>
      <x:c r="J89" s="1426"/>
      <x:c r="K89" s="560" t="s">
        <x:v>105</x:v>
      </x:c>
      <x:c r="L89" s="1426"/>
      <x:c r="M89" s="1426"/>
      <x:c r="N89" s="1426"/>
      <x:c r="O89" s="1426"/>
      <x:c r="P89" s="1426"/>
      <x:c r="Q89" s="1427"/>
    </x:row>
    <x:row r="90" spans="1:32">
      <x:c r="G90" s="6"/>
      <x:c r="H90" s="6"/>
      <x:c r="I90" s="6"/>
      <x:c r="J90" s="6"/>
      <x:c r="K90" s="1"/>
      <x:c r="L90" s="6"/>
      <x:c r="M90" s="6"/>
      <x:c r="N90" s="6"/>
      <x:c r="O90" s="6"/>
      <x:c r="P90" s="6"/>
      <x:c r="Q90" s="6"/>
    </x:row>
    <x:row r="91" spans="1:32">
      <x:c r="G91" s="6"/>
      <x:c r="H91" s="6"/>
      <x:c r="I91" s="6"/>
      <x:c r="J91" s="6"/>
      <x:c r="K91" s="1"/>
      <x:c r="L91" s="6"/>
      <x:c r="M91" s="6"/>
      <x:c r="N91" s="6"/>
      <x:c r="O91" s="6"/>
      <x:c r="P91" s="6"/>
      <x:c r="Q91" s="6"/>
    </x:row>
    <x:row r="92" spans="1:32" ht="18.75" thickBot="1">
      <x:c r="A92" s="662" t="s">
        <x:v>108</x:v>
      </x:c>
      <x:c r="D92" s="1275"/>
      <x:c r="G92" s="6"/>
      <x:c r="H92" s="6"/>
      <x:c r="I92" s="6"/>
      <x:c r="J92" s="6"/>
      <x:c r="K92" s="6"/>
      <x:c r="L92" s="6"/>
      <x:c r="M92" s="6"/>
      <x:c r="N92" s="6"/>
      <x:c r="O92" s="6"/>
      <x:c r="P92" s="6"/>
      <x:c r="Q92" s="6"/>
      <x:c r="U92" s="1275"/>
    </x:row>
    <x:row r="93" spans="1:32" ht="18" customHeight="1">
      <x:c r="A93" s="1686" t="s">
        <x:v>48</x:v>
      </x:c>
      <x:c r="B93" s="1687"/>
      <x:c r="C93" s="1687"/>
      <x:c r="D93" s="1687"/>
      <x:c r="E93" s="1687"/>
      <x:c r="F93" s="1688"/>
      <x:c r="G93" s="919"/>
      <x:c r="H93" s="561"/>
      <x:c r="I93" s="562"/>
      <x:c r="J93" s="562"/>
      <x:c r="K93" s="562"/>
      <x:c r="L93" s="562"/>
      <x:c r="M93" s="562"/>
      <x:c r="N93" s="562"/>
      <x:c r="O93" s="562"/>
      <x:c r="P93" s="562"/>
      <x:c r="Q93" s="562"/>
      <x:c r="R93" s="627"/>
      <x:c r="S93" s="627"/>
      <x:c r="T93" s="627"/>
      <x:c r="U93" s="627"/>
      <x:c r="V93" s="627"/>
      <x:c r="W93" s="563" t="s">
        <x:v>109</x:v>
      </x:c>
      <x:c r="X93" s="627"/>
      <x:c r="Y93" s="627"/>
      <x:c r="Z93" s="627"/>
      <x:c r="AA93" s="627"/>
      <x:c r="AB93" s="627"/>
      <x:c r="AC93" s="627"/>
      <x:c r="AD93" s="627"/>
      <x:c r="AE93" s="627"/>
      <x:c r="AF93" s="628"/>
    </x:row>
    <x:row r="94" spans="1:32">
      <x:c r="A94" s="1197">
        <x:v>45</x:v>
      </x:c>
      <x:c r="B94" s="1453" t="s">
        <x:v>108</x:v>
      </x:c>
      <x:c r="C94" s="1444"/>
      <x:c r="D94" s="1453"/>
      <x:c r="E94" s="1450"/>
      <x:c r="F94" s="629"/>
      <x:c r="G94" s="1445"/>
      <x:c r="H94" s="1478"/>
      <x:c r="I94" s="1445"/>
      <x:c r="J94" s="1445"/>
      <x:c r="K94" s="1445"/>
      <x:c r="L94" s="1445"/>
      <x:c r="M94" s="1445"/>
      <x:c r="N94" s="1445"/>
      <x:c r="O94" s="1445"/>
      <x:c r="P94" s="1445"/>
      <x:c r="Q94" s="1445"/>
      <x:c r="R94" s="1477"/>
      <x:c r="S94" s="1477"/>
      <x:c r="T94" s="1477"/>
      <x:c r="U94" s="1477"/>
      <x:c r="V94" s="1477"/>
      <x:c r="W94" s="625"/>
      <x:c r="X94" s="1477"/>
      <x:c r="Y94" s="1477"/>
      <x:c r="Z94" s="1477"/>
      <x:c r="AA94" s="1477"/>
      <x:c r="AB94" s="1477"/>
      <x:c r="AC94" s="1477"/>
      <x:c r="AD94" s="1477"/>
      <x:c r="AE94" s="1477"/>
      <x:c r="AF94" s="630"/>
    </x:row>
    <x:row r="95" spans="1:32" ht="51">
      <x:c r="A95" s="1194"/>
      <x:c r="B95" s="1446"/>
      <x:c r="C95" s="1477"/>
      <x:c r="D95" s="1453"/>
      <x:c r="E95" s="1477"/>
      <x:c r="F95" s="623"/>
      <x:c r="G95" s="1479" t="s">
        <x:v>472</x:v>
      </x:c>
      <x:c r="H95" s="1480" t="s">
        <x:v>473</x:v>
      </x:c>
      <x:c r="I95" s="1480" t="s">
        <x:v>474</x:v>
      </x:c>
      <x:c r="J95" s="1480" t="s">
        <x:v>475</x:v>
      </x:c>
      <x:c r="K95" s="1480" t="s">
        <x:v>160</x:v>
      </x:c>
      <x:c r="L95" s="1480" t="s">
        <x:v>161</x:v>
      </x:c>
      <x:c r="M95" s="1480" t="s">
        <x:v>162</x:v>
      </x:c>
      <x:c r="N95" s="1480" t="s">
        <x:v>476</x:v>
      </x:c>
      <x:c r="O95" s="1480" t="s">
        <x:v>477</x:v>
      </x:c>
      <x:c r="P95" s="1480" t="s">
        <x:v>478</x:v>
      </x:c>
      <x:c r="Q95" s="1480" t="s">
        <x:v>479</x:v>
      </x:c>
      <x:c r="R95" s="1480" t="s">
        <x:v>480</x:v>
      </x:c>
      <x:c r="S95" s="1481" t="s">
        <x:v>968</x:v>
      </x:c>
      <x:c r="T95" s="1481" t="s">
        <x:v>1375</x:v>
      </x:c>
      <x:c r="U95" s="1481" t="s">
        <x:v>1376</x:v>
      </x:c>
      <x:c r="V95" s="1481" t="s">
        <x:v>1377</x:v>
      </x:c>
      <x:c r="W95" s="625"/>
      <x:c r="X95" s="1477"/>
      <x:c r="Y95" s="1477"/>
      <x:c r="Z95" s="1477"/>
      <x:c r="AA95" s="1477"/>
      <x:c r="AB95" s="1477"/>
      <x:c r="AC95" s="1477"/>
      <x:c r="AD95" s="1477"/>
      <x:c r="AE95" s="1477"/>
      <x:c r="AF95" s="630"/>
    </x:row>
    <x:row r="96" spans="1:32">
      <x:c r="A96" s="1194"/>
      <x:c r="B96" s="1446"/>
      <x:c r="C96" s="1477" t="s">
        <x:v>1431</x:v>
      </x:c>
      <x:c r="D96" s="1477"/>
      <x:c r="E96" s="1477"/>
      <x:c r="F96" s="630"/>
      <x:c r="G96" s="1287"/>
      <x:c r="H96" s="1237"/>
      <x:c r="I96" s="1237"/>
      <x:c r="J96" s="1237"/>
      <x:c r="K96" s="1237"/>
      <x:c r="L96" s="1237"/>
      <x:c r="M96" s="1237"/>
      <x:c r="N96" s="1237"/>
      <x:c r="O96" s="1237"/>
      <x:c r="P96" s="1237"/>
      <x:c r="Q96" s="1237"/>
      <x:c r="R96" s="1237"/>
      <x:c r="S96" s="1237"/>
      <x:c r="T96" s="1482">
        <x:f>+'ATT H-3D'!H24</x:f>
        <x:v>0.14582932326077899</x:v>
      </x:c>
      <x:c r="U96" s="385">
        <x:v>0.86119999999999997</x:v>
      </x:c>
      <x:c r="V96" s="385">
        <x:f>T96*U96</x:f>
        <x:v>0.12558821319218286</x:v>
      </x:c>
      <x:c r="W96" s="566" t="s">
        <x:v>1324</x:v>
      </x:c>
      <x:c r="X96" s="1477"/>
      <x:c r="Y96" s="1477"/>
      <x:c r="Z96" s="1477"/>
      <x:c r="AA96" s="1477"/>
      <x:c r="AB96" s="1477"/>
      <x:c r="AC96" s="1477"/>
      <x:c r="AD96" s="1477"/>
      <x:c r="AE96" s="1477"/>
      <x:c r="AF96" s="630"/>
    </x:row>
    <x:row r="97" spans="1:32">
      <x:c r="A97" s="1194"/>
      <x:c r="B97" s="1446"/>
      <x:c r="C97" s="1483" t="s">
        <x:v>1846</x:v>
      </x:c>
      <x:c r="D97" s="1477"/>
      <x:c r="E97" s="1477"/>
      <x:c r="F97" s="631"/>
      <x:c r="G97" s="920">
        <x:v>1479609.3599999999</x:v>
      </x:c>
      <x:c r="H97" s="1288">
        <x:v>1709770.0399999998</x:v>
      </x:c>
      <x:c r="I97" s="1288">
        <x:v>1651240.8499999999</x:v>
      </x:c>
      <x:c r="J97" s="1288">
        <x:v>1679413.1099999999</x:v>
      </x:c>
      <x:c r="K97" s="1288">
        <x:v>1617155.3299999998</x:v>
      </x:c>
      <x:c r="L97" s="1288">
        <x:v>1632317.42</x:v>
      </x:c>
      <x:c r="M97" s="1288">
        <x:v>1678351.76</x:v>
      </x:c>
      <x:c r="N97" s="1288">
        <x:v>1639207.92</x:v>
      </x:c>
      <x:c r="O97" s="1288">
        <x:v>1601172.65</x:v>
      </x:c>
      <x:c r="P97" s="1288">
        <x:v>1384348.21</x:v>
      </x:c>
      <x:c r="Q97" s="1288">
        <x:v>1341988.8999999999</x:v>
      </x:c>
      <x:c r="R97" s="1288">
        <x:v>1335624.8399999999</x:v>
      </x:c>
      <x:c r="S97" s="1288">
        <x:v>707131.41999999993</x:v>
      </x:c>
      <x:c r="T97" s="1482">
        <x:f>T96</x:f>
        <x:v>0.14582932326077899</x:v>
      </x:c>
      <x:c r="U97" s="385">
        <x:f>U96</x:f>
        <x:v>0.86119999999999997</x:v>
      </x:c>
      <x:c r="V97" s="385">
        <x:f t="shared" ref="V97:V101" si="0">T97*U97</x:f>
        <x:v>0.12558821319218286</x:v>
      </x:c>
      <x:c r="W97" s="565"/>
      <x:c r="X97" s="1477"/>
      <x:c r="Y97" s="1477"/>
      <x:c r="Z97" s="1477"/>
      <x:c r="AA97" s="1477"/>
      <x:c r="AB97" s="1477"/>
      <x:c r="AC97" s="1477"/>
      <x:c r="AD97" s="1477"/>
      <x:c r="AE97" s="1477"/>
      <x:c r="AF97" s="630"/>
    </x:row>
    <x:row r="98" spans="1:32">
      <x:c r="A98" s="1194"/>
      <x:c r="B98" s="1446"/>
      <x:c r="C98" s="1483" t="s">
        <x:v>1847</x:v>
      </x:c>
      <x:c r="D98" s="1477"/>
      <x:c r="E98" s="1477"/>
      <x:c r="F98" s="631"/>
      <x:c r="G98" s="920">
        <x:v>745383.44999999972</x:v>
      </x:c>
      <x:c r="H98" s="1288">
        <x:v>756785.40999999968</x:v>
      </x:c>
      <x:c r="I98" s="1288">
        <x:v>680603.59999999963</x:v>
      </x:c>
      <x:c r="J98" s="1288">
        <x:v>609592.57999999961</x:v>
      </x:c>
      <x:c r="K98" s="1288">
        <x:v>525506.55999999959</x:v>
      </x:c>
      <x:c r="L98" s="1288">
        <x:v>452422.05999999959</x:v>
      </x:c>
      <x:c r="M98" s="1288">
        <x:v>396640.35999999958</x:v>
      </x:c>
      <x:c r="N98" s="1288">
        <x:v>334832.13999999955</x:v>
      </x:c>
      <x:c r="O98" s="1288">
        <x:v>357935.45999999956</x:v>
      </x:c>
      <x:c r="P98" s="1288">
        <x:v>507033.27999999956</x:v>
      </x:c>
      <x:c r="Q98" s="1288">
        <x:v>663127.91999999946</x:v>
      </x:c>
      <x:c r="R98" s="1288">
        <x:v>591431.47999999952</x:v>
      </x:c>
      <x:c r="S98" s="1288">
        <x:v>739786.02999999956</x:v>
      </x:c>
      <x:c r="T98" s="1482">
        <x:f t="shared" ref="T98:T102" si="1">T97</x:f>
        <x:v>0.14582932326077899</x:v>
      </x:c>
      <x:c r="U98" s="385">
        <x:f t="shared" ref="U98:U102" si="2">U97</x:f>
        <x:v>0.86119999999999997</x:v>
      </x:c>
      <x:c r="V98" s="385">
        <x:f t="shared" si="0"/>
        <x:v>0.12558821319218286</x:v>
      </x:c>
      <x:c r="W98" s="565"/>
      <x:c r="X98" s="1477"/>
      <x:c r="Y98" s="1477"/>
      <x:c r="Z98" s="1477"/>
      <x:c r="AA98" s="1477"/>
      <x:c r="AB98" s="1477"/>
      <x:c r="AC98" s="1477"/>
      <x:c r="AD98" s="1477"/>
      <x:c r="AE98" s="1477"/>
      <x:c r="AF98" s="630"/>
    </x:row>
    <x:row r="99" spans="1:32">
      <x:c r="A99" s="1194"/>
      <x:c r="B99" s="1446"/>
      <x:c r="C99" s="1483" t="s">
        <x:v>1848</x:v>
      </x:c>
      <x:c r="D99" s="1477"/>
      <x:c r="E99" s="1477"/>
      <x:c r="F99" s="631"/>
      <x:c r="G99" s="920">
        <x:v>0</x:v>
      </x:c>
      <x:c r="H99" s="1288">
        <x:v>0</x:v>
      </x:c>
      <x:c r="I99" s="1288">
        <x:v>0</x:v>
      </x:c>
      <x:c r="J99" s="1288">
        <x:v>0</x:v>
      </x:c>
      <x:c r="K99" s="1288">
        <x:v>0</x:v>
      </x:c>
      <x:c r="L99" s="1288">
        <x:v>0</x:v>
      </x:c>
      <x:c r="M99" s="1288">
        <x:v>0</x:v>
      </x:c>
      <x:c r="N99" s="1288">
        <x:v>0</x:v>
      </x:c>
      <x:c r="O99" s="1288">
        <x:v>0</x:v>
      </x:c>
      <x:c r="P99" s="1288">
        <x:v>0</x:v>
      </x:c>
      <x:c r="Q99" s="1288">
        <x:v>0</x:v>
      </x:c>
      <x:c r="R99" s="1288">
        <x:v>86737</x:v>
      </x:c>
      <x:c r="S99" s="1288">
        <x:v>0</x:v>
      </x:c>
      <x:c r="T99" s="1482">
        <x:f t="shared" si="1"/>
        <x:v>0.14582932326077899</x:v>
      </x:c>
      <x:c r="U99" s="385">
        <x:f t="shared" si="2"/>
        <x:v>0.86119999999999997</x:v>
      </x:c>
      <x:c r="V99" s="385">
        <x:f t="shared" si="0"/>
        <x:v>0.12558821319218286</x:v>
      </x:c>
      <x:c r="W99" s="565"/>
      <x:c r="X99" s="1477"/>
      <x:c r="Y99" s="1477"/>
      <x:c r="Z99" s="1477"/>
      <x:c r="AA99" s="1477"/>
      <x:c r="AB99" s="1477"/>
      <x:c r="AC99" s="1477"/>
      <x:c r="AD99" s="1477"/>
      <x:c r="AE99" s="1477"/>
      <x:c r="AF99" s="630"/>
    </x:row>
    <x:row r="100" spans="1:32">
      <x:c r="A100" s="1194"/>
      <x:c r="B100" s="1446"/>
      <x:c r="C100" s="1483" t="s">
        <x:v>1849</x:v>
      </x:c>
      <x:c r="D100" s="1477"/>
      <x:c r="E100" s="1477"/>
      <x:c r="F100" s="631"/>
      <x:c r="G100" s="920">
        <x:v>-0.08</x:v>
      </x:c>
      <x:c r="H100" s="1288">
        <x:v>193788.59000000003</x:v>
      </x:c>
      <x:c r="I100" s="1288">
        <x:v>96894.260000000024</x:v>
      </x:c>
      <x:c r="J100" s="1288">
        <x:v>-6.9999999977881089E-2</x:v>
      </x:c>
      <x:c r="K100" s="1288">
        <x:v>193788.60000000003</x:v>
      </x:c>
      <x:c r="L100" s="1288">
        <x:v>96894.270000000033</x:v>
      </x:c>
      <x:c r="M100" s="1288">
        <x:v>-5.9999999968567863E-2</x:v>
      </x:c>
      <x:c r="N100" s="1288">
        <x:v>271699.05000000005</x:v>
      </x:c>
      <x:c r="O100" s="1288">
        <x:v>135849.50000000006</x:v>
      </x:c>
      <x:c r="P100" s="1288">
        <x:v>-4.9999999930150807E-2</x:v>
      </x:c>
      <x:c r="Q100" s="1288">
        <x:v>271699.06000000006</x:v>
      </x:c>
      <x:c r="R100" s="1288">
        <x:v>135849.51000000007</x:v>
      </x:c>
      <x:c r="S100" s="1288">
        <x:v>-3.9999999920837581E-2</x:v>
      </x:c>
      <x:c r="T100" s="1482">
        <x:f t="shared" si="1"/>
        <x:v>0.14582932326077899</x:v>
      </x:c>
      <x:c r="U100" s="385">
        <x:f t="shared" si="2"/>
        <x:v>0.86119999999999997</x:v>
      </x:c>
      <x:c r="V100" s="385">
        <x:f t="shared" si="0"/>
        <x:v>0.12558821319218286</x:v>
      </x:c>
      <x:c r="W100" s="565"/>
      <x:c r="X100" s="1477"/>
      <x:c r="Y100" s="1477"/>
      <x:c r="Z100" s="1477"/>
      <x:c r="AA100" s="1477"/>
      <x:c r="AB100" s="1477"/>
      <x:c r="AC100" s="1477"/>
      <x:c r="AD100" s="1477"/>
      <x:c r="AE100" s="1477"/>
      <x:c r="AF100" s="630"/>
    </x:row>
    <x:row r="101" spans="1:32">
      <x:c r="A101" s="1194"/>
      <x:c r="B101" s="1446"/>
      <x:c r="C101" s="1483" t="s">
        <x:v>1850</x:v>
      </x:c>
      <x:c r="D101" s="1477"/>
      <x:c r="E101" s="1477"/>
      <x:c r="F101" s="631"/>
      <x:c r="G101" s="920">
        <x:v>24317645.960000008</x:v>
      </x:c>
      <x:c r="H101" s="1288">
        <x:v>0</x:v>
      </x:c>
      <x:c r="I101" s="1288">
        <x:v>0</x:v>
      </x:c>
      <x:c r="J101" s="1288">
        <x:v>12532972.33</x:v>
      </x:c>
      <x:c r="K101" s="1288">
        <x:v>0</x:v>
      </x:c>
      <x:c r="L101" s="1288">
        <x:v>0</x:v>
      </x:c>
      <x:c r="M101" s="1288">
        <x:v>16752.96</x:v>
      </x:c>
      <x:c r="N101" s="1288">
        <x:v>0</x:v>
      </x:c>
      <x:c r="O101" s="1288">
        <x:v>0</x:v>
      </x:c>
      <x:c r="P101" s="1288">
        <x:v>19520693.019999996</x:v>
      </x:c>
      <x:c r="Q101" s="1288">
        <x:v>0</x:v>
      </x:c>
      <x:c r="R101" s="1288">
        <x:v>0</x:v>
      </x:c>
      <x:c r="S101" s="1288">
        <x:v>25677881.569999997</x:v>
      </x:c>
      <x:c r="T101" s="1482">
        <x:f t="shared" si="1"/>
        <x:v>0.14582932326077899</x:v>
      </x:c>
      <x:c r="U101" s="385">
        <x:f t="shared" si="2"/>
        <x:v>0.86119999999999997</x:v>
      </x:c>
      <x:c r="V101" s="385">
        <x:f t="shared" si="0"/>
        <x:v>0.12558821319218286</x:v>
      </x:c>
      <x:c r="W101" s="565"/>
      <x:c r="X101" s="1477"/>
      <x:c r="Y101" s="1477"/>
      <x:c r="Z101" s="1477"/>
      <x:c r="AA101" s="1477"/>
      <x:c r="AB101" s="1477"/>
      <x:c r="AC101" s="1477"/>
      <x:c r="AD101" s="1477"/>
      <x:c r="AE101" s="1477"/>
      <x:c r="AF101" s="630"/>
    </x:row>
    <x:row r="102" spans="1:32">
      <x:c r="A102" s="1194"/>
      <x:c r="B102" s="1446"/>
      <x:c r="C102" s="1483" t="s">
        <x:v>1901</x:v>
      </x:c>
      <x:c r="D102" s="1477"/>
      <x:c r="E102" s="1477"/>
      <x:c r="F102" s="631"/>
      <x:c r="G102" s="920">
        <x:v>0</x:v>
      </x:c>
      <x:c r="H102" s="1288">
        <x:v>0</x:v>
      </x:c>
      <x:c r="I102" s="1288">
        <x:v>0</x:v>
      </x:c>
      <x:c r="J102" s="1288">
        <x:v>0</x:v>
      </x:c>
      <x:c r="K102" s="1288">
        <x:v>0</x:v>
      </x:c>
      <x:c r="L102" s="1288">
        <x:v>0</x:v>
      </x:c>
      <x:c r="M102" s="1288">
        <x:v>0</x:v>
      </x:c>
      <x:c r="N102" s="1288">
        <x:v>0</x:v>
      </x:c>
      <x:c r="O102" s="1288">
        <x:v>0</x:v>
      </x:c>
      <x:c r="P102" s="1288">
        <x:v>0</x:v>
      </x:c>
      <x:c r="Q102" s="1288">
        <x:v>0</x:v>
      </x:c>
      <x:c r="R102" s="1288">
        <x:v>0</x:v>
      </x:c>
      <x:c r="S102" s="1288">
        <x:v>0</x:v>
      </x:c>
      <x:c r="T102" s="1482">
        <x:f t="shared" si="1"/>
        <x:v>0.14582932326077899</x:v>
      </x:c>
      <x:c r="U102" s="385">
        <x:f t="shared" si="2"/>
        <x:v>0.86119999999999997</x:v>
      </x:c>
      <x:c r="V102" s="385">
        <x:f t="shared" ref="V102" si="3">T102*U102</x:f>
        <x:v>0.12558821319218286</x:v>
      </x:c>
      <x:c r="W102" s="565"/>
      <x:c r="X102" s="1477"/>
      <x:c r="Y102" s="1477"/>
      <x:c r="Z102" s="1477"/>
      <x:c r="AA102" s="1477"/>
      <x:c r="AB102" s="1477"/>
      <x:c r="AC102" s="1477"/>
      <x:c r="AD102" s="1477"/>
      <x:c r="AE102" s="1477"/>
      <x:c r="AF102" s="630"/>
    </x:row>
    <x:row r="103" spans="1:32">
      <x:c r="A103" s="1194"/>
      <x:c r="B103" s="1446"/>
      <x:c r="C103" s="1484" t="s">
        <x:v>1869</x:v>
      </x:c>
      <x:c r="D103" s="1477"/>
      <x:c r="E103" s="1477"/>
      <x:c r="F103" s="631"/>
      <x:c r="G103" s="920">
        <x:v>-20122.09</x:v>
      </x:c>
      <x:c r="H103" s="1288">
        <x:v>-20122.09</x:v>
      </x:c>
      <x:c r="I103" s="1288">
        <x:v>-20122.09</x:v>
      </x:c>
      <x:c r="J103" s="1288">
        <x:v>-20122.09</x:v>
      </x:c>
      <x:c r="K103" s="1288">
        <x:v>-20122.09</x:v>
      </x:c>
      <x:c r="L103" s="1288">
        <x:v>-20122.09</x:v>
      </x:c>
      <x:c r="M103" s="1288">
        <x:v>-20122.09</x:v>
      </x:c>
      <x:c r="N103" s="1288">
        <x:v>-16789.09</x:v>
      </x:c>
      <x:c r="O103" s="1288">
        <x:v>-16789.09</x:v>
      </x:c>
      <x:c r="P103" s="1288">
        <x:v>-16789.09</x:v>
      </x:c>
      <x:c r="Q103" s="1288">
        <x:v>-16789.09</x:v>
      </x:c>
      <x:c r="R103" s="1288">
        <x:v>-16789.09</x:v>
      </x:c>
      <x:c r="S103" s="1288">
        <x:v>-13849.09</x:v>
      </x:c>
      <x:c r="T103" s="1482">
        <x:f>T101</x:f>
        <x:v>0.14582932326077899</x:v>
      </x:c>
      <x:c r="U103" s="385">
        <x:f>U101</x:f>
        <x:v>0.86119999999999997</x:v>
      </x:c>
      <x:c r="V103" s="385">
        <x:f>T103*U103</x:f>
        <x:v>0.12558821319218286</x:v>
      </x:c>
      <x:c r="W103" s="565"/>
      <x:c r="X103" s="1477"/>
      <x:c r="Y103" s="1477"/>
      <x:c r="Z103" s="1477"/>
      <x:c r="AA103" s="1477"/>
      <x:c r="AB103" s="1477"/>
      <x:c r="AC103" s="1477"/>
      <x:c r="AD103" s="1477"/>
      <x:c r="AE103" s="1477"/>
      <x:c r="AF103" s="630"/>
    </x:row>
    <x:row r="104" spans="1:32">
      <x:c r="A104" s="1194"/>
      <x:c r="B104" s="1446"/>
      <x:c r="C104" s="1483" t="s">
        <x:v>1851</x:v>
      </x:c>
      <x:c r="D104" s="1477"/>
      <x:c r="E104" s="1477"/>
      <x:c r="F104" s="631"/>
      <x:c r="G104" s="920">
        <x:v>20823.27</x:v>
      </x:c>
      <x:c r="H104" s="1288">
        <x:v>0</x:v>
      </x:c>
      <x:c r="I104" s="1288">
        <x:v>0</x:v>
      </x:c>
      <x:c r="J104" s="1288">
        <x:v>19672.32</x:v>
      </x:c>
      <x:c r="K104" s="1288">
        <x:v>0</x:v>
      </x:c>
      <x:c r="L104" s="1288">
        <x:v>0</x:v>
      </x:c>
      <x:c r="M104" s="1288">
        <x:v>17814.32</x:v>
      </x:c>
      <x:c r="N104" s="1288">
        <x:v>0</x:v>
      </x:c>
      <x:c r="O104" s="1288">
        <x:v>0</x:v>
      </x:c>
      <x:c r="P104" s="1288">
        <x:v>14542.1</x:v>
      </x:c>
      <x:c r="Q104" s="1288">
        <x:v>0</x:v>
      </x:c>
      <x:c r="R104" s="1288">
        <x:v>0</x:v>
      </x:c>
      <x:c r="S104" s="1288">
        <x:v>11908.45</x:v>
      </x:c>
      <x:c r="T104" s="1482">
        <x:v>0</x:v>
      </x:c>
      <x:c r="U104" s="385">
        <x:v>0</x:v>
      </x:c>
      <x:c r="V104" s="1015" t="s">
        <x:v>1112</x:v>
      </x:c>
      <x:c r="W104" s="565"/>
      <x:c r="X104" s="1477"/>
      <x:c r="Y104" s="1477"/>
      <x:c r="Z104" s="1477"/>
      <x:c r="AA104" s="1477"/>
      <x:c r="AB104" s="1477"/>
      <x:c r="AC104" s="1477"/>
      <x:c r="AD104" s="1477"/>
      <x:c r="AE104" s="1477"/>
      <x:c r="AF104" s="630"/>
    </x:row>
    <x:row r="105" spans="1:32">
      <x:c r="A105" s="1194"/>
      <x:c r="B105" s="1446"/>
      <x:c r="C105" s="1483" t="s">
        <x:v>2097</x:v>
      </x:c>
      <x:c r="D105" s="1477"/>
      <x:c r="E105" s="1477"/>
      <x:c r="F105" s="631"/>
      <x:c r="G105" s="920">
        <x:v>0</x:v>
      </x:c>
      <x:c r="H105" s="1288">
        <x:v>0</x:v>
      </x:c>
      <x:c r="I105" s="1288">
        <x:v>0</x:v>
      </x:c>
      <x:c r="J105" s="1288">
        <x:v>0</x:v>
      </x:c>
      <x:c r="K105" s="1288">
        <x:v>0</x:v>
      </x:c>
      <x:c r="L105" s="1288">
        <x:v>0</x:v>
      </x:c>
      <x:c r="M105" s="1288">
        <x:v>0</x:v>
      </x:c>
      <x:c r="N105" s="1288">
        <x:v>0</x:v>
      </x:c>
      <x:c r="O105" s="1288">
        <x:v>0</x:v>
      </x:c>
      <x:c r="P105" s="1288">
        <x:v>0</x:v>
      </x:c>
      <x:c r="Q105" s="1288">
        <x:v>0</x:v>
      </x:c>
      <x:c r="R105" s="1288">
        <x:v>0</x:v>
      </x:c>
      <x:c r="S105" s="1288">
        <x:v>28651385.350000001</x:v>
      </x:c>
      <x:c r="T105" s="1482">
        <x:v>0</x:v>
      </x:c>
      <x:c r="U105" s="385">
        <x:v>0</x:v>
      </x:c>
      <x:c r="V105" s="1015" t="s">
        <x:v>1112</x:v>
      </x:c>
      <x:c r="W105" s="565"/>
      <x:c r="X105" s="1477"/>
      <x:c r="Y105" s="1477"/>
      <x:c r="Z105" s="1477"/>
      <x:c r="AA105" s="1477"/>
      <x:c r="AB105" s="1477"/>
      <x:c r="AC105" s="1477"/>
      <x:c r="AD105" s="1477"/>
      <x:c r="AE105" s="1477"/>
      <x:c r="AF105" s="630"/>
    </x:row>
    <x:row r="106" spans="1:32" ht="29.25" customHeight="1">
      <x:c r="A106" s="1194"/>
      <x:c r="B106" s="1446"/>
      <x:c r="C106" s="1477" t="s">
        <x:v>1432</x:v>
      </x:c>
      <x:c r="D106" s="1477"/>
      <x:c r="E106" s="1477"/>
      <x:c r="F106" s="631" t="s">
        <x:v>969</x:v>
      </x:c>
      <x:c r="G106" s="1287">
        <x:f t="shared" ref="G106:S106" si="4">SUM(G96:G105)</x:f>
        <x:v>26543339.870000008</x:v>
      </x:c>
      <x:c r="H106" s="1485">
        <x:f t="shared" si="4"/>
        <x:v>2640221.9499999993</x:v>
      </x:c>
      <x:c r="I106" s="1485">
        <x:f t="shared" si="4"/>
        <x:v>2408616.6199999996</x:v>
      </x:c>
      <x:c r="J106" s="1485">
        <x:f t="shared" si="4"/>
        <x:v>14821528.18</x:v>
      </x:c>
      <x:c r="K106" s="1485">
        <x:f t="shared" si="4"/>
        <x:v>2316328.4</x:v>
      </x:c>
      <x:c r="L106" s="1485">
        <x:f t="shared" si="4"/>
        <x:v>2161511.6599999997</x:v>
      </x:c>
      <x:c r="M106" s="1485">
        <x:f t="shared" si="4"/>
        <x:v>2089437.2499999995</x:v>
      </x:c>
      <x:c r="N106" s="1485">
        <x:f t="shared" si="4"/>
        <x:v>2228950.0199999996</x:v>
      </x:c>
      <x:c r="O106" s="1485">
        <x:f t="shared" si="4"/>
        <x:v>2078168.5199999993</x:v>
      </x:c>
      <x:c r="P106" s="1485">
        <x:f t="shared" si="4"/>
        <x:v>21409827.469999995</x:v>
      </x:c>
      <x:c r="Q106" s="1485">
        <x:f t="shared" si="4"/>
        <x:v>2260026.7899999996</x:v>
      </x:c>
      <x:c r="R106" s="1485">
        <x:f t="shared" si="4"/>
        <x:v>2132853.7399999998</x:v>
      </x:c>
      <x:c r="S106" s="1485">
        <x:f t="shared" si="4"/>
        <x:v>55774243.689999998</x:v>
      </x:c>
      <x:c r="T106" s="1486"/>
      <x:c r="U106" s="1289"/>
      <x:c r="V106" s="1289"/>
      <x:c r="W106" s="1652" t="s">
        <x:v>2182</x:v>
      </x:c>
      <x:c r="X106" s="1653"/>
      <x:c r="Y106" s="1653"/>
      <x:c r="Z106" s="1653"/>
      <x:c r="AA106" s="1653"/>
      <x:c r="AB106" s="1653"/>
      <x:c r="AC106" s="1653"/>
      <x:c r="AD106" s="1653"/>
      <x:c r="AE106" s="1653"/>
      <x:c r="AF106" s="1654"/>
    </x:row>
    <x:row r="107" spans="1:32">
      <x:c r="A107" s="1194"/>
      <x:c r="B107" s="1446"/>
      <x:c r="C107" s="1483" t="s">
        <x:v>111</x:v>
      </x:c>
      <x:c r="D107" s="921"/>
      <x:c r="E107" s="1477"/>
      <x:c r="F107" s="631"/>
      <x:c r="G107" s="920">
        <x:v>135210443.91</x:v>
      </x:c>
      <x:c r="H107" s="920">
        <x:v>133862715.98999999</x:v>
      </x:c>
      <x:c r="I107" s="920">
        <x:v>132720284.36</x:v>
      </x:c>
      <x:c r="J107" s="920">
        <x:v>131518449.70999999</x:v>
      </x:c>
      <x:c r="K107" s="920">
        <x:v>130194994.91</x:v>
      </x:c>
      <x:c r="L107" s="920">
        <x:v>128871540.11</x:v>
      </x:c>
      <x:c r="M107" s="920">
        <x:v>127656752.39</x:v>
      </x:c>
      <x:c r="N107" s="920">
        <x:v>126333297.59</x:v>
      </x:c>
      <x:c r="O107" s="920">
        <x:v>125009842.79000001</x:v>
      </x:c>
      <x:c r="P107" s="920">
        <x:v>123767888.30000001</x:v>
      </x:c>
      <x:c r="Q107" s="920">
        <x:v>122444433.50000001</x:v>
      </x:c>
      <x:c r="R107" s="920">
        <x:v>121120978.70000002</x:v>
      </x:c>
      <x:c r="S107" s="920">
        <x:v>119878210.17000002</x:v>
      </x:c>
      <x:c r="T107" s="1482">
        <x:f>+T96</x:f>
        <x:v>0.14582932326077899</x:v>
      </x:c>
      <x:c r="U107" s="385">
        <x:f>U96</x:f>
        <x:v>0.86119999999999997</x:v>
      </x:c>
      <x:c r="V107" s="385">
        <x:f>T107*U107</x:f>
        <x:v>0.12558821319218286</x:v>
      </x:c>
      <x:c r="W107" s="566" t="s">
        <x:v>2084</x:v>
      </x:c>
      <x:c r="X107" s="1477"/>
      <x:c r="Y107" s="1477"/>
      <x:c r="Z107" s="1477"/>
      <x:c r="AA107" s="1477"/>
      <x:c r="AB107" s="1477"/>
      <x:c r="AC107" s="1477"/>
      <x:c r="AD107" s="1477"/>
      <x:c r="AE107" s="1477"/>
      <x:c r="AF107" s="630"/>
    </x:row>
    <x:row r="108" spans="1:32" ht="13.5" thickBot="1">
      <x:c r="A108" s="1195"/>
      <x:c r="B108" s="548"/>
      <x:c r="C108" s="8" t="s">
        <x:v>970</x:v>
      </x:c>
      <x:c r="D108" s="548"/>
      <x:c r="E108" s="619"/>
      <x:c r="F108" s="635"/>
      <x:c r="G108" s="918">
        <x:v>22033541.22044668</x:v>
      </x:c>
      <x:c r="H108" s="918">
        <x:f t="shared" ref="H108:S108" si="5">SUMPRODUCT(H96:H104,$V96:$V104)+H107*$V$107</x:f>
        <x:v>17143160.071368027</x:v>
      </x:c>
      <x:c r="I108" s="918">
        <x:f t="shared" si="5"/>
        <x:v>16970597.224701606</x:v>
      </x:c>
      <x:c r="J108" s="918">
        <x:f t="shared" si="5"/>
        <x:v>18376105.730270498</x:v>
      </x:c>
      <x:c r="K108" s="918">
        <x:f t="shared" si="5"/>
        <x:v>16641860.322234549</x:v>
      </x:c>
      <x:c r="L108" s="918">
        <x:f t="shared" si="5"/>
        <x:v>16456206.840913093</x:v>
      </x:c>
      <x:c r="M108" s="918">
        <x:f t="shared" si="5"/>
        <x:v>16292354.856763672</x:v>
      </x:c>
      <x:c r="N108" s="918">
        <x:f t="shared" si="5"/>
        <x:v>16145902.961310882</x:v>
      </x:c>
      <x:c r="O108" s="918">
        <x:f t="shared" si="5"/>
        <x:v>15960756.258570828</x:v>
      </x:c>
      <x:c r="P108" s="918">
        <x:f t="shared" si="5"/>
        <x:v>18230783.602521826</x:v>
      </x:c>
      <x:c r="Q108" s="918">
        <x:f t="shared" si="5"/>
        <x:v>15661410.344916623</x:v>
      </x:c>
      <x:c r="R108" s="918">
        <x:f t="shared" si="5"/>
        <x:v>15479228.585228305</x:v>
      </x:c>
      <x:c r="S108" s="918">
        <x:f t="shared" si="5"/>
        <x:v>18460105.970555171</x:v>
      </x:c>
      <x:c r="T108" s="620"/>
      <x:c r="U108" s="620"/>
      <x:c r="V108" s="620"/>
      <x:c r="W108" s="567" t="s">
        <x:v>2085</x:v>
      </x:c>
      <x:c r="X108" s="620"/>
      <x:c r="Y108" s="620"/>
      <x:c r="Z108" s="620"/>
      <x:c r="AA108" s="620"/>
      <x:c r="AB108" s="620"/>
      <x:c r="AC108" s="620"/>
      <x:c r="AD108" s="620"/>
      <x:c r="AE108" s="620"/>
      <x:c r="AF108" s="621"/>
    </x:row>
    <x:row r="109" spans="1:32">
      <x:c r="G109" s="6"/>
      <x:c r="H109" s="6"/>
      <x:c r="I109" s="6"/>
      <x:c r="J109" s="6"/>
      <x:c r="K109" s="1"/>
      <x:c r="L109" s="6"/>
      <x:c r="M109" s="6"/>
      <x:c r="N109" s="6"/>
      <x:c r="O109" s="6"/>
      <x:c r="P109" s="6"/>
      <x:c r="Q109" s="6"/>
    </x:row>
    <x:row r="110" spans="1:32">
      <x:c r="G110" s="203"/>
      <x:c r="H110" s="6"/>
      <x:c r="I110" s="6"/>
      <x:c r="J110" s="6"/>
      <x:c r="K110" s="1"/>
      <x:c r="L110" s="6"/>
      <x:c r="M110" s="6"/>
      <x:c r="N110" s="6"/>
      <x:c r="O110" s="6"/>
      <x:c r="P110" s="6"/>
      <x:c r="Q110" s="6"/>
    </x:row>
    <x:row r="111" spans="1:32" ht="18.75" thickBot="1">
      <x:c r="A111" s="662" t="s">
        <x:v>951</x:v>
      </x:c>
      <x:c r="D111" s="1275"/>
      <x:c r="G111" s="1014"/>
      <x:c r="H111" s="6"/>
      <x:c r="I111" s="6"/>
      <x:c r="J111" s="6"/>
      <x:c r="K111" s="6"/>
      <x:c r="L111" s="6"/>
      <x:c r="M111" s="6"/>
      <x:c r="N111" s="6"/>
      <x:c r="O111" s="6"/>
      <x:c r="P111" s="6"/>
      <x:c r="Q111" s="6"/>
    </x:row>
    <x:row r="112" spans="1:32">
      <x:c r="A112" s="1686" t="s">
        <x:v>971</x:v>
      </x:c>
      <x:c r="B112" s="1687"/>
      <x:c r="C112" s="1687"/>
      <x:c r="D112" s="1687"/>
      <x:c r="E112" s="1687"/>
      <x:c r="F112" s="1688"/>
      <x:c r="G112" s="1231"/>
      <x:c r="H112" s="1232"/>
      <x:c r="I112" s="568"/>
      <x:c r="J112" s="568"/>
      <x:c r="K112" s="568"/>
      <x:c r="L112" s="568"/>
      <x:c r="M112" s="568"/>
      <x:c r="N112" s="568"/>
      <x:c r="O112" s="568"/>
      <x:c r="P112" s="568"/>
      <x:c r="Q112" s="568"/>
      <x:c r="R112" s="627"/>
      <x:c r="S112" s="627"/>
      <x:c r="T112" s="627"/>
      <x:c r="U112" s="628"/>
      <x:c r="V112" s="627"/>
      <x:c r="W112" s="627"/>
      <x:c r="X112" s="627"/>
      <x:c r="Y112" s="568"/>
      <x:c r="Z112" s="568"/>
      <x:c r="AA112" s="568"/>
      <x:c r="AB112" s="568"/>
      <x:c r="AC112" s="568"/>
      <x:c r="AD112" s="568"/>
      <x:c r="AE112" s="568"/>
      <x:c r="AF112" s="569"/>
    </x:row>
    <x:row r="113" spans="1:32">
      <x:c r="A113" s="1197">
        <x:v>44</x:v>
      </x:c>
      <x:c r="B113" s="1453" t="s">
        <x:v>951</x:v>
      </x:c>
      <x:c r="C113" s="1487"/>
      <x:c r="D113" s="1487"/>
      <x:c r="E113" s="1487"/>
      <x:c r="F113" s="1487"/>
      <x:c r="G113" s="365"/>
      <x:c r="H113" s="1478"/>
      <x:c r="I113" s="1445"/>
      <x:c r="J113" s="1445"/>
      <x:c r="K113" s="1445"/>
      <x:c r="L113" s="1445"/>
      <x:c r="M113" s="1445"/>
      <x:c r="N113" s="1445"/>
      <x:c r="O113" s="1445"/>
      <x:c r="P113" s="1445"/>
      <x:c r="Q113" s="1445"/>
      <x:c r="R113" s="1477"/>
      <x:c r="S113" s="1477"/>
      <x:c r="T113" s="1477"/>
      <x:c r="U113" s="630"/>
      <x:c r="V113" s="1477"/>
      <x:c r="W113" s="1477"/>
      <x:c r="X113" s="1477"/>
      <x:c r="Y113" s="1445"/>
      <x:c r="Z113" s="1445"/>
      <x:c r="AA113" s="1445"/>
      <x:c r="AB113" s="1445"/>
      <x:c r="AC113" s="1445"/>
      <x:c r="AD113" s="1445"/>
      <x:c r="AE113" s="1445"/>
      <x:c r="AF113" s="367"/>
    </x:row>
    <x:row r="114" spans="1:32" ht="41.25" customHeight="1">
      <x:c r="A114" s="1198"/>
      <x:c r="B114" s="1477"/>
      <x:c r="C114" s="1698" t="s">
        <x:v>972</x:v>
      </x:c>
      <x:c r="D114" s="1698"/>
      <x:c r="E114" s="1698"/>
      <x:c r="F114" s="1699"/>
      <x:c r="G114" s="570" t="s">
        <x:v>472</x:v>
      </x:c>
      <x:c r="H114" s="571" t="s">
        <x:v>473</x:v>
      </x:c>
      <x:c r="I114" s="571" t="s">
        <x:v>474</x:v>
      </x:c>
      <x:c r="J114" s="571" t="s">
        <x:v>475</x:v>
      </x:c>
      <x:c r="K114" s="571" t="s">
        <x:v>160</x:v>
      </x:c>
      <x:c r="L114" s="571" t="s">
        <x:v>161</x:v>
      </x:c>
      <x:c r="M114" s="571" t="s">
        <x:v>162</x:v>
      </x:c>
      <x:c r="N114" s="571" t="s">
        <x:v>476</x:v>
      </x:c>
      <x:c r="O114" s="571" t="s">
        <x:v>477</x:v>
      </x:c>
      <x:c r="P114" s="571" t="s">
        <x:v>478</x:v>
      </x:c>
      <x:c r="Q114" s="571" t="s">
        <x:v>479</x:v>
      </x:c>
      <x:c r="R114" s="571" t="s">
        <x:v>480</x:v>
      </x:c>
      <x:c r="S114" s="572" t="s">
        <x:v>968</x:v>
      </x:c>
      <x:c r="T114" s="573" t="s">
        <x:v>973</x:v>
      </x:c>
      <x:c r="U114" s="630"/>
      <x:c r="V114" s="574" t="s">
        <x:v>676</x:v>
      </x:c>
      <x:c r="W114" s="575" t="s">
        <x:v>877</x:v>
      </x:c>
      <x:c r="X114" s="575" t="s">
        <x:v>974</x:v>
      </x:c>
      <x:c r="Y114" s="576" t="s">
        <x:v>677</x:v>
      </x:c>
      <x:c r="Z114" s="575" t="s">
        <x:v>878</x:v>
      </x:c>
      <x:c r="AA114" s="575" t="s">
        <x:v>974</x:v>
      </x:c>
      <x:c r="AB114" s="632" t="s">
        <x:v>975</x:v>
      </x:c>
      <x:c r="AC114" s="575" t="s">
        <x:v>678</x:v>
      </x:c>
      <x:c r="AD114" s="310"/>
      <x:c r="AE114" s="310"/>
      <x:c r="AF114" s="578"/>
    </x:row>
    <x:row r="115" spans="1:32">
      <x:c r="A115" s="1198"/>
      <x:c r="B115" s="1477"/>
      <x:c r="C115" s="1488" t="s">
        <x:v>1542</x:v>
      </x:c>
      <x:c r="D115" s="1477"/>
      <x:c r="E115" s="1477"/>
      <x:c r="F115" s="1477"/>
      <x:c r="G115" s="579">
        <x:v>-1472284.3899999997</x:v>
      </x:c>
      <x:c r="H115" s="579">
        <x:v>-1472284.3899999994</x:v>
      </x:c>
      <x:c r="I115" s="579">
        <x:v>-1465908.5199999996</x:v>
      </x:c>
      <x:c r="J115" s="579">
        <x:v>-1483617.6999999995</x:v>
      </x:c>
      <x:c r="K115" s="579">
        <x:v>-1483617.6999999995</x:v>
      </x:c>
      <x:c r="L115" s="579">
        <x:v>-1483617.6999999995</x:v>
      </x:c>
      <x:c r="M115" s="579">
        <x:v>-1429184.4099999995</x:v>
      </x:c>
      <x:c r="N115" s="579">
        <x:v>-1433416.4099999995</x:v>
      </x:c>
      <x:c r="O115" s="579">
        <x:v>-1521436.3799999994</x:v>
      </x:c>
      <x:c r="P115" s="579">
        <x:v>-1521112.7799999993</x:v>
      </x:c>
      <x:c r="Q115" s="579">
        <x:v>-1500245.9199999995</x:v>
      </x:c>
      <x:c r="R115" s="579">
        <x:v>-1486122.6399999992</x:v>
      </x:c>
      <x:c r="S115" s="579">
        <x:v>-1510091.8799999994</x:v>
      </x:c>
      <x:c r="T115" s="580">
        <x:f>SUM(G115:S115)/13</x:f>
        <x:v>-1481764.6784615379</x:v>
      </x:c>
      <x:c r="U115" s="630"/>
      <x:c r="V115" s="1233">
        <x:f>T115</x:f>
        <x:v>-1481764.6784615379</x:v>
      </x:c>
      <x:c r="W115" s="1234">
        <x:f>+'ATT H-3D'!$H$45</x:f>
        <x:v>0.36691024632926028</x:v>
      </x:c>
      <x:c r="X115" s="1073">
        <x:f>+V115*W115</x:f>
        <x:v>-543674.64317632001</x:v>
      </x:c>
      <x:c r="Y115" s="1233"/>
      <x:c r="Z115" s="1234">
        <x:f>+'ATT H-3D'!$H$24</x:f>
        <x:v>0.14582932326077899</x:v>
      </x:c>
      <x:c r="AA115" s="1235">
        <x:f t="shared" ref="AA115:AA123" si="6">+Z115*Y115</x:f>
        <x:v>0</x:v>
      </x:c>
      <x:c r="AB115" s="1483"/>
      <x:c r="AC115" s="1235">
        <x:f>X115+AA115+AB115</x:f>
        <x:v>-543674.64317632001</x:v>
      </x:c>
      <x:c r="AD115" s="1477"/>
      <x:c r="AE115" s="1477"/>
      <x:c r="AF115" s="367"/>
    </x:row>
    <x:row r="116" spans="1:32">
      <x:c r="A116" s="1198"/>
      <x:c r="B116" s="1477"/>
      <x:c r="C116" s="1488" t="s">
        <x:v>1543</x:v>
      </x:c>
      <x:c r="D116" s="1477"/>
      <x:c r="E116" s="1477"/>
      <x:c r="F116" s="1477"/>
      <x:c r="G116" s="579">
        <x:v>-330703.28999999998</x:v>
      </x:c>
      <x:c r="H116" s="579">
        <x:v>-330703.28999999998</x:v>
      </x:c>
      <x:c r="I116" s="579">
        <x:v>-337079.16</x:v>
      </x:c>
      <x:c r="J116" s="579">
        <x:v>-328449</x:v>
      </x:c>
      <x:c r="K116" s="579">
        <x:v>-328449</x:v>
      </x:c>
      <x:c r="L116" s="579">
        <x:v>-328449</x:v>
      </x:c>
      <x:c r="M116" s="579">
        <x:v>-332681</x:v>
      </x:c>
      <x:c r="N116" s="579">
        <x:v>-328449</x:v>
      </x:c>
      <x:c r="O116" s="579">
        <x:v>-328378</x:v>
      </x:c>
      <x:c r="P116" s="579">
        <x:v>-328378</x:v>
      </x:c>
      <x:c r="Q116" s="579">
        <x:v>-349244.86</x:v>
      </x:c>
      <x:c r="R116" s="579">
        <x:v>-363368.14</x:v>
      </x:c>
      <x:c r="S116" s="579">
        <x:v>-362868.14</x:v>
      </x:c>
      <x:c r="T116" s="581">
        <x:f>SUM(G116:S116)/13</x:f>
        <x:v>-336707.68307692307</x:v>
      </x:c>
      <x:c r="U116" s="633"/>
      <x:c r="V116" s="1233"/>
      <x:c r="W116" s="1234">
        <x:f>+'ATT H-3D'!$H$45</x:f>
        <x:v>0.36691024632926028</x:v>
      </x:c>
      <x:c r="X116" s="1073">
        <x:f>+V116*W116</x:f>
        <x:v>0</x:v>
      </x:c>
      <x:c r="Y116" s="1233">
        <x:f>T116</x:f>
        <x:v>-336707.68307692307</x:v>
      </x:c>
      <x:c r="Z116" s="1234">
        <x:f>+'ATT H-3D'!$H$24</x:f>
        <x:v>0.14582932326077899</x:v>
      </x:c>
      <x:c r="AA116" s="1235">
        <x:f t="shared" si="6"/>
        <x:v>-49101.853559812538</x:v>
      </x:c>
      <x:c r="AB116" s="1483"/>
      <x:c r="AC116" s="1235">
        <x:f t="shared" ref="AC116:AC132" si="7">X116+AA116+AB116</x:f>
        <x:v>-49101.853559812538</x:v>
      </x:c>
      <x:c r="AD116" s="1477"/>
      <x:c r="AE116" s="1477"/>
      <x:c r="AF116" s="367"/>
    </x:row>
    <x:row r="117" spans="1:32">
      <x:c r="A117" s="1198"/>
      <x:c r="B117" s="1477"/>
      <x:c r="C117" s="1488" t="s">
        <x:v>1544</x:v>
      </x:c>
      <x:c r="D117" s="1489"/>
      <x:c r="E117" s="1477"/>
      <x:c r="F117" s="1477"/>
      <x:c r="G117" s="579">
        <x:v>313816.85999999987</x:v>
      </x:c>
      <x:c r="H117" s="579">
        <x:v>275836.95999999985</x:v>
      </x:c>
      <x:c r="I117" s="579">
        <x:v>274059.55999999982</x:v>
      </x:c>
      <x:c r="J117" s="579">
        <x:v>275836.95999999985</x:v>
      </x:c>
      <x:c r="K117" s="579">
        <x:v>275836.95999999985</x:v>
      </x:c>
      <x:c r="L117" s="579">
        <x:v>245283.56999999983</x:v>
      </x:c>
      <x:c r="M117" s="579">
        <x:v>246982.52999999982</x:v>
      </x:c>
      <x:c r="N117" s="579">
        <x:v>246982.52999999982</x:v>
      </x:c>
      <x:c r="O117" s="579">
        <x:v>246982.52999999982</x:v>
      </x:c>
      <x:c r="P117" s="579">
        <x:v>246982.52999999982</x:v>
      </x:c>
      <x:c r="Q117" s="579">
        <x:v>246704.65999999983</x:v>
      </x:c>
      <x:c r="R117" s="579">
        <x:v>234785.56999999983</x:v>
      </x:c>
      <x:c r="S117" s="579">
        <x:v>233941.64999999982</x:v>
      </x:c>
      <x:c r="T117" s="581">
        <x:f t="shared" ref="T117:T132" si="8">SUM(G117:S117)/13</x:f>
        <x:v>258771.75923076906</x:v>
      </x:c>
      <x:c r="U117" s="633"/>
      <x:c r="V117" s="1233"/>
      <x:c r="W117" s="1234">
        <x:f>+'ATT H-3D'!$H$45</x:f>
        <x:v>0.36691024632926028</x:v>
      </x:c>
      <x:c r="X117" s="1073">
        <x:f t="shared" ref="X117:X123" si="9">+V117*W117</x:f>
        <x:v>0</x:v>
      </x:c>
      <x:c r="Y117" s="1233">
        <x:f t="shared" ref="Y117:Y131" si="10">T117</x:f>
        <x:v>258771.75923076906</x:v>
      </x:c>
      <x:c r="Z117" s="1234">
        <x:f>+'ATT H-3D'!$H$24</x:f>
        <x:v>0.14582932326077899</x:v>
      </x:c>
      <x:c r="AA117" s="1235">
        <x:f t="shared" si="6"/>
        <x:v>37736.51052762429</x:v>
      </x:c>
      <x:c r="AB117" s="1483"/>
      <x:c r="AC117" s="1235">
        <x:f t="shared" si="7"/>
        <x:v>37736.51052762429</x:v>
      </x:c>
      <x:c r="AD117" s="1477"/>
      <x:c r="AE117" s="1477"/>
      <x:c r="AF117" s="367"/>
    </x:row>
    <x:row r="118" spans="1:32">
      <x:c r="A118" s="1198"/>
      <x:c r="B118" s="1477"/>
      <x:c r="C118" s="1488" t="s">
        <x:v>1545</x:v>
      </x:c>
      <x:c r="D118" s="1489"/>
      <x:c r="E118" s="1477"/>
      <x:c r="F118" s="1477"/>
      <x:c r="G118" s="579">
        <x:v>1149028.9200000002</x:v>
      </x:c>
      <x:c r="H118" s="579">
        <x:v>1169054.9600000002</x:v>
      </x:c>
      <x:c r="I118" s="579">
        <x:v>1161703.3600000001</x:v>
      </x:c>
      <x:c r="J118" s="579">
        <x:v>1169054.9600000002</x:v>
      </x:c>
      <x:c r="K118" s="579">
        <x:v>1169054.9600000002</x:v>
      </x:c>
      <x:c r="L118" s="579">
        <x:v>1042681.3500000002</x:v>
      </x:c>
      <x:c r="M118" s="579">
        <x:v>1049708.5200000003</x:v>
      </x:c>
      <x:c r="N118" s="579">
        <x:v>1049708.5200000003</x:v>
      </x:c>
      <x:c r="O118" s="579">
        <x:v>1040785.5200000003</x:v>
      </x:c>
      <x:c r="P118" s="579">
        <x:v>1040785.5200000003</x:v>
      </x:c>
      <x:c r="Q118" s="579">
        <x:v>1039636.1900000003</x:v>
      </x:c>
      <x:c r="R118" s="579">
        <x:v>990336.98000000033</x:v>
      </x:c>
      <x:c r="S118" s="579">
        <x:v>986846.40000000037</x:v>
      </x:c>
      <x:c r="T118" s="581">
        <x:f t="shared" si="8"/>
        <x:v>1081414.32</x:v>
      </x:c>
      <x:c r="U118" s="633"/>
      <x:c r="V118" s="1233"/>
      <x:c r="W118" s="1234">
        <x:f>+'ATT H-3D'!$H$45</x:f>
        <x:v>0.36691024632926028</x:v>
      </x:c>
      <x:c r="X118" s="1073">
        <x:f t="shared" si="9"/>
        <x:v>0</x:v>
      </x:c>
      <x:c r="Y118" s="1233">
        <x:f t="shared" si="10"/>
        <x:v>1081414.32</x:v>
      </x:c>
      <x:c r="Z118" s="1234">
        <x:f>+'ATT H-3D'!$H$24</x:f>
        <x:v>0.14582932326077899</x:v>
      </x:c>
      <x:c r="AA118" s="1235">
        <x:f t="shared" si="6"/>
        <x:v>157701.91845011551</x:v>
      </x:c>
      <x:c r="AB118" s="1483"/>
      <x:c r="AC118" s="1235">
        <x:f t="shared" si="7"/>
        <x:v>157701.91845011551</x:v>
      </x:c>
      <x:c r="AD118" s="1477"/>
      <x:c r="AE118" s="1477"/>
      <x:c r="AF118" s="367"/>
    </x:row>
    <x:row r="119" spans="1:32">
      <x:c r="A119" s="1198"/>
      <x:c r="B119" s="1477"/>
      <x:c r="C119" s="1488" t="s">
        <x:v>1546</x:v>
      </x:c>
      <x:c r="D119" s="1489"/>
      <x:c r="E119" s="1477"/>
      <x:c r="F119" s="1477"/>
      <x:c r="G119" s="579">
        <x:v>-3620670.4899999988</x:v>
      </x:c>
      <x:c r="H119" s="579">
        <x:v>-3631486.8899999987</x:v>
      </x:c>
      <x:c r="I119" s="579">
        <x:v>-3644268.3599999989</x:v>
      </x:c>
      <x:c r="J119" s="579">
        <x:v>-3638907.2399999988</x:v>
      </x:c>
      <x:c r="K119" s="579">
        <x:v>-3599560.189999999</x:v>
      </x:c>
      <x:c r="L119" s="579">
        <x:v>-3155483.3699999992</x:v>
      </x:c>
      <x:c r="M119" s="579">
        <x:v>-3188726.5699999994</x:v>
      </x:c>
      <x:c r="N119" s="579">
        <x:v>-3233904.0099999993</x:v>
      </x:c>
      <x:c r="O119" s="579">
        <x:v>-3253264.1499999994</x:v>
      </x:c>
      <x:c r="P119" s="579">
        <x:v>-3291695.5699999994</x:v>
      </x:c>
      <x:c r="Q119" s="579">
        <x:v>-3306704.7899999996</x:v>
      </x:c>
      <x:c r="R119" s="579">
        <x:v>-3314388.1699999995</x:v>
      </x:c>
      <x:c r="S119" s="579">
        <x:v>-3408243.4299999992</x:v>
      </x:c>
      <x:c r="T119" s="581">
        <x:f t="shared" si="8"/>
        <x:v>-3406715.633076922</x:v>
      </x:c>
      <x:c r="U119" s="633"/>
      <x:c r="V119" s="1233"/>
      <x:c r="W119" s="1234">
        <x:f>+'ATT H-3D'!$H$45</x:f>
        <x:v>0.36691024632926028</x:v>
      </x:c>
      <x:c r="X119" s="1073">
        <x:f t="shared" si="9"/>
        <x:v>0</x:v>
      </x:c>
      <x:c r="Y119" s="1233">
        <x:f t="shared" si="10"/>
        <x:v>-3406715.633076922</x:v>
      </x:c>
      <x:c r="Z119" s="1234">
        <x:f>+'ATT H-3D'!$H$24</x:f>
        <x:v>0.14582932326077899</x:v>
      </x:c>
      <x:c r="AA119" s="1235">
        <x:f t="shared" si="6"/>
        <x:v>-496799.03531352384</x:v>
      </x:c>
      <x:c r="AB119" s="1483"/>
      <x:c r="AC119" s="1235">
        <x:f t="shared" si="7"/>
        <x:v>-496799.03531352384</x:v>
      </x:c>
      <x:c r="AD119" s="1477"/>
      <x:c r="AE119" s="1477"/>
      <x:c r="AF119" s="367"/>
    </x:row>
    <x:row r="120" spans="1:32">
      <x:c r="A120" s="1198"/>
      <x:c r="B120" s="1477"/>
      <x:c r="C120" s="1488" t="s">
        <x:v>1547</x:v>
      </x:c>
      <x:c r="D120" s="1489"/>
      <x:c r="E120" s="1477"/>
      <x:c r="F120" s="1477"/>
      <x:c r="G120" s="579">
        <x:v>-467800.68000000005</x:v>
      </x:c>
      <x:c r="H120" s="579">
        <x:v>-409424.80000000005</x:v>
      </x:c>
      <x:c r="I120" s="579">
        <x:v>-411022.29000000004</x:v>
      </x:c>
      <x:c r="J120" s="579">
        <x:v>-410633.29000000004</x:v>
      </x:c>
      <x:c r="K120" s="579">
        <x:v>-401120.34</x:v>
      </x:c>
      <x:c r="L120" s="579">
        <x:v>-302011.99</x:v>
      </x:c>
      <x:c r="M120" s="579">
        <x:v>-301792.95999999996</x:v>
      </x:c>
      <x:c r="N120" s="579">
        <x:v>-312715.51999999996</x:v>
      </x:c>
      <x:c r="O120" s="579">
        <x:v>-318897.37999999995</x:v>
      </x:c>
      <x:c r="P120" s="579">
        <x:v>-328188.95999999996</x:v>
      </x:c>
      <x:c r="Q120" s="579">
        <x:v>-331817.74</x:v>
      </x:c>
      <x:c r="R120" s="579">
        <x:v>-333675.36</x:v>
      </x:c>
      <x:c r="S120" s="579">
        <x:v>-357848.1</x:v>
      </x:c>
      <x:c r="T120" s="581">
        <x:f t="shared" si="8"/>
        <x:v>-360534.56999999995</x:v>
      </x:c>
      <x:c r="U120" s="633"/>
      <x:c r="V120" s="1233"/>
      <x:c r="W120" s="1234">
        <x:f>+'ATT H-3D'!$H$45</x:f>
        <x:v>0.36691024632926028</x:v>
      </x:c>
      <x:c r="X120" s="1073">
        <x:f t="shared" si="9"/>
        <x:v>0</x:v>
      </x:c>
      <x:c r="Y120" s="1233">
        <x:f t="shared" si="10"/>
        <x:v>-360534.56999999995</x:v>
      </x:c>
      <x:c r="Z120" s="1234">
        <x:f>+'ATT H-3D'!$H$24</x:f>
        <x:v>0.14582932326077899</x:v>
      </x:c>
      <x:c r="AA120" s="1235">
        <x:f t="shared" si="6"/>
        <x:v>-52576.512355215942</x:v>
      </x:c>
      <x:c r="AB120" s="1483"/>
      <x:c r="AC120" s="1235">
        <x:f t="shared" si="7"/>
        <x:v>-52576.512355215942</x:v>
      </x:c>
      <x:c r="AD120" s="1477"/>
      <x:c r="AE120" s="1477"/>
      <x:c r="AF120" s="367"/>
    </x:row>
    <x:row r="121" spans="1:32">
      <x:c r="A121" s="1198"/>
      <x:c r="B121" s="1477"/>
      <x:c r="C121" s="1488" t="s">
        <x:v>1548</x:v>
      </x:c>
      <x:c r="D121" s="1489"/>
      <x:c r="E121" s="1477"/>
      <x:c r="F121" s="1477"/>
      <x:c r="G121" s="579">
        <x:v>-1804895.9999999991</x:v>
      </x:c>
      <x:c r="H121" s="579">
        <x:v>-1804895.9999999991</x:v>
      </x:c>
      <x:c r="I121" s="579">
        <x:v>-1804895.9999999991</x:v>
      </x:c>
      <x:c r="J121" s="579">
        <x:v>-1804895.9999999991</x:v>
      </x:c>
      <x:c r="K121" s="579">
        <x:v>-1804895.9999999991</x:v>
      </x:c>
      <x:c r="L121" s="579">
        <x:v>-1804895.9999999991</x:v>
      </x:c>
      <x:c r="M121" s="579">
        <x:v>-1804895.9999999991</x:v>
      </x:c>
      <x:c r="N121" s="579">
        <x:v>-1804895.9999999991</x:v>
      </x:c>
      <x:c r="O121" s="579">
        <x:v>-1804895.9999999991</x:v>
      </x:c>
      <x:c r="P121" s="579">
        <x:v>-1563339.9999999991</x:v>
      </x:c>
      <x:c r="Q121" s="579">
        <x:v>-1563339.9999999991</x:v>
      </x:c>
      <x:c r="R121" s="579">
        <x:v>-1563339.9999999991</x:v>
      </x:c>
      <x:c r="S121" s="579">
        <x:v>-1563339.9999999991</x:v>
      </x:c>
      <x:c r="T121" s="581">
        <x:f t="shared" si="8"/>
        <x:v>-1730571.0769230765</x:v>
      </x:c>
      <x:c r="U121" s="633"/>
      <x:c r="V121" s="1233"/>
      <x:c r="W121" s="1234">
        <x:f>+'ATT H-3D'!$H$45</x:f>
        <x:v>0.36691024632926028</x:v>
      </x:c>
      <x:c r="X121" s="1073">
        <x:f t="shared" si="9"/>
        <x:v>0</x:v>
      </x:c>
      <x:c r="Y121" s="1233">
        <x:f t="shared" si="10"/>
        <x:v>-1730571.0769230765</x:v>
      </x:c>
      <x:c r="Z121" s="1234">
        <x:f>+'ATT H-3D'!$H$24</x:f>
        <x:v>0.14582932326077899</x:v>
      </x:c>
      <x:c r="AA121" s="1235">
        <x:f t="shared" si="6"/>
        <x:v>-252368.00900236974</x:v>
      </x:c>
      <x:c r="AB121" s="1483"/>
      <x:c r="AC121" s="1235">
        <x:f t="shared" si="7"/>
        <x:v>-252368.00900236974</x:v>
      </x:c>
      <x:c r="AD121" s="1477"/>
      <x:c r="AE121" s="1477"/>
      <x:c r="AF121" s="367"/>
    </x:row>
    <x:row r="122" spans="1:32">
      <x:c r="A122" s="1198"/>
      <x:c r="B122" s="1477"/>
      <x:c r="C122" s="1488" t="s">
        <x:v>1549</x:v>
      </x:c>
      <x:c r="D122" s="1489"/>
      <x:c r="E122" s="1477"/>
      <x:c r="F122" s="1477"/>
      <x:c r="G122" s="579">
        <x:v>-420130.55999999994</x:v>
      </x:c>
      <x:c r="H122" s="579">
        <x:v>-449739.08999999997</x:v>
      </x:c>
      <x:c r="I122" s="579">
        <x:v>-469168.87</x:v>
      </x:c>
      <x:c r="J122" s="579">
        <x:v>-493100.89</x:v>
      </x:c>
      <x:c r="K122" s="579">
        <x:v>-511709.54000000004</x:v>
      </x:c>
      <x:c r="L122" s="579">
        <x:v>-510702.59000000008</x:v>
      </x:c>
      <x:c r="M122" s="579">
        <x:v>-521340.7300000001</x:v>
      </x:c>
      <x:c r="N122" s="579">
        <x:v>-509195.30000000016</x:v>
      </x:c>
      <x:c r="O122" s="579">
        <x:v>-491390.45000000019</x:v>
      </x:c>
      <x:c r="P122" s="579">
        <x:v>-505915.85000000021</x:v>
      </x:c>
      <x:c r="Q122" s="579">
        <x:v>-507535.69000000018</x:v>
      </x:c>
      <x:c r="R122" s="579">
        <x:v>-504400.93000000017</x:v>
      </x:c>
      <x:c r="S122" s="579">
        <x:v>-441355.18000000017</x:v>
      </x:c>
      <x:c r="T122" s="581">
        <x:f t="shared" si="8"/>
        <x:v>-487360.43615384627</x:v>
      </x:c>
      <x:c r="U122" s="633"/>
      <x:c r="V122" s="1233"/>
      <x:c r="W122" s="1234">
        <x:f>+'ATT H-3D'!$H$45</x:f>
        <x:v>0.36691024632926028</x:v>
      </x:c>
      <x:c r="X122" s="1073">
        <x:f t="shared" si="9"/>
        <x:v>0</x:v>
      </x:c>
      <x:c r="Y122" s="1233">
        <x:f t="shared" si="10"/>
        <x:v>-487360.43615384627</x:v>
      </x:c>
      <x:c r="Z122" s="1234">
        <x:f>+'ATT H-3D'!$H$24</x:f>
        <x:v>0.14582932326077899</x:v>
      </x:c>
      <x:c r="AA122" s="1235">
        <x:f t="shared" si="6"/>
        <x:v>-71071.442588393489</x:v>
      </x:c>
      <x:c r="AB122" s="1483"/>
      <x:c r="AC122" s="1235">
        <x:f t="shared" si="7"/>
        <x:v>-71071.442588393489</x:v>
      </x:c>
      <x:c r="AD122" s="1477"/>
      <x:c r="AE122" s="1477"/>
      <x:c r="AF122" s="367"/>
    </x:row>
    <x:row r="123" spans="1:32">
      <x:c r="A123" s="1198"/>
      <x:c r="B123" s="1477"/>
      <x:c r="C123" s="1488" t="s">
        <x:v>1550</x:v>
      </x:c>
      <x:c r="D123" s="1489"/>
      <x:c r="E123" s="1477"/>
      <x:c r="F123" s="1477"/>
      <x:c r="G123" s="579">
        <x:v>-6819689.0999999791</x:v>
      </x:c>
      <x:c r="H123" s="579">
        <x:v>-8893209.1199999787</x:v>
      </x:c>
      <x:c r="I123" s="579">
        <x:v>-1380487.2499999776</x:v>
      </x:c>
      <x:c r="J123" s="579">
        <x:v>-2103668.3299999777</x:v>
      </x:c>
      <x:c r="K123" s="579">
        <x:v>-2846837.2699999777</x:v>
      </x:c>
      <x:c r="L123" s="579">
        <x:v>-3603915.0699999775</x:v>
      </x:c>
      <x:c r="M123" s="579">
        <x:v>-4956844.2999999775</x:v>
      </x:c>
      <x:c r="N123" s="579">
        <x:v>-5776562.0599999772</x:v>
      </x:c>
      <x:c r="O123" s="579">
        <x:v>-6613687.3699999778</x:v>
      </x:c>
      <x:c r="P123" s="579">
        <x:v>-7007353.8299999777</x:v>
      </x:c>
      <x:c r="Q123" s="579">
        <x:v>-8211736.9399999781</x:v>
      </x:c>
      <x:c r="R123" s="579">
        <x:v>-9144520.8899999782</x:v>
      </x:c>
      <x:c r="S123" s="579">
        <x:v>-11911080.519999977</x:v>
      </x:c>
      <x:c r="T123" s="581">
        <x:f t="shared" si="8"/>
        <x:v>-6097660.9269230552</x:v>
      </x:c>
      <x:c r="U123" s="633"/>
      <x:c r="V123" s="1233"/>
      <x:c r="W123" s="1234">
        <x:f>+'ATT H-3D'!$H$45</x:f>
        <x:v>0.36691024632926028</x:v>
      </x:c>
      <x:c r="X123" s="1073">
        <x:f t="shared" si="9"/>
        <x:v>0</x:v>
      </x:c>
      <x:c r="Y123" s="1233">
        <x:f t="shared" si="10"/>
        <x:v>-6097660.9269230552</x:v>
      </x:c>
      <x:c r="Z123" s="1234">
        <x:f>+'ATT H-3D'!$H$24</x:f>
        <x:v>0.14582932326077899</x:v>
      </x:c>
      <x:c r="AA123" s="1235">
        <x:f t="shared" si="6"/>
        <x:v>-889217.76644688344</x:v>
      </x:c>
      <x:c r="AB123" s="1483"/>
      <x:c r="AC123" s="1235">
        <x:f t="shared" si="7"/>
        <x:v>-889217.76644688344</x:v>
      </x:c>
      <x:c r="AD123" s="1477"/>
      <x:c r="AE123" s="1477"/>
      <x:c r="AF123" s="367"/>
    </x:row>
    <x:row r="124" spans="1:32">
      <x:c r="A124" s="1198"/>
      <x:c r="B124" s="1477"/>
      <x:c r="C124" s="1488" t="s">
        <x:v>1551</x:v>
      </x:c>
      <x:c r="D124" s="1489"/>
      <x:c r="E124" s="1477"/>
      <x:c r="F124" s="1477"/>
      <x:c r="G124" s="579">
        <x:v>-4063069.9200000004</x:v>
      </x:c>
      <x:c r="H124" s="579">
        <x:v>-4703082.1100000003</x:v>
      </x:c>
      <x:c r="I124" s="579">
        <x:v>-4749961.0100000007</x:v>
      </x:c>
      <x:c r="J124" s="579">
        <x:v>-4068338.5999999996</x:v>
      </x:c>
      <x:c r="K124" s="579">
        <x:v>-4178465.3899999997</x:v>
      </x:c>
      <x:c r="L124" s="579">
        <x:v>-4359291.34</x:v>
      </x:c>
      <x:c r="M124" s="579">
        <x:v>-4933773.2799999993</x:v>
      </x:c>
      <x:c r="N124" s="579">
        <x:v>-5168018.419999999</x:v>
      </x:c>
      <x:c r="O124" s="579">
        <x:v>-4893680.29</x:v>
      </x:c>
      <x:c r="P124" s="579">
        <x:v>-4837338.4499999993</x:v>
      </x:c>
      <x:c r="Q124" s="579">
        <x:v>-5250497.6699999981</x:v>
      </x:c>
      <x:c r="R124" s="579">
        <x:v>-5452651.3399999989</x:v>
      </x:c>
      <x:c r="S124" s="579">
        <x:v>-6308978.709999999</x:v>
      </x:c>
      <x:c r="T124" s="581">
        <x:f t="shared" si="8"/>
        <x:v>-4843626.6561538465</x:v>
      </x:c>
      <x:c r="U124" s="633"/>
      <x:c r="V124" s="1233"/>
      <x:c r="W124" s="1234">
        <x:f>+'ATT H-3D'!$H$45</x:f>
        <x:v>0.36691024632926028</x:v>
      </x:c>
      <x:c r="X124" s="1073">
        <x:f t="shared" ref="X124:X131" si="11">+V124*W124</x:f>
        <x:v>0</x:v>
      </x:c>
      <x:c r="Y124" s="1233">
        <x:f t="shared" si="10"/>
        <x:v>-4843626.6561538465</x:v>
      </x:c>
      <x:c r="Z124" s="1234">
        <x:f>+'ATT H-3D'!$H$24</x:f>
        <x:v>0.14582932326077899</x:v>
      </x:c>
      <x:c r="AA124" s="1235">
        <x:f t="shared" ref="AA124:AA131" si="12">+Z124*Y124</x:f>
        <x:v>-706342.79739478533</x:v>
      </x:c>
      <x:c r="AB124" s="1483"/>
      <x:c r="AC124" s="1235">
        <x:f t="shared" ref="AC124:AC131" si="13">X124+AA124+AB124</x:f>
        <x:v>-706342.79739478533</x:v>
      </x:c>
      <x:c r="AD124" s="1477"/>
      <x:c r="AE124" s="1477"/>
      <x:c r="AF124" s="367"/>
    </x:row>
    <x:row r="125" spans="1:32">
      <x:c r="A125" s="1198"/>
      <x:c r="B125" s="1477"/>
      <x:c r="C125" s="1488" t="s">
        <x:v>1552</x:v>
      </x:c>
      <x:c r="D125" s="1489"/>
      <x:c r="E125" s="1477"/>
      <x:c r="F125" s="1477"/>
      <x:c r="G125" s="579">
        <x:v>-508684.99999999988</x:v>
      </x:c>
      <x:c r="H125" s="579">
        <x:v>-508684.99999999988</x:v>
      </x:c>
      <x:c r="I125" s="579">
        <x:v>-508684.99999999988</x:v>
      </x:c>
      <x:c r="J125" s="579">
        <x:v>-508684.99999999988</x:v>
      </x:c>
      <x:c r="K125" s="579">
        <x:v>-508684.99999999988</x:v>
      </x:c>
      <x:c r="L125" s="579">
        <x:v>-508684.99999999988</x:v>
      </x:c>
      <x:c r="M125" s="579">
        <x:v>-508684.99999999988</x:v>
      </x:c>
      <x:c r="N125" s="579">
        <x:v>-508684.99999999988</x:v>
      </x:c>
      <x:c r="O125" s="579">
        <x:v>-508684.99999999988</x:v>
      </x:c>
      <x:c r="P125" s="579">
        <x:v>-499103.99999999988</x:v>
      </x:c>
      <x:c r="Q125" s="579">
        <x:v>-499103.99999999988</x:v>
      </x:c>
      <x:c r="R125" s="579">
        <x:v>-499103.99999999988</x:v>
      </x:c>
      <x:c r="S125" s="579">
        <x:v>-499103.99999999988</x:v>
      </x:c>
      <x:c r="T125" s="581">
        <x:f t="shared" si="8"/>
        <x:v>-505736.99999999994</x:v>
      </x:c>
      <x:c r="U125" s="633"/>
      <x:c r="V125" s="1233"/>
      <x:c r="W125" s="1234">
        <x:f>+'ATT H-3D'!$H$45</x:f>
        <x:v>0.36691024632926028</x:v>
      </x:c>
      <x:c r="X125" s="1073">
        <x:f t="shared" si="11"/>
        <x:v>0</x:v>
      </x:c>
      <x:c r="Y125" s="1233">
        <x:f t="shared" si="10"/>
        <x:v>-505736.99999999994</x:v>
      </x:c>
      <x:c r="Z125" s="1234">
        <x:f>+'ATT H-3D'!$H$24</x:f>
        <x:v>0.14582932326077899</x:v>
      </x:c>
      <x:c r="AA125" s="1235">
        <x:f t="shared" si="12"/>
        <x:v>-73751.284457936577</x:v>
      </x:c>
      <x:c r="AB125" s="1483"/>
      <x:c r="AC125" s="1235">
        <x:f t="shared" si="13"/>
        <x:v>-73751.284457936577</x:v>
      </x:c>
      <x:c r="AD125" s="1477"/>
      <x:c r="AE125" s="1477"/>
      <x:c r="AF125" s="367"/>
    </x:row>
    <x:row r="126" spans="1:32">
      <x:c r="A126" s="1198"/>
      <x:c r="B126" s="1477"/>
      <x:c r="C126" s="1488" t="s">
        <x:v>1553</x:v>
      </x:c>
      <x:c r="D126" s="1489"/>
      <x:c r="E126" s="1477"/>
      <x:c r="F126" s="1477"/>
      <x:c r="G126" s="579">
        <x:v>-5934420.7800000049</x:v>
      </x:c>
      <x:c r="H126" s="579">
        <x:v>-5830469.1900000051</x:v>
      </x:c>
      <x:c r="I126" s="579">
        <x:v>-5726517.6000000052</x:v>
      </x:c>
      <x:c r="J126" s="579">
        <x:v>-5668119.5100000054</x:v>
      </x:c>
      <x:c r="K126" s="579">
        <x:v>-5579352.4300000053</x:v>
      </x:c>
      <x:c r="L126" s="579">
        <x:v>-5490585.3500000052</x:v>
      </x:c>
      <x:c r="M126" s="579">
        <x:v>-5401818.2700000051</x:v>
      </x:c>
      <x:c r="N126" s="579">
        <x:v>-5313051.1900000051</x:v>
      </x:c>
      <x:c r="O126" s="579">
        <x:v>-5224284.110000005</x:v>
      </x:c>
      <x:c r="P126" s="579">
        <x:v>-5135517.0300000049</x:v>
      </x:c>
      <x:c r="Q126" s="579">
        <x:v>-5046749.9500000048</x:v>
      </x:c>
      <x:c r="R126" s="579">
        <x:v>-4957982.8700000048</x:v>
      </x:c>
      <x:c r="S126" s="579">
        <x:v>-3077754.7900000047</x:v>
      </x:c>
      <x:c r="T126" s="581">
        <x:f t="shared" si="8"/>
        <x:v>-5260509.4669230822</x:v>
      </x:c>
      <x:c r="U126" s="633"/>
      <x:c r="V126" s="1233"/>
      <x:c r="W126" s="1234">
        <x:f>+'ATT H-3D'!$H$45</x:f>
        <x:v>0.36691024632926028</x:v>
      </x:c>
      <x:c r="X126" s="1073">
        <x:f t="shared" si="11"/>
        <x:v>0</x:v>
      </x:c>
      <x:c r="Y126" s="1233">
        <x:f t="shared" si="10"/>
        <x:v>-5260509.4669230822</x:v>
      </x:c>
      <x:c r="Z126" s="1234">
        <x:f>+'ATT H-3D'!$H$24</x:f>
        <x:v>0.14582932326077899</x:v>
      </x:c>
      <x:c r="AA126" s="1235">
        <x:f t="shared" si="12"/>
        <x:v>-767136.53556831437</x:v>
      </x:c>
      <x:c r="AB126" s="1483"/>
      <x:c r="AC126" s="1235">
        <x:f t="shared" si="13"/>
        <x:v>-767136.53556831437</x:v>
      </x:c>
      <x:c r="AD126" s="1477"/>
      <x:c r="AE126" s="1477"/>
      <x:c r="AF126" s="367"/>
    </x:row>
    <x:row r="127" spans="1:32">
      <x:c r="A127" s="1198"/>
      <x:c r="B127" s="1477"/>
      <x:c r="C127" s="1488" t="s">
        <x:v>1554</x:v>
      </x:c>
      <x:c r="D127" s="1489"/>
      <x:c r="E127" s="1477"/>
      <x:c r="F127" s="1477"/>
      <x:c r="G127" s="579">
        <x:v>0</x:v>
      </x:c>
      <x:c r="H127" s="579">
        <x:v>0</x:v>
      </x:c>
      <x:c r="I127" s="579">
        <x:v>0</x:v>
      </x:c>
      <x:c r="J127" s="579">
        <x:v>0</x:v>
      </x:c>
      <x:c r="K127" s="579">
        <x:v>0</x:v>
      </x:c>
      <x:c r="L127" s="579">
        <x:v>0</x:v>
      </x:c>
      <x:c r="M127" s="579">
        <x:v>0</x:v>
      </x:c>
      <x:c r="N127" s="579">
        <x:v>0</x:v>
      </x:c>
      <x:c r="O127" s="579">
        <x:v>0</x:v>
      </x:c>
      <x:c r="P127" s="579">
        <x:v>0</x:v>
      </x:c>
      <x:c r="Q127" s="579">
        <x:v>0</x:v>
      </x:c>
      <x:c r="R127" s="579">
        <x:v>0</x:v>
      </x:c>
      <x:c r="S127" s="579">
        <x:v>0</x:v>
      </x:c>
      <x:c r="T127" s="581">
        <x:f t="shared" si="8"/>
        <x:v>0</x:v>
      </x:c>
      <x:c r="U127" s="633"/>
      <x:c r="V127" s="1233"/>
      <x:c r="W127" s="1234">
        <x:f>+'ATT H-3D'!$H$45</x:f>
        <x:v>0.36691024632926028</x:v>
      </x:c>
      <x:c r="X127" s="1073">
        <x:f t="shared" si="11"/>
        <x:v>0</x:v>
      </x:c>
      <x:c r="Y127" s="1233">
        <x:f t="shared" si="10"/>
        <x:v>0</x:v>
      </x:c>
      <x:c r="Z127" s="1234">
        <x:f>+'ATT H-3D'!$H$24</x:f>
        <x:v>0.14582932326077899</x:v>
      </x:c>
      <x:c r="AA127" s="1235">
        <x:f t="shared" si="12"/>
        <x:v>0</x:v>
      </x:c>
      <x:c r="AB127" s="1483"/>
      <x:c r="AC127" s="1235">
        <x:f t="shared" si="13"/>
        <x:v>0</x:v>
      </x:c>
      <x:c r="AD127" s="1477"/>
      <x:c r="AE127" s="1477"/>
      <x:c r="AF127" s="367"/>
    </x:row>
    <x:row r="128" spans="1:32">
      <x:c r="A128" s="1198"/>
      <x:c r="B128" s="1477"/>
      <x:c r="C128" s="1488" t="s">
        <x:v>1555</x:v>
      </x:c>
      <x:c r="D128" s="1489"/>
      <x:c r="E128" s="1477"/>
      <x:c r="F128" s="1477"/>
      <x:c r="G128" s="579">
        <x:v>-105131.76999999999</x:v>
      </x:c>
      <x:c r="H128" s="579">
        <x:v>-104900.16</x:v>
      </x:c>
      <x:c r="I128" s="579">
        <x:v>-106102.41</x:v>
      </x:c>
      <x:c r="J128" s="579">
        <x:v>-107953.11</x:v>
      </x:c>
      <x:c r="K128" s="579">
        <x:v>-83733.13</x:v>
      </x:c>
      <x:c r="L128" s="579">
        <x:v>-85814.25</x:v>
      </x:c>
      <x:c r="M128" s="579">
        <x:v>-86563</x:v>
      </x:c>
      <x:c r="N128" s="579">
        <x:v>-88688.36</x:v>
      </x:c>
      <x:c r="O128" s="579">
        <x:v>-90161.09</x:v>
      </x:c>
      <x:c r="P128" s="579">
        <x:v>-91588.54</x:v>
      </x:c>
      <x:c r="Q128" s="579">
        <x:v>-89666.51999999999</x:v>
      </x:c>
      <x:c r="R128" s="579">
        <x:v>-91523.219999999987</x:v>
      </x:c>
      <x:c r="S128" s="579">
        <x:v>-89881.239999999991</x:v>
      </x:c>
      <x:c r="T128" s="581">
        <x:f t="shared" si="8"/>
        <x:v>-93977.446153846162</x:v>
      </x:c>
      <x:c r="U128" s="633"/>
      <x:c r="V128" s="1233"/>
      <x:c r="W128" s="1234">
        <x:f>+'ATT H-3D'!$H$45</x:f>
        <x:v>0.36691024632926028</x:v>
      </x:c>
      <x:c r="X128" s="1073">
        <x:f t="shared" si="11"/>
        <x:v>0</x:v>
      </x:c>
      <x:c r="Y128" s="1233">
        <x:f t="shared" si="10"/>
        <x:v>-93977.446153846162</x:v>
      </x:c>
      <x:c r="Z128" s="1234">
        <x:f>+'ATT H-3D'!$H$24</x:f>
        <x:v>0.14582932326077899</x:v>
      </x:c>
      <x:c r="AA128" s="1235">
        <x:f t="shared" si="12"/>
        <x:v>-13704.667374391684</x:v>
      </x:c>
      <x:c r="AB128" s="1483"/>
      <x:c r="AC128" s="1235">
        <x:f t="shared" si="13"/>
        <x:v>-13704.667374391684</x:v>
      </x:c>
      <x:c r="AD128" s="1477"/>
      <x:c r="AE128" s="1477"/>
      <x:c r="AF128" s="367"/>
    </x:row>
    <x:row r="129" spans="1:32">
      <x:c r="A129" s="1198"/>
      <x:c r="B129" s="1477"/>
      <x:c r="C129" s="1488" t="s">
        <x:v>1556</x:v>
      </x:c>
      <x:c r="D129" s="1489"/>
      <x:c r="E129" s="1477"/>
      <x:c r="F129" s="1477"/>
      <x:c r="G129" s="579">
        <x:v>-100000</x:v>
      </x:c>
      <x:c r="H129" s="579">
        <x:v>-100000</x:v>
      </x:c>
      <x:c r="I129" s="579">
        <x:v>-100000</x:v>
      </x:c>
      <x:c r="J129" s="579">
        <x:v>-118967.41</x:v>
      </x:c>
      <x:c r="K129" s="579">
        <x:v>-106334.7</x:v>
      </x:c>
      <x:c r="L129" s="579">
        <x:v>-99433.44</x:v>
      </x:c>
      <x:c r="M129" s="579">
        <x:v>-99638.06</x:v>
      </x:c>
      <x:c r="N129" s="579">
        <x:v>-99638.06</x:v>
      </x:c>
      <x:c r="O129" s="579">
        <x:v>-99638.06</x:v>
      </x:c>
      <x:c r="P129" s="579">
        <x:v>-100000.01</x:v>
      </x:c>
      <x:c r="Q129" s="579">
        <x:v>-100000.01</x:v>
      </x:c>
      <x:c r="R129" s="579">
        <x:v>-100000</x:v>
      </x:c>
      <x:c r="S129" s="579">
        <x:v>-100000</x:v>
      </x:c>
      <x:c r="T129" s="581">
        <x:f t="shared" si="8"/>
        <x:v>-101819.21153846156</x:v>
      </x:c>
      <x:c r="U129" s="633"/>
      <x:c r="V129" s="1233"/>
      <x:c r="W129" s="1234">
        <x:f>+'ATT H-3D'!$H$45</x:f>
        <x:v>0.36691024632926028</x:v>
      </x:c>
      <x:c r="X129" s="1073">
        <x:f t="shared" si="11"/>
        <x:v>0</x:v>
      </x:c>
      <x:c r="Y129" s="1233">
        <x:f t="shared" si="10"/>
        <x:v>-101819.21153846156</x:v>
      </x:c>
      <x:c r="Z129" s="1234">
        <x:f>+'ATT H-3D'!$H$24</x:f>
        <x:v>0.14582932326077899</x:v>
      </x:c>
      <x:c r="AA129" s="1235">
        <x:f t="shared" si="12"/>
        <x:v>-14848.22671359995</x:v>
      </x:c>
      <x:c r="AB129" s="1483"/>
      <x:c r="AC129" s="1235">
        <x:f t="shared" si="13"/>
        <x:v>-14848.22671359995</x:v>
      </x:c>
      <x:c r="AD129" s="1477"/>
      <x:c r="AE129" s="1477"/>
      <x:c r="AF129" s="367"/>
    </x:row>
    <x:row r="130" spans="1:32">
      <x:c r="A130" s="1198"/>
      <x:c r="B130" s="1477"/>
      <x:c r="C130" s="1488" t="s">
        <x:v>1557</x:v>
      </x:c>
      <x:c r="D130" s="1489"/>
      <x:c r="E130" s="1477"/>
      <x:c r="F130" s="1477"/>
      <x:c r="G130" s="579">
        <x:v>-294318</x:v>
      </x:c>
      <x:c r="H130" s="579">
        <x:v>-277452.19</x:v>
      </x:c>
      <x:c r="I130" s="579">
        <x:v>-66657.5</x:v>
      </x:c>
      <x:c r="J130" s="579">
        <x:v>-101353.95999999999</x:v>
      </x:c>
      <x:c r="K130" s="579">
        <x:v>-126107.9</x:v>
      </x:c>
      <x:c r="L130" s="579">
        <x:v>-152111.96999999997</x:v>
      </x:c>
      <x:c r="M130" s="579">
        <x:v>-185865.90999999997</x:v>
      </x:c>
      <x:c r="N130" s="579">
        <x:v>-180996.69999999998</x:v>
      </x:c>
      <x:c r="O130" s="579">
        <x:v>-190220.06999999998</x:v>
      </x:c>
      <x:c r="P130" s="579">
        <x:v>-207360.68</x:v>
      </x:c>
      <x:c r="Q130" s="579">
        <x:v>-225072.65</x:v>
      </x:c>
      <x:c r="R130" s="579">
        <x:v>-242213.26</x:v>
      </x:c>
      <x:c r="S130" s="579">
        <x:v>-259925.23</x:v>
      </x:c>
      <x:c r="T130" s="581">
        <x:f t="shared" si="8"/>
        <x:v>-193050.46307692307</x:v>
      </x:c>
      <x:c r="U130" s="633"/>
      <x:c r="V130" s="1233"/>
      <x:c r="W130" s="1234">
        <x:f>+'ATT H-3D'!$H$45</x:f>
        <x:v>0.36691024632926028</x:v>
      </x:c>
      <x:c r="X130" s="1073">
        <x:f t="shared" si="11"/>
        <x:v>0</x:v>
      </x:c>
      <x:c r="Y130" s="1233">
        <x:f t="shared" si="10"/>
        <x:v>-193050.46307692307</x:v>
      </x:c>
      <x:c r="Z130" s="1234">
        <x:f>+'ATT H-3D'!$H$24</x:f>
        <x:v>0.14582932326077899</x:v>
      </x:c>
      <x:c r="AA130" s="1235">
        <x:f t="shared" si="12"/>
        <x:v>-28152.418385687695</x:v>
      </x:c>
      <x:c r="AB130" s="1483"/>
      <x:c r="AC130" s="1235">
        <x:f t="shared" si="13"/>
        <x:v>-28152.418385687695</x:v>
      </x:c>
      <x:c r="AD130" s="1477"/>
      <x:c r="AE130" s="1477"/>
      <x:c r="AF130" s="367"/>
    </x:row>
    <x:row r="131" spans="1:32">
      <x:c r="A131" s="1198"/>
      <x:c r="B131" s="1477"/>
      <x:c r="C131" s="1488" t="s">
        <x:v>1558</x:v>
      </x:c>
      <x:c r="D131" s="1489"/>
      <x:c r="E131" s="1477"/>
      <x:c r="F131" s="1477"/>
      <x:c r="G131" s="579">
        <x:v>1.4551915228366852E-11</x:v>
      </x:c>
      <x:c r="H131" s="579">
        <x:v>0</x:v>
      </x:c>
      <x:c r="I131" s="579">
        <x:v>0</x:v>
      </x:c>
      <x:c r="J131" s="579">
        <x:v>0</x:v>
      </x:c>
      <x:c r="K131" s="579">
        <x:v>0</x:v>
      </x:c>
      <x:c r="L131" s="579">
        <x:v>0</x:v>
      </x:c>
      <x:c r="M131" s="579">
        <x:v>0</x:v>
      </x:c>
      <x:c r="N131" s="579">
        <x:v>0</x:v>
      </x:c>
      <x:c r="O131" s="579">
        <x:v>0</x:v>
      </x:c>
      <x:c r="P131" s="579">
        <x:v>0</x:v>
      </x:c>
      <x:c r="Q131" s="579">
        <x:v>0</x:v>
      </x:c>
      <x:c r="R131" s="579">
        <x:v>0</x:v>
      </x:c>
      <x:c r="S131" s="579">
        <x:v>0</x:v>
      </x:c>
      <x:c r="T131" s="581">
        <x:f t="shared" si="8"/>
        <x:v>1.1193780944897579E-12</x:v>
      </x:c>
      <x:c r="U131" s="633"/>
      <x:c r="V131" s="1233"/>
      <x:c r="W131" s="1234">
        <x:f>+'ATT H-3D'!$H$45</x:f>
        <x:v>0.36691024632926028</x:v>
      </x:c>
      <x:c r="X131" s="1073">
        <x:f t="shared" si="11"/>
        <x:v>0</x:v>
      </x:c>
      <x:c r="Y131" s="1233">
        <x:f t="shared" si="10"/>
        <x:v>1.1193780944897579E-12</x:v>
      </x:c>
      <x:c r="Z131" s="1234">
        <x:f>+'ATT H-3D'!$H$24</x:f>
        <x:v>0.14582932326077899</x:v>
      </x:c>
      <x:c r="AA131" s="1235">
        <x:f t="shared" si="12"/>
        <x:v>1.6323814999238171E-13</x:v>
      </x:c>
      <x:c r="AB131" s="1483"/>
      <x:c r="AC131" s="1235">
        <x:f t="shared" si="13"/>
        <x:v>1.6323814999238171E-13</x:v>
      </x:c>
      <x:c r="AD131" s="1477"/>
      <x:c r="AE131" s="1477"/>
      <x:c r="AF131" s="367"/>
    </x:row>
    <x:row r="132" spans="1:32">
      <x:c r="A132" s="1198"/>
      <x:c r="B132" s="1477"/>
      <x:c r="C132" s="1488" t="s">
        <x:v>2098</x:v>
      </x:c>
      <x:c r="D132" s="1489"/>
      <x:c r="E132" s="1477"/>
      <x:c r="F132" s="1477"/>
      <x:c r="G132" s="579">
        <x:v>0</x:v>
      </x:c>
      <x:c r="H132" s="579">
        <x:v>0</x:v>
      </x:c>
      <x:c r="I132" s="579">
        <x:v>0</x:v>
      </x:c>
      <x:c r="J132" s="579">
        <x:v>0</x:v>
      </x:c>
      <x:c r="K132" s="579">
        <x:v>0</x:v>
      </x:c>
      <x:c r="L132" s="579">
        <x:v>0</x:v>
      </x:c>
      <x:c r="M132" s="579">
        <x:v>0</x:v>
      </x:c>
      <x:c r="N132" s="579">
        <x:v>0</x:v>
      </x:c>
      <x:c r="O132" s="579">
        <x:v>0</x:v>
      </x:c>
      <x:c r="P132" s="579">
        <x:v>-750000</x:v>
      </x:c>
      <x:c r="Q132" s="579">
        <x:v>-750000</x:v>
      </x:c>
      <x:c r="R132" s="579">
        <x:v>-750000</x:v>
      </x:c>
      <x:c r="S132" s="579">
        <x:v>-750000</x:v>
      </x:c>
      <x:c r="T132" s="581">
        <x:f t="shared" si="8"/>
        <x:v>-230769.23076923078</x:v>
      </x:c>
      <x:c r="U132" s="633"/>
      <x:c r="V132" s="1233"/>
      <x:c r="W132" s="1234"/>
      <x:c r="X132" s="1073"/>
      <x:c r="Y132" s="1233"/>
      <x:c r="Z132" s="1234"/>
      <x:c r="AA132" s="1235"/>
      <x:c r="AB132" s="1290">
        <x:f>T132</x:f>
        <x:v>-230769.23076923078</x:v>
      </x:c>
      <x:c r="AC132" s="1235">
        <x:f t="shared" si="7"/>
        <x:v>-230769.23076923078</x:v>
      </x:c>
      <x:c r="AD132" s="1477"/>
      <x:c r="AE132" s="1477"/>
      <x:c r="AF132" s="367"/>
    </x:row>
    <x:row r="133" spans="1:32">
      <x:c r="A133" s="1198"/>
      <x:c r="B133" s="1477"/>
      <x:c r="C133" s="1489"/>
      <x:c r="D133" s="1489"/>
      <x:c r="E133" s="1477"/>
      <x:c r="F133" s="1477"/>
      <x:c r="G133" s="1292"/>
      <x:c r="H133" s="1292"/>
      <x:c r="I133" s="1292"/>
      <x:c r="J133" s="1292"/>
      <x:c r="K133" s="1292"/>
      <x:c r="L133" s="1292"/>
      <x:c r="M133" s="1292"/>
      <x:c r="N133" s="1292"/>
      <x:c r="O133" s="1292"/>
      <x:c r="P133" s="1292"/>
      <x:c r="Q133" s="1292"/>
      <x:c r="R133" s="1292"/>
      <x:c r="S133" s="1292"/>
      <x:c r="T133" s="581"/>
      <x:c r="U133" s="633"/>
      <x:c r="V133" s="678"/>
      <x:c r="W133" s="1234"/>
      <x:c r="X133" s="1073"/>
      <x:c r="Y133" s="678"/>
      <x:c r="Z133" s="1234"/>
      <x:c r="AA133" s="1235"/>
      <x:c r="AB133" s="1293"/>
      <x:c r="AC133" s="1235"/>
      <x:c r="AD133" s="1477"/>
      <x:c r="AE133" s="1477"/>
      <x:c r="AF133" s="367"/>
    </x:row>
    <x:row r="134" spans="1:32">
      <x:c r="A134" s="1198"/>
      <x:c r="B134" s="1477"/>
      <x:c r="C134" s="1489"/>
      <x:c r="D134" s="1477"/>
      <x:c r="E134" s="1477"/>
      <x:c r="F134" s="1477"/>
      <x:c r="G134" s="1130"/>
      <x:c r="H134" s="1130"/>
      <x:c r="I134" s="1130"/>
      <x:c r="J134" s="1130"/>
      <x:c r="K134" s="1130"/>
      <x:c r="L134" s="1130"/>
      <x:c r="M134" s="1130"/>
      <x:c r="N134" s="1130"/>
      <x:c r="O134" s="1130"/>
      <x:c r="P134" s="1130"/>
      <x:c r="Q134" s="1130"/>
      <x:c r="R134" s="1130"/>
      <x:c r="S134" s="1130"/>
      <x:c r="T134" s="582"/>
      <x:c r="U134" s="633"/>
      <x:c r="V134" s="678"/>
      <x:c r="W134" s="1236"/>
      <x:c r="X134" s="1073"/>
      <x:c r="Y134" s="678"/>
      <x:c r="Z134" s="1234"/>
      <x:c r="AA134" s="1235"/>
      <x:c r="AB134" s="1477"/>
      <x:c r="AC134" s="1235"/>
      <x:c r="AD134" s="1477"/>
      <x:c r="AE134" s="1477"/>
      <x:c r="AF134" s="367"/>
    </x:row>
    <x:row r="135" spans="1:32" ht="13.5" thickBot="1">
      <x:c r="A135" s="1198"/>
      <x:c r="B135" s="1477"/>
      <x:c r="C135" s="1490" t="s">
        <x:v>976</x:v>
      </x:c>
      <x:c r="D135" s="1477"/>
      <x:c r="E135" s="1477"/>
      <x:c r="F135" s="1477"/>
      <x:c r="G135" s="584">
        <x:f t="shared" ref="G135:S135" si="14">SUM(G115:G134)</x:f>
        <x:v>-24478954.199999981</x:v>
      </x:c>
      <x:c r="H135" s="584">
        <x:f t="shared" si="14"/>
        <x:v>-27071440.309999984</x:v>
      </x:c>
      <x:c r="I135" s="584">
        <x:f t="shared" si="14"/>
        <x:v>-19334991.049999982</x:v>
      </x:c>
      <x:c r="J135" s="584">
        <x:f t="shared" si="14"/>
        <x:v>-19391798.119999979</x:v>
      </x:c>
      <x:c r="K135" s="584">
        <x:f t="shared" si="14"/>
        <x:v>-20113976.669999979</x:v>
      </x:c>
      <x:c r="L135" s="584">
        <x:f t="shared" si="14"/>
        <x:v>-20597032.14999998</x:v>
      </x:c>
      <x:c r="M135" s="584">
        <x:f t="shared" si="14"/>
        <x:v>-22455118.439999979</x:v>
      </x:c>
      <x:c r="N135" s="584">
        <x:f t="shared" si="14"/>
        <x:v>-23461524.979999974</x:v>
      </x:c>
      <x:c r="O135" s="584">
        <x:f t="shared" si="14"/>
        <x:v>-24050850.299999982</x:v>
      </x:c>
      <x:c r="P135" s="584">
        <x:f t="shared" si="14"/>
        <x:v>-24879125.64999998</x:v>
      </x:c>
      <x:c r="Q135" s="584">
        <x:f t="shared" si="14"/>
        <x:v>-26445375.889999978</x:v>
      </x:c>
      <x:c r="R135" s="584">
        <x:f t="shared" si="14"/>
        <x:v>-27578168.269999981</x:v>
      </x:c>
      <x:c r="S135" s="584">
        <x:f t="shared" si="14"/>
        <x:v>-29419683.169999979</x:v>
      </x:c>
      <x:c r="T135" s="585">
        <x:f t="shared" ref="T135" si="15">SUM(G135:S135)/13</x:f>
        <x:v>-23790618.399999976</x:v>
      </x:c>
      <x:c r="U135" s="633"/>
      <x:c r="V135" s="586">
        <x:f>SUM(V115:V134)</x:f>
        <x:v>-1481764.6784615379</x:v>
      </x:c>
      <x:c r="W135" s="795"/>
      <x:c r="X135" s="586">
        <x:f>SUM(X115:X134)</x:f>
        <x:v>-543674.64317632001</x:v>
      </x:c>
      <x:c r="Y135" s="586">
        <x:f>SUM(Y115:Y134)</x:f>
        <x:v>-22078084.490769211</x:v>
      </x:c>
      <x:c r="Z135" s="1491"/>
      <x:c r="AA135" s="586">
        <x:f>SUM(AA115:AA134)</x:f>
        <x:v>-3219632.120183175</x:v>
      </x:c>
      <x:c r="AB135" s="586">
        <x:f>SUM(AB115:AB134)</x:f>
        <x:v>-230769.23076923078</x:v>
      </x:c>
      <x:c r="AC135" s="586">
        <x:f>SUM(AC115:AC134)</x:f>
        <x:v>-3994075.994128726</x:v>
      </x:c>
      <x:c r="AD135" s="1489" t="s">
        <x:v>1404</x:v>
      </x:c>
      <x:c r="AE135" s="1477"/>
      <x:c r="AF135" s="367"/>
    </x:row>
    <x:row r="136" spans="1:32" ht="13.5" thickTop="1">
      <x:c r="A136" s="1198"/>
      <x:c r="B136" s="1477"/>
      <x:c r="C136" s="1490"/>
      <x:c r="D136" s="1477"/>
      <x:c r="E136" s="1477"/>
      <x:c r="F136" s="1477"/>
      <x:c r="G136" s="1237"/>
      <x:c r="H136" s="1237"/>
      <x:c r="I136" s="1237"/>
      <x:c r="J136" s="1237"/>
      <x:c r="K136" s="1237"/>
      <x:c r="L136" s="1237"/>
      <x:c r="M136" s="1237"/>
      <x:c r="N136" s="1237"/>
      <x:c r="O136" s="1237"/>
      <x:c r="P136" s="1237"/>
      <x:c r="Q136" s="1237"/>
      <x:c r="R136" s="1237"/>
      <x:c r="S136" s="1237"/>
      <x:c r="T136" s="1238"/>
      <x:c r="U136" s="1492"/>
      <x:c r="V136" s="1238"/>
      <x:c r="W136" s="795"/>
      <x:c r="X136" s="1238"/>
      <x:c r="Y136" s="1238"/>
      <x:c r="Z136" s="1491"/>
      <x:c r="AA136" s="1238"/>
      <x:c r="AB136" s="1238"/>
      <x:c r="AC136" s="1238"/>
      <x:c r="AD136" s="1489"/>
      <x:c r="AE136" s="1477"/>
      <x:c r="AF136" s="367"/>
    </x:row>
    <x:row r="137" spans="1:32" ht="15" customHeight="1">
      <x:c r="A137" s="1198"/>
      <x:c r="B137" s="1477"/>
      <x:c r="C137" s="1700" t="s">
        <x:v>977</x:v>
      </x:c>
      <x:c r="D137" s="1700"/>
      <x:c r="E137" s="1700"/>
      <x:c r="F137" s="1700"/>
      <x:c r="G137" s="1700"/>
      <x:c r="H137" s="1700"/>
      <x:c r="I137" s="1700"/>
      <x:c r="J137" s="1700"/>
      <x:c r="K137" s="1700"/>
      <x:c r="L137" s="1700"/>
      <x:c r="M137" s="1700"/>
      <x:c r="N137" s="1700"/>
      <x:c r="O137" s="1700"/>
      <x:c r="P137" s="1700"/>
      <x:c r="Q137" s="1700"/>
      <x:c r="R137" s="1700"/>
      <x:c r="S137" s="1700"/>
      <x:c r="T137" s="1700"/>
      <x:c r="U137" s="1492"/>
      <x:c r="V137" s="1493"/>
      <x:c r="W137" s="795"/>
      <x:c r="X137" s="1238"/>
      <x:c r="Y137" s="1238"/>
      <x:c r="Z137" s="1491"/>
      <x:c r="AA137" s="1238"/>
      <x:c r="AB137" s="1238"/>
      <x:c r="AC137" s="1238"/>
      <x:c r="AD137" s="1489"/>
      <x:c r="AE137" s="1477"/>
      <x:c r="AF137" s="367"/>
    </x:row>
    <x:row r="138" spans="1:32">
      <x:c r="A138" s="1198"/>
      <x:c r="B138" s="1477"/>
      <x:c r="C138" s="1700"/>
      <x:c r="D138" s="1700"/>
      <x:c r="E138" s="1700"/>
      <x:c r="F138" s="1700"/>
      <x:c r="G138" s="1700"/>
      <x:c r="H138" s="1700"/>
      <x:c r="I138" s="1700"/>
      <x:c r="J138" s="1700"/>
      <x:c r="K138" s="1700"/>
      <x:c r="L138" s="1700"/>
      <x:c r="M138" s="1700"/>
      <x:c r="N138" s="1700"/>
      <x:c r="O138" s="1700"/>
      <x:c r="P138" s="1700"/>
      <x:c r="Q138" s="1700"/>
      <x:c r="R138" s="1700"/>
      <x:c r="S138" s="1700"/>
      <x:c r="T138" s="1700"/>
      <x:c r="U138" s="1492"/>
      <x:c r="V138" s="1238"/>
      <x:c r="W138" s="795"/>
      <x:c r="X138" s="1238"/>
      <x:c r="Y138" s="1238"/>
      <x:c r="Z138" s="1491"/>
      <x:c r="AA138" s="1238"/>
      <x:c r="AB138" s="1238"/>
      <x:c r="AC138" s="1238"/>
      <x:c r="AD138" s="1489"/>
      <x:c r="AE138" s="1477"/>
      <x:c r="AF138" s="367"/>
    </x:row>
    <x:row r="139" spans="1:32">
      <x:c r="A139" s="1198"/>
      <x:c r="B139" s="1477"/>
      <x:c r="C139" s="1700"/>
      <x:c r="D139" s="1700"/>
      <x:c r="E139" s="1700"/>
      <x:c r="F139" s="1700"/>
      <x:c r="G139" s="1700"/>
      <x:c r="H139" s="1700"/>
      <x:c r="I139" s="1700"/>
      <x:c r="J139" s="1700"/>
      <x:c r="K139" s="1700"/>
      <x:c r="L139" s="1700"/>
      <x:c r="M139" s="1700"/>
      <x:c r="N139" s="1700"/>
      <x:c r="O139" s="1700"/>
      <x:c r="P139" s="1700"/>
      <x:c r="Q139" s="1700"/>
      <x:c r="R139" s="1700"/>
      <x:c r="S139" s="1700"/>
      <x:c r="T139" s="1700"/>
      <x:c r="U139" s="1492"/>
      <x:c r="V139" s="1238"/>
      <x:c r="W139" s="795"/>
      <x:c r="X139" s="1238"/>
      <x:c r="Y139" s="1238"/>
      <x:c r="Z139" s="1491"/>
      <x:c r="AA139" s="1238"/>
      <x:c r="AB139" s="1238"/>
      <x:c r="AC139" s="1238"/>
      <x:c r="AD139" s="1489"/>
      <x:c r="AE139" s="1477"/>
      <x:c r="AF139" s="367"/>
    </x:row>
    <x:row r="140" spans="1:32" ht="13.5" thickBot="1">
      <x:c r="A140" s="1196"/>
      <x:c r="B140" s="620"/>
      <x:c r="C140" s="604"/>
      <x:c r="D140" s="604"/>
      <x:c r="E140" s="604"/>
      <x:c r="F140" s="604"/>
      <x:c r="G140" s="604"/>
      <x:c r="H140" s="604"/>
      <x:c r="I140" s="604"/>
      <x:c r="J140" s="604"/>
      <x:c r="K140" s="604"/>
      <x:c r="L140" s="604"/>
      <x:c r="M140" s="604"/>
      <x:c r="N140" s="604"/>
      <x:c r="O140" s="604"/>
      <x:c r="P140" s="604"/>
      <x:c r="Q140" s="604"/>
      <x:c r="R140" s="604"/>
      <x:c r="S140" s="604"/>
      <x:c r="T140" s="604"/>
      <x:c r="U140" s="604"/>
      <x:c r="V140" s="604"/>
      <x:c r="W140" s="620"/>
      <x:c r="X140" s="620"/>
      <x:c r="Y140" s="620"/>
      <x:c r="Z140" s="620"/>
      <x:c r="AA140" s="620"/>
      <x:c r="AB140" s="620"/>
      <x:c r="AC140" s="620"/>
      <x:c r="AD140" s="8"/>
      <x:c r="AE140" s="8"/>
      <x:c r="AF140" s="369"/>
    </x:row>
    <x:row r="141" spans="1:32">
      <x:c r="G141" s="6"/>
      <x:c r="H141" s="6"/>
      <x:c r="I141" s="6"/>
      <x:c r="J141" s="6"/>
      <x:c r="K141" s="1"/>
      <x:c r="L141" s="6"/>
      <x:c r="M141" s="6"/>
      <x:c r="N141" s="6"/>
      <x:c r="O141" s="6"/>
      <x:c r="P141" s="6"/>
      <x:c r="Q141" s="6"/>
    </x:row>
    <x:row r="142" spans="1:32" ht="13.5" thickBot="1">
      <x:c r="G142" s="6"/>
      <x:c r="H142" s="6"/>
      <x:c r="I142" s="6"/>
      <x:c r="J142" s="6"/>
      <x:c r="K142" s="1"/>
      <x:c r="L142" s="6"/>
      <x:c r="M142" s="6"/>
      <x:c r="N142" s="6"/>
      <x:c r="O142" s="6"/>
      <x:c r="P142" s="6"/>
      <x:c r="Q142" s="6"/>
    </x:row>
    <x:row r="143" spans="1:32" ht="18">
      <x:c r="A143" s="1701" t="s">
        <x:v>1064</x:v>
      </x:c>
      <x:c r="B143" s="1702"/>
      <x:c r="C143" s="1702"/>
      <x:c r="D143" s="1702"/>
      <x:c r="E143" s="1702"/>
      <x:c r="F143" s="1702"/>
      <x:c r="G143" s="1279"/>
      <x:c r="H143" s="1280" t="s">
        <x:v>214</x:v>
      </x:c>
      <x:c r="I143" s="1280" t="s">
        <x:v>960</x:v>
      </x:c>
      <x:c r="J143" s="1281" t="s">
        <x:v>1113</x:v>
      </x:c>
      <x:c r="K143" s="1"/>
      <x:c r="L143" s="6"/>
      <x:c r="M143" s="6"/>
      <x:c r="N143" s="6"/>
      <x:c r="O143" s="6"/>
      <x:c r="P143" s="6"/>
      <x:c r="Q143" s="6"/>
    </x:row>
    <x:row r="144" spans="1:32">
      <x:c r="A144" s="1198"/>
      <x:c r="B144" s="1477"/>
      <x:c r="C144" s="1477" t="s">
        <x:v>1064</x:v>
      </x:c>
      <x:c r="D144" s="1494"/>
      <x:c r="E144" s="1495"/>
      <x:c r="F144" s="1496" t="s">
        <x:v>2095</x:v>
      </x:c>
      <x:c r="G144" s="928">
        <x:v>1018802.95</x:v>
      </x:c>
      <x:c r="H144" s="1010">
        <x:f>+'ATT H-3D'!H24</x:f>
        <x:v>0.14582932326077899</x:v>
      </x:c>
      <x:c r="I144" s="1477" t="s">
        <x:v>1072</x:v>
      </x:c>
      <x:c r="J144" s="630" t="s">
        <x:v>1875</x:v>
      </x:c>
      <x:c r="K144" s="1"/>
      <x:c r="L144" s="1274"/>
      <x:c r="M144" s="6"/>
      <x:c r="N144" s="6"/>
      <x:c r="O144" s="6"/>
      <x:c r="P144" s="6"/>
      <x:c r="Q144" s="6"/>
    </x:row>
    <x:row r="145" spans="1:17">
      <x:c r="A145" s="1198"/>
      <x:c r="B145" s="1477"/>
      <x:c r="C145" s="1477"/>
      <x:c r="D145" s="1494"/>
      <x:c r="E145" s="1495"/>
      <x:c r="F145" s="1496" t="s">
        <x:v>2095</x:v>
      </x:c>
      <x:c r="G145" s="928">
        <x:v>817233.27000000014</x:v>
      </x:c>
      <x:c r="H145" s="1010">
        <x:f>H144</x:f>
        <x:v>0.14582932326077899</x:v>
      </x:c>
      <x:c r="I145" s="1477" t="str">
        <x:f>I144</x:f>
        <x:v>Wages &amp; Salary</x:v>
      </x:c>
      <x:c r="J145" s="1443" t="s">
        <x:v>2096</x:v>
      </x:c>
      <x:c r="K145" s="1274"/>
      <x:c r="L145" s="1274"/>
      <x:c r="M145" s="6"/>
      <x:c r="N145" s="6"/>
      <x:c r="O145" s="6"/>
      <x:c r="P145" s="6"/>
      <x:c r="Q145" s="6"/>
    </x:row>
    <x:row r="146" spans="1:17">
      <x:c r="A146" s="1198"/>
      <x:c r="B146" s="1477"/>
      <x:c r="C146" s="1477"/>
      <x:c r="D146" s="1494"/>
      <x:c r="E146" s="1495"/>
      <x:c r="F146" s="1496" t="s">
        <x:v>2095</x:v>
      </x:c>
      <x:c r="G146" s="928">
        <x:v>21780.46</x:v>
      </x:c>
      <x:c r="H146" s="1011">
        <x:v>1</x:v>
      </x:c>
      <x:c r="I146" s="1477" t="s">
        <x:v>975</x:v>
      </x:c>
      <x:c r="J146" s="1443" t="s">
        <x:v>1915</x:v>
      </x:c>
      <x:c r="K146" s="1"/>
      <x:c r="L146" s="1274"/>
      <x:c r="M146" s="6"/>
      <x:c r="N146" s="6"/>
      <x:c r="O146" s="6"/>
      <x:c r="P146" s="6"/>
      <x:c r="Q146" s="6"/>
    </x:row>
    <x:row r="147" spans="1:17">
      <x:c r="A147" s="1198"/>
      <x:c r="B147" s="1477"/>
      <x:c r="C147" s="1477"/>
      <x:c r="D147" s="1494"/>
      <x:c r="E147" s="1495"/>
      <x:c r="F147" s="1495"/>
      <x:c r="G147" s="1009">
        <x:v>0</x:v>
      </x:c>
      <x:c r="H147" s="1010">
        <x:f>+'ATT H-3D'!H45</x:f>
        <x:v>0.36691024632926028</x:v>
      </x:c>
      <x:c r="I147" s="1477" t="s">
        <x:v>498</x:v>
      </x:c>
      <x:c r="J147" s="630"/>
      <x:c r="K147" s="1"/>
      <x:c r="L147" s="6"/>
      <x:c r="M147" s="6"/>
      <x:c r="N147" s="6"/>
      <x:c r="O147" s="6"/>
      <x:c r="P147" s="6"/>
      <x:c r="Q147" s="6"/>
    </x:row>
    <x:row r="148" spans="1:17">
      <x:c r="A148" s="1198"/>
      <x:c r="B148" s="1477"/>
      <x:c r="C148" s="1477"/>
      <x:c r="D148" s="1494"/>
      <x:c r="E148" s="1495"/>
      <x:c r="F148" s="1495"/>
      <x:c r="G148" s="634"/>
      <x:c r="H148" s="1495"/>
      <x:c r="I148" s="1477"/>
      <x:c r="J148" s="630"/>
      <x:c r="K148" s="1"/>
      <x:c r="L148" s="6"/>
      <x:c r="M148" s="6"/>
      <x:c r="N148" s="6"/>
      <x:c r="O148" s="6"/>
      <x:c r="P148" s="6"/>
      <x:c r="Q148" s="6"/>
    </x:row>
    <x:row r="149" spans="1:17">
      <x:c r="A149" s="1198"/>
      <x:c r="B149" s="1477"/>
      <x:c r="C149" s="1477"/>
      <x:c r="D149" s="1494"/>
      <x:c r="E149" s="1495"/>
      <x:c r="F149" s="1495"/>
      <x:c r="G149" s="1012">
        <x:f>SUM(G144:G148)</x:f>
        <x:v>1857816.6800000002</x:v>
      </x:c>
      <x:c r="H149" s="1495"/>
      <x:c r="I149" s="1477"/>
      <x:c r="J149" s="630"/>
      <x:c r="K149" s="1"/>
      <x:c r="L149" s="6"/>
      <x:c r="M149" s="6"/>
      <x:c r="N149" s="6"/>
      <x:c r="O149" s="6"/>
      <x:c r="P149" s="6"/>
      <x:c r="Q149" s="6"/>
    </x:row>
    <x:row r="150" spans="1:17">
      <x:c r="A150" s="1198"/>
      <x:c r="B150" s="1477"/>
      <x:c r="C150" s="1476"/>
      <x:c r="D150" s="1494"/>
      <x:c r="E150" s="1013"/>
      <x:c r="F150" s="1495"/>
      <x:c r="G150" s="1497"/>
      <x:c r="H150" s="1495"/>
      <x:c r="I150" s="1477"/>
      <x:c r="J150" s="630"/>
      <x:c r="K150" s="1"/>
      <x:c r="L150" s="6"/>
      <x:c r="M150" s="6"/>
      <x:c r="N150" s="6"/>
      <x:c r="O150" s="6"/>
      <x:c r="P150" s="6"/>
      <x:c r="Q150" s="6"/>
    </x:row>
    <x:row r="151" spans="1:17" ht="13.5" thickBot="1">
      <x:c r="A151" s="1196"/>
      <x:c r="B151" s="620"/>
      <x:c r="C151" s="620"/>
      <x:c r="D151" s="1282"/>
      <x:c r="E151" s="1283"/>
      <x:c r="F151" s="1283"/>
      <x:c r="G151" s="1282">
        <x:f>SUMPRODUCT(G144:G148,H144:H148)</x:f>
        <x:v>289528.37944487878</x:v>
      </x:c>
      <x:c r="H151" s="1283" t="s">
        <x:v>1065</x:v>
      </x:c>
      <x:c r="I151" s="620"/>
      <x:c r="J151" s="621"/>
      <x:c r="K151" s="1"/>
      <x:c r="L151" s="6"/>
      <x:c r="M151" s="6"/>
      <x:c r="N151" s="6"/>
      <x:c r="O151" s="6"/>
      <x:c r="P151" s="6"/>
      <x:c r="Q151" s="6"/>
    </x:row>
    <x:row r="152" spans="1:17">
      <x:c r="G152" s="6"/>
      <x:c r="H152" s="6"/>
      <x:c r="I152" s="6"/>
      <x:c r="J152" s="6"/>
      <x:c r="K152" s="1"/>
      <x:c r="L152" s="6"/>
      <x:c r="M152" s="6"/>
      <x:c r="N152" s="6"/>
      <x:c r="O152" s="6"/>
      <x:c r="P152" s="6"/>
      <x:c r="Q152" s="6"/>
    </x:row>
    <x:row r="153" spans="1:17">
      <x:c r="G153" s="6"/>
      <x:c r="H153" s="6"/>
      <x:c r="I153" s="6"/>
      <x:c r="J153" s="6"/>
      <x:c r="K153" s="1"/>
      <x:c r="L153" s="6"/>
      <x:c r="M153" s="6"/>
      <x:c r="N153" s="6"/>
      <x:c r="O153" s="6"/>
      <x:c r="P153" s="6"/>
      <x:c r="Q153" s="6"/>
    </x:row>
    <x:row r="154" spans="1:17" ht="18.75" thickBot="1">
      <x:c r="A154" s="662" t="s">
        <x:v>112</x:v>
      </x:c>
      <x:c r="G154" s="6"/>
      <x:c r="H154" s="6"/>
      <x:c r="I154" s="6"/>
      <x:c r="J154" s="6"/>
      <x:c r="K154" s="6"/>
      <x:c r="L154" s="6"/>
      <x:c r="M154" s="6"/>
      <x:c r="N154" s="6"/>
      <x:c r="O154" s="6"/>
      <x:c r="P154" s="6"/>
      <x:c r="Q154" s="6"/>
    </x:row>
    <x:row r="155" spans="1:17" ht="25.5">
      <x:c r="A155" s="1664" t="s">
        <x:v>48</x:v>
      </x:c>
      <x:c r="B155" s="1665"/>
      <x:c r="C155" s="1665"/>
      <x:c r="D155" s="1665"/>
      <x:c r="E155" s="1665"/>
      <x:c r="F155" s="1666"/>
      <x:c r="G155" s="1424" t="s">
        <x:v>300</x:v>
      </x:c>
      <x:c r="H155" s="1667" t="s">
        <x:v>113</x:v>
      </x:c>
      <x:c r="I155" s="1667"/>
      <x:c r="J155" s="1667"/>
      <x:c r="K155" s="1667"/>
      <x:c r="L155" s="1667"/>
      <x:c r="M155" s="1667"/>
      <x:c r="N155" s="1667"/>
      <x:c r="O155" s="1667"/>
      <x:c r="P155" s="1667"/>
      <x:c r="Q155" s="1684"/>
    </x:row>
    <x:row r="156" spans="1:17">
      <x:c r="A156" s="1197"/>
      <x:c r="B156" s="1453" t="s">
        <x:v>114</x:v>
      </x:c>
      <x:c r="C156" s="1444"/>
      <x:c r="D156" s="1453"/>
      <x:c r="E156" s="1450"/>
      <x:c r="F156" s="615"/>
      <x:c r="G156" s="1470" t="s">
        <x:v>94</x:v>
      </x:c>
      <x:c r="H156" s="1445"/>
      <x:c r="I156" s="1445"/>
      <x:c r="J156" s="1445"/>
      <x:c r="K156" s="1445"/>
      <x:c r="L156" s="1445"/>
      <x:c r="M156" s="1445"/>
      <x:c r="N156" s="1445"/>
      <x:c r="O156" s="1445"/>
      <x:c r="P156" s="1445"/>
      <x:c r="Q156" s="367"/>
    </x:row>
    <x:row r="157" spans="1:17" ht="12.75" customHeight="1">
      <x:c r="A157" s="1194">
        <x:v>55</x:v>
      </x:c>
      <x:c r="B157" s="1446"/>
      <x:c r="C157" s="1447" t="s">
        <x:v>300</x:v>
      </x:c>
      <x:c r="D157" s="1446"/>
      <x:c r="E157" s="1448" t="s">
        <x:v>752</x:v>
      </x:c>
      <x:c r="F157" s="623" t="s">
        <x:v>301</x:v>
      </x:c>
      <x:c r="G157" s="1470">
        <x:v>0</x:v>
      </x:c>
      <x:c r="H157" s="1677" t="s">
        <x:v>77</x:v>
      </x:c>
      <x:c r="I157" s="1677"/>
      <x:c r="J157" s="1677"/>
      <x:c r="K157" s="1677"/>
      <x:c r="L157" s="1677"/>
      <x:c r="M157" s="1677"/>
      <x:c r="N157" s="1677"/>
      <x:c r="O157" s="1677"/>
      <x:c r="P157" s="1677"/>
      <x:c r="Q157" s="1685"/>
    </x:row>
    <x:row r="158" spans="1:17">
      <x:c r="A158" s="1194">
        <x:v>56</x:v>
      </x:c>
      <x:c r="B158" s="1446"/>
      <x:c r="C158" s="1447" t="s">
        <x:v>1071</x:v>
      </x:c>
      <x:c r="D158" s="1446"/>
      <x:c r="E158" s="1448" t="s">
        <x:v>752</x:v>
      </x:c>
      <x:c r="F158" s="623" t="s">
        <x:v>301</x:v>
      </x:c>
      <x:c r="G158" s="1470">
        <x:v>0</x:v>
      </x:c>
      <x:c r="H158" s="1677" t="s">
        <x:v>77</x:v>
      </x:c>
      <x:c r="I158" s="1677"/>
      <x:c r="J158" s="1677"/>
      <x:c r="K158" s="1677"/>
      <x:c r="L158" s="1677"/>
      <x:c r="M158" s="1677"/>
      <x:c r="N158" s="1677"/>
      <x:c r="O158" s="1677"/>
      <x:c r="P158" s="1677"/>
      <x:c r="Q158" s="1685"/>
    </x:row>
    <x:row r="159" spans="1:17" ht="13.5" thickBot="1">
      <x:c r="A159" s="1195"/>
      <x:c r="B159" s="548"/>
      <x:c r="C159" s="548"/>
      <x:c r="D159" s="548"/>
      <x:c r="E159" s="619"/>
      <x:c r="F159" s="635"/>
      <x:c r="G159" s="8"/>
      <x:c r="H159" s="8"/>
      <x:c r="I159" s="8"/>
      <x:c r="J159" s="8"/>
      <x:c r="K159" s="560" t="s">
        <x:v>105</x:v>
      </x:c>
      <x:c r="L159" s="8"/>
      <x:c r="M159" s="8"/>
      <x:c r="N159" s="8"/>
      <x:c r="O159" s="8"/>
      <x:c r="P159" s="8"/>
      <x:c r="Q159" s="369"/>
    </x:row>
    <x:row r="160" spans="1:17">
      <x:c r="A160" s="66"/>
      <x:c r="B160" s="464"/>
      <x:c r="C160" s="464"/>
      <x:c r="D160" s="464"/>
      <x:c r="E160" s="614"/>
      <x:c r="F160" s="464"/>
      <x:c r="G160" s="6"/>
      <x:c r="H160" s="6"/>
      <x:c r="I160" s="6"/>
      <x:c r="J160" s="6"/>
      <x:c r="K160" s="1"/>
      <x:c r="L160" s="6"/>
      <x:c r="M160" s="6"/>
      <x:c r="N160" s="6"/>
      <x:c r="O160" s="6"/>
      <x:c r="P160" s="6"/>
      <x:c r="Q160" s="6"/>
    </x:row>
    <x:row r="161" spans="1:18">
      <x:c r="A161" s="66"/>
      <x:c r="B161" s="464"/>
      <x:c r="C161" s="464"/>
      <x:c r="D161" s="464"/>
      <x:c r="E161" s="614"/>
      <x:c r="F161" s="464"/>
      <x:c r="G161" s="6"/>
      <x:c r="H161" s="6"/>
      <x:c r="I161" s="6"/>
      <x:c r="J161" s="6"/>
      <x:c r="K161" s="1"/>
      <x:c r="L161" s="6"/>
      <x:c r="M161" s="6"/>
      <x:c r="N161" s="6"/>
      <x:c r="O161" s="6"/>
      <x:c r="P161" s="6"/>
      <x:c r="Q161" s="6"/>
    </x:row>
    <x:row r="162" spans="1:18" ht="18.75" thickBot="1">
      <x:c r="A162" s="662" t="s">
        <x:v>115</x:v>
      </x:c>
      <x:c r="B162" s="464"/>
      <x:c r="C162" s="464"/>
      <x:c r="D162" s="464"/>
      <x:c r="E162" s="614"/>
      <x:c r="F162" s="464"/>
      <x:c r="G162" s="6"/>
      <x:c r="H162" s="6"/>
      <x:c r="I162" s="6"/>
      <x:c r="J162" s="6"/>
      <x:c r="K162" s="1"/>
      <x:c r="L162" s="6"/>
      <x:c r="M162" s="6"/>
      <x:c r="N162" s="6"/>
      <x:c r="O162" s="6"/>
      <x:c r="P162" s="6"/>
      <x:c r="Q162" s="6"/>
    </x:row>
    <x:row r="163" spans="1:18">
      <x:c r="A163" s="1664" t="s">
        <x:v>48</x:v>
      </x:c>
      <x:c r="B163" s="1665"/>
      <x:c r="C163" s="1665"/>
      <x:c r="D163" s="1665"/>
      <x:c r="E163" s="1665"/>
      <x:c r="F163" s="1666"/>
      <x:c r="G163" s="636" t="s">
        <x:v>116</x:v>
      </x:c>
      <x:c r="H163" s="568" t="s">
        <x:v>117</x:v>
      </x:c>
      <x:c r="I163" s="568" t="s">
        <x:v>118</x:v>
      </x:c>
      <x:c r="J163" s="568" t="s">
        <x:v>119</x:v>
      </x:c>
      <x:c r="K163" s="588"/>
      <x:c r="L163" s="568"/>
      <x:c r="M163" s="568"/>
      <x:c r="N163" s="568"/>
      <x:c r="O163" s="568"/>
      <x:c r="P163" s="568"/>
      <x:c r="Q163" s="569"/>
    </x:row>
    <x:row r="164" spans="1:18">
      <x:c r="A164" s="1194">
        <x:v>61</x:v>
      </x:c>
      <x:c r="B164" s="1446"/>
      <x:c r="C164" s="1447" t="s">
        <x:v>307</x:v>
      </x:c>
      <x:c r="D164" s="1446"/>
      <x:c r="E164" s="1446"/>
      <x:c r="F164" s="637" t="s">
        <x:v>288</x:v>
      </x:c>
      <x:c r="G164" s="589">
        <x:v>0</x:v>
      </x:c>
      <x:c r="H164" s="1445"/>
      <x:c r="I164" s="1445"/>
      <x:c r="J164" s="1445"/>
      <x:c r="K164" s="1498"/>
      <x:c r="L164" s="1445"/>
      <x:c r="M164" s="1445"/>
      <x:c r="N164" s="1445"/>
      <x:c r="O164" s="1445"/>
      <x:c r="P164" s="1445"/>
      <x:c r="Q164" s="367"/>
      <x:c r="R164" s="6"/>
    </x:row>
    <x:row r="165" spans="1:18" ht="13.5" thickBot="1">
      <x:c r="A165" s="1195">
        <x:v>62</x:v>
      </x:c>
      <x:c r="B165" s="548"/>
      <x:c r="C165" s="604" t="s">
        <x:v>308</x:v>
      </x:c>
      <x:c r="D165" s="548"/>
      <x:c r="E165" s="548"/>
      <x:c r="F165" s="638" t="s">
        <x:v>288</x:v>
      </x:c>
      <x:c r="G165" s="590">
        <x:v>0</x:v>
      </x:c>
      <x:c r="H165" s="8">
        <x:v>5</x:v>
      </x:c>
      <x:c r="I165" s="591">
        <x:v>0</x:v>
      </x:c>
      <x:c r="J165" s="591">
        <x:v>0</x:v>
      </x:c>
      <x:c r="K165" s="560"/>
      <x:c r="L165" s="8"/>
      <x:c r="M165" s="8"/>
      <x:c r="N165" s="8"/>
      <x:c r="O165" s="8"/>
      <x:c r="P165" s="8"/>
      <x:c r="Q165" s="369"/>
      <x:c r="R165" s="6"/>
    </x:row>
    <x:row r="166" spans="1:18">
      <x:c r="A166" s="66"/>
      <x:c r="B166" s="464"/>
      <x:c r="C166" s="464"/>
      <x:c r="D166" s="464"/>
      <x:c r="E166" s="614"/>
      <x:c r="F166" s="464"/>
      <x:c r="G166" s="6"/>
      <x:c r="H166" s="6"/>
      <x:c r="I166" s="6"/>
      <x:c r="J166" s="6"/>
      <x:c r="K166" s="1"/>
      <x:c r="L166" s="6"/>
      <x:c r="M166" s="6"/>
      <x:c r="N166" s="6"/>
      <x:c r="O166" s="6"/>
      <x:c r="P166" s="6"/>
      <x:c r="Q166" s="6"/>
    </x:row>
    <x:row r="167" spans="1:18">
      <x:c r="A167" s="66"/>
      <x:c r="B167" s="464"/>
      <x:c r="C167" s="464"/>
      <x:c r="D167" s="464"/>
      <x:c r="E167" s="614"/>
      <x:c r="F167" s="464"/>
      <x:c r="G167" s="6"/>
      <x:c r="H167" s="6"/>
      <x:c r="I167" s="6"/>
      <x:c r="J167" s="6"/>
      <x:c r="K167" s="1"/>
      <x:c r="L167" s="6"/>
      <x:c r="M167" s="6"/>
      <x:c r="N167" s="6"/>
      <x:c r="O167" s="6"/>
      <x:c r="P167" s="6"/>
      <x:c r="Q167" s="6"/>
    </x:row>
    <x:row r="168" spans="1:18" ht="18.75" thickBot="1">
      <x:c r="A168" s="662" t="s">
        <x:v>120</x:v>
      </x:c>
      <x:c r="G168" s="6"/>
      <x:c r="H168" s="6"/>
      <x:c r="I168" s="6"/>
      <x:c r="J168" s="6"/>
      <x:c r="K168" s="6"/>
      <x:c r="L168" s="6"/>
      <x:c r="M168" s="6"/>
      <x:c r="N168" s="6"/>
      <x:c r="O168" s="6"/>
      <x:c r="P168" s="6"/>
      <x:c r="Q168" s="6"/>
    </x:row>
    <x:row r="169" spans="1:18" ht="25.5">
      <x:c r="A169" s="1664" t="s">
        <x:v>48</x:v>
      </x:c>
      <x:c r="B169" s="1665"/>
      <x:c r="C169" s="1665"/>
      <x:c r="D169" s="1665"/>
      <x:c r="E169" s="1665"/>
      <x:c r="F169" s="1666"/>
      <x:c r="G169" s="545" t="s">
        <x:v>402</x:v>
      </x:c>
      <x:c r="H169" s="1667" t="s">
        <x:v>121</x:v>
      </x:c>
      <x:c r="I169" s="1695"/>
      <x:c r="J169" s="1695"/>
      <x:c r="K169" s="1695"/>
      <x:c r="L169" s="1695"/>
      <x:c r="M169" s="1695"/>
      <x:c r="N169" s="1695"/>
      <x:c r="O169" s="1695"/>
      <x:c r="P169" s="1695"/>
      <x:c r="Q169" s="1696"/>
    </x:row>
    <x:row r="170" spans="1:18">
      <x:c r="A170" s="1194"/>
      <x:c r="B170" s="5" t="s">
        <x:v>399</x:v>
      </x:c>
      <x:c r="C170" s="464"/>
      <x:c r="D170" s="464"/>
      <x:c r="E170" s="464"/>
      <x:c r="F170" s="595"/>
      <x:c r="G170" s="6"/>
      <x:c r="H170" s="6"/>
      <x:c r="I170" s="6"/>
      <x:c r="J170" s="6"/>
      <x:c r="K170" s="6"/>
      <x:c r="L170" s="6"/>
      <x:c r="M170" s="6"/>
      <x:c r="N170" s="6"/>
      <x:c r="O170" s="6"/>
      <x:c r="P170" s="6"/>
      <x:c r="Q170" s="367"/>
    </x:row>
    <x:row r="171" spans="1:18">
      <x:c r="A171" s="1194">
        <x:v>155</x:v>
      </x:c>
      <x:c r="B171" s="464"/>
      <x:c r="C171" s="66" t="s">
        <x:v>402</x:v>
      </x:c>
      <x:c r="D171" s="464"/>
      <x:c r="E171" s="614" t="s">
        <x:v>752</x:v>
      </x:c>
      <x:c r="F171" s="623" t="s">
        <x:v>312</x:v>
      </x:c>
      <x:c r="G171" s="454">
        <x:v>0</x:v>
      </x:c>
      <x:c r="H171" s="6"/>
      <x:c r="I171" s="6"/>
      <x:c r="J171" s="6"/>
      <x:c r="K171" s="6"/>
      <x:c r="L171" s="454" t="s">
        <x:v>77</x:v>
      </x:c>
      <x:c r="M171" s="6"/>
      <x:c r="N171" s="6"/>
      <x:c r="O171" s="6"/>
      <x:c r="P171" s="6"/>
      <x:c r="Q171" s="367"/>
      <x:c r="R171" s="6"/>
    </x:row>
    <x:row r="172" spans="1:18">
      <x:c r="A172" s="1194"/>
      <x:c r="B172" s="464"/>
      <x:c r="C172" s="464"/>
      <x:c r="D172" s="464"/>
      <x:c r="E172" s="614"/>
      <x:c r="F172" s="595"/>
      <x:c r="G172" s="6"/>
      <x:c r="H172" s="6"/>
      <x:c r="I172" s="6"/>
      <x:c r="J172" s="6"/>
      <x:c r="K172" s="6"/>
      <x:c r="L172" s="6"/>
      <x:c r="M172" s="6"/>
      <x:c r="N172" s="6"/>
      <x:c r="O172" s="547"/>
      <x:c r="P172" s="6"/>
      <x:c r="Q172" s="367"/>
    </x:row>
    <x:row r="173" spans="1:18">
      <x:c r="A173" s="1194"/>
      <x:c r="B173" s="464"/>
      <x:c r="C173" s="464"/>
      <x:c r="D173" s="464"/>
      <x:c r="E173" s="614"/>
      <x:c r="F173" s="595"/>
      <x:c r="G173" s="547" t="s">
        <x:v>94</x:v>
      </x:c>
      <x:c r="H173" s="6"/>
      <x:c r="I173" s="6"/>
      <x:c r="J173" s="6"/>
      <x:c r="K173" s="6"/>
      <x:c r="L173" s="6"/>
      <x:c r="M173" s="6"/>
      <x:c r="N173" s="6"/>
      <x:c r="O173" s="6"/>
      <x:c r="P173" s="6"/>
      <x:c r="Q173" s="367"/>
    </x:row>
    <x:row r="174" spans="1:18" ht="13.5" thickBot="1">
      <x:c r="A174" s="1195"/>
      <x:c r="B174" s="548"/>
      <x:c r="C174" s="548"/>
      <x:c r="D174" s="548"/>
      <x:c r="E174" s="619"/>
      <x:c r="F174" s="635"/>
      <x:c r="G174" s="8"/>
      <x:c r="H174" s="8"/>
      <x:c r="I174" s="8"/>
      <x:c r="J174" s="8"/>
      <x:c r="K174" s="560" t="s">
        <x:v>105</x:v>
      </x:c>
      <x:c r="L174" s="8"/>
      <x:c r="M174" s="8"/>
      <x:c r="N174" s="8"/>
      <x:c r="O174" s="8"/>
      <x:c r="P174" s="8"/>
      <x:c r="Q174" s="369"/>
    </x:row>
    <x:row r="175" spans="1:18">
      <x:c r="A175" s="66"/>
      <x:c r="B175" s="464"/>
      <x:c r="C175" s="464"/>
      <x:c r="D175" s="464"/>
      <x:c r="E175" s="614"/>
      <x:c r="F175" s="464"/>
      <x:c r="G175" s="6"/>
      <x:c r="H175" s="6"/>
      <x:c r="I175" s="6"/>
      <x:c r="J175" s="6"/>
      <x:c r="K175" s="1"/>
      <x:c r="L175" s="6"/>
      <x:c r="M175" s="6"/>
      <x:c r="N175" s="6"/>
      <x:c r="O175" s="6"/>
      <x:c r="P175" s="6"/>
      <x:c r="Q175" s="6"/>
    </x:row>
    <x:row r="176" spans="1:18">
      <x:c r="A176" s="66"/>
      <x:c r="B176" s="464"/>
      <x:c r="C176" s="464"/>
      <x:c r="D176" s="464"/>
      <x:c r="E176" s="614"/>
      <x:c r="F176" s="464"/>
      <x:c r="G176" s="6"/>
      <x:c r="H176" s="6"/>
      <x:c r="I176" s="6"/>
      <x:c r="J176" s="6"/>
      <x:c r="K176" s="1"/>
      <x:c r="L176" s="6"/>
      <x:c r="M176" s="6"/>
      <x:c r="N176" s="6"/>
      <x:c r="O176" s="6"/>
      <x:c r="P176" s="6"/>
      <x:c r="Q176" s="6"/>
    </x:row>
    <x:row r="177" spans="1:17" ht="18.75" thickBot="1">
      <x:c r="A177" s="662" t="s">
        <x:v>418</x:v>
      </x:c>
      <x:c r="G177" s="6"/>
      <x:c r="H177" s="6"/>
      <x:c r="I177" s="6"/>
      <x:c r="J177" s="6"/>
      <x:c r="K177" s="6"/>
      <x:c r="L177" s="6"/>
      <x:c r="M177" s="6"/>
      <x:c r="N177" s="6"/>
      <x:c r="O177" s="6"/>
      <x:c r="P177" s="6"/>
      <x:c r="Q177" s="6"/>
    </x:row>
    <x:row r="178" spans="1:17">
      <x:c r="A178" s="1664" t="s">
        <x:v>48</x:v>
      </x:c>
      <x:c r="B178" s="1665"/>
      <x:c r="C178" s="1665"/>
      <x:c r="D178" s="1665"/>
      <x:c r="E178" s="1665"/>
      <x:c r="F178" s="1666"/>
      <x:c r="G178" s="545" t="s">
        <x:v>106</x:v>
      </x:c>
      <x:c r="H178" s="1667" t="s">
        <x:v>122</x:v>
      </x:c>
      <x:c r="I178" s="1695"/>
      <x:c r="J178" s="1695"/>
      <x:c r="K178" s="1695"/>
      <x:c r="L178" s="1695"/>
      <x:c r="M178" s="1695"/>
      <x:c r="N178" s="1695"/>
      <x:c r="O178" s="1695"/>
      <x:c r="P178" s="1695"/>
      <x:c r="Q178" s="1696"/>
    </x:row>
    <x:row r="179" spans="1:17">
      <x:c r="A179" s="1194"/>
      <x:c r="B179" s="5" t="s">
        <x:v>403</x:v>
      </x:c>
      <x:c r="C179" s="6"/>
      <x:c r="D179" s="6"/>
      <x:c r="E179" s="464"/>
      <x:c r="F179" s="367"/>
      <x:c r="G179" s="6"/>
      <x:c r="H179" s="6"/>
      <x:c r="I179" s="6"/>
      <x:c r="J179" s="6"/>
      <x:c r="K179" s="6"/>
      <x:c r="L179" s="6"/>
      <x:c r="M179" s="6"/>
      <x:c r="N179" s="6"/>
      <x:c r="O179" s="6"/>
      <x:c r="P179" s="6"/>
      <x:c r="Q179" s="367"/>
    </x:row>
    <x:row r="180" spans="1:17" ht="13.5" thickBot="1">
      <x:c r="A180" s="1195">
        <x:v>171</x:v>
      </x:c>
      <x:c r="B180" s="548"/>
      <x:c r="C180" s="604" t="s">
        <x:v>418</x:v>
      </x:c>
      <x:c r="D180" s="8"/>
      <x:c r="E180" s="548"/>
      <x:c r="F180" s="548"/>
      <x:c r="G180" s="592">
        <x:v>0</x:v>
      </x:c>
      <x:c r="H180" s="1697"/>
      <x:c r="I180" s="1662"/>
      <x:c r="J180" s="1662"/>
      <x:c r="K180" s="1662"/>
      <x:c r="L180" s="1662"/>
      <x:c r="M180" s="1662"/>
      <x:c r="N180" s="1662"/>
      <x:c r="O180" s="1662"/>
      <x:c r="P180" s="1662"/>
      <x:c r="Q180" s="1663"/>
    </x:row>
    <x:row r="181" spans="1:17">
      <x:c r="A181" s="66"/>
      <x:c r="B181" s="464"/>
      <x:c r="C181" s="464"/>
      <x:c r="D181" s="464"/>
      <x:c r="E181" s="614"/>
      <x:c r="F181" s="464"/>
      <x:c r="G181" s="6"/>
      <x:c r="H181" s="6"/>
      <x:c r="I181" s="6"/>
      <x:c r="J181" s="6"/>
      <x:c r="K181" s="1"/>
      <x:c r="L181" s="6"/>
      <x:c r="M181" s="6"/>
      <x:c r="N181" s="6"/>
      <x:c r="O181" s="6"/>
      <x:c r="P181" s="6"/>
      <x:c r="Q181" s="6"/>
    </x:row>
    <x:row r="182" spans="1:17">
      <x:c r="A182" s="66"/>
      <x:c r="B182" s="464"/>
      <x:c r="C182" s="464"/>
      <x:c r="D182" s="464"/>
      <x:c r="E182" s="614"/>
      <x:c r="F182" s="464"/>
      <x:c r="G182" s="6"/>
      <x:c r="H182" s="6"/>
      <x:c r="I182" s="6"/>
      <x:c r="J182" s="6"/>
      <x:c r="K182" s="1"/>
      <x:c r="L182" s="6"/>
      <x:c r="M182" s="6"/>
      <x:c r="N182" s="6"/>
      <x:c r="O182" s="6"/>
      <x:c r="P182" s="6"/>
      <x:c r="Q182" s="6"/>
    </x:row>
    <x:row r="183" spans="1:17" ht="18">
      <x:c r="A183" s="662" t="s">
        <x:v>123</x:v>
      </x:c>
      <x:c r="G183" s="6"/>
      <x:c r="H183" s="6"/>
      <x:c r="I183" s="6"/>
      <x:c r="J183" s="6"/>
      <x:c r="K183" s="6"/>
      <x:c r="L183" s="6"/>
      <x:c r="M183" s="6"/>
      <x:c r="N183" s="6"/>
      <x:c r="O183" s="6"/>
      <x:c r="P183" s="6"/>
      <x:c r="Q183" s="6"/>
    </x:row>
    <x:row r="184" spans="1:17">
      <x:c r="A184" s="1664" t="s">
        <x:v>48</x:v>
      </x:c>
      <x:c r="B184" s="1665"/>
      <x:c r="C184" s="1665"/>
      <x:c r="D184" s="1665"/>
      <x:c r="E184" s="1665"/>
      <x:c r="F184" s="1666"/>
      <x:c r="G184" s="557" t="s">
        <x:v>421</x:v>
      </x:c>
      <x:c r="H184" s="1667" t="s">
        <x:v>122</x:v>
      </x:c>
      <x:c r="I184" s="1695"/>
      <x:c r="J184" s="1695"/>
      <x:c r="K184" s="1695"/>
      <x:c r="L184" s="1695"/>
      <x:c r="M184" s="1695"/>
      <x:c r="N184" s="1695"/>
      <x:c r="O184" s="1695"/>
      <x:c r="P184" s="1695"/>
      <x:c r="Q184" s="1696"/>
    </x:row>
    <x:row r="185" spans="1:17">
      <x:c r="A185" s="1194"/>
      <x:c r="B185" s="5" t="s">
        <x:v>124</x:v>
      </x:c>
      <x:c r="C185" s="6"/>
      <x:c r="D185" s="6"/>
      <x:c r="E185" s="464"/>
      <x:c r="F185" s="367"/>
      <x:c r="G185" s="365"/>
      <x:c r="H185" s="6"/>
      <x:c r="I185" s="6"/>
      <x:c r="J185" s="6"/>
      <x:c r="K185" s="6"/>
      <x:c r="L185" s="6"/>
      <x:c r="M185" s="6"/>
      <x:c r="N185" s="6"/>
      <x:c r="O185" s="6"/>
      <x:c r="P185" s="6"/>
      <x:c r="Q185" s="367"/>
    </x:row>
    <x:row r="186" spans="1:17" ht="13.5" thickBot="1">
      <x:c r="A186" s="1195">
        <x:v>173</x:v>
      </x:c>
      <x:c r="B186" s="548"/>
      <x:c r="C186" s="604" t="s">
        <x:v>421</x:v>
      </x:c>
      <x:c r="D186" s="8"/>
      <x:c r="E186" s="619" t="s">
        <x:v>777</x:v>
      </x:c>
      <x:c r="F186" s="605" t="s">
        <x:v>312</x:v>
      </x:c>
      <x:c r="G186" s="1058">
        <x:v>4188.5</x:v>
      </x:c>
      <x:c r="H186" s="1697" t="s">
        <x:v>1876</x:v>
      </x:c>
      <x:c r="I186" s="1662"/>
      <x:c r="J186" s="1662"/>
      <x:c r="K186" s="1662"/>
      <x:c r="L186" s="1662"/>
      <x:c r="M186" s="1662"/>
      <x:c r="N186" s="1662"/>
      <x:c r="O186" s="1662"/>
      <x:c r="P186" s="1662"/>
      <x:c r="Q186" s="1663"/>
    </x:row>
    <x:row r="187" spans="1:17">
      <x:c r="G187" s="1275"/>
      <x:c r="H187" s="6"/>
      <x:c r="I187" s="6"/>
      <x:c r="J187" s="6"/>
      <x:c r="K187" s="6"/>
      <x:c r="L187" s="6"/>
      <x:c r="M187" s="6"/>
      <x:c r="N187" s="6"/>
      <x:c r="O187" s="6"/>
      <x:c r="P187" s="6"/>
      <x:c r="Q187" s="6"/>
    </x:row>
    <x:row r="188" spans="1:17">
      <x:c r="G188" s="6"/>
      <x:c r="H188" s="6"/>
      <x:c r="I188" s="6"/>
      <x:c r="J188" s="6"/>
      <x:c r="K188" s="6"/>
      <x:c r="L188" s="6"/>
      <x:c r="M188" s="6"/>
      <x:c r="N188" s="6"/>
      <x:c r="O188" s="6"/>
      <x:c r="P188" s="6"/>
      <x:c r="Q188" s="6"/>
    </x:row>
    <x:row r="189" spans="1:17" ht="18">
      <x:c r="A189" s="662" t="s">
        <x:v>125</x:v>
      </x:c>
      <x:c r="G189" s="6"/>
      <x:c r="H189" s="6"/>
      <x:c r="I189" s="6"/>
      <x:c r="J189" s="6"/>
      <x:c r="K189" s="6"/>
      <x:c r="L189" s="6"/>
      <x:c r="M189" s="6"/>
      <x:c r="N189" s="6"/>
      <x:c r="O189" s="6"/>
      <x:c r="P189" s="6"/>
      <x:c r="Q189" s="6"/>
    </x:row>
    <x:row r="190" spans="1:17">
      <x:c r="A190" s="1199"/>
      <x:c r="B190" s="639"/>
      <x:c r="C190" s="639" t="s">
        <x:v>126</x:v>
      </x:c>
      <x:c r="D190" s="639" t="s">
        <x:v>127</x:v>
      </x:c>
      <x:c r="E190" s="639" t="s">
        <x:v>128</x:v>
      </x:c>
      <x:c r="F190" s="639" t="s">
        <x:v>129</x:v>
      </x:c>
      <x:c r="G190" s="1664" t="s">
        <x:v>130</x:v>
      </x:c>
      <x:c r="H190" s="1711"/>
      <x:c r="I190" s="1665" t="s">
        <x:v>131</x:v>
      </x:c>
      <x:c r="J190" s="1711"/>
      <x:c r="K190" s="1665" t="s">
        <x:v>132</x:v>
      </x:c>
      <x:c r="L190" s="1711"/>
      <x:c r="M190" s="593"/>
      <x:c r="N190" s="593"/>
      <x:c r="O190" s="593"/>
      <x:c r="P190" s="593"/>
      <x:c r="Q190" s="594"/>
    </x:row>
    <x:row r="191" spans="1:17">
      <x:c r="A191" s="1194"/>
      <x:c r="B191" s="5"/>
      <x:c r="C191" s="464" t="s">
        <x:v>1332</x:v>
      </x:c>
      <x:c r="D191" s="464"/>
      <x:c r="E191" s="463"/>
      <x:c r="F191" s="463"/>
      <x:c r="G191" s="1708">
        <x:v>0</x:v>
      </x:c>
      <x:c r="H191" s="1709"/>
      <x:c r="I191" s="1710">
        <x:v>0</x:v>
      </x:c>
      <x:c r="J191" s="1709"/>
      <x:c r="K191" s="1710">
        <x:v>0</x:v>
      </x:c>
      <x:c r="L191" s="1709"/>
      <x:c r="M191" s="6"/>
      <x:c r="N191" s="6"/>
      <x:c r="O191" s="6"/>
      <x:c r="P191" s="6"/>
      <x:c r="Q191" s="367"/>
    </x:row>
    <x:row r="192" spans="1:17">
      <x:c r="A192" s="1194"/>
      <x:c r="B192" s="464"/>
      <x:c r="C192" s="464"/>
      <x:c r="D192" s="464"/>
      <x:c r="E192" s="463"/>
      <x:c r="F192" s="463"/>
      <x:c r="G192" s="1703"/>
      <x:c r="H192" s="1704"/>
      <x:c r="I192" s="1705"/>
      <x:c r="J192" s="1704"/>
      <x:c r="K192" s="1705"/>
      <x:c r="L192" s="1641"/>
      <x:c r="M192" s="464"/>
      <x:c r="N192" s="464"/>
      <x:c r="O192" s="464"/>
      <x:c r="P192" s="464"/>
      <x:c r="Q192" s="595"/>
    </x:row>
    <x:row r="193" spans="1:17">
      <x:c r="A193" s="1194"/>
      <x:c r="B193" s="464"/>
      <x:c r="C193" s="464"/>
      <x:c r="D193" s="464"/>
      <x:c r="E193" s="463"/>
      <x:c r="F193" s="463"/>
      <x:c r="G193" s="640"/>
      <x:c r="H193" s="463"/>
      <x:c r="I193" s="547"/>
      <x:c r="J193" s="464"/>
      <x:c r="K193" s="547"/>
      <x:c r="L193" s="464"/>
      <x:c r="M193" s="464"/>
      <x:c r="N193" s="464"/>
      <x:c r="O193" s="464"/>
      <x:c r="P193" s="464"/>
      <x:c r="Q193" s="595"/>
    </x:row>
    <x:row r="194" spans="1:17" ht="13.5" thickBot="1">
      <x:c r="A194" s="1195"/>
      <x:c r="B194" s="548"/>
      <x:c r="C194" s="548" t="s">
        <x:v>42</x:v>
      </x:c>
      <x:c r="D194" s="548"/>
      <x:c r="E194" s="619"/>
      <x:c r="F194" s="548"/>
      <x:c r="G194" s="1692">
        <x:v>0</x:v>
      </x:c>
      <x:c r="H194" s="1693"/>
      <x:c r="I194" s="1694">
        <x:v>0</x:v>
      </x:c>
      <x:c r="J194" s="1693"/>
      <x:c r="K194" s="1694">
        <x:v>0</x:v>
      </x:c>
      <x:c r="L194" s="1693"/>
      <x:c r="M194" s="8"/>
      <x:c r="N194" s="8"/>
      <x:c r="O194" s="8"/>
      <x:c r="P194" s="8"/>
      <x:c r="Q194" s="369"/>
    </x:row>
    <x:row r="195" spans="1:17">
      <x:c r="A195" s="66"/>
      <x:c r="B195" s="464"/>
      <x:c r="C195" s="464"/>
      <x:c r="D195" s="464"/>
      <x:c r="E195" s="614"/>
      <x:c r="F195" s="464"/>
      <x:c r="G195" s="641"/>
      <x:c r="H195" s="461"/>
      <x:c r="I195" s="641"/>
      <x:c r="J195" s="461"/>
      <x:c r="K195" s="641"/>
      <x:c r="L195" s="461"/>
      <x:c r="M195" s="6"/>
      <x:c r="N195" s="6"/>
      <x:c r="O195" s="6"/>
      <x:c r="P195" s="6"/>
      <x:c r="Q195" s="6"/>
    </x:row>
    <x:row r="196" spans="1:17">
      <x:c r="A196" s="66"/>
      <x:c r="B196" s="464"/>
      <x:c r="C196" s="464"/>
      <x:c r="D196" s="464"/>
      <x:c r="E196" s="614"/>
      <x:c r="F196" s="464"/>
      <x:c r="G196" s="641"/>
      <x:c r="H196" s="461"/>
      <x:c r="I196" s="641"/>
      <x:c r="J196" s="461"/>
      <x:c r="K196" s="641"/>
      <x:c r="L196" s="461"/>
      <x:c r="M196" s="6"/>
      <x:c r="N196" s="6"/>
      <x:c r="O196" s="6"/>
      <x:c r="P196" s="6"/>
      <x:c r="Q196" s="6"/>
    </x:row>
    <x:row r="197" spans="1:17" ht="18.75" thickBot="1">
      <x:c r="A197" s="1200" t="s">
        <x:v>1426</x:v>
      </x:c>
      <x:c r="B197" s="454"/>
      <x:c r="C197" s="454"/>
      <x:c r="G197" s="641"/>
      <x:c r="H197" s="461"/>
      <x:c r="I197" s="641"/>
      <x:c r="J197" s="461"/>
      <x:c r="K197" s="641"/>
      <x:c r="L197" s="461"/>
      <x:c r="M197" s="6"/>
      <x:c r="N197" s="6"/>
      <x:c r="O197" s="6"/>
      <x:c r="P197" s="6"/>
      <x:c r="Q197" s="6"/>
    </x:row>
    <x:row r="198" spans="1:17">
      <x:c r="A198" s="1664" t="s">
        <x:v>48</x:v>
      </x:c>
      <x:c r="B198" s="1665"/>
      <x:c r="C198" s="1665"/>
      <x:c r="D198" s="1665"/>
      <x:c r="E198" s="1665"/>
      <x:c r="F198" s="1666"/>
      <x:c r="G198" s="641"/>
      <x:c r="H198" s="461"/>
      <x:c r="I198" s="641"/>
      <x:c r="J198" s="461"/>
      <x:c r="K198" s="641"/>
      <x:c r="L198" s="461"/>
      <x:c r="M198" s="6"/>
      <x:c r="N198" s="6"/>
      <x:c r="O198" s="6"/>
      <x:c r="P198" s="6"/>
      <x:c r="Q198" s="6"/>
    </x:row>
    <x:row r="199" spans="1:17">
      <x:c r="A199" s="1194" t="s">
        <x:v>9</x:v>
      </x:c>
      <x:c r="B199" s="6" t="s">
        <x:v>1359</x:v>
      </x:c>
      <x:c r="C199" s="6"/>
      <x:c r="D199" s="6" t="s">
        <x:v>1360</x:v>
      </x:c>
      <x:c r="E199" s="366"/>
      <x:c r="F199" s="367"/>
      <x:c r="G199" s="641"/>
      <x:c r="H199" s="461"/>
      <x:c r="I199" s="641"/>
      <x:c r="J199" s="461"/>
      <x:c r="K199" s="641"/>
      <x:c r="L199" s="461"/>
      <x:c r="M199" s="6"/>
      <x:c r="N199" s="6"/>
      <x:c r="O199" s="6"/>
      <x:c r="P199" s="6"/>
      <x:c r="Q199" s="6"/>
    </x:row>
    <x:row r="200" spans="1:17">
      <x:c r="A200" s="1194" t="s">
        <x:v>10</x:v>
      </x:c>
      <x:c r="B200" s="6" t="s">
        <x:v>1361</x:v>
      </x:c>
      <x:c r="C200" s="6"/>
      <x:c r="D200" s="6" t="s">
        <x:v>1360</x:v>
      </x:c>
      <x:c r="E200" s="6"/>
      <x:c r="F200" s="367"/>
      <x:c r="G200" s="641"/>
      <x:c r="H200" s="461"/>
      <x:c r="I200" s="641"/>
      <x:c r="J200" s="461"/>
      <x:c r="K200" s="641"/>
      <x:c r="L200" s="461"/>
      <x:c r="M200" s="6"/>
      <x:c r="N200" s="6"/>
      <x:c r="O200" s="6"/>
      <x:c r="P200" s="6"/>
      <x:c r="Q200" s="6"/>
    </x:row>
    <x:row r="201" spans="1:17">
      <x:c r="A201" s="1194" t="s">
        <x:v>11</x:v>
      </x:c>
      <x:c r="B201" s="6" t="s">
        <x:v>1427</x:v>
      </x:c>
      <x:c r="C201" s="6"/>
      <x:c r="D201" s="6" t="s">
        <x:v>1362</x:v>
      </x:c>
      <x:c r="E201" s="366"/>
      <x:c r="F201" s="367"/>
      <x:c r="G201" s="641"/>
      <x:c r="H201" s="461"/>
      <x:c r="I201" s="641"/>
      <x:c r="J201" s="461"/>
      <x:c r="K201" s="641"/>
      <x:c r="L201" s="461"/>
      <x:c r="M201" s="6"/>
      <x:c r="N201" s="6"/>
      <x:c r="O201" s="6"/>
      <x:c r="P201" s="6"/>
      <x:c r="Q201" s="6"/>
    </x:row>
    <x:row r="202" spans="1:17">
      <x:c r="A202" s="1194" t="s">
        <x:v>14</x:v>
      </x:c>
      <x:c r="B202" s="6" t="s">
        <x:v>1363</x:v>
      </x:c>
      <x:c r="C202" s="6"/>
      <x:c r="D202" s="6"/>
      <x:c r="E202" s="6"/>
      <x:c r="F202" s="367"/>
      <x:c r="G202" s="641"/>
      <x:c r="H202" s="461"/>
      <x:c r="I202" s="641"/>
      <x:c r="J202" s="461"/>
      <x:c r="K202" s="641"/>
      <x:c r="L202" s="461"/>
      <x:c r="M202" s="6"/>
      <x:c r="N202" s="6"/>
      <x:c r="O202" s="6"/>
      <x:c r="P202" s="6"/>
      <x:c r="Q202" s="6"/>
    </x:row>
    <x:row r="203" spans="1:17">
      <x:c r="A203" s="1194" t="s">
        <x:v>133</x:v>
      </x:c>
      <x:c r="B203" s="6" t="s">
        <x:v>1364</x:v>
      </x:c>
      <x:c r="C203" s="6"/>
      <x:c r="D203" s="6" t="s">
        <x:v>1365</x:v>
      </x:c>
      <x:c r="E203" s="366"/>
      <x:c r="F203" s="367" t="s">
        <x:v>1366</x:v>
      </x:c>
      <x:c r="G203" s="641"/>
      <x:c r="H203" s="461"/>
      <x:c r="I203" s="641"/>
      <x:c r="J203" s="461"/>
      <x:c r="K203" s="641"/>
      <x:c r="L203" s="461"/>
      <x:c r="M203" s="6"/>
      <x:c r="N203" s="6"/>
      <x:c r="O203" s="6"/>
      <x:c r="P203" s="6"/>
      <x:c r="Q203" s="6"/>
    </x:row>
    <x:row r="204" spans="1:17">
      <x:c r="A204" s="1194" t="s">
        <x:v>134</x:v>
      </x:c>
      <x:c r="B204" s="6" t="s">
        <x:v>1367</x:v>
      </x:c>
      <x:c r="C204" s="6"/>
      <x:c r="D204" s="6"/>
      <x:c r="E204" s="366"/>
      <x:c r="F204" s="367"/>
      <x:c r="G204" s="641"/>
      <x:c r="H204" s="461"/>
      <x:c r="I204" s="641"/>
      <x:c r="J204" s="461"/>
      <x:c r="K204" s="641"/>
      <x:c r="L204" s="461"/>
      <x:c r="M204" s="6"/>
      <x:c r="N204" s="6"/>
      <x:c r="O204" s="6"/>
      <x:c r="P204" s="6"/>
      <x:c r="Q204" s="6"/>
    </x:row>
    <x:row r="205" spans="1:17" ht="13.5" thickBot="1">
      <x:c r="A205" s="1195" t="s">
        <x:v>135</x:v>
      </x:c>
      <x:c r="B205" s="8" t="s">
        <x:v>1368</x:v>
      </x:c>
      <x:c r="C205" s="8"/>
      <x:c r="D205" s="8" t="s">
        <x:v>1369</x:v>
      </x:c>
      <x:c r="E205" s="368"/>
      <x:c r="F205" s="369" t="s">
        <x:v>1370</x:v>
      </x:c>
      <x:c r="G205" s="641"/>
      <x:c r="H205" s="461"/>
      <x:c r="I205" s="641"/>
      <x:c r="J205" s="461"/>
      <x:c r="K205" s="641"/>
      <x:c r="L205" s="461"/>
      <x:c r="M205" s="6"/>
      <x:c r="N205" s="6"/>
      <x:c r="O205" s="6"/>
      <x:c r="P205" s="6"/>
      <x:c r="Q205" s="6"/>
    </x:row>
    <x:row r="206" spans="1:17">
      <x:c r="G206" s="641"/>
      <x:c r="H206" s="461"/>
      <x:c r="I206" s="641"/>
      <x:c r="J206" s="461"/>
      <x:c r="K206" s="641"/>
      <x:c r="L206" s="461"/>
      <x:c r="M206" s="6"/>
      <x:c r="N206" s="6"/>
      <x:c r="O206" s="6"/>
      <x:c r="P206" s="6"/>
      <x:c r="Q206" s="6"/>
    </x:row>
    <x:row r="207" spans="1:17">
      <x:c r="G207" s="641"/>
      <x:c r="H207" s="461"/>
      <x:c r="I207" s="641"/>
      <x:c r="J207" s="461"/>
      <x:c r="K207" s="641"/>
      <x:c r="L207" s="461"/>
      <x:c r="M207" s="6"/>
      <x:c r="N207" s="6"/>
      <x:c r="O207" s="6"/>
      <x:c r="P207" s="6"/>
      <x:c r="Q207" s="6"/>
    </x:row>
    <x:row r="208" spans="1:17" ht="18.75" thickBot="1">
      <x:c r="A208" s="1200" t="s">
        <x:v>136</x:v>
      </x:c>
      <x:c r="B208" s="454"/>
      <x:c r="C208" s="454"/>
      <x:c r="G208" s="641"/>
      <x:c r="H208" s="461"/>
      <x:c r="I208" s="641"/>
      <x:c r="J208" s="461"/>
      <x:c r="K208" s="641"/>
      <x:c r="L208" s="461"/>
      <x:c r="M208" s="6"/>
      <x:c r="N208" s="6"/>
      <x:c r="O208" s="6"/>
      <x:c r="P208" s="6"/>
      <x:c r="Q208" s="6"/>
    </x:row>
    <x:row r="209" spans="1:17">
      <x:c r="A209" s="1664" t="s">
        <x:v>48</x:v>
      </x:c>
      <x:c r="B209" s="1665"/>
      <x:c r="C209" s="1665"/>
      <x:c r="D209" s="1665"/>
      <x:c r="E209" s="1665"/>
      <x:c r="F209" s="1666"/>
      <x:c r="G209" s="641"/>
      <x:c r="H209" s="461"/>
      <x:c r="I209" s="641"/>
      <x:c r="J209" s="461"/>
      <x:c r="K209" s="641"/>
      <x:c r="L209" s="461"/>
      <x:c r="M209" s="6"/>
      <x:c r="N209" s="6"/>
      <x:c r="O209" s="6"/>
      <x:c r="P209" s="6"/>
      <x:c r="Q209" s="6"/>
    </x:row>
    <x:row r="210" spans="1:17">
      <x:c r="A210" s="1201"/>
      <x:c r="B210" s="7"/>
      <x:c r="C210" s="7"/>
      <x:c r="D210" s="370" t="s">
        <x:v>1371</x:v>
      </x:c>
      <x:c r="E210" s="371" t="s">
        <x:v>137</x:v>
      </x:c>
      <x:c r="F210" s="372" t="s">
        <x:v>42</x:v>
      </x:c>
      <x:c r="G210" s="641"/>
      <x:c r="H210" s="461"/>
      <x:c r="I210" s="641"/>
      <x:c r="J210" s="461"/>
      <x:c r="K210" s="641"/>
      <x:c r="L210" s="461"/>
      <x:c r="M210" s="6"/>
      <x:c r="N210" s="6"/>
      <x:c r="O210" s="6"/>
      <x:c r="P210" s="6"/>
      <x:c r="Q210" s="6"/>
    </x:row>
    <x:row r="211" spans="1:17">
      <x:c r="A211" s="1201" t="s">
        <x:v>138</x:v>
      </x:c>
      <x:c r="B211" s="7"/>
      <x:c r="C211" s="7" t="s">
        <x:v>1372</x:v>
      </x:c>
      <x:c r="D211" s="373">
        <x:v>9750649</x:v>
      </x:c>
      <x:c r="E211" s="373">
        <x:v>12725412</x:v>
      </x:c>
      <x:c r="F211" s="374">
        <x:f>D211+E211</x:f>
        <x:v>22476061</x:v>
      </x:c>
      <x:c r="G211" s="641"/>
      <x:c r="H211" s="461"/>
      <x:c r="I211" s="641"/>
      <x:c r="J211" s="461"/>
      <x:c r="K211" s="641"/>
      <x:c r="L211" s="461"/>
      <x:c r="M211" s="6"/>
      <x:c r="N211" s="6"/>
      <x:c r="O211" s="6"/>
      <x:c r="P211" s="6"/>
      <x:c r="Q211" s="6"/>
    </x:row>
    <x:row r="212" spans="1:17">
      <x:c r="A212" s="1201" t="s">
        <x:v>138</x:v>
      </x:c>
      <x:c r="B212" s="7"/>
      <x:c r="C212" s="7" t="s">
        <x:v>1373</x:v>
      </x:c>
      <x:c r="D212" s="375">
        <x:v>14666395</x:v>
      </x:c>
      <x:c r="E212" s="376">
        <x:v>16524210</x:v>
      </x:c>
      <x:c r="F212" s="374">
        <x:f>D212+E212</x:f>
        <x:v>31190605</x:v>
      </x:c>
      <x:c r="G212" s="641"/>
      <x:c r="H212" s="461"/>
      <x:c r="I212" s="641"/>
      <x:c r="J212" s="461"/>
      <x:c r="K212" s="641"/>
      <x:c r="L212" s="461"/>
      <x:c r="M212" s="6"/>
      <x:c r="N212" s="6"/>
      <x:c r="O212" s="6"/>
      <x:c r="P212" s="6"/>
      <x:c r="Q212" s="6"/>
    </x:row>
    <x:row r="213" spans="1:17">
      <x:c r="A213" s="1201" t="s">
        <x:v>138</x:v>
      </x:c>
      <x:c r="B213" s="7"/>
      <x:c r="C213" s="377" t="s">
        <x:v>1374</x:v>
      </x:c>
      <x:c r="D213" s="378">
        <x:v>12208522</x:v>
      </x:c>
      <x:c r="E213" s="379">
        <x:v>14624812</x:v>
      </x:c>
      <x:c r="F213" s="380">
        <x:f>D213+E213</x:f>
        <x:v>26833334</x:v>
      </x:c>
      <x:c r="G213" s="641"/>
      <x:c r="H213" s="461"/>
      <x:c r="I213" s="641"/>
      <x:c r="J213" s="461"/>
      <x:c r="K213" s="641"/>
      <x:c r="L213" s="461"/>
      <x:c r="M213" s="6"/>
      <x:c r="N213" s="6"/>
      <x:c r="O213" s="6"/>
      <x:c r="P213" s="6"/>
      <x:c r="Q213" s="6"/>
    </x:row>
    <x:row r="214" spans="1:17" ht="13.5" thickBot="1">
      <x:c r="A214" s="1202"/>
      <x:c r="B214" s="381"/>
      <x:c r="C214" s="381" t="s">
        <x:v>42</x:v>
      </x:c>
      <x:c r="D214" s="382">
        <x:f>SUM(D211:D213)</x:f>
        <x:v>36625566</x:v>
      </x:c>
      <x:c r="E214" s="383">
        <x:f>SUM(E211:E213)</x:f>
        <x:v>43874434</x:v>
      </x:c>
      <x:c r="F214" s="384">
        <x:f>SUM(F211:F213)</x:f>
        <x:v>80500000</x:v>
      </x:c>
      <x:c r="G214" s="6"/>
      <x:c r="H214" s="6"/>
      <x:c r="I214" s="6"/>
      <x:c r="J214" s="6"/>
      <x:c r="K214" s="6"/>
      <x:c r="L214" s="6"/>
      <x:c r="M214" s="6"/>
      <x:c r="N214" s="6"/>
      <x:c r="O214" s="6"/>
      <x:c r="P214" s="6"/>
      <x:c r="Q214" s="6"/>
    </x:row>
    <x:row r="215" spans="1:17">
      <x:c r="A215" s="1203"/>
      <x:c r="B215" s="7"/>
      <x:c r="C215" s="7"/>
      <x:c r="D215" s="373"/>
      <x:c r="E215" s="375"/>
      <x:c r="F215" s="373"/>
      <x:c r="G215" s="6"/>
      <x:c r="H215" s="6"/>
      <x:c r="I215" s="6"/>
      <x:c r="J215" s="6"/>
      <x:c r="K215" s="6"/>
      <x:c r="L215" s="6"/>
      <x:c r="M215" s="6"/>
      <x:c r="N215" s="6"/>
      <x:c r="O215" s="6"/>
      <x:c r="P215" s="6"/>
      <x:c r="Q215" s="6"/>
    </x:row>
    <x:row r="216" spans="1:17">
      <x:c r="G216" s="6"/>
      <x:c r="H216" s="6"/>
      <x:c r="I216" s="6"/>
      <x:c r="J216" s="6"/>
      <x:c r="K216" s="6"/>
      <x:c r="L216" s="6"/>
      <x:c r="M216" s="6"/>
      <x:c r="N216" s="6"/>
      <x:c r="O216" s="6"/>
      <x:c r="P216" s="6"/>
      <x:c r="Q216" s="6"/>
    </x:row>
    <x:row r="217" spans="1:17" ht="18.75" thickBot="1">
      <x:c r="A217" s="1200" t="s">
        <x:v>926</x:v>
      </x:c>
      <x:c r="B217" s="454"/>
      <x:c r="C217" s="454"/>
      <x:c r="G217" s="641"/>
      <x:c r="H217" s="461"/>
      <x:c r="I217" s="641"/>
      <x:c r="J217" s="461"/>
      <x:c r="K217" s="641"/>
      <x:c r="L217" s="461"/>
      <x:c r="M217" s="6"/>
      <x:c r="N217" s="6"/>
      <x:c r="O217" s="6"/>
      <x:c r="P217" s="6"/>
      <x:c r="Q217" s="6"/>
    </x:row>
    <x:row r="218" spans="1:17" ht="26.25" customHeight="1">
      <x:c r="A218" s="1664"/>
      <x:c r="B218" s="1665"/>
      <x:c r="C218" s="1665" t="s">
        <x:v>927</x:v>
      </x:c>
      <x:c r="D218" s="1665"/>
      <x:c r="E218" s="1665"/>
      <x:c r="F218" s="1666"/>
      <x:c r="G218" s="557" t="s">
        <x:v>928</x:v>
      </x:c>
      <x:c r="H218" s="545" t="s">
        <x:v>929</x:v>
      </x:c>
      <x:c r="I218" s="598" t="s">
        <x:v>1527</x:v>
      </x:c>
      <x:c r="J218" s="598"/>
      <x:c r="K218" s="596"/>
      <x:c r="L218" s="596"/>
      <x:c r="M218" s="596"/>
      <x:c r="N218" s="596"/>
      <x:c r="O218" s="596"/>
      <x:c r="P218" s="597"/>
    </x:row>
    <x:row r="219" spans="1:17" ht="15.75" customHeight="1">
      <x:c r="A219" s="1194">
        <x:v>6</x:v>
      </x:c>
      <x:c r="B219" s="464"/>
      <x:c r="C219" s="66" t="s">
        <x:v>141</x:v>
      </x:c>
      <x:c r="D219" s="642"/>
      <x:c r="E219" s="1284"/>
      <x:c r="F219" s="623" t="s">
        <x:v>930</x:v>
      </x:c>
      <x:c r="G219" s="579">
        <x:v>6100066454</x:v>
      </x:c>
      <x:c r="H219" s="928">
        <x:v>50615407</x:v>
      </x:c>
      <x:c r="I219" s="1073">
        <x:f>+G219-H219</x:f>
        <x:v>6049451047</x:v>
      </x:c>
      <x:c r="J219" s="6" t="str">
        <x:f>"General Capital Lease $"&amp;H219</x:f>
        <x:v>General Capital Lease $50615407</x:v>
      </x:c>
      <x:c r="K219" s="930"/>
      <x:c r="L219" s="930"/>
      <x:c r="M219" s="930"/>
      <x:c r="N219" s="930"/>
      <x:c r="O219" s="930"/>
      <x:c r="P219" s="924"/>
    </x:row>
    <x:row r="220" spans="1:17">
      <x:c r="A220" s="1194">
        <x:v>9</x:v>
      </x:c>
      <x:c r="B220" s="464"/>
      <x:c r="C220" s="66" t="s">
        <x:v>142</x:v>
      </x:c>
      <x:c r="D220" s="642"/>
      <x:c r="E220" s="1284"/>
      <x:c r="F220" s="623" t="s">
        <x:v>931</x:v>
      </x:c>
      <x:c r="G220" s="579">
        <x:v>1553688048</x:v>
      </x:c>
      <x:c r="H220" s="928"/>
      <x:c r="I220" s="1073">
        <x:f t="shared" ref="I220:I224" si="16">+G220-H220</x:f>
        <x:v>1553688048</x:v>
      </x:c>
      <x:c r="J220" s="6"/>
      <x:c r="K220" s="929"/>
      <x:c r="L220" s="929"/>
      <x:c r="M220" s="929"/>
      <x:c r="N220" s="929"/>
      <x:c r="O220" s="929"/>
      <x:c r="P220" s="925"/>
    </x:row>
    <x:row r="221" spans="1:17">
      <x:c r="A221" s="1194">
        <x:v>10</x:v>
      </x:c>
      <x:c r="B221" s="612"/>
      <x:c r="C221" s="66" t="s">
        <x:v>143</x:v>
      </x:c>
      <x:c r="D221" s="643"/>
      <x:c r="E221" s="1284"/>
      <x:c r="F221" s="623" t="s">
        <x:v>932</x:v>
      </x:c>
      <x:c r="G221" s="579">
        <x:v>79572095</x:v>
      </x:c>
      <x:c r="H221" s="928">
        <x:v>24268857</x:v>
      </x:c>
      <x:c r="I221" s="1073">
        <x:f t="shared" si="16"/>
        <x:v>55303238</x:v>
      </x:c>
      <x:c r="J221" s="6" t="str">
        <x:f t="shared" ref="J221" si="17">"General Capital Lease $"&amp;H221</x:f>
        <x:v>General Capital Lease $24268857</x:v>
      </x:c>
      <x:c r="K221" s="929"/>
      <x:c r="L221" s="929"/>
      <x:c r="M221" s="929"/>
      <x:c r="N221" s="929"/>
      <x:c r="O221" s="929"/>
      <x:c r="P221" s="925"/>
    </x:row>
    <x:row r="222" spans="1:17">
      <x:c r="A222" s="1194">
        <x:v>19</x:v>
      </x:c>
      <x:c r="B222" s="612"/>
      <x:c r="C222" s="66" t="s">
        <x:v>264</x:v>
      </x:c>
      <x:c r="D222" s="643"/>
      <x:c r="E222" s="1284"/>
      <x:c r="F222" s="623" t="s">
        <x:v>933</x:v>
      </x:c>
      <x:c r="G222" s="579">
        <x:v>2231457000</x:v>
      </x:c>
      <x:c r="H222" s="928"/>
      <x:c r="I222" s="1073">
        <x:f t="shared" si="16"/>
        <x:v>2231457000</x:v>
      </x:c>
      <x:c r="J222" s="6"/>
      <x:c r="K222" s="929"/>
      <x:c r="L222" s="929"/>
      <x:c r="M222" s="929"/>
      <x:c r="N222" s="929"/>
      <x:c r="O222" s="929"/>
      <x:c r="P222" s="925"/>
    </x:row>
    <x:row r="223" spans="1:17">
      <x:c r="A223" s="1194">
        <x:v>23</x:v>
      </x:c>
      <x:c r="B223" s="464"/>
      <x:c r="C223" s="66" t="s">
        <x:v>144</x:v>
      </x:c>
      <x:c r="D223" s="642"/>
      <x:c r="E223" s="1284"/>
      <x:c r="F223" s="623" t="s">
        <x:v>934</x:v>
      </x:c>
      <x:c r="G223" s="579">
        <x:f>90739989+431401236</x:f>
        <x:v>522141225</x:v>
      </x:c>
      <x:c r="H223" s="928">
        <x:v>50615407</x:v>
      </x:c>
      <x:c r="I223" s="1073">
        <x:f t="shared" si="16"/>
        <x:v>471525818</x:v>
      </x:c>
      <x:c r="J223" s="6" t="str">
        <x:f>"General Capital Lease $"&amp;H223</x:f>
        <x:v>General Capital Lease $50615407</x:v>
      </x:c>
      <x:c r="K223" s="929"/>
      <x:c r="L223" s="929"/>
      <x:c r="M223" s="929"/>
      <x:c r="N223" s="929"/>
      <x:c r="O223" s="929"/>
      <x:c r="P223" s="925"/>
    </x:row>
    <x:row r="224" spans="1:17" ht="13.5" thickBot="1">
      <x:c r="A224" s="1195">
        <x:v>31</x:v>
      </x:c>
      <x:c r="B224" s="548"/>
      <x:c r="C224" s="604" t="s">
        <x:v>935</x:v>
      </x:c>
      <x:c r="D224" s="620"/>
      <x:c r="E224" s="1285"/>
      <x:c r="F224" s="605" t="s">
        <x:v>936</x:v>
      </x:c>
      <x:c r="G224" s="1033">
        <x:v>114099246</x:v>
      </x:c>
      <x:c r="H224" s="1034"/>
      <x:c r="I224" s="1074">
        <x:f t="shared" si="16"/>
        <x:v>114099246</x:v>
      </x:c>
      <x:c r="J224" s="926"/>
      <x:c r="K224" s="926"/>
      <x:c r="L224" s="926"/>
      <x:c r="M224" s="926"/>
      <x:c r="N224" s="926"/>
      <x:c r="O224" s="926"/>
      <x:c r="P224" s="927"/>
    </x:row>
    <x:row r="225" spans="1:21">
      <x:c r="G225" s="6"/>
      <x:c r="H225" s="6"/>
      <x:c r="I225" s="6"/>
      <x:c r="J225" s="6"/>
      <x:c r="K225" s="6"/>
      <x:c r="L225" s="6"/>
      <x:c r="M225" s="6"/>
      <x:c r="N225" s="6"/>
      <x:c r="O225" s="6"/>
      <x:c r="P225" s="6"/>
      <x:c r="Q225" s="6"/>
    </x:row>
    <x:row r="226" spans="1:21">
      <x:c r="G226" s="1045"/>
      <x:c r="O226" s="7"/>
      <x:c r="P226" s="7"/>
      <x:c r="Q226" s="7"/>
    </x:row>
    <x:row r="227" spans="1:21" ht="18.75" thickBot="1">
      <x:c r="A227" s="1200" t="s">
        <x:v>940</x:v>
      </x:c>
      <x:c r="B227" s="454"/>
      <x:c r="C227" s="454"/>
      <x:c r="G227" s="641"/>
      <x:c r="H227" s="461"/>
      <x:c r="I227" s="641"/>
      <x:c r="J227" s="461"/>
      <x:c r="K227" s="641"/>
      <x:c r="L227" s="461"/>
      <x:c r="M227" s="6"/>
      <x:c r="N227" s="6"/>
      <x:c r="O227" s="7"/>
      <x:c r="P227" s="7"/>
      <x:c r="Q227" s="7"/>
      <x:c r="R227" s="6"/>
    </x:row>
    <x:row r="228" spans="1:21" ht="51">
      <x:c r="A228" s="1664" t="s">
        <x:v>48</x:v>
      </x:c>
      <x:c r="B228" s="1665"/>
      <x:c r="C228" s="1665"/>
      <x:c r="D228" s="1665"/>
      <x:c r="E228" s="1665"/>
      <x:c r="F228" s="1666"/>
      <x:c r="G228" s="557" t="s">
        <x:v>941</x:v>
      </x:c>
      <x:c r="H228" s="545" t="s">
        <x:v>139</x:v>
      </x:c>
      <x:c r="I228" s="545" t="s">
        <x:v>1806</x:v>
      </x:c>
      <x:c r="J228" s="545" t="s">
        <x:v>942</x:v>
      </x:c>
      <x:c r="K228" s="545" t="s">
        <x:v>943</x:v>
      </x:c>
      <x:c r="L228" s="545" t="s">
        <x:v>1804</x:v>
      </x:c>
      <x:c r="M228" s="545" t="s">
        <x:v>1805</x:v>
      </x:c>
      <x:c r="N228" s="545" t="s">
        <x:v>1843</x:v>
      </x:c>
      <x:c r="O228" s="545" t="s">
        <x:v>1844</x:v>
      </x:c>
      <x:c r="P228" s="545" t="s">
        <x:v>1845</x:v>
      </x:c>
      <x:c r="Q228" s="545" t="s">
        <x:v>2099</x:v>
      </x:c>
      <x:c r="R228" s="1187" t="s">
        <x:v>944</x:v>
      </x:c>
    </x:row>
    <x:row r="229" spans="1:21">
      <x:c r="A229" s="1194">
        <x:v>68</x:v>
      </x:c>
      <x:c r="B229" s="464"/>
      <x:c r="C229" s="66" t="s">
        <x:v>146</x:v>
      </x:c>
      <x:c r="D229" s="5"/>
      <x:c r="E229" s="1284"/>
      <x:c r="F229" s="600" t="s">
        <x:v>945</x:v>
      </x:c>
      <x:c r="G229" s="1027">
        <x:f>'11B - A&amp;G'!E27</x:f>
        <x:v>110243909.602</x:v>
      </x:c>
      <x:c r="H229" s="602">
        <x:f>'10 - Merger Costs'!C9</x:f>
        <x:v>0</x:v>
      </x:c>
      <x:c r="I229" s="928">
        <x:v>31741.244691000004</x:v>
      </x:c>
      <x:c r="J229" s="928">
        <x:v>794134.44</x:v>
      </x:c>
      <x:c r="K229" s="928">
        <x:v>4681.6000000000004</x:v>
      </x:c>
      <x:c r="L229" s="928"/>
      <x:c r="M229" s="928"/>
      <x:c r="N229" s="928"/>
      <x:c r="O229" s="928">
        <x:v>0</x:v>
      </x:c>
      <x:c r="P229" s="928">
        <x:v>0</x:v>
      </x:c>
      <x:c r="Q229" s="602">
        <x:v>0</x:v>
      </x:c>
      <x:c r="R229" s="1271">
        <x:f>+G229-H229-I229-J229-K229-L229-M229-N229-O229-P229</x:f>
        <x:v>109413352.31730901</x:v>
      </x:c>
    </x:row>
    <x:row r="230" spans="1:21" ht="13.5" thickBot="1">
      <x:c r="A230" s="1195">
        <x:v>60</x:v>
      </x:c>
      <x:c r="B230" s="548"/>
      <x:c r="C230" s="604" t="s">
        <x:v>145</x:v>
      </x:c>
      <x:c r="D230" s="620"/>
      <x:c r="E230" s="1285"/>
      <x:c r="F230" s="605" t="s">
        <x:v>937</x:v>
      </x:c>
      <x:c r="G230" s="1028">
        <x:f>'11A - O&amp;M'!E35</x:f>
        <x:v>24679744.43</x:v>
      </x:c>
      <x:c r="H230" s="603"/>
      <x:c r="I230" s="603"/>
      <x:c r="J230" s="8"/>
      <x:c r="K230" s="1366"/>
      <x:c r="L230" s="604"/>
      <x:c r="M230" s="604"/>
      <x:c r="N230" s="604"/>
      <x:c r="O230" s="601"/>
      <x:c r="P230" s="601"/>
      <x:c r="Q230" s="601">
        <x:f>$H$44</x:f>
        <x:v>72965</x:v>
      </x:c>
      <x:c r="R230" s="1272">
        <x:f>+G230-Q230</x:f>
        <x:v>24606779.43</x:v>
      </x:c>
      <x:c r="U230" s="1021"/>
    </x:row>
    <x:row r="231" spans="1:21">
      <x:c r="H231" s="1275"/>
      <x:c r="I231" s="1275"/>
      <x:c r="J231" s="1275"/>
      <x:c r="K231" s="1275"/>
    </x:row>
    <x:row r="233" spans="1:21" ht="18.75" thickBot="1">
      <x:c r="A233" s="1200" t="s">
        <x:v>1114</x:v>
      </x:c>
      <x:c r="B233" s="454"/>
      <x:c r="C233" s="454"/>
      <x:c r="G233" s="641"/>
      <x:c r="H233" s="461"/>
      <x:c r="I233" s="641"/>
      <x:c r="J233" s="461"/>
      <x:c r="K233" s="641"/>
      <x:c r="L233" s="461"/>
      <x:c r="M233" s="6"/>
      <x:c r="N233" s="6"/>
      <x:c r="O233" s="6"/>
      <x:c r="P233" s="6"/>
      <x:c r="Q233" s="6"/>
    </x:row>
    <x:row r="234" spans="1:21" ht="25.5">
      <x:c r="A234" s="1686" t="s">
        <x:v>813</x:v>
      </x:c>
      <x:c r="B234" s="1687"/>
      <x:c r="C234" s="1687"/>
      <x:c r="D234" s="1687"/>
      <x:c r="E234" s="1687"/>
      <x:c r="F234" s="1688"/>
      <x:c r="G234" s="606" t="s">
        <x:v>1115</x:v>
      </x:c>
      <x:c r="H234" s="607" t="s">
        <x:v>139</x:v>
      </x:c>
      <x:c r="I234" s="607" t="s">
        <x:v>140</x:v>
      </x:c>
      <x:c r="J234" s="608"/>
      <x:c r="K234" s="608"/>
      <x:c r="L234" s="608"/>
      <x:c r="M234" s="608"/>
      <x:c r="N234" s="608"/>
      <x:c r="O234" s="608"/>
      <x:c r="P234" s="608"/>
      <x:c r="Q234" s="609"/>
    </x:row>
    <x:row r="235" spans="1:21">
      <x:c r="A235" s="1194">
        <x:v>86</x:v>
      </x:c>
      <x:c r="B235" s="464"/>
      <x:c r="C235" s="66" t="s">
        <x:v>336</x:v>
      </x:c>
      <x:c r="D235" s="5"/>
      <x:c r="E235" s="1284"/>
      <x:c r="F235" s="623" t="s">
        <x:v>1799</x:v>
      </x:c>
      <x:c r="G235" s="1035">
        <x:v>72015318.180759132</x:v>
      </x:c>
      <x:c r="H235" s="1037"/>
      <x:c r="I235" s="61">
        <x:f>G235-H235</x:f>
        <x:v>72015318.180759132</x:v>
      </x:c>
      <x:c r="J235" s="6"/>
      <x:c r="K235" s="6"/>
      <x:c r="L235" s="6"/>
      <x:c r="M235" s="6"/>
      <x:c r="N235" s="6"/>
      <x:c r="O235" s="6"/>
      <x:c r="P235" s="6"/>
      <x:c r="Q235" s="367"/>
    </x:row>
    <x:row r="236" spans="1:21">
      <x:c r="A236" s="1194">
        <x:v>87</x:v>
      </x:c>
      <x:c r="B236" s="464"/>
      <x:c r="C236" s="66" t="s">
        <x:v>814</x:v>
      </x:c>
      <x:c r="E236" s="1284"/>
      <x:c r="F236" s="623" t="s">
        <x:v>1800</x:v>
      </x:c>
      <x:c r="G236" s="1035">
        <x:v>20997876.382334564</x:v>
      </x:c>
      <x:c r="H236" s="1037">
        <x:f>'10 - Merger Costs'!C15</x:f>
        <x:v>0</x:v>
      </x:c>
      <x:c r="I236" s="61">
        <x:f>G236-H236</x:f>
        <x:v>20997876.382334564</x:v>
      </x:c>
      <x:c r="J236" s="6"/>
      <x:c r="K236" s="6"/>
      <x:c r="L236" s="6"/>
      <x:c r="M236" s="6"/>
      <x:c r="N236" s="6"/>
      <x:c r="O236" s="6"/>
      <x:c r="P236" s="6"/>
      <x:c r="Q236" s="367"/>
    </x:row>
    <x:row r="237" spans="1:21">
      <x:c r="A237" s="1194">
        <x:v>88</x:v>
      </x:c>
      <x:c r="B237" s="464"/>
      <x:c r="C237" s="66" t="s">
        <x:v>337</x:v>
      </x:c>
      <x:c r="E237" s="1284"/>
      <x:c r="F237" s="623" t="s">
        <x:v>1801</x:v>
      </x:c>
      <x:c r="G237" s="1035">
        <x:v>2311670.0908584092</x:v>
      </x:c>
      <x:c r="H237" s="1037">
        <x:f>'10 - Merger Costs'!C16</x:f>
        <x:v>0</x:v>
      </x:c>
      <x:c r="I237" s="61">
        <x:f>G237-H237</x:f>
        <x:v>2311670.0908584092</x:v>
      </x:c>
      <x:c r="J237" s="6"/>
      <x:c r="K237" s="6"/>
      <x:c r="L237" s="6"/>
      <x:c r="M237" s="6"/>
      <x:c r="N237" s="6"/>
      <x:c r="O237" s="6"/>
      <x:c r="P237" s="6"/>
      <x:c r="Q237" s="367"/>
    </x:row>
    <x:row r="238" spans="1:21">
      <x:c r="A238" s="1194">
        <x:v>92</x:v>
      </x:c>
      <x:c r="B238" s="464"/>
      <x:c r="C238" s="66" t="s">
        <x:v>339</x:v>
      </x:c>
      <x:c r="E238" s="1284"/>
      <x:c r="F238" s="623" t="s">
        <x:v>1802</x:v>
      </x:c>
      <x:c r="G238" s="1035">
        <x:v>1733965.9769926078</x:v>
      </x:c>
      <x:c r="H238" s="1037"/>
      <x:c r="I238" s="61">
        <x:f>G238-H238</x:f>
        <x:v>1733965.9769926078</x:v>
      </x:c>
      <x:c r="J238" s="6"/>
      <x:c r="K238" s="6"/>
      <x:c r="L238" s="6"/>
      <x:c r="M238" s="6"/>
      <x:c r="N238" s="6"/>
      <x:c r="O238" s="6"/>
      <x:c r="P238" s="6"/>
      <x:c r="Q238" s="367"/>
    </x:row>
    <x:row r="239" spans="1:21" ht="13.5" thickBot="1">
      <x:c r="A239" s="1195">
        <x:v>93</x:v>
      </x:c>
      <x:c r="B239" s="548"/>
      <x:c r="C239" s="620" t="s">
        <x:v>340</x:v>
      </x:c>
      <x:c r="D239" s="620"/>
      <x:c r="E239" s="1285"/>
      <x:c r="F239" s="605" t="s">
        <x:v>1803</x:v>
      </x:c>
      <x:c r="G239" s="1036">
        <x:v>7232727.5005860003</x:v>
      </x:c>
      <x:c r="H239" s="603"/>
      <x:c r="I239" s="601">
        <x:f>G239-H239</x:f>
        <x:v>7232727.5005860003</x:v>
      </x:c>
      <x:c r="J239" s="8"/>
      <x:c r="K239" s="8"/>
      <x:c r="L239" s="8"/>
      <x:c r="M239" s="8"/>
      <x:c r="N239" s="8"/>
      <x:c r="O239" s="8"/>
      <x:c r="P239" s="8"/>
      <x:c r="Q239" s="369"/>
    </x:row>
    <x:row r="240" spans="1:21">
      <x:c r="A240" s="66"/>
      <x:c r="B240" s="464"/>
      <x:c r="C240" s="66"/>
      <x:c r="F240" s="66"/>
      <x:c r="G240" s="610"/>
      <x:c r="H240" s="610"/>
      <x:c r="I240" s="61"/>
      <x:c r="J240" s="6"/>
      <x:c r="K240" s="6"/>
      <x:c r="L240" s="6"/>
      <x:c r="M240" s="6"/>
      <x:c r="N240" s="6"/>
      <x:c r="O240" s="6"/>
      <x:c r="P240" s="6"/>
      <x:c r="Q240" s="6"/>
    </x:row>
    <x:row r="241" spans="1:18">
      <x:c r="A241" s="66"/>
      <x:c r="B241" s="464"/>
      <x:c r="C241" s="66"/>
      <x:c r="F241" s="66"/>
      <x:c r="G241" s="610"/>
      <x:c r="H241" s="610"/>
      <x:c r="I241" s="61"/>
      <x:c r="J241" s="6"/>
      <x:c r="K241" s="6"/>
      <x:c r="L241" s="6"/>
      <x:c r="M241" s="6"/>
      <x:c r="N241" s="6"/>
      <x:c r="O241" s="6"/>
      <x:c r="P241" s="6"/>
      <x:c r="Q241" s="6"/>
    </x:row>
    <x:row r="242" spans="1:18" ht="18.75" thickBot="1">
      <x:c r="A242" s="1200" t="s">
        <x:v>149</x:v>
      </x:c>
      <x:c r="B242" s="454"/>
      <x:c r="C242" s="454"/>
      <x:c r="G242" s="641"/>
      <x:c r="H242" s="461"/>
      <x:c r="I242" s="641"/>
      <x:c r="J242" s="461"/>
      <x:c r="K242" s="641"/>
      <x:c r="L242" s="461"/>
      <x:c r="M242" s="6"/>
      <x:c r="N242" s="6"/>
      <x:c r="O242" s="6"/>
      <x:c r="P242" s="6"/>
      <x:c r="Q242" s="6"/>
    </x:row>
    <x:row r="243" spans="1:18" ht="38.25">
      <x:c r="A243" s="1664" t="s">
        <x:v>48</x:v>
      </x:c>
      <x:c r="B243" s="1665"/>
      <x:c r="C243" s="1665"/>
      <x:c r="D243" s="1665"/>
      <x:c r="E243" s="1665"/>
      <x:c r="F243" s="1666"/>
      <x:c r="G243" s="545" t="s">
        <x:v>150</x:v>
      </x:c>
      <x:c r="H243" s="545" t="s">
        <x:v>151</x:v>
      </x:c>
      <x:c r="I243" s="545" t="s">
        <x:v>152</x:v>
      </x:c>
      <x:c r="J243" s="545" t="s">
        <x:v>153</x:v>
      </x:c>
      <x:c r="K243" s="1667" t="s">
        <x:v>154</x:v>
      </x:c>
      <x:c r="L243" s="1706"/>
      <x:c r="M243" s="1706"/>
      <x:c r="N243" s="1706"/>
      <x:c r="O243" s="1706"/>
      <x:c r="P243" s="1706"/>
      <x:c r="Q243" s="1707"/>
    </x:row>
    <x:row r="244" spans="1:18" ht="40.5" customHeight="1">
      <x:c r="A244" s="1194">
        <x:v>68</x:v>
      </x:c>
      <x:c r="B244" s="464"/>
      <x:c r="C244" s="66" t="s">
        <x:v>146</x:v>
      </x:c>
      <x:c r="D244" s="5"/>
      <x:c r="E244" s="616"/>
      <x:c r="F244" s="600" t="s">
        <x:v>155</x:v>
      </x:c>
      <x:c r="G244" s="1037">
        <x:f>'11B - A&amp;G'!E27</x:f>
        <x:v>110243909.602</x:v>
      </x:c>
      <x:c r="H244" s="1037">
        <x:f>'11B - A&amp;G'!E16</x:f>
        <x:v>9141477.5460000001</x:v>
      </x:c>
      <x:c r="I244" s="599">
        <x:v>-316326.644088</x:v>
      </x:c>
      <x:c r="J244" s="599">
        <x:v>-23990.980788000008</x:v>
      </x:c>
      <x:c r="K244" s="1689" t="s">
        <x:v>2100</x:v>
      </x:c>
      <x:c r="L244" s="1690"/>
      <x:c r="M244" s="1690"/>
      <x:c r="N244" s="1690"/>
      <x:c r="O244" s="1690"/>
      <x:c r="P244" s="1690"/>
      <x:c r="Q244" s="1691"/>
      <x:c r="R244" s="7"/>
    </x:row>
    <x:row r="245" spans="1:18" ht="13.5" thickBot="1">
      <x:c r="A245" s="1195"/>
      <x:c r="B245" s="548"/>
      <x:c r="C245" s="604"/>
      <x:c r="D245" s="620"/>
      <x:c r="E245" s="620"/>
      <x:c r="F245" s="605"/>
      <x:c r="G245" s="611"/>
      <x:c r="H245" s="611"/>
      <x:c r="I245" s="601"/>
      <x:c r="J245" s="8"/>
      <x:c r="K245" s="8"/>
      <x:c r="L245" s="8"/>
      <x:c r="M245" s="8"/>
      <x:c r="N245" s="8"/>
      <x:c r="O245" s="8"/>
      <x:c r="P245" s="8"/>
      <x:c r="Q245" s="369"/>
    </x:row>
    <x:row r="246" spans="1:18">
      <x:c r="G246" s="1275"/>
      <x:c r="H246" s="1275"/>
      <x:c r="I246" s="1275"/>
      <x:c r="J246" s="1275"/>
      <x:c r="K246" s="6"/>
      <x:c r="L246" s="6"/>
      <x:c r="M246" s="6"/>
      <x:c r="N246" s="6"/>
      <x:c r="O246" s="6"/>
      <x:c r="P246" s="6"/>
      <x:c r="Q246" s="6"/>
    </x:row>
    <x:row r="247" spans="1:18">
      <x:c r="G247" s="6"/>
      <x:c r="H247" s="6"/>
      <x:c r="I247" s="6"/>
      <x:c r="J247" s="61"/>
      <x:c r="K247" s="6"/>
      <x:c r="L247" s="6"/>
      <x:c r="M247" s="6"/>
      <x:c r="N247" s="6"/>
      <x:c r="O247" s="6"/>
      <x:c r="P247" s="6"/>
      <x:c r="Q247" s="6"/>
    </x:row>
    <x:row r="248" spans="1:18" ht="18.75" thickBot="1">
      <x:c r="A248" s="1204" t="s">
        <x:v>1124</x:v>
      </x:c>
      <x:c r="B248" s="663"/>
      <x:c r="C248" s="663"/>
      <x:c r="D248" s="620"/>
      <x:c r="E248" s="620"/>
      <x:c r="F248" s="620"/>
      <x:c r="G248" s="664"/>
      <x:c r="H248" s="462"/>
      <x:c r="I248" s="664"/>
      <x:c r="J248" s="462"/>
      <x:c r="K248" s="664"/>
      <x:c r="L248" s="462"/>
      <x:c r="M248" s="8"/>
      <x:c r="N248" s="8"/>
      <x:c r="O248" s="8"/>
      <x:c r="P248" s="8"/>
      <x:c r="Q248" s="8"/>
    </x:row>
    <x:row r="249" spans="1:18">
      <x:c r="A249" s="1210"/>
      <x:c r="B249" s="1211"/>
      <x:c r="C249" s="1212"/>
      <x:c r="D249" s="1211"/>
      <x:c r="E249" s="1213"/>
      <x:c r="F249" s="1213"/>
      <x:c r="G249" s="1214"/>
      <x:c r="H249" s="1215" t="s">
        <x:v>206</x:v>
      </x:c>
      <x:c r="I249" s="1214"/>
      <x:c r="J249" s="1216"/>
      <x:c r="K249" s="1214"/>
      <x:c r="L249" s="1217"/>
      <x:c r="M249" s="1211"/>
      <x:c r="N249" s="1211"/>
      <x:c r="O249" s="1211"/>
      <x:c r="P249" s="1211"/>
      <x:c r="Q249" s="1218"/>
    </x:row>
    <x:row r="250" spans="1:18">
      <x:c r="A250" s="1205"/>
      <x:c r="B250" s="1555"/>
      <x:c r="C250" s="1552"/>
      <x:c r="D250" s="1556"/>
      <x:c r="E250" s="1557"/>
      <x:c r="F250" s="1557"/>
      <x:c r="G250" s="1219"/>
      <x:c r="H250" s="1220" t="s">
        <x:v>39</x:v>
      </x:c>
      <x:c r="I250" s="1220"/>
      <x:c r="J250" s="1220" t="s">
        <x:v>1125</x:v>
      </x:c>
      <x:c r="K250" s="1219"/>
      <x:c r="L250" s="1367"/>
      <x:c r="M250" s="1367"/>
      <x:c r="N250" s="1367"/>
      <x:c r="O250" s="1367"/>
      <x:c r="P250" s="1367"/>
      <x:c r="Q250" s="646"/>
    </x:row>
    <x:row r="251" spans="1:18">
      <x:c r="A251" s="647" t="s">
        <x:v>523</x:v>
      </x:c>
      <x:c r="B251" s="1555"/>
      <x:c r="C251" s="648" t="s">
        <x:v>1126</x:v>
      </x:c>
      <x:c r="D251" s="1556"/>
      <x:c r="E251" s="1557"/>
      <x:c r="F251" s="649" t="s">
        <x:v>1127</x:v>
      </x:c>
      <x:c r="G251" s="1219"/>
      <x:c r="H251" s="650" t="s">
        <x:v>1128</x:v>
      </x:c>
      <x:c r="I251" s="1220"/>
      <x:c r="J251" s="650" t="s">
        <x:v>1396</x:v>
      </x:c>
      <x:c r="K251" s="1219"/>
      <x:c r="L251" s="650" t="s">
        <x:v>1397</x:v>
      </x:c>
      <x:c r="M251" s="1367"/>
      <x:c r="N251" s="1367"/>
      <x:c r="O251" s="1367"/>
      <x:c r="P251" s="1367"/>
      <x:c r="Q251" s="646"/>
    </x:row>
    <x:row r="252" spans="1:18">
      <x:c r="A252" s="1205"/>
      <x:c r="B252" s="1555"/>
      <x:c r="C252" s="1558"/>
      <x:c r="D252" s="1556"/>
      <x:c r="E252" s="1557"/>
      <x:c r="F252" s="1557"/>
      <x:c r="G252" s="1219"/>
      <x:c r="H252" s="1220"/>
      <x:c r="I252" s="1220"/>
      <x:c r="J252" s="1220"/>
      <x:c r="K252" s="1219"/>
      <x:c r="L252" s="1222"/>
      <x:c r="M252" s="1367"/>
      <x:c r="N252" s="1367"/>
      <x:c r="O252" s="1367"/>
      <x:c r="P252" s="1367"/>
      <x:c r="Q252" s="646"/>
    </x:row>
    <x:row r="253" spans="1:18">
      <x:c r="A253" s="1205" t="str">
        <x:f>'ATT H-3D'!A270</x:f>
        <x:v>136a</x:v>
      </x:c>
      <x:c r="B253" s="1552"/>
      <x:c r="C253" s="1559" t="s">
        <x:v>1093</x:v>
      </x:c>
      <x:c r="D253" s="1552"/>
      <x:c r="E253" s="1560"/>
      <x:c r="F253" s="1560" t="s">
        <x:v>1129</x:v>
      </x:c>
      <x:c r="G253" s="1219"/>
      <x:c r="H253" s="1229">
        <x:v>908121</x:v>
      </x:c>
      <x:c r="I253" s="1224" t="s">
        <x:v>958</x:v>
      </x:c>
      <x:c r="J253" s="1225">
        <x:f>'ATT H-3D'!H260</x:f>
        <x:v>0.2771499999999999</x:v>
      </x:c>
      <x:c r="K253" s="1226" t="s">
        <x:v>1130</x:v>
      </x:c>
      <x:c r="L253" s="1227">
        <x:f>H253*J253</x:f>
        <x:v>251685.73514999991</x:v>
      </x:c>
      <x:c r="M253" s="1367"/>
      <x:c r="N253" s="1367"/>
      <x:c r="O253" s="1228"/>
      <x:c r="P253" s="1367"/>
      <x:c r="Q253" s="651"/>
    </x:row>
    <x:row r="254" spans="1:18">
      <x:c r="A254" s="1205"/>
      <x:c r="B254" s="1552"/>
      <x:c r="C254" s="1559" t="s">
        <x:v>1424</x:v>
      </x:c>
      <x:c r="D254" s="1552"/>
      <x:c r="E254" s="1560"/>
      <x:c r="F254" s="1560"/>
      <x:c r="G254" s="1219"/>
      <x:c r="H254" s="1219"/>
      <x:c r="I254" s="1219"/>
      <x:c r="J254" s="1219"/>
      <x:c r="K254" s="1219"/>
      <x:c r="L254" s="1227"/>
      <x:c r="M254" s="1367"/>
      <x:c r="N254" s="1367"/>
      <x:c r="O254" s="1367"/>
      <x:c r="P254" s="1367"/>
      <x:c r="Q254" s="646"/>
    </x:row>
    <x:row r="255" spans="1:18">
      <x:c r="A255" s="1205" t="str">
        <x:f>'ATT H-3D'!A271</x:f>
        <x:v>136b</x:v>
      </x:c>
      <x:c r="B255" s="1552"/>
      <x:c r="C255" s="1561" t="s">
        <x:v>1094</x:v>
      </x:c>
      <x:c r="D255" s="1552"/>
      <x:c r="E255" s="1560"/>
      <x:c r="F255" s="1560" t="s">
        <x:v>1131</x:v>
      </x:c>
      <x:c r="G255" s="1219"/>
      <x:c r="H255" s="1219"/>
      <x:c r="I255" s="1219"/>
      <x:c r="J255" s="1219"/>
      <x:c r="K255" s="1219"/>
      <x:c r="L255" s="1229">
        <x:f>-'1E - EDIT Amortization'!Q109</x:f>
        <x:v>-1127924</x:v>
      </x:c>
      <x:c r="M255" s="1367"/>
      <x:c r="N255" s="1367"/>
      <x:c r="O255" s="1230"/>
      <x:c r="P255" s="1367"/>
      <x:c r="Q255" s="652"/>
    </x:row>
    <x:row r="256" spans="1:18">
      <x:c r="A256" s="1205" t="str">
        <x:f>'ATT H-3D'!A272</x:f>
        <x:v>136c</x:v>
      </x:c>
      <x:c r="B256" s="1552"/>
      <x:c r="C256" s="1561" t="s">
        <x:v>1096</x:v>
      </x:c>
      <x:c r="D256" s="1552"/>
      <x:c r="E256" s="1560"/>
      <x:c r="F256" s="1560" t="s">
        <x:v>1131</x:v>
      </x:c>
      <x:c r="G256" s="1219"/>
      <x:c r="H256" s="1219"/>
      <x:c r="I256" s="1219"/>
      <x:c r="J256" s="1219"/>
      <x:c r="K256" s="1219"/>
      <x:c r="L256" s="1229">
        <x:f>-'1E - EDIT Amortization'!Q213</x:f>
        <x:v>0</x:v>
      </x:c>
      <x:c r="M256" s="1367"/>
      <x:c r="N256" s="1367"/>
      <x:c r="O256" s="1230"/>
      <x:c r="P256" s="1367"/>
      <x:c r="Q256" s="652"/>
    </x:row>
    <x:row r="257" spans="1:17">
      <x:c r="A257" s="1205" t="str">
        <x:f>'ATT H-3D'!A273</x:f>
        <x:v>136d</x:v>
      </x:c>
      <x:c r="B257" s="1552"/>
      <x:c r="C257" s="1559" t="s">
        <x:v>1098</x:v>
      </x:c>
      <x:c r="D257" s="1552"/>
      <x:c r="E257" s="1560"/>
      <x:c r="F257" s="1560" t="s">
        <x:v>1132</x:v>
      </x:c>
      <x:c r="G257" s="1219"/>
      <x:c r="H257" s="1219"/>
      <x:c r="I257" s="1219"/>
      <x:c r="J257" s="1219"/>
      <x:c r="K257" s="1219"/>
      <x:c r="L257" s="1229"/>
      <x:c r="M257" s="1367"/>
      <x:c r="N257" s="1367"/>
      <x:c r="O257" s="1367"/>
      <x:c r="P257" s="1367"/>
      <x:c r="Q257" s="646"/>
    </x:row>
    <x:row r="258" spans="1:17" ht="13.5" thickBot="1">
      <x:c r="A258" s="1205" t="str">
        <x:f>'ATT H-3D'!A274</x:f>
        <x:v>136e</x:v>
      </x:c>
      <x:c r="B258" s="1552"/>
      <x:c r="C258" s="1562" t="s">
        <x:v>1133</x:v>
      </x:c>
      <x:c r="D258" s="1552"/>
      <x:c r="E258" s="1560"/>
      <x:c r="F258" s="1563" t="s">
        <x:v>2173</x:v>
      </x:c>
      <x:c r="G258" s="1219"/>
      <x:c r="H258" s="1219"/>
      <x:c r="I258" s="1219"/>
      <x:c r="J258" s="1219"/>
      <x:c r="K258" s="1219"/>
      <x:c r="L258" s="653">
        <x:f>SUM(L253:L257)</x:f>
        <x:v>-876238.26485000015</x:v>
      </x:c>
      <x:c r="M258" s="1367"/>
      <x:c r="N258" s="1367"/>
      <x:c r="O258" s="1367"/>
      <x:c r="P258" s="1367"/>
      <x:c r="Q258" s="646"/>
    </x:row>
    <x:row r="259" spans="1:17" ht="13.5" thickTop="1">
      <x:c r="A259" s="1205"/>
      <x:c r="B259" s="1552"/>
      <x:c r="C259" s="1559"/>
      <x:c r="D259" s="1552"/>
      <x:c r="E259" s="1560"/>
      <x:c r="F259" s="1560"/>
      <x:c r="G259" s="1219"/>
      <x:c r="H259" s="1219"/>
      <x:c r="I259" s="1219"/>
      <x:c r="J259" s="1219"/>
      <x:c r="K259" s="1227"/>
      <x:c r="L259" s="1552"/>
      <x:c r="M259" s="1367"/>
      <x:c r="N259" s="1367"/>
      <x:c r="O259" s="1367"/>
      <x:c r="P259" s="1367"/>
      <x:c r="Q259" s="646"/>
    </x:row>
    <x:row r="260" spans="1:17">
      <x:c r="A260" s="654" t="s">
        <x:v>1134</x:v>
      </x:c>
      <x:c r="B260" s="1552"/>
      <x:c r="C260" s="648" t="s">
        <x:v>1135</x:v>
      </x:c>
      <x:c r="D260" s="1558"/>
      <x:c r="E260" s="1558"/>
      <x:c r="F260" s="1560"/>
      <x:c r="G260" s="1219"/>
      <x:c r="H260" s="1219"/>
      <x:c r="I260" s="1553"/>
      <x:c r="J260" s="1219"/>
      <x:c r="K260" s="1554"/>
      <x:c r="L260" s="1552"/>
      <x:c r="M260" s="1367"/>
      <x:c r="N260" s="1367"/>
      <x:c r="O260" s="1367"/>
      <x:c r="P260" s="1367"/>
      <x:c r="Q260" s="646"/>
    </x:row>
    <x:row r="261" spans="1:17" ht="15" customHeight="1">
      <x:c r="A261" s="655" t="s">
        <x:v>1136</x:v>
      </x:c>
      <x:c r="B261" s="1552"/>
      <x:c r="C261" s="1712" t="s">
        <x:v>1533</x:v>
      </x:c>
      <x:c r="D261" s="1712"/>
      <x:c r="E261" s="1712"/>
      <x:c r="F261" s="1712"/>
      <x:c r="G261" s="1219"/>
      <x:c r="H261" s="1219"/>
      <x:c r="I261" s="1553"/>
      <x:c r="J261" s="1219"/>
      <x:c r="K261" s="1554"/>
      <x:c r="L261" s="1552"/>
      <x:c r="M261" s="1552"/>
      <x:c r="N261" s="1552"/>
      <x:c r="O261" s="1552"/>
      <x:c r="P261" s="1552"/>
      <x:c r="Q261" s="645"/>
    </x:row>
    <x:row r="262" spans="1:17" ht="15" customHeight="1">
      <x:c r="A262" s="655"/>
      <x:c r="B262" s="1552"/>
      <x:c r="C262" s="1712"/>
      <x:c r="D262" s="1712"/>
      <x:c r="E262" s="1712"/>
      <x:c r="F262" s="1712"/>
      <x:c r="G262" s="1219"/>
      <x:c r="H262" s="1219"/>
      <x:c r="I262" s="1553"/>
      <x:c r="J262" s="1219"/>
      <x:c r="K262" s="1554"/>
      <x:c r="L262" s="1552"/>
      <x:c r="M262" s="1552"/>
      <x:c r="N262" s="1552"/>
      <x:c r="O262" s="1552"/>
      <x:c r="P262" s="1552"/>
      <x:c r="Q262" s="645"/>
    </x:row>
    <x:row r="263" spans="1:17" ht="15" customHeight="1">
      <x:c r="A263" s="655"/>
      <x:c r="B263" s="1552"/>
      <x:c r="C263" s="1712"/>
      <x:c r="D263" s="1712"/>
      <x:c r="E263" s="1712"/>
      <x:c r="F263" s="1712"/>
      <x:c r="G263" s="1219"/>
      <x:c r="H263" s="1219"/>
      <x:c r="I263" s="1553"/>
      <x:c r="J263" s="1219"/>
      <x:c r="K263" s="1554"/>
      <x:c r="L263" s="1552"/>
      <x:c r="M263" s="1552"/>
      <x:c r="N263" s="1552"/>
      <x:c r="O263" s="1552"/>
      <x:c r="P263" s="1552"/>
      <x:c r="Q263" s="645"/>
    </x:row>
    <x:row r="264" spans="1:17">
      <x:c r="A264" s="655"/>
      <x:c r="B264" s="1552"/>
      <x:c r="C264" s="1712"/>
      <x:c r="D264" s="1712"/>
      <x:c r="E264" s="1712"/>
      <x:c r="F264" s="1712"/>
      <x:c r="G264" s="1219"/>
      <x:c r="H264" s="1219"/>
      <x:c r="I264" s="1553"/>
      <x:c r="J264" s="1219"/>
      <x:c r="K264" s="1554"/>
      <x:c r="L264" s="1552"/>
      <x:c r="M264" s="1552"/>
      <x:c r="N264" s="1552"/>
      <x:c r="O264" s="1552"/>
      <x:c r="P264" s="1552"/>
      <x:c r="Q264" s="645"/>
    </x:row>
    <x:row r="265" spans="1:17" ht="15" customHeight="1">
      <x:c r="A265" s="655" t="s">
        <x:v>1137</x:v>
      </x:c>
      <x:c r="B265" s="1552"/>
      <x:c r="C265" s="1712" t="s">
        <x:v>1138</x:v>
      </x:c>
      <x:c r="D265" s="1712"/>
      <x:c r="E265" s="1712"/>
      <x:c r="F265" s="1712"/>
      <x:c r="G265" s="1219"/>
      <x:c r="H265" s="1219"/>
      <x:c r="I265" s="1553"/>
      <x:c r="J265" s="1219"/>
      <x:c r="K265" s="1554"/>
      <x:c r="L265" s="1552"/>
      <x:c r="M265" s="1552"/>
      <x:c r="N265" s="1552"/>
      <x:c r="O265" s="1552"/>
      <x:c r="P265" s="1552"/>
      <x:c r="Q265" s="645"/>
    </x:row>
    <x:row r="266" spans="1:17" ht="15" customHeight="1">
      <x:c r="A266" s="655" t="s">
        <x:v>1139</x:v>
      </x:c>
      <x:c r="B266" s="1552"/>
      <x:c r="C266" s="1713" t="s">
        <x:v>1140</x:v>
      </x:c>
      <x:c r="D266" s="1713"/>
      <x:c r="E266" s="1713"/>
      <x:c r="F266" s="1713"/>
      <x:c r="G266" s="1219"/>
      <x:c r="H266" s="1219" t="s">
        <x:v>83</x:v>
      </x:c>
      <x:c r="I266" s="1553"/>
      <x:c r="J266" s="1219"/>
      <x:c r="K266" s="1554"/>
      <x:c r="L266" s="1552"/>
      <x:c r="M266" s="1552"/>
      <x:c r="N266" s="1552"/>
      <x:c r="O266" s="1552"/>
      <x:c r="P266" s="1552"/>
      <x:c r="Q266" s="645"/>
    </x:row>
    <x:row r="267" spans="1:17">
      <x:c r="A267" s="655"/>
      <x:c r="B267" s="1552"/>
      <x:c r="C267" s="1713"/>
      <x:c r="D267" s="1713"/>
      <x:c r="E267" s="1713"/>
      <x:c r="F267" s="1713"/>
      <x:c r="G267" s="1219"/>
      <x:c r="H267" s="1219"/>
      <x:c r="I267" s="1553"/>
      <x:c r="J267" s="1219"/>
      <x:c r="K267" s="1554"/>
      <x:c r="L267" s="1552"/>
      <x:c r="M267" s="1552"/>
      <x:c r="N267" s="1552"/>
      <x:c r="O267" s="1552"/>
      <x:c r="P267" s="1552"/>
      <x:c r="Q267" s="645"/>
    </x:row>
    <x:row r="268" spans="1:17" ht="15" customHeight="1">
      <x:c r="A268" s="655" t="s">
        <x:v>1141</x:v>
      </x:c>
      <x:c r="B268" s="1552"/>
      <x:c r="C268" s="1714" t="s">
        <x:v>2116</x:v>
      </x:c>
      <x:c r="D268" s="1714"/>
      <x:c r="E268" s="1714"/>
      <x:c r="F268" s="1714"/>
      <x:c r="G268" s="1564"/>
      <x:c r="H268" s="1564"/>
      <x:c r="I268" s="1564"/>
      <x:c r="J268" s="1564"/>
      <x:c r="K268" s="1554"/>
      <x:c r="L268" s="1552"/>
      <x:c r="M268" s="1552"/>
      <x:c r="N268" s="1552"/>
      <x:c r="O268" s="1552"/>
      <x:c r="P268" s="1552"/>
      <x:c r="Q268" s="645"/>
    </x:row>
    <x:row r="269" spans="1:17">
      <x:c r="A269" s="655"/>
      <x:c r="B269" s="1552"/>
      <x:c r="C269" s="1714"/>
      <x:c r="D269" s="1714"/>
      <x:c r="E269" s="1714"/>
      <x:c r="F269" s="1714"/>
      <x:c r="G269" s="1564"/>
      <x:c r="H269" s="1564"/>
      <x:c r="I269" s="1564"/>
      <x:c r="J269" s="1564"/>
      <x:c r="K269" s="1554"/>
      <x:c r="L269" s="1552"/>
      <x:c r="M269" s="1552"/>
      <x:c r="N269" s="1552"/>
      <x:c r="O269" s="1552"/>
      <x:c r="P269" s="1552"/>
      <x:c r="Q269" s="645"/>
    </x:row>
    <x:row r="270" spans="1:17">
      <x:c r="A270" s="655"/>
      <x:c r="B270" s="1552"/>
      <x:c r="C270" s="1714"/>
      <x:c r="D270" s="1714"/>
      <x:c r="E270" s="1714"/>
      <x:c r="F270" s="1714"/>
      <x:c r="G270" s="1564"/>
      <x:c r="H270" s="1564"/>
      <x:c r="I270" s="1564"/>
      <x:c r="J270" s="1564"/>
      <x:c r="K270" s="1554"/>
      <x:c r="L270" s="1552"/>
      <x:c r="M270" s="1552"/>
      <x:c r="N270" s="1552"/>
      <x:c r="O270" s="1552"/>
      <x:c r="P270" s="1552"/>
      <x:c r="Q270" s="645"/>
    </x:row>
    <x:row r="271" spans="1:17">
      <x:c r="A271" s="655"/>
      <x:c r="B271" s="1552"/>
      <x:c r="C271" s="1714"/>
      <x:c r="D271" s="1714"/>
      <x:c r="E271" s="1714"/>
      <x:c r="F271" s="1714"/>
      <x:c r="G271" s="1564"/>
      <x:c r="H271" s="1564"/>
      <x:c r="I271" s="1564"/>
      <x:c r="J271" s="1564"/>
      <x:c r="K271" s="1554"/>
      <x:c r="L271" s="1552"/>
      <x:c r="M271" s="1552"/>
      <x:c r="N271" s="1552"/>
      <x:c r="O271" s="1552"/>
      <x:c r="P271" s="1552"/>
      <x:c r="Q271" s="645"/>
    </x:row>
    <x:row r="272" spans="1:17">
      <x:c r="A272" s="655"/>
      <x:c r="B272" s="1552"/>
      <x:c r="C272" s="1714"/>
      <x:c r="D272" s="1714"/>
      <x:c r="E272" s="1714"/>
      <x:c r="F272" s="1714"/>
      <x:c r="G272" s="1564"/>
      <x:c r="H272" s="1564"/>
      <x:c r="I272" s="1564"/>
      <x:c r="J272" s="1564"/>
      <x:c r="K272" s="1554"/>
      <x:c r="L272" s="1552"/>
      <x:c r="M272" s="1552"/>
      <x:c r="N272" s="1552"/>
      <x:c r="O272" s="1552"/>
      <x:c r="P272" s="1552"/>
      <x:c r="Q272" s="645"/>
    </x:row>
    <x:row r="273" spans="1:17" ht="15" customHeight="1">
      <x:c r="A273" s="655" t="s">
        <x:v>1142</x:v>
      </x:c>
      <x:c r="B273" s="1552"/>
      <x:c r="C273" s="1714" t="s">
        <x:v>1143</x:v>
      </x:c>
      <x:c r="D273" s="1714"/>
      <x:c r="E273" s="1714"/>
      <x:c r="F273" s="1714"/>
      <x:c r="G273" s="1219"/>
      <x:c r="H273" s="1219"/>
      <x:c r="I273" s="1553"/>
      <x:c r="J273" s="1219"/>
      <x:c r="K273" s="1554"/>
      <x:c r="L273" s="1552"/>
      <x:c r="M273" s="1552"/>
      <x:c r="N273" s="1552"/>
      <x:c r="O273" s="1552"/>
      <x:c r="P273" s="1552"/>
      <x:c r="Q273" s="645"/>
    </x:row>
    <x:row r="274" spans="1:17">
      <x:c r="A274" s="655"/>
      <x:c r="B274" s="1552"/>
      <x:c r="C274" s="1714"/>
      <x:c r="D274" s="1714"/>
      <x:c r="E274" s="1714"/>
      <x:c r="F274" s="1714"/>
      <x:c r="G274" s="1219"/>
      <x:c r="H274" s="1219"/>
      <x:c r="I274" s="1553"/>
      <x:c r="J274" s="1219"/>
      <x:c r="K274" s="1554"/>
      <x:c r="L274" s="1552"/>
      <x:c r="M274" s="1552"/>
      <x:c r="N274" s="1552"/>
      <x:c r="O274" s="1552"/>
      <x:c r="P274" s="1552"/>
      <x:c r="Q274" s="645"/>
    </x:row>
    <x:row r="275" spans="1:17">
      <x:c r="A275" s="655"/>
      <x:c r="B275" s="1552"/>
      <x:c r="C275" s="1714"/>
      <x:c r="D275" s="1714"/>
      <x:c r="E275" s="1714"/>
      <x:c r="F275" s="1714"/>
      <x:c r="G275" s="1219"/>
      <x:c r="H275" s="1219"/>
      <x:c r="I275" s="1553"/>
      <x:c r="J275" s="1219"/>
      <x:c r="K275" s="1554"/>
      <x:c r="L275" s="1552"/>
      <x:c r="M275" s="1552"/>
      <x:c r="N275" s="1552"/>
      <x:c r="O275" s="1552"/>
      <x:c r="P275" s="1552"/>
      <x:c r="Q275" s="645"/>
    </x:row>
    <x:row r="276" spans="1:17">
      <x:c r="A276" s="655"/>
      <x:c r="B276" s="1552"/>
      <x:c r="C276" s="1714"/>
      <x:c r="D276" s="1714"/>
      <x:c r="E276" s="1714"/>
      <x:c r="F276" s="1714"/>
      <x:c r="G276" s="1219"/>
      <x:c r="H276" s="1219"/>
      <x:c r="I276" s="1553"/>
      <x:c r="J276" s="1219"/>
      <x:c r="K276" s="1554"/>
      <x:c r="L276" s="1552"/>
      <x:c r="M276" s="1552"/>
      <x:c r="N276" s="1552"/>
      <x:c r="O276" s="1552"/>
      <x:c r="P276" s="1552"/>
      <x:c r="Q276" s="645"/>
    </x:row>
    <x:row r="277" spans="1:17">
      <x:c r="A277" s="655"/>
      <x:c r="B277" s="1552"/>
      <x:c r="C277" s="1714"/>
      <x:c r="D277" s="1714"/>
      <x:c r="E277" s="1714"/>
      <x:c r="F277" s="1714"/>
      <x:c r="G277" s="1219"/>
      <x:c r="H277" s="1219"/>
      <x:c r="I277" s="1553"/>
      <x:c r="J277" s="1219"/>
      <x:c r="K277" s="1554"/>
      <x:c r="L277" s="1552"/>
      <x:c r="M277" s="1552"/>
      <x:c r="N277" s="1552"/>
      <x:c r="O277" s="1552"/>
      <x:c r="P277" s="1552"/>
      <x:c r="Q277" s="645"/>
    </x:row>
    <x:row r="278" spans="1:17">
      <x:c r="A278" s="655"/>
      <x:c r="B278" s="1552"/>
      <x:c r="C278" s="1714"/>
      <x:c r="D278" s="1714"/>
      <x:c r="E278" s="1714"/>
      <x:c r="F278" s="1714"/>
      <x:c r="G278" s="1219"/>
      <x:c r="H278" s="1219"/>
      <x:c r="I278" s="1553"/>
      <x:c r="J278" s="1219"/>
      <x:c r="K278" s="1554"/>
      <x:c r="L278" s="1552"/>
      <x:c r="M278" s="1552"/>
      <x:c r="N278" s="1552"/>
      <x:c r="O278" s="1552"/>
      <x:c r="P278" s="1552"/>
      <x:c r="Q278" s="645"/>
    </x:row>
    <x:row r="279" spans="1:17" ht="15" customHeight="1">
      <x:c r="A279" s="655" t="s">
        <x:v>1144</x:v>
      </x:c>
      <x:c r="B279" s="1552"/>
      <x:c r="C279" s="1714" t="s">
        <x:v>1145</x:v>
      </x:c>
      <x:c r="D279" s="1714"/>
      <x:c r="E279" s="1714"/>
      <x:c r="F279" s="1714"/>
      <x:c r="G279" s="1219"/>
      <x:c r="H279" s="1219"/>
      <x:c r="I279" s="1553"/>
      <x:c r="J279" s="1219"/>
      <x:c r="K279" s="1554"/>
      <x:c r="L279" s="1552"/>
      <x:c r="M279" s="1552"/>
      <x:c r="N279" s="1552"/>
      <x:c r="O279" s="1552"/>
      <x:c r="P279" s="1552"/>
      <x:c r="Q279" s="645"/>
    </x:row>
    <x:row r="280" spans="1:17" ht="15" customHeight="1" thickBot="1">
      <x:c r="A280" s="656"/>
      <x:c r="B280" s="657"/>
      <x:c r="C280" s="1504"/>
      <x:c r="D280" s="1504"/>
      <x:c r="E280" s="1504"/>
      <x:c r="F280" s="1504"/>
      <x:c r="G280" s="658"/>
      <x:c r="H280" s="658"/>
      <x:c r="I280" s="659"/>
      <x:c r="J280" s="658"/>
      <x:c r="K280" s="660"/>
      <x:c r="L280" s="657"/>
      <x:c r="M280" s="657"/>
      <x:c r="N280" s="657"/>
      <x:c r="O280" s="657"/>
      <x:c r="P280" s="657"/>
      <x:c r="Q280" s="661"/>
    </x:row>
    <x:row r="281" spans="1:17">
      <x:c r="A281" s="1223"/>
      <x:c r="B281" s="1221"/>
      <x:c r="C281" s="1221"/>
      <x:c r="D281" s="1221"/>
      <x:c r="E281" s="1221"/>
      <x:c r="F281" s="1221"/>
      <x:c r="G281" s="1221"/>
      <x:c r="H281" s="1221"/>
      <x:c r="I281" s="1221"/>
      <x:c r="J281" s="1221"/>
      <x:c r="K281" s="1221"/>
      <x:c r="L281" s="1221"/>
      <x:c r="M281" s="1221"/>
      <x:c r="N281" s="1221"/>
      <x:c r="O281" s="1221"/>
      <x:c r="P281" s="1221"/>
      <x:c r="Q281" s="1221"/>
    </x:row>
    <x:row r="282" spans="1:17" ht="13.5" thickBot="1"/>
    <x:row r="283" spans="1:17" s="160" customFormat="1" ht="18.75" thickBot="1">
      <x:c r="A283" s="1649" t="s">
        <x:v>2083</x:v>
      </x:c>
      <x:c r="B283" s="1650"/>
      <x:c r="C283" s="1650"/>
      <x:c r="D283" s="1650"/>
      <x:c r="E283" s="1650"/>
      <x:c r="F283" s="1650"/>
      <x:c r="G283" s="1650"/>
      <x:c r="H283" s="1650"/>
      <x:c r="I283" s="1650"/>
      <x:c r="J283" s="1651"/>
    </x:row>
    <x:row r="284" spans="1:17" s="160" customFormat="1" ht="10.15" customHeight="1">
      <x:c r="A284" s="1243"/>
      <x:c r="B284" s="1243"/>
      <x:c r="C284" s="1243"/>
      <x:c r="D284" s="1243"/>
      <x:c r="E284" s="1243"/>
      <x:c r="F284" s="1243"/>
      <x:c r="G284" s="1243"/>
      <x:c r="H284" s="1243"/>
      <x:c r="I284" s="1243"/>
      <x:c r="J284" s="1243"/>
    </x:row>
    <x:row r="285" spans="1:17" ht="15.75" customHeight="1">
      <x:c r="B285" s="1239" t="s">
        <x:v>1918</x:v>
      </x:c>
      <x:c r="C285" s="1239" t="s">
        <x:v>1113</x:v>
      </x:c>
      <x:c r="D285" s="1239" t="s">
        <x:v>1942</x:v>
      </x:c>
      <x:c r="E285" s="1239" t="s">
        <x:v>1952</x:v>
      </x:c>
      <x:c r="F285" s="1239" t="s">
        <x:v>1953</x:v>
      </x:c>
      <x:c r="G285" s="1656" t="s">
        <x:v>2027</x:v>
      </x:c>
      <x:c r="H285" s="1657"/>
      <x:c r="I285" s="1658"/>
    </x:row>
    <x:row r="286" spans="1:17">
      <x:c r="B286" s="1240">
        <x:v>1</x:v>
      </x:c>
      <x:c r="C286" s="227" t="s">
        <x:v>1919</x:v>
      </x:c>
      <x:c r="D286" s="1241" t="s">
        <x:v>1943</x:v>
      </x:c>
      <x:c r="E286" s="1241" t="s">
        <x:v>1954</x:v>
      </x:c>
      <x:c r="F286" s="427" t="s">
        <x:v>249</x:v>
      </x:c>
      <x:c r="G286" s="1647" t="s">
        <x:v>2028</x:v>
      </x:c>
      <x:c r="H286" s="1648"/>
      <x:c r="I286" s="1648"/>
    </x:row>
    <x:row r="287" spans="1:17">
      <x:c r="B287" s="1240">
        <x:v>2</x:v>
      </x:c>
      <x:c r="C287" s="227" t="s">
        <x:v>250</x:v>
      </x:c>
      <x:c r="D287" s="1241" t="s">
        <x:v>1943</x:v>
      </x:c>
      <x:c r="E287" s="1241" t="s">
        <x:v>1955</x:v>
      </x:c>
      <x:c r="F287" s="427" t="s">
        <x:v>251</x:v>
      </x:c>
      <x:c r="G287" s="1647" t="s">
        <x:v>2029</x:v>
      </x:c>
      <x:c r="H287" s="1648"/>
      <x:c r="I287" s="1648"/>
    </x:row>
    <x:row r="288" spans="1:17">
      <x:c r="B288" s="1240">
        <x:v>3</x:v>
      </x:c>
      <x:c r="C288" s="227" t="s">
        <x:v>1920</x:v>
      </x:c>
      <x:c r="D288" s="1241" t="s">
        <x:v>1943</x:v>
      </x:c>
      <x:c r="E288" s="1241" t="s">
        <x:v>1956</x:v>
      </x:c>
      <x:c r="F288" s="427" t="s">
        <x:v>252</x:v>
      </x:c>
      <x:c r="G288" s="1647" t="s">
        <x:v>2030</x:v>
      </x:c>
      <x:c r="H288" s="1648"/>
      <x:c r="I288" s="1648"/>
    </x:row>
    <x:row r="289" spans="2:9" ht="16.149999999999999" customHeight="1">
      <x:c r="B289" s="1240">
        <x:v>4</x:v>
      </x:c>
      <x:c r="C289" s="227" t="s">
        <x:v>141</x:v>
      </x:c>
      <x:c r="D289" s="1241" t="s">
        <x:v>1943</x:v>
      </x:c>
      <x:c r="E289" s="1241" t="s">
        <x:v>1957</x:v>
      </x:c>
      <x:c r="F289" s="427" t="s">
        <x:v>719</x:v>
      </x:c>
      <x:c r="G289" s="1647" t="s">
        <x:v>2031</x:v>
      </x:c>
      <x:c r="H289" s="1648"/>
      <x:c r="I289" s="1648"/>
    </x:row>
    <x:row r="290" spans="2:9" ht="16.149999999999999" customHeight="1">
      <x:c r="B290" s="1240">
        <x:v>5</x:v>
      </x:c>
      <x:c r="C290" s="227" t="s">
        <x:v>143</x:v>
      </x:c>
      <x:c r="D290" s="1241" t="s">
        <x:v>1943</x:v>
      </x:c>
      <x:c r="E290" s="1241" t="s">
        <x:v>1958</x:v>
      </x:c>
      <x:c r="F290" s="427" t="s">
        <x:v>788</x:v>
      </x:c>
      <x:c r="G290" s="1647" t="s">
        <x:v>2032</x:v>
      </x:c>
      <x:c r="H290" s="1648"/>
      <x:c r="I290" s="1648"/>
    </x:row>
    <x:row r="291" spans="2:9" ht="16.149999999999999" customHeight="1">
      <x:c r="B291" s="1240">
        <x:v>6</x:v>
      </x:c>
      <x:c r="C291" s="227" t="s">
        <x:v>264</x:v>
      </x:c>
      <x:c r="D291" s="1241" t="s">
        <x:v>1943</x:v>
      </x:c>
      <x:c r="E291" s="1241" t="s">
        <x:v>1959</x:v>
      </x:c>
      <x:c r="F291" s="427" t="s">
        <x:v>806</x:v>
      </x:c>
      <x:c r="G291" s="1647" t="s">
        <x:v>2033</x:v>
      </x:c>
      <x:c r="H291" s="1648"/>
      <x:c r="I291" s="1648"/>
    </x:row>
    <x:row r="292" spans="2:9" ht="25.5">
      <x:c r="B292" s="1240">
        <x:v>7</x:v>
      </x:c>
      <x:c r="C292" s="227" t="s">
        <x:v>144</x:v>
      </x:c>
      <x:c r="D292" s="1241" t="s">
        <x:v>1943</x:v>
      </x:c>
      <x:c r="E292" s="1241" t="s">
        <x:v>1960</x:v>
      </x:c>
      <x:c r="F292" s="427" t="s">
        <x:v>807</x:v>
      </x:c>
      <x:c r="G292" s="1647" t="s">
        <x:v>2034</x:v>
      </x:c>
      <x:c r="H292" s="1648"/>
      <x:c r="I292" s="1648"/>
    </x:row>
    <x:row r="293" spans="2:9">
      <x:c r="B293" s="1240">
        <x:v>8</x:v>
      </x:c>
      <x:c r="C293" s="227" t="s">
        <x:v>1921</x:v>
      </x:c>
      <x:c r="D293" s="1241" t="s">
        <x:v>1943</x:v>
      </x:c>
      <x:c r="E293" s="1241" t="s">
        <x:v>1961</x:v>
      </x:c>
      <x:c r="F293" s="427" t="s">
        <x:v>310</x:v>
      </x:c>
      <x:c r="G293" s="1647" t="s">
        <x:v>2035</x:v>
      </x:c>
      <x:c r="H293" s="1648"/>
      <x:c r="I293" s="1648"/>
    </x:row>
    <x:row r="294" spans="2:9">
      <x:c r="B294" s="1240">
        <x:v>9</x:v>
      </x:c>
      <x:c r="C294" s="227" t="s">
        <x:v>1922</x:v>
      </x:c>
      <x:c r="D294" s="1241" t="s">
        <x:v>1943</x:v>
      </x:c>
      <x:c r="E294" s="1241" t="s">
        <x:v>1962</x:v>
      </x:c>
      <x:c r="F294" s="427" t="s">
        <x:v>314</x:v>
      </x:c>
      <x:c r="G294" s="1647" t="s">
        <x:v>2036</x:v>
      </x:c>
      <x:c r="H294" s="1648"/>
      <x:c r="I294" s="1648"/>
    </x:row>
    <x:row r="295" spans="2:9">
      <x:c r="B295" s="1240">
        <x:v>10</x:v>
      </x:c>
      <x:c r="C295" s="227" t="s">
        <x:v>1923</x:v>
      </x:c>
      <x:c r="D295" s="1241" t="s">
        <x:v>1943</x:v>
      </x:c>
      <x:c r="E295" s="1241" t="s">
        <x:v>1963</x:v>
      </x:c>
      <x:c r="F295" s="427" t="s">
        <x:v>320</x:v>
      </x:c>
      <x:c r="G295" s="1647" t="s">
        <x:v>2037</x:v>
      </x:c>
      <x:c r="H295" s="1648"/>
      <x:c r="I295" s="1648"/>
    </x:row>
    <x:row r="296" spans="2:9">
      <x:c r="B296" s="1240">
        <x:v>11</x:v>
      </x:c>
      <x:c r="C296" s="227" t="s">
        <x:v>1924</x:v>
      </x:c>
      <x:c r="D296" s="1241" t="s">
        <x:v>1943</x:v>
      </x:c>
      <x:c r="E296" s="1241" t="s">
        <x:v>1964</x:v>
      </x:c>
      <x:c r="F296" s="427" t="s">
        <x:v>65</x:v>
      </x:c>
      <x:c r="G296" s="1647" t="s">
        <x:v>2038</x:v>
      </x:c>
      <x:c r="H296" s="1648"/>
      <x:c r="I296" s="1648"/>
    </x:row>
    <x:row r="297" spans="2:9">
      <x:c r="B297" s="1240">
        <x:v>12</x:v>
      </x:c>
      <x:c r="C297" s="227" t="s">
        <x:v>1925</x:v>
      </x:c>
      <x:c r="D297" s="1241" t="s">
        <x:v>1943</x:v>
      </x:c>
      <x:c r="E297" s="1241" t="s">
        <x:v>1965</x:v>
      </x:c>
      <x:c r="F297" s="427" t="s">
        <x:v>323</x:v>
      </x:c>
      <x:c r="G297" s="1647" t="s">
        <x:v>2039</x:v>
      </x:c>
      <x:c r="H297" s="1648"/>
      <x:c r="I297" s="1648"/>
    </x:row>
    <x:row r="298" spans="2:9">
      <x:c r="B298" s="1240">
        <x:v>13</x:v>
      </x:c>
      <x:c r="C298" s="227" t="s">
        <x:v>63</x:v>
      </x:c>
      <x:c r="D298" s="1241" t="s">
        <x:v>1943</x:v>
      </x:c>
      <x:c r="E298" s="1241" t="s">
        <x:v>1966</x:v>
      </x:c>
      <x:c r="F298" s="427" t="s">
        <x:v>65</x:v>
      </x:c>
      <x:c r="G298" s="1647" t="s">
        <x:v>2038</x:v>
      </x:c>
      <x:c r="H298" s="1648"/>
      <x:c r="I298" s="1648"/>
    </x:row>
    <x:row r="299" spans="2:9">
      <x:c r="B299" s="1240">
        <x:v>14</x:v>
      </x:c>
      <x:c r="C299" s="227" t="s">
        <x:v>330</x:v>
      </x:c>
      <x:c r="D299" s="1241" t="s">
        <x:v>1943</x:v>
      </x:c>
      <x:c r="E299" s="1241" t="s">
        <x:v>1967</x:v>
      </x:c>
      <x:c r="F299" s="427" t="s">
        <x:v>323</x:v>
      </x:c>
      <x:c r="G299" s="1647" t="s">
        <x:v>2039</x:v>
      </x:c>
      <x:c r="H299" s="1648"/>
      <x:c r="I299" s="1648"/>
    </x:row>
    <x:row r="300" spans="2:9">
      <x:c r="B300" s="1240">
        <x:v>15</x:v>
      </x:c>
      <x:c r="C300" s="227" t="s">
        <x:v>332</x:v>
      </x:c>
      <x:c r="D300" s="1241" t="s">
        <x:v>1943</x:v>
      </x:c>
      <x:c r="E300" s="1241" t="s">
        <x:v>1968</x:v>
      </x:c>
      <x:c r="F300" s="427" t="s">
        <x:v>320</x:v>
      </x:c>
      <x:c r="G300" s="1647" t="s">
        <x:v>2037</x:v>
      </x:c>
      <x:c r="H300" s="1648"/>
      <x:c r="I300" s="1648"/>
    </x:row>
    <x:row r="301" spans="2:9">
      <x:c r="B301" s="1240">
        <x:v>16</x:v>
      </x:c>
      <x:c r="C301" s="227" t="s">
        <x:v>330</x:v>
      </x:c>
      <x:c r="D301" s="1241" t="s">
        <x:v>1943</x:v>
      </x:c>
      <x:c r="E301" s="1241" t="s">
        <x:v>1969</x:v>
      </x:c>
      <x:c r="F301" s="427" t="s">
        <x:v>323</x:v>
      </x:c>
      <x:c r="G301" s="1647" t="s">
        <x:v>2039</x:v>
      </x:c>
      <x:c r="H301" s="1648"/>
      <x:c r="I301" s="1648"/>
    </x:row>
    <x:row r="302" spans="2:9">
      <x:c r="B302" s="1240">
        <x:v>17</x:v>
      </x:c>
      <x:c r="C302" s="227" t="s">
        <x:v>336</x:v>
      </x:c>
      <x:c r="D302" s="1241" t="s">
        <x:v>1943</x:v>
      </x:c>
      <x:c r="E302" s="1241" t="s">
        <x:v>1970</x:v>
      </x:c>
      <x:c r="F302" s="427" t="s">
        <x:v>1971</x:v>
      </x:c>
      <x:c r="G302" s="1647" t="s">
        <x:v>2040</x:v>
      </x:c>
      <x:c r="H302" s="1648"/>
      <x:c r="I302" s="1648"/>
    </x:row>
    <x:row r="303" spans="2:9">
      <x:c r="B303" s="1240">
        <x:v>18</x:v>
      </x:c>
      <x:c r="C303" s="227" t="s">
        <x:v>147</x:v>
      </x:c>
      <x:c r="D303" s="1241" t="s">
        <x:v>1943</x:v>
      </x:c>
      <x:c r="E303" s="1241" t="s">
        <x:v>1972</x:v>
      </x:c>
      <x:c r="F303" s="427" t="s">
        <x:v>1973</x:v>
      </x:c>
      <x:c r="G303" s="1647" t="s">
        <x:v>2041</x:v>
      </x:c>
      <x:c r="H303" s="1648"/>
      <x:c r="I303" s="1648"/>
    </x:row>
    <x:row r="304" spans="2:9">
      <x:c r="B304" s="1240">
        <x:v>19</x:v>
      </x:c>
      <x:c r="C304" s="227" t="s">
        <x:v>337</x:v>
      </x:c>
      <x:c r="D304" s="1241" t="s">
        <x:v>1943</x:v>
      </x:c>
      <x:c r="E304" s="1241" t="s">
        <x:v>1974</x:v>
      </x:c>
      <x:c r="F304" s="427" t="s">
        <x:v>817</x:v>
      </x:c>
      <x:c r="G304" s="1647" t="s">
        <x:v>2042</x:v>
      </x:c>
      <x:c r="H304" s="1648"/>
      <x:c r="I304" s="1648"/>
    </x:row>
    <x:row r="305" spans="2:9">
      <x:c r="B305" s="1240">
        <x:v>20</x:v>
      </x:c>
      <x:c r="C305" s="227" t="s">
        <x:v>339</x:v>
      </x:c>
      <x:c r="D305" s="1241" t="s">
        <x:v>1943</x:v>
      </x:c>
      <x:c r="E305" s="1241" t="s">
        <x:v>1975</x:v>
      </x:c>
      <x:c r="F305" s="427" t="s">
        <x:v>1976</x:v>
      </x:c>
      <x:c r="G305" s="1647" t="s">
        <x:v>2043</x:v>
      </x:c>
      <x:c r="H305" s="1648"/>
      <x:c r="I305" s="1648"/>
    </x:row>
    <x:row r="306" spans="2:9">
      <x:c r="B306" s="1240">
        <x:v>21</x:v>
      </x:c>
      <x:c r="C306" s="227" t="s">
        <x:v>340</x:v>
      </x:c>
      <x:c r="D306" s="1241" t="s">
        <x:v>1943</x:v>
      </x:c>
      <x:c r="E306" s="1241" t="s">
        <x:v>1977</x:v>
      </x:c>
      <x:c r="F306" s="427" t="s">
        <x:v>818</x:v>
      </x:c>
      <x:c r="G306" s="1647" t="s">
        <x:v>2044</x:v>
      </x:c>
      <x:c r="H306" s="1648"/>
      <x:c r="I306" s="1648"/>
    </x:row>
    <x:row r="307" spans="2:9">
      <x:c r="B307" s="1240">
        <x:v>22</x:v>
      </x:c>
      <x:c r="C307" s="227" t="s">
        <x:v>2</x:v>
      </x:c>
      <x:c r="D307" s="1241" t="s">
        <x:v>1943</x:v>
      </x:c>
      <x:c r="E307" s="1241" t="s">
        <x:v>1978</x:v>
      </x:c>
      <x:c r="F307" s="427" t="s">
        <x:v>348</x:v>
      </x:c>
      <x:c r="G307" s="1647" t="s">
        <x:v>2045</x:v>
      </x:c>
      <x:c r="H307" s="1648"/>
      <x:c r="I307" s="1648"/>
    </x:row>
    <x:row r="308" spans="2:9">
      <x:c r="B308" s="1240">
        <x:v>23</x:v>
      </x:c>
      <x:c r="C308" s="227" t="s">
        <x:v>355</x:v>
      </x:c>
      <x:c r="D308" s="1241" t="s">
        <x:v>1943</x:v>
      </x:c>
      <x:c r="E308" s="1241" t="s">
        <x:v>1979</x:v>
      </x:c>
      <x:c r="F308" s="427" t="s">
        <x:v>356</x:v>
      </x:c>
      <x:c r="G308" s="1647" t="s">
        <x:v>2046</x:v>
      </x:c>
      <x:c r="H308" s="1648"/>
      <x:c r="I308" s="1648"/>
    </x:row>
    <x:row r="309" spans="2:9">
      <x:c r="B309" s="1240">
        <x:v>24</x:v>
      </x:c>
      <x:c r="C309" s="227" t="s">
        <x:v>1926</x:v>
      </x:c>
      <x:c r="D309" s="1241" t="s">
        <x:v>1943</x:v>
      </x:c>
      <x:c r="E309" s="1241" t="s">
        <x:v>1980</x:v>
      </x:c>
      <x:c r="F309" s="427" t="s">
        <x:v>359</x:v>
      </x:c>
      <x:c r="G309" s="1647" t="s">
        <x:v>2047</x:v>
      </x:c>
      <x:c r="H309" s="1648"/>
      <x:c r="I309" s="1648"/>
    </x:row>
    <x:row r="310" spans="2:9">
      <x:c r="B310" s="1240">
        <x:v>25</x:v>
      </x:c>
      <x:c r="C310" s="227" t="s">
        <x:v>1927</x:v>
      </x:c>
      <x:c r="D310" s="1241" t="s">
        <x:v>1943</x:v>
      </x:c>
      <x:c r="E310" s="1241" t="s">
        <x:v>1981</x:v>
      </x:c>
      <x:c r="F310" s="427" t="s">
        <x:v>1059</x:v>
      </x:c>
      <x:c r="G310" s="1647" t="s">
        <x:v>2048</x:v>
      </x:c>
      <x:c r="H310" s="1648"/>
      <x:c r="I310" s="1648"/>
    </x:row>
    <x:row r="311" spans="2:9">
      <x:c r="B311" s="1240">
        <x:v>26</x:v>
      </x:c>
      <x:c r="C311" s="1242" t="s">
        <x:v>360</x:v>
      </x:c>
      <x:c r="D311" s="1241" t="s">
        <x:v>1943</x:v>
      </x:c>
      <x:c r="E311" s="1241" t="s">
        <x:v>1982</x:v>
      </x:c>
      <x:c r="F311" s="1242" t="s">
        <x:v>361</x:v>
      </x:c>
      <x:c r="G311" s="1647" t="s">
        <x:v>2049</x:v>
      </x:c>
      <x:c r="H311" s="1648"/>
      <x:c r="I311" s="1648"/>
    </x:row>
    <x:row r="312" spans="2:9">
      <x:c r="B312" s="1240">
        <x:v>27</x:v>
      </x:c>
      <x:c r="C312" s="1242" t="s">
        <x:v>1928</x:v>
      </x:c>
      <x:c r="D312" s="1241" t="s">
        <x:v>1943</x:v>
      </x:c>
      <x:c r="E312" s="1241" t="s">
        <x:v>1983</x:v>
      </x:c>
      <x:c r="F312" s="1242" t="s">
        <x:v>363</x:v>
      </x:c>
      <x:c r="G312" s="1647" t="s">
        <x:v>2050</x:v>
      </x:c>
      <x:c r="H312" s="1648"/>
      <x:c r="I312" s="1648"/>
    </x:row>
    <x:row r="313" spans="2:9">
      <x:c r="B313" s="1240">
        <x:v>28</x:v>
      </x:c>
      <x:c r="C313" s="1242" t="s">
        <x:v>1929</x:v>
      </x:c>
      <x:c r="D313" s="1241" t="s">
        <x:v>1943</x:v>
      </x:c>
      <x:c r="E313" s="1241" t="s">
        <x:v>1984</x:v>
      </x:c>
      <x:c r="F313" s="1242" t="s">
        <x:v>366</x:v>
      </x:c>
      <x:c r="G313" s="1647" t="s">
        <x:v>2051</x:v>
      </x:c>
      <x:c r="H313" s="1648"/>
      <x:c r="I313" s="1648"/>
    </x:row>
    <x:row r="314" spans="2:9">
      <x:c r="B314" s="1240">
        <x:v>29</x:v>
      </x:c>
      <x:c r="C314" s="227" t="s">
        <x:v>370</x:v>
      </x:c>
      <x:c r="D314" s="1241" t="s">
        <x:v>1943</x:v>
      </x:c>
      <x:c r="E314" s="1241" t="s">
        <x:v>1985</x:v>
      </x:c>
      <x:c r="F314" s="427" t="s">
        <x:v>371</x:v>
      </x:c>
      <x:c r="G314" s="1647" t="s">
        <x:v>2052</x:v>
      </x:c>
      <x:c r="H314" s="1648"/>
      <x:c r="I314" s="1648"/>
    </x:row>
    <x:row r="315" spans="2:9">
      <x:c r="B315" s="1240">
        <x:v>30</x:v>
      </x:c>
      <x:c r="C315" s="227" t="s">
        <x:v>1930</x:v>
      </x:c>
      <x:c r="D315" s="1241" t="s">
        <x:v>1943</x:v>
      </x:c>
      <x:c r="E315" s="1241" t="s">
        <x:v>1986</x:v>
      </x:c>
      <x:c r="F315" s="427" t="s">
        <x:v>1987</x:v>
      </x:c>
      <x:c r="G315" s="1647" t="s">
        <x:v>2053</x:v>
      </x:c>
      <x:c r="H315" s="1648"/>
      <x:c r="I315" s="1648"/>
    </x:row>
    <x:row r="316" spans="2:9">
      <x:c r="B316" s="1240">
        <x:v>31</x:v>
      </x:c>
      <x:c r="C316" s="227" t="s">
        <x:v>1931</x:v>
      </x:c>
      <x:c r="D316" s="1241" t="s">
        <x:v>1943</x:v>
      </x:c>
      <x:c r="E316" s="1241" t="s">
        <x:v>1988</x:v>
      </x:c>
      <x:c r="F316" s="427" t="s">
        <x:v>1989</x:v>
      </x:c>
      <x:c r="G316" s="1647" t="s">
        <x:v>2054</x:v>
      </x:c>
      <x:c r="H316" s="1648"/>
      <x:c r="I316" s="1648"/>
    </x:row>
    <x:row r="317" spans="2:9">
      <x:c r="B317" s="1240">
        <x:v>32</x:v>
      </x:c>
      <x:c r="C317" s="227" t="s">
        <x:v>1932</x:v>
      </x:c>
      <x:c r="D317" s="1241" t="s">
        <x:v>1943</x:v>
      </x:c>
      <x:c r="E317" s="1241" t="s">
        <x:v>1990</x:v>
      </x:c>
      <x:c r="F317" s="427" t="s">
        <x:v>1991</x:v>
      </x:c>
      <x:c r="G317" s="1647" t="s">
        <x:v>2055</x:v>
      </x:c>
      <x:c r="H317" s="1648"/>
      <x:c r="I317" s="1648"/>
    </x:row>
    <x:row r="318" spans="2:9" ht="16.149999999999999" customHeight="1">
      <x:c r="B318" s="1240">
        <x:v>33</x:v>
      </x:c>
      <x:c r="C318" s="227" t="s">
        <x:v>851</x:v>
      </x:c>
      <x:c r="D318" s="1241" t="s">
        <x:v>1944</x:v>
      </x:c>
      <x:c r="E318" s="1241" t="s">
        <x:v>1992</x:v>
      </x:c>
      <x:c r="F318" s="427" t="s">
        <x:v>1993</x:v>
      </x:c>
      <x:c r="G318" s="1647" t="s">
        <x:v>2056</x:v>
      </x:c>
      <x:c r="H318" s="1648"/>
      <x:c r="I318" s="1648"/>
    </x:row>
    <x:row r="319" spans="2:9" ht="38.25">
      <x:c r="B319" s="1240">
        <x:v>33</x:v>
      </x:c>
      <x:c r="C319" s="227" t="s">
        <x:v>240</x:v>
      </x:c>
      <x:c r="D319" s="1241" t="s">
        <x:v>1944</x:v>
      </x:c>
      <x:c r="E319" s="1241" t="s">
        <x:v>1994</x:v>
      </x:c>
      <x:c r="F319" s="427" t="s">
        <x:v>1995</x:v>
      </x:c>
      <x:c r="G319" s="1647" t="s">
        <x:v>2057</x:v>
      </x:c>
      <x:c r="H319" s="1648"/>
      <x:c r="I319" s="1648"/>
    </x:row>
    <x:row r="320" spans="2:9" ht="16.149999999999999" customHeight="1">
      <x:c r="B320" s="1240">
        <x:v>34</x:v>
      </x:c>
      <x:c r="C320" s="227" t="s">
        <x:v>875</x:v>
      </x:c>
      <x:c r="D320" s="1241" t="s">
        <x:v>1944</x:v>
      </x:c>
      <x:c r="E320" s="1241" t="s">
        <x:v>1996</x:v>
      </x:c>
      <x:c r="F320" s="427" t="s">
        <x:v>1997</x:v>
      </x:c>
      <x:c r="G320" s="1647" t="s">
        <x:v>2058</x:v>
      </x:c>
      <x:c r="H320" s="1648"/>
      <x:c r="I320" s="1648"/>
    </x:row>
    <x:row r="321" spans="2:9" ht="38.25">
      <x:c r="B321" s="1240">
        <x:v>34</x:v>
      </x:c>
      <x:c r="C321" s="227" t="s">
        <x:v>241</x:v>
      </x:c>
      <x:c r="D321" s="1241" t="s">
        <x:v>1944</x:v>
      </x:c>
      <x:c r="E321" s="1241" t="s">
        <x:v>1998</x:v>
      </x:c>
      <x:c r="F321" s="427" t="s">
        <x:v>1995</x:v>
      </x:c>
      <x:c r="G321" s="1647" t="s">
        <x:v>2057</x:v>
      </x:c>
      <x:c r="H321" s="1648"/>
      <x:c r="I321" s="1648"/>
    </x:row>
    <x:row r="322" spans="2:9" ht="16.149999999999999" customHeight="1">
      <x:c r="B322" s="1240">
        <x:v>35</x:v>
      </x:c>
      <x:c r="C322" s="227" t="s">
        <x:v>851</x:v>
      </x:c>
      <x:c r="D322" s="1241" t="s">
        <x:v>1945</x:v>
      </x:c>
      <x:c r="E322" s="1241" t="s">
        <x:v>1992</x:v>
      </x:c>
      <x:c r="F322" s="427" t="s">
        <x:v>1993</x:v>
      </x:c>
      <x:c r="G322" s="1647" t="s">
        <x:v>2056</x:v>
      </x:c>
      <x:c r="H322" s="1648"/>
      <x:c r="I322" s="1648"/>
    </x:row>
    <x:row r="323" spans="2:9" ht="38.25">
      <x:c r="B323" s="1240">
        <x:v>35</x:v>
      </x:c>
      <x:c r="C323" s="227" t="s">
        <x:v>240</x:v>
      </x:c>
      <x:c r="D323" s="1241" t="s">
        <x:v>1945</x:v>
      </x:c>
      <x:c r="E323" s="1241" t="s">
        <x:v>1994</x:v>
      </x:c>
      <x:c r="F323" s="427" t="s">
        <x:v>1995</x:v>
      </x:c>
      <x:c r="G323" s="1647" t="s">
        <x:v>2059</x:v>
      </x:c>
      <x:c r="H323" s="1648"/>
      <x:c r="I323" s="1648"/>
    </x:row>
    <x:row r="324" spans="2:9" ht="16.149999999999999" customHeight="1">
      <x:c r="B324" s="1240">
        <x:v>36</x:v>
      </x:c>
      <x:c r="C324" s="227" t="s">
        <x:v>875</x:v>
      </x:c>
      <x:c r="D324" s="1241" t="s">
        <x:v>1945</x:v>
      </x:c>
      <x:c r="E324" s="1241" t="s">
        <x:v>1996</x:v>
      </x:c>
      <x:c r="F324" s="427" t="s">
        <x:v>1997</x:v>
      </x:c>
      <x:c r="G324" s="1647" t="s">
        <x:v>2058</x:v>
      </x:c>
      <x:c r="H324" s="1648"/>
      <x:c r="I324" s="1648"/>
    </x:row>
    <x:row r="325" spans="2:9" ht="38.25">
      <x:c r="B325" s="1240">
        <x:v>36</x:v>
      </x:c>
      <x:c r="C325" s="227" t="s">
        <x:v>241</x:v>
      </x:c>
      <x:c r="D325" s="1241" t="s">
        <x:v>1945</x:v>
      </x:c>
      <x:c r="E325" s="1241" t="s">
        <x:v>1998</x:v>
      </x:c>
      <x:c r="F325" s="427" t="s">
        <x:v>1995</x:v>
      </x:c>
      <x:c r="G325" s="1647" t="s">
        <x:v>2059</x:v>
      </x:c>
      <x:c r="H325" s="1648"/>
      <x:c r="I325" s="1648"/>
    </x:row>
    <x:row r="326" spans="2:9" ht="25.5">
      <x:c r="B326" s="1240">
        <x:v>37</x:v>
      </x:c>
      <x:c r="C326" s="227" t="s">
        <x:v>209</x:v>
      </x:c>
      <x:c r="D326" s="1241" t="s">
        <x:v>1946</x:v>
      </x:c>
      <x:c r="E326" s="1241" t="s">
        <x:v>1999</x:v>
      </x:c>
      <x:c r="F326" s="427" t="s">
        <x:v>224</x:v>
      </x:c>
      <x:c r="G326" s="1647" t="s">
        <x:v>2060</x:v>
      </x:c>
      <x:c r="H326" s="1648"/>
      <x:c r="I326" s="1648"/>
    </x:row>
    <x:row r="327" spans="2:9">
      <x:c r="B327" s="1240">
        <x:v>38</x:v>
      </x:c>
      <x:c r="C327" s="227" t="s">
        <x:v>143</x:v>
      </x:c>
      <x:c r="D327" s="1241" t="s">
        <x:v>1947</x:v>
      </x:c>
      <x:c r="E327" s="1241" t="s">
        <x:v>2000</x:v>
      </x:c>
      <x:c r="F327" s="427" t="s">
        <x:v>902</x:v>
      </x:c>
      <x:c r="G327" s="1647" t="s">
        <x:v>2061</x:v>
      </x:c>
      <x:c r="H327" s="1648"/>
      <x:c r="I327" s="1648"/>
    </x:row>
    <x:row r="328" spans="2:9">
      <x:c r="B328" s="1240">
        <x:v>39</x:v>
      </x:c>
      <x:c r="C328" s="227" t="s">
        <x:v>1922</x:v>
      </x:c>
      <x:c r="D328" s="1241" t="s">
        <x:v>1947</x:v>
      </x:c>
      <x:c r="E328" s="1241" t="s">
        <x:v>2001</x:v>
      </x:c>
      <x:c r="F328" s="427" t="s">
        <x:v>314</x:v>
      </x:c>
      <x:c r="G328" s="1647" t="s">
        <x:v>2036</x:v>
      </x:c>
      <x:c r="H328" s="1648"/>
      <x:c r="I328" s="1648"/>
    </x:row>
    <x:row r="329" spans="2:9">
      <x:c r="B329" s="1240">
        <x:v>40</x:v>
      </x:c>
      <x:c r="C329" s="227" t="s">
        <x:v>66</x:v>
      </x:c>
      <x:c r="D329" s="1241" t="s">
        <x:v>1947</x:v>
      </x:c>
      <x:c r="E329" s="1241" t="s">
        <x:v>2002</x:v>
      </x:c>
      <x:c r="F329" s="427" t="s">
        <x:v>901</x:v>
      </x:c>
      <x:c r="G329" s="1647" t="s">
        <x:v>2062</x:v>
      </x:c>
      <x:c r="H329" s="1648"/>
      <x:c r="I329" s="1648"/>
    </x:row>
    <x:row r="330" spans="2:9">
      <x:c r="B330" s="1240">
        <x:v>41</x:v>
      </x:c>
      <x:c r="C330" s="227" t="s">
        <x:v>66</x:v>
      </x:c>
      <x:c r="D330" s="1241" t="s">
        <x:v>1947</x:v>
      </x:c>
      <x:c r="E330" s="1241" t="s">
        <x:v>2003</x:v>
      </x:c>
      <x:c r="F330" s="427" t="s">
        <x:v>908</x:v>
      </x:c>
      <x:c r="G330" s="1647" t="s">
        <x:v>2063</x:v>
      </x:c>
      <x:c r="H330" s="1648"/>
      <x:c r="I330" s="1648"/>
    </x:row>
    <x:row r="331" spans="2:9">
      <x:c r="B331" s="1240">
        <x:v>42</x:v>
      </x:c>
      <x:c r="C331" s="396" t="s">
        <x:v>1924</x:v>
      </x:c>
      <x:c r="D331" s="1241" t="s">
        <x:v>1947</x:v>
      </x:c>
      <x:c r="E331" s="1241" t="s">
        <x:v>2004</x:v>
      </x:c>
      <x:c r="F331" s="427" t="s">
        <x:v>65</x:v>
      </x:c>
      <x:c r="G331" s="1647" t="s">
        <x:v>2038</x:v>
      </x:c>
      <x:c r="H331" s="1648"/>
      <x:c r="I331" s="1648"/>
    </x:row>
    <x:row r="332" spans="2:9">
      <x:c r="B332" s="1240">
        <x:v>43</x:v>
      </x:c>
      <x:c r="C332" s="227" t="s">
        <x:v>63</x:v>
      </x:c>
      <x:c r="D332" s="1241" t="s">
        <x:v>1947</x:v>
      </x:c>
      <x:c r="E332" s="1241" t="s">
        <x:v>2005</x:v>
      </x:c>
      <x:c r="F332" s="427" t="s">
        <x:v>65</x:v>
      </x:c>
      <x:c r="G332" s="1647" t="s">
        <x:v>2038</x:v>
      </x:c>
      <x:c r="H332" s="1648"/>
      <x:c r="I332" s="1648"/>
    </x:row>
    <x:row r="333" spans="2:9">
      <x:c r="B333" s="1240">
        <x:v>44</x:v>
      </x:c>
      <x:c r="C333" s="227" t="s">
        <x:v>330</x:v>
      </x:c>
      <x:c r="D333" s="1241" t="s">
        <x:v>1947</x:v>
      </x:c>
      <x:c r="E333" s="1241" t="s">
        <x:v>2006</x:v>
      </x:c>
      <x:c r="F333" s="427" t="s">
        <x:v>323</x:v>
      </x:c>
      <x:c r="G333" s="1647" t="s">
        <x:v>2039</x:v>
      </x:c>
      <x:c r="H333" s="1648"/>
      <x:c r="I333" s="1648"/>
    </x:row>
    <x:row r="334" spans="2:9">
      <x:c r="B334" s="1240">
        <x:v>45</x:v>
      </x:c>
      <x:c r="C334" s="227" t="s">
        <x:v>330</x:v>
      </x:c>
      <x:c r="D334" s="1241" t="s">
        <x:v>1947</x:v>
      </x:c>
      <x:c r="E334" s="1241" t="s">
        <x:v>2007</x:v>
      </x:c>
      <x:c r="F334" s="427" t="s">
        <x:v>323</x:v>
      </x:c>
      <x:c r="G334" s="1647" t="s">
        <x:v>2039</x:v>
      </x:c>
      <x:c r="H334" s="1648"/>
      <x:c r="I334" s="1648"/>
    </x:row>
    <x:row r="335" spans="2:9">
      <x:c r="B335" s="1240">
        <x:v>46</x:v>
      </x:c>
      <x:c r="C335" s="227" t="s">
        <x:v>108</x:v>
      </x:c>
      <x:c r="D335" s="1241" t="s">
        <x:v>1947</x:v>
      </x:c>
      <x:c r="E335" s="1241" t="s">
        <x:v>2181</x:v>
      </x:c>
      <x:c r="F335" s="427" t="s">
        <x:v>969</x:v>
      </x:c>
      <x:c r="G335" s="1647" t="s">
        <x:v>2064</x:v>
      </x:c>
      <x:c r="H335" s="1648"/>
      <x:c r="I335" s="1648"/>
    </x:row>
    <x:row r="336" spans="2:9">
      <x:c r="B336" s="1240">
        <x:v>47</x:v>
      </x:c>
      <x:c r="C336" s="396" t="s">
        <x:v>141</x:v>
      </x:c>
      <x:c r="D336" s="1241" t="s">
        <x:v>1947</x:v>
      </x:c>
      <x:c r="E336" s="1241" t="s">
        <x:v>2008</x:v>
      </x:c>
      <x:c r="F336" s="427" t="s">
        <x:v>930</x:v>
      </x:c>
      <x:c r="G336" s="1647" t="s">
        <x:v>2065</x:v>
      </x:c>
      <x:c r="H336" s="1648"/>
      <x:c r="I336" s="1648"/>
    </x:row>
    <x:row r="337" spans="2:9">
      <x:c r="B337" s="1240">
        <x:v>48</x:v>
      </x:c>
      <x:c r="C337" s="396" t="s">
        <x:v>143</x:v>
      </x:c>
      <x:c r="D337" s="1241" t="s">
        <x:v>1947</x:v>
      </x:c>
      <x:c r="E337" s="1241" t="s">
        <x:v>2009</x:v>
      </x:c>
      <x:c r="F337" s="427" t="s">
        <x:v>932</x:v>
      </x:c>
      <x:c r="G337" s="1647" t="s">
        <x:v>2066</x:v>
      </x:c>
      <x:c r="H337" s="1648"/>
      <x:c r="I337" s="1648"/>
    </x:row>
    <x:row r="338" spans="2:9">
      <x:c r="B338" s="1240">
        <x:v>49</x:v>
      </x:c>
      <x:c r="C338" s="396" t="s">
        <x:v>264</x:v>
      </x:c>
      <x:c r="D338" s="1241" t="s">
        <x:v>1947</x:v>
      </x:c>
      <x:c r="E338" s="1241" t="s">
        <x:v>1979</x:v>
      </x:c>
      <x:c r="F338" s="427" t="s">
        <x:v>933</x:v>
      </x:c>
      <x:c r="G338" s="1647" t="s">
        <x:v>2067</x:v>
      </x:c>
      <x:c r="H338" s="1648"/>
      <x:c r="I338" s="1648"/>
    </x:row>
    <x:row r="339" spans="2:9">
      <x:c r="B339" s="1240">
        <x:v>50</x:v>
      </x:c>
      <x:c r="C339" s="396" t="s">
        <x:v>144</x:v>
      </x:c>
      <x:c r="D339" s="1241" t="s">
        <x:v>1947</x:v>
      </x:c>
      <x:c r="E339" s="1241" t="s">
        <x:v>2010</x:v>
      </x:c>
      <x:c r="F339" s="427" t="s">
        <x:v>934</x:v>
      </x:c>
      <x:c r="G339" s="1647" t="s">
        <x:v>2068</x:v>
      </x:c>
      <x:c r="H339" s="1648"/>
      <x:c r="I339" s="1648"/>
    </x:row>
    <x:row r="340" spans="2:9">
      <x:c r="B340" s="1240">
        <x:v>51</x:v>
      </x:c>
      <x:c r="C340" s="227" t="s">
        <x:v>146</x:v>
      </x:c>
      <x:c r="D340" s="1241" t="s">
        <x:v>1947</x:v>
      </x:c>
      <x:c r="E340" s="1241" t="s">
        <x:v>1982</x:v>
      </x:c>
      <x:c r="F340" s="427" t="s">
        <x:v>945</x:v>
      </x:c>
      <x:c r="G340" s="1647" t="s">
        <x:v>2069</x:v>
      </x:c>
      <x:c r="H340" s="1648"/>
      <x:c r="I340" s="1648"/>
    </x:row>
    <x:row r="341" spans="2:9">
      <x:c r="B341" s="1240">
        <x:v>52</x:v>
      </x:c>
      <x:c r="C341" s="227" t="s">
        <x:v>145</x:v>
      </x:c>
      <x:c r="D341" s="1241" t="s">
        <x:v>1947</x:v>
      </x:c>
      <x:c r="E341" s="1241" t="s">
        <x:v>1983</x:v>
      </x:c>
      <x:c r="F341" s="427" t="s">
        <x:v>937</x:v>
      </x:c>
      <x:c r="G341" s="1647" t="s">
        <x:v>2070</x:v>
      </x:c>
      <x:c r="H341" s="1648"/>
      <x:c r="I341" s="1648"/>
    </x:row>
    <x:row r="342" spans="2:9" ht="25.5">
      <x:c r="B342" s="1240">
        <x:v>53</x:v>
      </x:c>
      <x:c r="C342" s="227" t="s">
        <x:v>146</x:v>
      </x:c>
      <x:c r="D342" s="1241" t="s">
        <x:v>1947</x:v>
      </x:c>
      <x:c r="E342" s="1241" t="s">
        <x:v>2011</x:v>
      </x:c>
      <x:c r="F342" s="427" t="s">
        <x:v>155</x:v>
      </x:c>
      <x:c r="G342" s="1647" t="s">
        <x:v>2071</x:v>
      </x:c>
      <x:c r="H342" s="1648"/>
      <x:c r="I342" s="1648"/>
    </x:row>
    <x:row r="343" spans="2:9" ht="51">
      <x:c r="B343" s="1240">
        <x:v>54</x:v>
      </x:c>
      <x:c r="C343" s="227" t="s">
        <x:v>1933</x:v>
      </x:c>
      <x:c r="D343" s="1241" t="s">
        <x:v>1948</x:v>
      </x:c>
      <x:c r="E343" s="1241" t="s">
        <x:v>2012</x:v>
      </x:c>
      <x:c r="F343" s="427" t="s">
        <x:v>2013</x:v>
      </x:c>
      <x:c r="G343" s="1647" t="s">
        <x:v>2072</x:v>
      </x:c>
      <x:c r="H343" s="1648"/>
      <x:c r="I343" s="1648"/>
    </x:row>
    <x:row r="344" spans="2:9" ht="25.5">
      <x:c r="B344" s="1240">
        <x:v>55</x:v>
      </x:c>
      <x:c r="C344" s="227" t="s">
        <x:v>1934</x:v>
      </x:c>
      <x:c r="D344" s="1241" t="s">
        <x:v>1948</x:v>
      </x:c>
      <x:c r="E344" s="1241" t="s">
        <x:v>2014</x:v>
      </x:c>
      <x:c r="F344" s="427" t="s">
        <x:v>2015</x:v>
      </x:c>
      <x:c r="G344" s="1647" t="s">
        <x:v>2073</x:v>
      </x:c>
      <x:c r="H344" s="1648"/>
      <x:c r="I344" s="1648"/>
    </x:row>
    <x:row r="345" spans="2:9" ht="16.149999999999999" customHeight="1">
      <x:c r="B345" s="1240">
        <x:v>56</x:v>
      </x:c>
      <x:c r="C345" s="227" t="s">
        <x:v>1935</x:v>
      </x:c>
      <x:c r="D345" s="1241" t="s">
        <x:v>1948</x:v>
      </x:c>
      <x:c r="E345" s="1241" t="s">
        <x:v>2016</x:v>
      </x:c>
      <x:c r="F345" s="427" t="s">
        <x:v>887</x:v>
      </x:c>
      <x:c r="G345" s="1647" t="s">
        <x:v>2074</x:v>
      </x:c>
      <x:c r="H345" s="1648"/>
      <x:c r="I345" s="1648"/>
    </x:row>
    <x:row r="346" spans="2:9" ht="39" customHeight="1">
      <x:c r="B346" s="1240">
        <x:v>57</x:v>
      </x:c>
      <x:c r="C346" s="227" t="s">
        <x:v>1936</x:v>
      </x:c>
      <x:c r="D346" s="1241" t="s">
        <x:v>1949</x:v>
      </x:c>
      <x:c r="E346" s="1241" t="s">
        <x:v>2012</x:v>
      </x:c>
      <x:c r="F346" s="427" t="s">
        <x:v>894</x:v>
      </x:c>
      <x:c r="G346" s="1647" t="s">
        <x:v>2075</x:v>
      </x:c>
      <x:c r="H346" s="1648"/>
      <x:c r="I346" s="1648"/>
    </x:row>
    <x:row r="347" spans="2:9" ht="39" customHeight="1">
      <x:c r="B347" s="1240">
        <x:v>58</x:v>
      </x:c>
      <x:c r="C347" s="227" t="s">
        <x:v>1933</x:v>
      </x:c>
      <x:c r="D347" s="1241" t="s">
        <x:v>1949</x:v>
      </x:c>
      <x:c r="E347" s="1241" t="s">
        <x:v>2014</x:v>
      </x:c>
      <x:c r="F347" s="427" t="s">
        <x:v>2017</x:v>
      </x:c>
      <x:c r="G347" s="1647" t="s">
        <x:v>2076</x:v>
      </x:c>
      <x:c r="H347" s="1648"/>
      <x:c r="I347" s="1648"/>
    </x:row>
    <x:row r="348" spans="2:9" ht="25.5">
      <x:c r="B348" s="1240">
        <x:v>59</x:v>
      </x:c>
      <x:c r="C348" s="227" t="s">
        <x:v>1934</x:v>
      </x:c>
      <x:c r="D348" s="1241" t="s">
        <x:v>1949</x:v>
      </x:c>
      <x:c r="E348" s="1241" t="s">
        <x:v>2018</x:v>
      </x:c>
      <x:c r="F348" s="427" t="s">
        <x:v>2019</x:v>
      </x:c>
      <x:c r="G348" s="1647" t="s">
        <x:v>2077</x:v>
      </x:c>
      <x:c r="H348" s="1648"/>
      <x:c r="I348" s="1648"/>
    </x:row>
    <x:row r="349" spans="2:9" ht="76.5">
      <x:c r="B349" s="1240">
        <x:v>60</x:v>
      </x:c>
      <x:c r="C349" s="227" t="s">
        <x:v>1937</x:v>
      </x:c>
      <x:c r="D349" s="1241" t="s">
        <x:v>1949</x:v>
      </x:c>
      <x:c r="E349" s="1241" t="s">
        <x:v>2020</x:v>
      </x:c>
      <x:c r="F349" s="427" t="s">
        <x:v>2021</x:v>
      </x:c>
      <x:c r="G349" s="1647" t="s">
        <x:v>2078</x:v>
      </x:c>
      <x:c r="H349" s="1648"/>
      <x:c r="I349" s="1648"/>
    </x:row>
    <x:row r="350" spans="2:9" ht="40.5" customHeight="1">
      <x:c r="B350" s="1240">
        <x:v>61</x:v>
      </x:c>
      <x:c r="C350" s="227" t="s">
        <x:v>1938</x:v>
      </x:c>
      <x:c r="D350" s="1241" t="s">
        <x:v>1949</x:v>
      </x:c>
      <x:c r="E350" s="1241" t="s">
        <x:v>2022</x:v>
      </x:c>
      <x:c r="F350" s="427" t="s">
        <x:v>2023</x:v>
      </x:c>
      <x:c r="G350" s="1647" t="s">
        <x:v>2079</x:v>
      </x:c>
      <x:c r="H350" s="1648"/>
      <x:c r="I350" s="1648"/>
    </x:row>
    <x:row r="351" spans="2:9" ht="16.149999999999999" customHeight="1">
      <x:c r="B351" s="1240">
        <x:v>62</x:v>
      </x:c>
      <x:c r="C351" s="227" t="s">
        <x:v>1939</x:v>
      </x:c>
      <x:c r="D351" s="1241" t="s">
        <x:v>1949</x:v>
      </x:c>
      <x:c r="E351" s="1241" t="s">
        <x:v>2016</x:v>
      </x:c>
      <x:c r="F351" s="427" t="s">
        <x:v>1501</x:v>
      </x:c>
      <x:c r="G351" s="1647" t="s">
        <x:v>2080</x:v>
      </x:c>
      <x:c r="H351" s="1648"/>
      <x:c r="I351" s="1648"/>
    </x:row>
    <x:row r="352" spans="2:9" ht="16.149999999999999" customHeight="1">
      <x:c r="B352" s="1240">
        <x:v>63</x:v>
      </x:c>
      <x:c r="C352" s="227" t="s">
        <x:v>1940</x:v>
      </x:c>
      <x:c r="D352" s="1241" t="s">
        <x:v>1949</x:v>
      </x:c>
      <x:c r="E352" s="1241" t="s">
        <x:v>2024</x:v>
      </x:c>
      <x:c r="F352" s="427" t="s">
        <x:v>887</x:v>
      </x:c>
      <x:c r="G352" s="1647" t="s">
        <x:v>2074</x:v>
      </x:c>
      <x:c r="H352" s="1648"/>
      <x:c r="I352" s="1648"/>
    </x:row>
    <x:row r="353" spans="2:9" ht="16.149999999999999" customHeight="1">
      <x:c r="B353" s="1240">
        <x:v>64</x:v>
      </x:c>
      <x:c r="C353" s="227" t="s">
        <x:v>1941</x:v>
      </x:c>
      <x:c r="D353" s="1241" t="s">
        <x:v>1949</x:v>
      </x:c>
      <x:c r="E353" s="1241" t="s">
        <x:v>2025</x:v>
      </x:c>
      <x:c r="F353" s="427" t="s">
        <x:v>887</x:v>
      </x:c>
      <x:c r="G353" s="1647" t="s">
        <x:v>2074</x:v>
      </x:c>
      <x:c r="H353" s="1648"/>
      <x:c r="I353" s="1648"/>
    </x:row>
    <x:row r="354" spans="2:9">
      <x:c r="B354" s="1240">
        <x:v>65</x:v>
      </x:c>
      <x:c r="C354" s="227" t="s">
        <x:v>978</x:v>
      </x:c>
      <x:c r="D354" s="1241" t="s">
        <x:v>1950</x:v>
      </x:c>
      <x:c r="E354" s="1241" t="s">
        <x:v>2026</x:v>
      </x:c>
      <x:c r="F354" s="427" t="s">
        <x:v>979</x:v>
      </x:c>
      <x:c r="G354" s="1647" t="s">
        <x:v>2081</x:v>
      </x:c>
      <x:c r="H354" s="1648"/>
      <x:c r="I354" s="1648"/>
    </x:row>
    <x:row r="355" spans="2:9">
      <x:c r="B355" s="1240">
        <x:v>66</x:v>
      </x:c>
      <x:c r="C355" s="227" t="s">
        <x:v>1007</x:v>
      </x:c>
      <x:c r="D355" s="1241" t="s">
        <x:v>1951</x:v>
      </x:c>
      <x:c r="E355" s="1241" t="s">
        <x:v>2026</x:v>
      </x:c>
      <x:c r="F355" s="427" t="s">
        <x:v>1008</x:v>
      </x:c>
      <x:c r="G355" s="1647" t="s">
        <x:v>2082</x:v>
      </x:c>
      <x:c r="H355" s="1648"/>
      <x:c r="I355" s="1648"/>
    </x:row>
  </x:sheetData>
  <x:mergeCells count="168">
    <x:mergeCell ref="C261:F264"/>
    <x:mergeCell ref="C265:F265"/>
    <x:mergeCell ref="C266:F267"/>
    <x:mergeCell ref="C268:F272"/>
    <x:mergeCell ref="C273:F278"/>
    <x:mergeCell ref="C279:F279"/>
    <x:mergeCell ref="A218:F218"/>
    <x:mergeCell ref="A243:F243"/>
    <x:mergeCell ref="A163:F163"/>
    <x:mergeCell ref="A169:F169"/>
    <x:mergeCell ref="G191:H191"/>
    <x:mergeCell ref="I191:J191"/>
    <x:mergeCell ref="K191:L191"/>
    <x:mergeCell ref="A184:F184"/>
    <x:mergeCell ref="H184:Q184"/>
    <x:mergeCell ref="H186:Q186"/>
    <x:mergeCell ref="G190:H190"/>
    <x:mergeCell ref="I190:J190"/>
    <x:mergeCell ref="K190:L190"/>
    <x:mergeCell ref="K244:Q244"/>
    <x:mergeCell ref="A69:F69"/>
    <x:mergeCell ref="J69:Q69"/>
    <x:mergeCell ref="G194:H194"/>
    <x:mergeCell ref="I194:J194"/>
    <x:mergeCell ref="K194:L194"/>
    <x:mergeCell ref="A178:F178"/>
    <x:mergeCell ref="H178:Q178"/>
    <x:mergeCell ref="H180:Q180"/>
    <x:mergeCell ref="A198:F198"/>
    <x:mergeCell ref="H158:Q158"/>
    <x:mergeCell ref="A112:F112"/>
    <x:mergeCell ref="C114:F114"/>
    <x:mergeCell ref="C137:T139"/>
    <x:mergeCell ref="A143:F143"/>
    <x:mergeCell ref="G192:H192"/>
    <x:mergeCell ref="I192:J192"/>
    <x:mergeCell ref="K192:L192"/>
    <x:mergeCell ref="H75:Q75"/>
    <x:mergeCell ref="K243:Q243"/>
    <x:mergeCell ref="A234:F234"/>
    <x:mergeCell ref="A228:F228"/>
    <x:mergeCell ref="A209:F209"/>
    <x:mergeCell ref="H169:Q169"/>
    <x:mergeCell ref="H77:Q77"/>
    <x:mergeCell ref="H79:Q79"/>
    <x:mergeCell ref="A155:F155"/>
    <x:mergeCell ref="H155:Q155"/>
    <x:mergeCell ref="H157:Q157"/>
    <x:mergeCell ref="A93:F93"/>
    <x:mergeCell ref="H82:Q82"/>
    <x:mergeCell ref="H83:Q83"/>
    <x:mergeCell ref="H84:Q84"/>
    <x:mergeCell ref="H85:Q85"/>
    <x:mergeCell ref="H86:Q86"/>
    <x:mergeCell ref="H87:Q87"/>
    <x:mergeCell ref="H80:Q80"/>
    <x:mergeCell ref="J35:Q35"/>
    <x:mergeCell ref="A31:F31"/>
    <x:mergeCell ref="J31:Q31"/>
    <x:mergeCell ref="J32:Q32"/>
    <x:mergeCell ref="J33:Q33"/>
    <x:mergeCell ref="A62:F62"/>
    <x:mergeCell ref="L62:Q62"/>
    <x:mergeCell ref="L64:Q64"/>
    <x:mergeCell ref="L65:Q65"/>
    <x:mergeCell ref="J36:Q36"/>
    <x:mergeCell ref="J34:Q34"/>
    <x:mergeCell ref="J38:Q38"/>
    <x:mergeCell ref="A42:F42"/>
    <x:mergeCell ref="J42:Q42"/>
    <x:mergeCell ref="J58:Q58"/>
    <x:mergeCell ref="J43:Q43"/>
    <x:mergeCell ref="J52:Q52"/>
    <x:mergeCell ref="A56:F56"/>
    <x:mergeCell ref="J44:Q44"/>
    <x:mergeCell ref="A48:F48"/>
    <x:mergeCell ref="J48:Q48"/>
    <x:mergeCell ref="J56:Q56"/>
    <x:mergeCell ref="W106:AF106"/>
    <x:mergeCell ref="A1:Q1"/>
    <x:mergeCell ref="A2:Q2"/>
    <x:mergeCell ref="G285:I285"/>
    <x:mergeCell ref="G286:I286"/>
    <x:mergeCell ref="G287:I287"/>
    <x:mergeCell ref="G288:I288"/>
    <x:mergeCell ref="G289:I289"/>
    <x:mergeCell ref="G290:I290"/>
    <x:mergeCell ref="J23:Q23"/>
    <x:mergeCell ref="J71:Q71"/>
    <x:mergeCell ref="A75:F75"/>
    <x:mergeCell ref="A5:F5"/>
    <x:mergeCell ref="J5:Q5"/>
    <x:mergeCell ref="J6:Q6"/>
    <x:mergeCell ref="J7:Q7"/>
    <x:mergeCell ref="J8:Q8"/>
    <x:mergeCell ref="J9:Q9"/>
    <x:mergeCell ref="A22:F22"/>
    <x:mergeCell ref="J22:Q22"/>
    <x:mergeCell ref="J11:Q11"/>
    <x:mergeCell ref="J13:Q13"/>
    <x:mergeCell ref="J15:Q15"/>
    <x:mergeCell ref="J18:Q18"/>
    <x:mergeCell ref="G291:I291"/>
    <x:mergeCell ref="G292:I292"/>
    <x:mergeCell ref="G293:I293"/>
    <x:mergeCell ref="G294:I294"/>
    <x:mergeCell ref="G295:I295"/>
    <x:mergeCell ref="G296:I296"/>
    <x:mergeCell ref="G297:I297"/>
    <x:mergeCell ref="G298:I298"/>
    <x:mergeCell ref="G299:I299"/>
    <x:mergeCell ref="G300:I300"/>
    <x:mergeCell ref="G301:I301"/>
    <x:mergeCell ref="G302:I302"/>
    <x:mergeCell ref="G303:I303"/>
    <x:mergeCell ref="G304:I304"/>
    <x:mergeCell ref="G305:I305"/>
    <x:mergeCell ref="G306:I306"/>
    <x:mergeCell ref="G307:I307"/>
    <x:mergeCell ref="G309:I309"/>
    <x:mergeCell ref="G308:I308"/>
    <x:mergeCell ref="G310:I310"/>
    <x:mergeCell ref="G311:I311"/>
    <x:mergeCell ref="G313:I313"/>
    <x:mergeCell ref="G312:I312"/>
    <x:mergeCell ref="G314:I314"/>
    <x:mergeCell ref="G315:I315"/>
    <x:mergeCell ref="G317:I317"/>
    <x:mergeCell ref="G316:I316"/>
    <x:mergeCell ref="G318:I318"/>
    <x:mergeCell ref="G332:I332"/>
    <x:mergeCell ref="G333:I333"/>
    <x:mergeCell ref="G334:I334"/>
    <x:mergeCell ref="G335:I335"/>
    <x:mergeCell ref="G336:I336"/>
    <x:mergeCell ref="G319:I319"/>
    <x:mergeCell ref="G320:I320"/>
    <x:mergeCell ref="G321:I321"/>
    <x:mergeCell ref="G322:I322"/>
    <x:mergeCell ref="G323:I323"/>
    <x:mergeCell ref="G324:I324"/>
    <x:mergeCell ref="G325:I325"/>
    <x:mergeCell ref="G326:I326"/>
    <x:mergeCell ref="G327:I327"/>
    <x:mergeCell ref="G355:I355"/>
    <x:mergeCell ref="A283:J283"/>
    <x:mergeCell ref="G346:I346"/>
    <x:mergeCell ref="G347:I347"/>
    <x:mergeCell ref="G348:I348"/>
    <x:mergeCell ref="G349:I349"/>
    <x:mergeCell ref="G350:I350"/>
    <x:mergeCell ref="G351:I351"/>
    <x:mergeCell ref="G352:I352"/>
    <x:mergeCell ref="G353:I353"/>
    <x:mergeCell ref="G354:I354"/>
    <x:mergeCell ref="G337:I337"/>
    <x:mergeCell ref="G338:I338"/>
    <x:mergeCell ref="G339:I339"/>
    <x:mergeCell ref="G340:I340"/>
    <x:mergeCell ref="G341:I341"/>
    <x:mergeCell ref="G342:I342"/>
    <x:mergeCell ref="G343:I343"/>
    <x:mergeCell ref="G344:I344"/>
    <x:mergeCell ref="G345:I345"/>
    <x:mergeCell ref="G328:I328"/>
    <x:mergeCell ref="G329:I329"/>
    <x:mergeCell ref="G330:I330"/>
    <x:mergeCell ref="G331:I331"/>
  </x:mergeCells>
  <x:phoneticPr fontId="51" type="noConversion"/>
  <x:printOptions horizontalCentered="1"/>
  <x:pageMargins left="0.25" right="0.25" top="0.5" bottom="0.5" header="0.25" footer="0.25"/>
  <x:pageSetup scale="35" fitToHeight="3" orientation="landscape" r:id="rId2"/>
  <x:rowBreaks count="3" manualBreakCount="3">
    <x:brk id="90" max="31" man="1"/>
    <x:brk id="187" max="31" man="1"/>
    <x:brk id="281" max="31" man="1"/>
  </x:rowBreaks>
  <x:colBreaks count="1" manualBreakCount="1">
    <x:brk id="20" max="353"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Q229"/>
  <x:sheetViews>
    <x:sheetView zoomScaleNormal="100" zoomScaleSheetLayoutView="80" workbookViewId="0">
      <x:pane ySplit="4" topLeftCell="A5" activePane="bottomLeft" state="frozen"/>
      <x:selection activeCell="K27" sqref="K27"/>
      <x:selection pane="bottomLeft" sqref="A1:P1"/>
    </x:sheetView>
  </x:sheetViews>
  <x:sheetFormatPr defaultColWidth="9.140625" defaultRowHeight="12.75"/>
  <x:cols>
    <x:col min="1" max="1" width="44.5703125" style="911" bestFit="1" customWidth="1"/>
    <x:col min="2" max="2" width="16.5703125" style="911" customWidth="1"/>
    <x:col min="3" max="3" width="2.5703125" style="911" customWidth="1"/>
    <x:col min="4" max="4" width="16.5703125" style="911" customWidth="1"/>
    <x:col min="5" max="5" width="2.5703125" style="911" customWidth="1"/>
    <x:col min="6" max="6" width="16.5703125" style="911" customWidth="1"/>
    <x:col min="7" max="7" width="2.5703125" style="911" customWidth="1"/>
    <x:col min="8" max="8" width="16.5703125" style="911" customWidth="1"/>
    <x:col min="9" max="9" width="2.5703125" style="911" customWidth="1"/>
    <x:col min="10" max="10" width="16.5703125" style="911" customWidth="1"/>
    <x:col min="11" max="11" width="2.5703125" style="911" customWidth="1"/>
    <x:col min="12" max="12" width="16.5703125" style="911" customWidth="1"/>
    <x:col min="13" max="13" width="2.5703125" style="911" customWidth="1"/>
    <x:col min="14" max="14" width="16.5703125" style="911" customWidth="1"/>
    <x:col min="15" max="15" width="2.5703125" style="911" customWidth="1"/>
    <x:col min="16" max="16" width="16.5703125" style="911" customWidth="1"/>
    <x:col min="17" max="17" width="9.140625" style="1322"/>
    <x:col min="18" max="16384" width="9.140625" style="911"/>
  </x:cols>
  <x:sheetData>
    <x:row r="1" spans="1:17" s="1128" customFormat="1" ht="18">
      <x:c r="A1" s="1715" t="s">
        <x:v>1328</x:v>
      </x:c>
      <x:c r="B1" s="1715"/>
      <x:c r="C1" s="1715"/>
      <x:c r="D1" s="1715"/>
      <x:c r="E1" s="1715"/>
      <x:c r="F1" s="1715"/>
      <x:c r="G1" s="1715"/>
      <x:c r="H1" s="1715"/>
      <x:c r="I1" s="1715"/>
      <x:c r="J1" s="1715"/>
      <x:c r="K1" s="1715"/>
      <x:c r="L1" s="1715"/>
      <x:c r="M1" s="1715"/>
      <x:c r="N1" s="1715"/>
      <x:c r="O1" s="1715"/>
      <x:c r="P1" s="1715"/>
      <x:c r="Q1" s="1317"/>
    </x:row>
    <x:row r="2" spans="1:17" s="127" customFormat="1" ht="15.75">
      <x:c r="A2" s="1716" t="s">
        <x:v>447</x:v>
      </x:c>
      <x:c r="B2" s="1716"/>
      <x:c r="C2" s="1716"/>
      <x:c r="D2" s="1716"/>
      <x:c r="E2" s="1716"/>
      <x:c r="F2" s="1716"/>
      <x:c r="G2" s="1716"/>
      <x:c r="H2" s="1716"/>
      <x:c r="I2" s="1716"/>
      <x:c r="J2" s="1716"/>
      <x:c r="K2" s="1716"/>
      <x:c r="L2" s="1716"/>
      <x:c r="M2" s="1716"/>
      <x:c r="N2" s="1716"/>
      <x:c r="O2" s="1716"/>
      <x:c r="P2" s="1716"/>
      <x:c r="Q2" s="1318"/>
    </x:row>
    <x:row r="3" spans="1:17" s="127" customFormat="1" ht="15.75">
      <x:c r="A3" s="1419"/>
      <x:c r="B3" s="1419"/>
      <x:c r="C3" s="1419"/>
      <x:c r="D3" s="1419"/>
      <x:c r="E3" s="1419"/>
      <x:c r="F3" s="1419"/>
      <x:c r="G3" s="1419"/>
      <x:c r="H3" s="1419"/>
      <x:c r="I3" s="1419"/>
      <x:c r="J3" s="1419"/>
      <x:c r="K3" s="1419"/>
      <x:c r="L3" s="1419"/>
      <x:c r="M3" s="1419"/>
      <x:c r="N3" s="1419"/>
      <x:c r="O3" s="1419"/>
      <x:c r="P3" s="1419"/>
      <x:c r="Q3" s="1318"/>
    </x:row>
    <x:row r="4" spans="1:17" s="127" customFormat="1">
      <x:c r="A4" s="128"/>
      <x:c r="B4" s="128"/>
      <x:c r="C4" s="128"/>
      <x:c r="D4" s="128"/>
      <x:c r="E4" s="128"/>
      <x:c r="F4" s="128"/>
      <x:c r="G4" s="128"/>
      <x:c r="H4" s="128"/>
      <x:c r="I4" s="128"/>
      <x:c r="J4" s="128"/>
      <x:c r="K4" s="128"/>
      <x:c r="L4" s="128"/>
      <x:c r="M4" s="128"/>
      <x:c r="N4" s="128"/>
      <x:c r="O4" s="128"/>
      <x:c r="P4" s="10"/>
      <x:c r="Q4" s="1318"/>
    </x:row>
    <x:row r="5" spans="1:17" s="127" customFormat="1">
      <x:c r="A5" s="10"/>
      <x:c r="B5" s="129" t="s">
        <x:v>448</x:v>
      </x:c>
      <x:c r="C5" s="129"/>
      <x:c r="D5" s="129" t="s">
        <x:v>449</x:v>
      </x:c>
      <x:c r="E5" s="129"/>
      <x:c r="F5" s="129"/>
      <x:c r="G5" s="129"/>
      <x:c r="H5" s="129"/>
      <x:c r="I5" s="129"/>
      <x:c r="J5" s="129"/>
      <x:c r="K5" s="129"/>
      <x:c r="L5" s="129"/>
      <x:c r="M5" s="129"/>
      <x:c r="N5" s="129"/>
      <x:c r="O5" s="129"/>
      <x:c r="P5" s="129"/>
      <x:c r="Q5" s="1318"/>
    </x:row>
    <x:row r="6" spans="1:17" s="127" customFormat="1">
      <x:c r="A6" s="129" t="s">
        <x:v>2139</x:v>
      </x:c>
      <x:c r="B6" s="129" t="s">
        <x:v>450</x:v>
      </x:c>
      <x:c r="C6" s="129"/>
      <x:c r="D6" s="129" t="s">
        <x:v>451</x:v>
      </x:c>
      <x:c r="E6" s="129"/>
      <x:c r="F6" s="129" t="s">
        <x:v>137</x:v>
      </x:c>
      <x:c r="G6" s="129"/>
      <x:c r="H6" s="129" t="s">
        <x:v>965</x:v>
      </x:c>
      <x:c r="I6" s="169"/>
      <x:c r="J6" s="129" t="s">
        <x:v>966</x:v>
      </x:c>
      <x:c r="K6" s="169"/>
      <x:c r="L6" s="129" t="s">
        <x:v>967</x:v>
      </x:c>
      <x:c r="M6" s="129"/>
      <x:c r="N6" s="129" t="s">
        <x:v>452</x:v>
      </x:c>
      <x:c r="O6" s="129"/>
      <x:c r="P6" s="129" t="s">
        <x:v>42</x:v>
      </x:c>
      <x:c r="Q6" s="1318"/>
    </x:row>
    <x:row r="7" spans="1:17" s="127" customFormat="1">
      <x:c r="A7" s="10"/>
      <x:c r="B7" s="130"/>
      <x:c r="C7" s="130"/>
      <x:c r="D7" s="130"/>
      <x:c r="E7" s="130"/>
      <x:c r="F7" s="130"/>
      <x:c r="G7" s="130"/>
      <x:c r="H7" s="130"/>
      <x:c r="I7" s="130"/>
      <x:c r="J7" s="130"/>
      <x:c r="K7" s="130"/>
      <x:c r="L7" s="130"/>
      <x:c r="M7" s="130"/>
      <x:c r="N7" s="130"/>
      <x:c r="O7" s="130"/>
      <x:c r="P7" s="130"/>
      <x:c r="Q7" s="1318"/>
    </x:row>
    <x:row r="8" spans="1:17" s="127" customFormat="1" ht="14.25">
      <x:c r="A8" s="599" t="s">
        <x:v>1534</x:v>
      </x:c>
      <x:c r="B8" s="1104">
        <x:v>2729225</x:v>
      </x:c>
      <x:c r="C8" s="599"/>
      <x:c r="D8" s="599">
        <x:v>2763120</x:v>
      </x:c>
      <x:c r="E8" s="599"/>
      <x:c r="F8" s="599">
        <x:v>5066761</x:v>
      </x:c>
      <x:c r="G8" s="599"/>
      <x:c r="H8" s="599"/>
      <x:c r="I8" s="599"/>
      <x:c r="J8" s="599"/>
      <x:c r="K8" s="599"/>
      <x:c r="L8" s="599"/>
      <x:c r="M8" s="599"/>
      <x:c r="N8" s="1104">
        <x:v>5184</x:v>
      </x:c>
      <x:c r="O8" s="132"/>
      <x:c r="P8" s="1106">
        <x:f>SUM(B8:N8)</x:f>
        <x:v>10564290</x:v>
      </x:c>
      <x:c r="Q8" s="1319"/>
    </x:row>
    <x:row r="9" spans="1:17" s="127" customFormat="1" ht="14.25">
      <x:c r="A9" s="599"/>
      <x:c r="B9" s="599"/>
      <x:c r="C9" s="599"/>
      <x:c r="D9" s="599"/>
      <x:c r="E9" s="599"/>
      <x:c r="F9" s="599"/>
      <x:c r="G9" s="599"/>
      <x:c r="H9" s="599"/>
      <x:c r="I9" s="599"/>
      <x:c r="J9" s="599"/>
      <x:c r="K9" s="599"/>
      <x:c r="L9" s="599"/>
      <x:c r="M9" s="599"/>
      <x:c r="N9" s="599"/>
      <x:c r="O9" s="134"/>
      <x:c r="P9" s="132">
        <x:f t="shared" ref="P9:P28" si="0">SUM(B9:N9)</x:f>
        <x:v>0</x:v>
      </x:c>
      <x:c r="Q9" s="1319"/>
    </x:row>
    <x:row r="10" spans="1:17" s="127" customFormat="1" ht="14.25">
      <x:c r="A10" s="599" t="s">
        <x:v>1535</x:v>
      </x:c>
      <x:c r="B10" s="599">
        <x:v>9273820</x:v>
      </x:c>
      <x:c r="C10" s="599"/>
      <x:c r="D10" s="599">
        <x:v>7891337</x:v>
      </x:c>
      <x:c r="E10" s="599"/>
      <x:c r="F10" s="599">
        <x:v>17183945</x:v>
      </x:c>
      <x:c r="G10" s="599"/>
      <x:c r="H10" s="599"/>
      <x:c r="I10" s="599"/>
      <x:c r="J10" s="599"/>
      <x:c r="K10" s="599"/>
      <x:c r="L10" s="599">
        <x:v>59058</x:v>
      </x:c>
      <x:c r="M10" s="599"/>
      <x:c r="N10" s="599">
        <x:v>5637947</x:v>
      </x:c>
      <x:c r="O10" s="134"/>
      <x:c r="P10" s="132">
        <x:f t="shared" si="0"/>
        <x:v>40046107</x:v>
      </x:c>
      <x:c r="Q10" s="1319"/>
    </x:row>
    <x:row r="11" spans="1:17" s="127" customFormat="1" ht="14.25">
      <x:c r="A11" s="599"/>
      <x:c r="B11" s="599"/>
      <x:c r="C11" s="599"/>
      <x:c r="D11" s="599"/>
      <x:c r="E11" s="599"/>
      <x:c r="F11" s="599"/>
      <x:c r="G11" s="599"/>
      <x:c r="H11" s="599"/>
      <x:c r="I11" s="599"/>
      <x:c r="J11" s="599"/>
      <x:c r="K11" s="599"/>
      <x:c r="L11" s="599"/>
      <x:c r="M11" s="599"/>
      <x:c r="N11" s="599"/>
      <x:c r="O11" s="134"/>
      <x:c r="P11" s="132">
        <x:f t="shared" si="0"/>
        <x:v>0</x:v>
      </x:c>
      <x:c r="Q11" s="1319"/>
    </x:row>
    <x:row r="12" spans="1:17" s="127" customFormat="1" ht="14.25">
      <x:c r="A12" s="599" t="s">
        <x:v>1536</x:v>
      </x:c>
      <x:c r="B12" s="599">
        <x:v>7280109</x:v>
      </x:c>
      <x:c r="C12" s="599"/>
      <x:c r="D12" s="599">
        <x:v>7346898</x:v>
      </x:c>
      <x:c r="E12" s="599"/>
      <x:c r="F12" s="599">
        <x:v>12116935</x:v>
      </x:c>
      <x:c r="G12" s="599"/>
      <x:c r="H12" s="599"/>
      <x:c r="I12" s="599"/>
      <x:c r="J12" s="599">
        <x:v>19870</x:v>
      </x:c>
      <x:c r="K12" s="599"/>
      <x:c r="L12" s="599"/>
      <x:c r="M12" s="599"/>
      <x:c r="N12" s="599">
        <x:v>-532</x:v>
      </x:c>
      <x:c r="O12" s="134"/>
      <x:c r="P12" s="132">
        <x:f t="shared" si="0"/>
        <x:v>26763280</x:v>
      </x:c>
      <x:c r="Q12" s="1319"/>
    </x:row>
    <x:row r="13" spans="1:17" s="127" customFormat="1" ht="14.25">
      <x:c r="A13" s="599"/>
      <x:c r="B13" s="599"/>
      <x:c r="C13" s="599"/>
      <x:c r="D13" s="599"/>
      <x:c r="E13" s="599"/>
      <x:c r="F13" s="599"/>
      <x:c r="G13" s="599"/>
      <x:c r="H13" s="599"/>
      <x:c r="I13" s="599"/>
      <x:c r="J13" s="599"/>
      <x:c r="K13" s="599"/>
      <x:c r="L13" s="599"/>
      <x:c r="M13" s="599"/>
      <x:c r="N13" s="599"/>
      <x:c r="O13" s="134"/>
      <x:c r="P13" s="132">
        <x:f t="shared" si="0"/>
        <x:v>0</x:v>
      </x:c>
      <x:c r="Q13" s="1319"/>
    </x:row>
    <x:row r="14" spans="1:17" s="127" customFormat="1" ht="14.25">
      <x:c r="A14" s="599" t="s">
        <x:v>1537</x:v>
      </x:c>
      <x:c r="B14" s="599">
        <x:v>3209906</x:v>
      </x:c>
      <x:c r="C14" s="599"/>
      <x:c r="D14" s="599">
        <x:v>2149968</x:v>
      </x:c>
      <x:c r="E14" s="599"/>
      <x:c r="F14" s="599">
        <x:v>4661539</x:v>
      </x:c>
      <x:c r="G14" s="599"/>
      <x:c r="H14" s="599"/>
      <x:c r="I14" s="599"/>
      <x:c r="J14" s="599"/>
      <x:c r="K14" s="599"/>
      <x:c r="L14" s="599"/>
      <x:c r="M14" s="599"/>
      <x:c r="N14" s="599">
        <x:v>0</x:v>
      </x:c>
      <x:c r="O14" s="134"/>
      <x:c r="P14" s="132">
        <x:f t="shared" si="0"/>
        <x:v>10021413</x:v>
      </x:c>
      <x:c r="Q14" s="1319"/>
    </x:row>
    <x:row r="15" spans="1:17" s="127" customFormat="1" ht="14.25">
      <x:c r="A15" s="599"/>
      <x:c r="B15" s="599"/>
      <x:c r="C15" s="599"/>
      <x:c r="D15" s="599"/>
      <x:c r="E15" s="599"/>
      <x:c r="F15" s="599"/>
      <x:c r="G15" s="599"/>
      <x:c r="H15" s="599"/>
      <x:c r="I15" s="599"/>
      <x:c r="J15" s="599"/>
      <x:c r="K15" s="599"/>
      <x:c r="L15" s="599"/>
      <x:c r="M15" s="599"/>
      <x:c r="N15" s="599"/>
      <x:c r="O15" s="134"/>
      <x:c r="P15" s="132">
        <x:f t="shared" si="0"/>
        <x:v>0</x:v>
      </x:c>
      <x:c r="Q15" s="1319"/>
    </x:row>
    <x:row r="16" spans="1:17" s="127" customFormat="1" ht="14.25">
      <x:c r="A16" s="599" t="s">
        <x:v>1538</x:v>
      </x:c>
      <x:c r="B16" s="599">
        <x:v>1845876</x:v>
      </x:c>
      <x:c r="C16" s="599"/>
      <x:c r="D16" s="599">
        <x:v>1749386</x:v>
      </x:c>
      <x:c r="E16" s="599"/>
      <x:c r="F16" s="599">
        <x:v>3170393</x:v>
      </x:c>
      <x:c r="G16" s="599"/>
      <x:c r="H16" s="599"/>
      <x:c r="I16" s="599"/>
      <x:c r="J16" s="599"/>
      <x:c r="K16" s="599"/>
      <x:c r="L16" s="599"/>
      <x:c r="M16" s="599"/>
      <x:c r="N16" s="599">
        <x:v>354801</x:v>
      </x:c>
      <x:c r="O16" s="134"/>
      <x:c r="P16" s="132">
        <x:f t="shared" si="0"/>
        <x:v>7120456</x:v>
      </x:c>
      <x:c r="Q16" s="1319"/>
    </x:row>
    <x:row r="17" spans="1:17" s="127" customFormat="1" ht="14.25">
      <x:c r="A17" s="599"/>
      <x:c r="B17" s="599"/>
      <x:c r="C17" s="599"/>
      <x:c r="D17" s="599"/>
      <x:c r="E17" s="599"/>
      <x:c r="F17" s="599"/>
      <x:c r="G17" s="599"/>
      <x:c r="H17" s="599"/>
      <x:c r="I17" s="599"/>
      <x:c r="J17" s="599"/>
      <x:c r="K17" s="599"/>
      <x:c r="L17" s="599"/>
      <x:c r="M17" s="599"/>
      <x:c r="N17" s="599"/>
      <x:c r="O17" s="134"/>
      <x:c r="P17" s="132">
        <x:f t="shared" si="0"/>
        <x:v>0</x:v>
      </x:c>
      <x:c r="Q17" s="1319"/>
    </x:row>
    <x:row r="18" spans="1:17" s="127" customFormat="1" ht="14.25">
      <x:c r="A18" s="599" t="s">
        <x:v>2118</x:v>
      </x:c>
      <x:c r="B18" s="599">
        <x:v>47303387</x:v>
      </x:c>
      <x:c r="C18" s="599"/>
      <x:c r="D18" s="599">
        <x:v>43901832</x:v>
      </x:c>
      <x:c r="E18" s="599"/>
      <x:c r="F18" s="599">
        <x:v>33732721</x:v>
      </x:c>
      <x:c r="G18" s="599"/>
      <x:c r="H18" s="599">
        <x:v>7779</x:v>
      </x:c>
      <x:c r="I18" s="599"/>
      <x:c r="J18" s="599">
        <x:v>15773</x:v>
      </x:c>
      <x:c r="K18" s="599"/>
      <x:c r="L18" s="599">
        <x:v>8603</x:v>
      </x:c>
      <x:c r="M18" s="599"/>
      <x:c r="N18" s="599">
        <x:v>0</x:v>
      </x:c>
      <x:c r="O18" s="134"/>
      <x:c r="P18" s="132">
        <x:f t="shared" si="0"/>
        <x:v>124970095</x:v>
      </x:c>
      <x:c r="Q18" s="1319"/>
    </x:row>
    <x:row r="19" spans="1:17" s="127" customFormat="1" ht="14.25">
      <x:c r="A19" s="599"/>
      <x:c r="B19" s="599"/>
      <x:c r="C19" s="599"/>
      <x:c r="D19" s="599"/>
      <x:c r="E19" s="599"/>
      <x:c r="F19" s="599"/>
      <x:c r="G19" s="599"/>
      <x:c r="H19" s="599"/>
      <x:c r="I19" s="599"/>
      <x:c r="J19" s="599"/>
      <x:c r="K19" s="599"/>
      <x:c r="L19" s="599"/>
      <x:c r="M19" s="599"/>
      <x:c r="N19" s="599"/>
      <x:c r="O19" s="134"/>
      <x:c r="P19" s="132">
        <x:f t="shared" si="0"/>
        <x:v>0</x:v>
      </x:c>
      <x:c r="Q19" s="1319"/>
    </x:row>
    <x:row r="20" spans="1:17" s="127" customFormat="1" ht="14.25">
      <x:c r="A20" s="599" t="s">
        <x:v>1539</x:v>
      </x:c>
      <x:c r="B20" s="599">
        <x:v>8100552</x:v>
      </x:c>
      <x:c r="C20" s="599"/>
      <x:c r="D20" s="599">
        <x:v>8034072</x:v>
      </x:c>
      <x:c r="E20" s="599"/>
      <x:c r="F20" s="599">
        <x:v>14017065</x:v>
      </x:c>
      <x:c r="G20" s="599"/>
      <x:c r="H20" s="599"/>
      <x:c r="I20" s="599"/>
      <x:c r="J20" s="599"/>
      <x:c r="K20" s="599"/>
      <x:c r="L20" s="599"/>
      <x:c r="M20" s="599"/>
      <x:c r="N20" s="599">
        <x:v>3886</x:v>
      </x:c>
      <x:c r="O20" s="134"/>
      <x:c r="P20" s="132">
        <x:f t="shared" si="0"/>
        <x:v>30155575</x:v>
      </x:c>
      <x:c r="Q20" s="1319"/>
    </x:row>
    <x:row r="21" spans="1:17" s="127" customFormat="1" ht="14.25">
      <x:c r="A21" s="599"/>
      <x:c r="B21" s="599"/>
      <x:c r="C21" s="599"/>
      <x:c r="D21" s="599"/>
      <x:c r="E21" s="599"/>
      <x:c r="F21" s="599"/>
      <x:c r="G21" s="599"/>
      <x:c r="H21" s="599"/>
      <x:c r="I21" s="599"/>
      <x:c r="J21" s="599"/>
      <x:c r="K21" s="599"/>
      <x:c r="L21" s="599"/>
      <x:c r="M21" s="599"/>
      <x:c r="N21" s="599"/>
      <x:c r="O21" s="134"/>
      <x:c r="P21" s="132">
        <x:f>SUM(B21:N21)</x:f>
        <x:v>0</x:v>
      </x:c>
      <x:c r="Q21" s="1319"/>
    </x:row>
    <x:row r="22" spans="1:17" s="127" customFormat="1" ht="14.25">
      <x:c r="A22" s="599" t="s">
        <x:v>2175</x:v>
      </x:c>
      <x:c r="B22" s="599">
        <x:v>10332715</x:v>
      </x:c>
      <x:c r="C22" s="599"/>
      <x:c r="D22" s="599">
        <x:v>9943385</x:v>
      </x:c>
      <x:c r="E22" s="599"/>
      <x:c r="F22" s="599">
        <x:v>12981796</x:v>
      </x:c>
      <x:c r="G22" s="599"/>
      <x:c r="H22" s="599"/>
      <x:c r="I22" s="599"/>
      <x:c r="J22" s="599"/>
      <x:c r="K22" s="599"/>
      <x:c r="L22" s="599"/>
      <x:c r="M22" s="599"/>
      <x:c r="N22" s="599">
        <x:v>8179</x:v>
      </x:c>
      <x:c r="O22" s="134"/>
      <x:c r="P22" s="132">
        <x:f t="shared" si="0"/>
        <x:v>33266075</x:v>
      </x:c>
      <x:c r="Q22" s="1319"/>
    </x:row>
    <x:row r="23" spans="1:17" s="127" customFormat="1" ht="14.25">
      <x:c r="A23" s="599"/>
      <x:c r="B23" s="599"/>
      <x:c r="C23" s="599"/>
      <x:c r="D23" s="599"/>
      <x:c r="E23" s="599"/>
      <x:c r="F23" s="599"/>
      <x:c r="G23" s="599"/>
      <x:c r="H23" s="599"/>
      <x:c r="I23" s="599"/>
      <x:c r="J23" s="599"/>
      <x:c r="K23" s="599"/>
      <x:c r="L23" s="599"/>
      <x:c r="M23" s="599"/>
      <x:c r="N23" s="599"/>
      <x:c r="O23" s="134"/>
      <x:c r="P23" s="132">
        <x:f t="shared" si="0"/>
        <x:v>0</x:v>
      </x:c>
      <x:c r="Q23" s="1319"/>
    </x:row>
    <x:row r="24" spans="1:17" s="127" customFormat="1" ht="14.25">
      <x:c r="A24" s="599" t="s">
        <x:v>1540</x:v>
      </x:c>
      <x:c r="B24" s="599">
        <x:v>2116908</x:v>
      </x:c>
      <x:c r="C24" s="599"/>
      <x:c r="D24" s="599">
        <x:v>2045920</x:v>
      </x:c>
      <x:c r="E24" s="599"/>
      <x:c r="F24" s="599">
        <x:v>3470878</x:v>
      </x:c>
      <x:c r="G24" s="599"/>
      <x:c r="H24" s="599"/>
      <x:c r="I24" s="599"/>
      <x:c r="J24" s="599"/>
      <x:c r="K24" s="599"/>
      <x:c r="L24" s="599"/>
      <x:c r="M24" s="599"/>
      <x:c r="N24" s="599">
        <x:v>3073</x:v>
      </x:c>
      <x:c r="O24" s="134"/>
      <x:c r="P24" s="132">
        <x:f t="shared" si="0"/>
        <x:v>7636779</x:v>
      </x:c>
      <x:c r="Q24" s="1319"/>
    </x:row>
    <x:row r="25" spans="1:17" s="127" customFormat="1" ht="14.25">
      <x:c r="A25" s="599"/>
      <x:c r="B25" s="599"/>
      <x:c r="C25" s="599"/>
      <x:c r="D25" s="599"/>
      <x:c r="E25" s="599"/>
      <x:c r="F25" s="599"/>
      <x:c r="G25" s="599"/>
      <x:c r="H25" s="599"/>
      <x:c r="I25" s="599"/>
      <x:c r="J25" s="599"/>
      <x:c r="K25" s="599"/>
      <x:c r="L25" s="599"/>
      <x:c r="M25" s="599"/>
      <x:c r="N25" s="599"/>
      <x:c r="O25" s="134"/>
      <x:c r="P25" s="132">
        <x:f t="shared" si="0"/>
        <x:v>0</x:v>
      </x:c>
      <x:c r="Q25" s="1319"/>
    </x:row>
    <x:row r="26" spans="1:17" s="127" customFormat="1" ht="14.25">
      <x:c r="A26" s="599" t="s">
        <x:v>2174</x:v>
      </x:c>
      <x:c r="B26" s="599">
        <x:v>41532141</x:v>
      </x:c>
      <x:c r="C26" s="599"/>
      <x:c r="D26" s="599">
        <x:v>39565092</x:v>
      </x:c>
      <x:c r="E26" s="599"/>
      <x:c r="F26" s="599">
        <x:v>63399538</x:v>
      </x:c>
      <x:c r="G26" s="599"/>
      <x:c r="H26" s="599">
        <x:v>237696</x:v>
      </x:c>
      <x:c r="I26" s="599"/>
      <x:c r="J26" s="599">
        <x:v>174215</x:v>
      </x:c>
      <x:c r="K26" s="599"/>
      <x:c r="L26" s="599">
        <x:v>71732</x:v>
      </x:c>
      <x:c r="M26" s="599"/>
      <x:c r="N26" s="599">
        <x:v>110</x:v>
      </x:c>
      <x:c r="O26" s="134"/>
      <x:c r="P26" s="132">
        <x:f t="shared" si="0"/>
        <x:v>144980524</x:v>
      </x:c>
      <x:c r="Q26" s="1319"/>
    </x:row>
    <x:row r="27" spans="1:17" s="127" customFormat="1" ht="14.25">
      <x:c r="A27" s="599"/>
      <x:c r="B27" s="599"/>
      <x:c r="C27" s="599"/>
      <x:c r="D27" s="599"/>
      <x:c r="E27" s="599"/>
      <x:c r="F27" s="599"/>
      <x:c r="G27" s="599"/>
      <x:c r="H27" s="599"/>
      <x:c r="I27" s="599"/>
      <x:c r="J27" s="599"/>
      <x:c r="K27" s="599"/>
      <x:c r="L27" s="599"/>
      <x:c r="M27" s="599"/>
      <x:c r="N27" s="599"/>
      <x:c r="O27" s="134"/>
      <x:c r="P27" s="132">
        <x:f t="shared" si="0"/>
        <x:v>0</x:v>
      </x:c>
      <x:c r="Q27" s="1319"/>
    </x:row>
    <x:row r="28" spans="1:17" s="127" customFormat="1" ht="14.25">
      <x:c r="A28" s="599" t="s">
        <x:v>1541</x:v>
      </x:c>
      <x:c r="B28" s="1104">
        <x:v>714425</x:v>
      </x:c>
      <x:c r="C28" s="599"/>
      <x:c r="D28" s="599">
        <x:v>504710</x:v>
      </x:c>
      <x:c r="E28" s="599"/>
      <x:c r="F28" s="599">
        <x:v>1482316</x:v>
      </x:c>
      <x:c r="G28" s="599"/>
      <x:c r="H28" s="599"/>
      <x:c r="I28" s="599"/>
      <x:c r="J28" s="599"/>
      <x:c r="K28" s="599"/>
      <x:c r="L28" s="599"/>
      <x:c r="M28" s="599"/>
      <x:c r="N28" s="1104">
        <x:v>188</x:v>
      </x:c>
      <x:c r="O28" s="134"/>
      <x:c r="P28" s="1106">
        <x:f t="shared" si="0"/>
        <x:v>2701639</x:v>
      </x:c>
      <x:c r="Q28" s="1319"/>
    </x:row>
    <x:row r="29" spans="1:17" s="127" customFormat="1">
      <x:c r="A29" s="135"/>
      <x:c r="B29" s="136"/>
      <x:c r="C29" s="136"/>
      <x:c r="D29" s="136"/>
      <x:c r="E29" s="136"/>
      <x:c r="F29" s="136"/>
      <x:c r="G29" s="136"/>
      <x:c r="H29" s="136"/>
      <x:c r="I29" s="136"/>
      <x:c r="J29" s="136"/>
      <x:c r="K29" s="136"/>
      <x:c r="L29" s="136"/>
      <x:c r="M29" s="136"/>
      <x:c r="N29" s="137"/>
      <x:c r="O29" s="137"/>
      <x:c r="P29" s="136"/>
      <x:c r="Q29" s="1320"/>
    </x:row>
    <x:row r="30" spans="1:17" s="127" customFormat="1" ht="13.5" thickBot="1">
      <x:c r="A30" s="135" t="s">
        <x:v>42</x:v>
      </x:c>
      <x:c r="B30" s="138">
        <x:f>SUM(B8:B28)</x:f>
        <x:v>134439064</x:v>
      </x:c>
      <x:c r="C30" s="138"/>
      <x:c r="D30" s="138">
        <x:f t="shared" ref="D30:P30" si="1">SUM(D8:D28)</x:f>
        <x:v>125895720</x:v>
      </x:c>
      <x:c r="E30" s="138"/>
      <x:c r="F30" s="138">
        <x:f t="shared" si="1"/>
        <x:v>171283887</x:v>
      </x:c>
      <x:c r="G30" s="138"/>
      <x:c r="H30" s="138">
        <x:f t="shared" si="1"/>
        <x:v>245475</x:v>
      </x:c>
      <x:c r="I30" s="138"/>
      <x:c r="J30" s="138">
        <x:f t="shared" si="1"/>
        <x:v>209858</x:v>
      </x:c>
      <x:c r="K30" s="138"/>
      <x:c r="L30" s="138">
        <x:f t="shared" si="1"/>
        <x:v>139393</x:v>
      </x:c>
      <x:c r="M30" s="138"/>
      <x:c r="N30" s="138">
        <x:f t="shared" si="1"/>
        <x:v>6012836</x:v>
      </x:c>
      <x:c r="O30" s="138"/>
      <x:c r="P30" s="138">
        <x:f t="shared" si="1"/>
        <x:v>438226233</x:v>
      </x:c>
      <x:c r="Q30" s="1320"/>
    </x:row>
    <x:row r="31" spans="1:17" s="127" customFormat="1" ht="13.5" thickTop="1">
      <x:c r="B31" s="136"/>
      <x:c r="C31" s="136"/>
      <x:c r="D31" s="136"/>
      <x:c r="E31" s="136"/>
      <x:c r="F31" s="136"/>
      <x:c r="G31" s="136"/>
      <x:c r="H31" s="136"/>
      <x:c r="I31" s="136"/>
      <x:c r="J31" s="136"/>
      <x:c r="K31" s="136"/>
      <x:c r="L31" s="136"/>
      <x:c r="M31" s="136"/>
      <x:c r="N31" s="137" t="s">
        <x:v>83</x:v>
      </x:c>
      <x:c r="O31" s="137"/>
      <x:c r="P31" s="136"/>
      <x:c r="Q31" s="1318"/>
    </x:row>
    <x:row r="32" spans="1:17" s="127" customFormat="1">
      <x:c r="B32" s="1022"/>
      <x:c r="C32" s="136"/>
      <x:c r="D32" s="136"/>
      <x:c r="E32" s="136"/>
      <x:c r="F32" s="136"/>
      <x:c r="G32" s="136"/>
      <x:c r="H32" s="136"/>
      <x:c r="I32" s="136"/>
      <x:c r="J32" s="136"/>
      <x:c r="K32" s="136"/>
      <x:c r="L32" s="136"/>
      <x:c r="M32" s="136"/>
      <x:c r="N32" s="137"/>
      <x:c r="O32" s="137"/>
      <x:c r="P32" s="136"/>
      <x:c r="Q32" s="1318"/>
    </x:row>
    <x:row r="33" spans="2:17" s="127" customFormat="1">
      <x:c r="B33" s="136"/>
      <x:c r="C33" s="136"/>
      <x:c r="D33" s="136"/>
      <x:c r="E33" s="136"/>
      <x:c r="F33" s="136"/>
      <x:c r="G33" s="136"/>
      <x:c r="H33" s="136"/>
      <x:c r="I33" s="136"/>
      <x:c r="J33" s="136"/>
      <x:c r="K33" s="136"/>
      <x:c r="L33" s="136"/>
      <x:c r="M33" s="136"/>
      <x:c r="N33" s="137"/>
      <x:c r="O33" s="137"/>
      <x:c r="P33" s="136"/>
      <x:c r="Q33" s="1318"/>
    </x:row>
    <x:row r="34" spans="2:17" s="127" customFormat="1">
      <x:c r="B34" s="136"/>
      <x:c r="C34" s="136"/>
      <x:c r="D34" s="136"/>
      <x:c r="E34" s="136"/>
      <x:c r="F34" s="136"/>
      <x:c r="G34" s="136"/>
      <x:c r="H34" s="136"/>
      <x:c r="I34" s="136"/>
      <x:c r="J34" s="136"/>
      <x:c r="K34" s="136"/>
      <x:c r="L34" s="136"/>
      <x:c r="M34" s="136"/>
      <x:c r="N34" s="137"/>
      <x:c r="O34" s="137"/>
      <x:c r="P34" s="136"/>
      <x:c r="Q34" s="1318"/>
    </x:row>
    <x:row r="35" spans="2:17" s="127" customFormat="1">
      <x:c r="B35" s="136"/>
      <x:c r="C35" s="136"/>
      <x:c r="D35" s="136"/>
      <x:c r="E35" s="136"/>
      <x:c r="F35" s="136"/>
      <x:c r="G35" s="136"/>
      <x:c r="H35" s="136"/>
      <x:c r="I35" s="136"/>
      <x:c r="J35" s="136"/>
      <x:c r="K35" s="136"/>
      <x:c r="L35" s="136"/>
      <x:c r="M35" s="136"/>
      <x:c r="N35" s="137"/>
      <x:c r="O35" s="137"/>
      <x:c r="P35" s="136"/>
      <x:c r="Q35" s="1318"/>
    </x:row>
    <x:row r="36" spans="2:17" s="127" customFormat="1">
      <x:c r="B36" s="136"/>
      <x:c r="C36" s="136"/>
      <x:c r="D36" s="136"/>
      <x:c r="E36" s="136"/>
      <x:c r="F36" s="136"/>
      <x:c r="G36" s="136"/>
      <x:c r="H36" s="136"/>
      <x:c r="I36" s="136"/>
      <x:c r="J36" s="136"/>
      <x:c r="K36" s="136"/>
      <x:c r="L36" s="136"/>
      <x:c r="M36" s="136"/>
      <x:c r="N36" s="137"/>
      <x:c r="O36" s="137"/>
      <x:c r="P36" s="136"/>
      <x:c r="Q36" s="1318"/>
    </x:row>
    <x:row r="37" spans="2:17" s="127" customFormat="1">
      <x:c r="B37" s="136"/>
      <x:c r="C37" s="136"/>
      <x:c r="D37" s="136"/>
      <x:c r="E37" s="136"/>
      <x:c r="F37" s="136"/>
      <x:c r="G37" s="136"/>
      <x:c r="H37" s="136"/>
      <x:c r="I37" s="136"/>
      <x:c r="J37" s="136"/>
      <x:c r="K37" s="136"/>
      <x:c r="L37" s="136"/>
      <x:c r="M37" s="136"/>
      <x:c r="N37" s="137"/>
      <x:c r="O37" s="137"/>
      <x:c r="P37" s="136"/>
      <x:c r="Q37" s="1318"/>
    </x:row>
    <x:row r="38" spans="2:17" s="127" customFormat="1">
      <x:c r="B38" s="136"/>
      <x:c r="C38" s="136"/>
      <x:c r="D38" s="136"/>
      <x:c r="E38" s="136"/>
      <x:c r="F38" s="136"/>
      <x:c r="G38" s="136"/>
      <x:c r="H38" s="136"/>
      <x:c r="I38" s="136"/>
      <x:c r="J38" s="136"/>
      <x:c r="K38" s="136"/>
      <x:c r="L38" s="136"/>
      <x:c r="M38" s="136"/>
      <x:c r="N38" s="137"/>
      <x:c r="O38" s="137"/>
      <x:c r="P38" s="136"/>
      <x:c r="Q38" s="1318"/>
    </x:row>
    <x:row r="39" spans="2:17" s="127" customFormat="1">
      <x:c r="B39" s="136"/>
      <x:c r="C39" s="136"/>
      <x:c r="D39" s="136"/>
      <x:c r="E39" s="136"/>
      <x:c r="F39" s="136"/>
      <x:c r="G39" s="136"/>
      <x:c r="H39" s="136"/>
      <x:c r="I39" s="136"/>
      <x:c r="J39" s="136"/>
      <x:c r="K39" s="136"/>
      <x:c r="L39" s="136"/>
      <x:c r="M39" s="136"/>
      <x:c r="N39" s="137"/>
      <x:c r="O39" s="137"/>
      <x:c r="P39" s="136"/>
      <x:c r="Q39" s="1318"/>
    </x:row>
    <x:row r="40" spans="2:17" s="127" customFormat="1">
      <x:c r="B40" s="136"/>
      <x:c r="C40" s="136"/>
      <x:c r="D40" s="136"/>
      <x:c r="E40" s="136"/>
      <x:c r="F40" s="136"/>
      <x:c r="G40" s="136"/>
      <x:c r="H40" s="136"/>
      <x:c r="I40" s="136"/>
      <x:c r="J40" s="136"/>
      <x:c r="K40" s="136"/>
      <x:c r="L40" s="136"/>
      <x:c r="M40" s="136"/>
      <x:c r="N40" s="137"/>
      <x:c r="O40" s="137"/>
      <x:c r="P40" s="136"/>
      <x:c r="Q40" s="1318"/>
    </x:row>
    <x:row r="41" spans="2:17" s="127" customFormat="1">
      <x:c r="B41" s="136"/>
      <x:c r="C41" s="136"/>
      <x:c r="D41" s="136"/>
      <x:c r="E41" s="136"/>
      <x:c r="F41" s="136"/>
      <x:c r="G41" s="136"/>
      <x:c r="H41" s="136"/>
      <x:c r="I41" s="136"/>
      <x:c r="J41" s="136"/>
      <x:c r="K41" s="136"/>
      <x:c r="L41" s="136"/>
      <x:c r="M41" s="136"/>
      <x:c r="N41" s="137"/>
      <x:c r="O41" s="137"/>
      <x:c r="P41" s="136"/>
      <x:c r="Q41" s="1321"/>
    </x:row>
    <x:row r="42" spans="2:17" s="127" customFormat="1">
      <x:c r="B42" s="136"/>
      <x:c r="C42" s="136"/>
      <x:c r="D42" s="136"/>
      <x:c r="E42" s="136"/>
      <x:c r="F42" s="136"/>
      <x:c r="G42" s="136"/>
      <x:c r="H42" s="136"/>
      <x:c r="I42" s="136"/>
      <x:c r="J42" s="136"/>
      <x:c r="K42" s="136"/>
      <x:c r="L42" s="136"/>
      <x:c r="M42" s="136"/>
      <x:c r="N42" s="137"/>
      <x:c r="O42" s="137"/>
      <x:c r="P42" s="136"/>
      <x:c r="Q42" s="1318"/>
    </x:row>
    <x:row r="43" spans="2:17" s="127" customFormat="1">
      <x:c r="B43" s="136"/>
      <x:c r="C43" s="136"/>
      <x:c r="D43" s="136"/>
      <x:c r="E43" s="136"/>
      <x:c r="F43" s="136"/>
      <x:c r="G43" s="136"/>
      <x:c r="H43" s="136"/>
      <x:c r="I43" s="136"/>
      <x:c r="J43" s="136"/>
      <x:c r="K43" s="136"/>
      <x:c r="L43" s="136"/>
      <x:c r="M43" s="136"/>
      <x:c r="N43" s="137"/>
      <x:c r="O43" s="137"/>
      <x:c r="P43" s="136"/>
      <x:c r="Q43" s="1318"/>
    </x:row>
    <x:row r="44" spans="2:17" s="127" customFormat="1">
      <x:c r="B44" s="136"/>
      <x:c r="C44" s="136"/>
      <x:c r="D44" s="136"/>
      <x:c r="E44" s="136"/>
      <x:c r="F44" s="136"/>
      <x:c r="G44" s="136"/>
      <x:c r="H44" s="136"/>
      <x:c r="I44" s="136"/>
      <x:c r="J44" s="136"/>
      <x:c r="K44" s="136"/>
      <x:c r="L44" s="136"/>
      <x:c r="M44" s="136"/>
      <x:c r="N44" s="137"/>
      <x:c r="O44" s="137"/>
      <x:c r="P44" s="136"/>
      <x:c r="Q44" s="1318"/>
    </x:row>
    <x:row r="45" spans="2:17" s="127" customFormat="1">
      <x:c r="B45" s="136"/>
      <x:c r="C45" s="136"/>
      <x:c r="D45" s="136"/>
      <x:c r="E45" s="136"/>
      <x:c r="F45" s="136"/>
      <x:c r="G45" s="136"/>
      <x:c r="H45" s="136"/>
      <x:c r="I45" s="136"/>
      <x:c r="J45" s="136"/>
      <x:c r="K45" s="136"/>
      <x:c r="L45" s="136"/>
      <x:c r="M45" s="136"/>
      <x:c r="N45" s="137"/>
      <x:c r="O45" s="137"/>
      <x:c r="P45" s="136"/>
      <x:c r="Q45" s="1318"/>
    </x:row>
    <x:row r="46" spans="2:17" s="127" customFormat="1">
      <x:c r="B46" s="136"/>
      <x:c r="C46" s="136"/>
      <x:c r="D46" s="136"/>
      <x:c r="E46" s="136"/>
      <x:c r="F46" s="136"/>
      <x:c r="G46" s="136"/>
      <x:c r="H46" s="136"/>
      <x:c r="I46" s="136"/>
      <x:c r="J46" s="136"/>
      <x:c r="K46" s="136"/>
      <x:c r="L46" s="136"/>
      <x:c r="M46" s="136"/>
      <x:c r="N46" s="137"/>
      <x:c r="O46" s="137"/>
      <x:c r="P46" s="136"/>
      <x:c r="Q46" s="1318"/>
    </x:row>
    <x:row r="47" spans="2:17" s="127" customFormat="1">
      <x:c r="B47" s="136"/>
      <x:c r="C47" s="136"/>
      <x:c r="D47" s="136"/>
      <x:c r="E47" s="136"/>
      <x:c r="F47" s="136"/>
      <x:c r="G47" s="136"/>
      <x:c r="H47" s="136"/>
      <x:c r="I47" s="136"/>
      <x:c r="J47" s="136"/>
      <x:c r="K47" s="136"/>
      <x:c r="L47" s="136"/>
      <x:c r="M47" s="136"/>
      <x:c r="N47" s="137"/>
      <x:c r="O47" s="137"/>
      <x:c r="P47" s="136"/>
      <x:c r="Q47" s="1318"/>
    </x:row>
    <x:row r="48" spans="2:17" s="127" customFormat="1">
      <x:c r="B48" s="136"/>
      <x:c r="C48" s="136"/>
      <x:c r="D48" s="136"/>
      <x:c r="E48" s="136"/>
      <x:c r="F48" s="136"/>
      <x:c r="G48" s="136"/>
      <x:c r="H48" s="136"/>
      <x:c r="I48" s="136"/>
      <x:c r="J48" s="136"/>
      <x:c r="K48" s="136"/>
      <x:c r="L48" s="136"/>
      <x:c r="M48" s="136"/>
      <x:c r="N48" s="137"/>
      <x:c r="O48" s="137"/>
      <x:c r="P48" s="136"/>
      <x:c r="Q48" s="1318"/>
    </x:row>
    <x:row r="49" spans="2:17" s="127" customFormat="1">
      <x:c r="B49" s="136"/>
      <x:c r="C49" s="136"/>
      <x:c r="D49" s="136"/>
      <x:c r="E49" s="136"/>
      <x:c r="F49" s="136"/>
      <x:c r="G49" s="136"/>
      <x:c r="H49" s="136"/>
      <x:c r="I49" s="136"/>
      <x:c r="J49" s="136"/>
      <x:c r="K49" s="136"/>
      <x:c r="L49" s="136"/>
      <x:c r="M49" s="136"/>
      <x:c r="N49" s="137"/>
      <x:c r="O49" s="137"/>
      <x:c r="P49" s="136"/>
      <x:c r="Q49" s="1318"/>
    </x:row>
    <x:row r="50" spans="2:17" s="127" customFormat="1">
      <x:c r="B50" s="136"/>
      <x:c r="C50" s="136"/>
      <x:c r="D50" s="136"/>
      <x:c r="E50" s="136"/>
      <x:c r="F50" s="136"/>
      <x:c r="G50" s="136"/>
      <x:c r="H50" s="136"/>
      <x:c r="I50" s="136"/>
      <x:c r="J50" s="136"/>
      <x:c r="K50" s="136"/>
      <x:c r="L50" s="136"/>
      <x:c r="M50" s="136"/>
      <x:c r="N50" s="137"/>
      <x:c r="O50" s="137"/>
      <x:c r="P50" s="136"/>
      <x:c r="Q50" s="1318"/>
    </x:row>
    <x:row r="51" spans="2:17" s="127" customFormat="1">
      <x:c r="B51" s="136"/>
      <x:c r="C51" s="136"/>
      <x:c r="D51" s="136"/>
      <x:c r="E51" s="136"/>
      <x:c r="F51" s="136"/>
      <x:c r="G51" s="136"/>
      <x:c r="H51" s="136"/>
      <x:c r="I51" s="136"/>
      <x:c r="J51" s="136"/>
      <x:c r="K51" s="136"/>
      <x:c r="L51" s="136"/>
      <x:c r="M51" s="136"/>
      <x:c r="N51" s="137"/>
      <x:c r="O51" s="137"/>
      <x:c r="P51" s="136"/>
      <x:c r="Q51" s="1318"/>
    </x:row>
    <x:row r="52" spans="2:17" s="127" customFormat="1">
      <x:c r="B52" s="136"/>
      <x:c r="C52" s="136"/>
      <x:c r="D52" s="136"/>
      <x:c r="E52" s="136"/>
      <x:c r="F52" s="136"/>
      <x:c r="G52" s="136"/>
      <x:c r="H52" s="136"/>
      <x:c r="I52" s="136"/>
      <x:c r="J52" s="136"/>
      <x:c r="K52" s="136"/>
      <x:c r="L52" s="136"/>
      <x:c r="M52" s="136"/>
      <x:c r="N52" s="137"/>
      <x:c r="O52" s="137"/>
      <x:c r="P52" s="136"/>
      <x:c r="Q52" s="1318"/>
    </x:row>
    <x:row r="53" spans="2:17" s="127" customFormat="1">
      <x:c r="B53" s="136"/>
      <x:c r="C53" s="136"/>
      <x:c r="D53" s="136"/>
      <x:c r="E53" s="136"/>
      <x:c r="F53" s="136"/>
      <x:c r="G53" s="136"/>
      <x:c r="H53" s="136"/>
      <x:c r="I53" s="136"/>
      <x:c r="J53" s="136"/>
      <x:c r="K53" s="136"/>
      <x:c r="L53" s="136"/>
      <x:c r="M53" s="136"/>
      <x:c r="N53" s="137"/>
      <x:c r="O53" s="137"/>
      <x:c r="P53" s="136"/>
      <x:c r="Q53" s="1318"/>
    </x:row>
    <x:row r="54" spans="2:17" s="127" customFormat="1">
      <x:c r="B54" s="136"/>
      <x:c r="C54" s="136"/>
      <x:c r="D54" s="136"/>
      <x:c r="E54" s="136"/>
      <x:c r="F54" s="136"/>
      <x:c r="G54" s="136"/>
      <x:c r="H54" s="136"/>
      <x:c r="I54" s="136"/>
      <x:c r="J54" s="136"/>
      <x:c r="K54" s="136"/>
      <x:c r="L54" s="136"/>
      <x:c r="M54" s="136"/>
      <x:c r="N54" s="137"/>
      <x:c r="O54" s="137"/>
      <x:c r="P54" s="136"/>
      <x:c r="Q54" s="1318"/>
    </x:row>
    <x:row r="55" spans="2:17" s="127" customFormat="1">
      <x:c r="B55" s="136"/>
      <x:c r="C55" s="136"/>
      <x:c r="D55" s="136"/>
      <x:c r="E55" s="136"/>
      <x:c r="F55" s="136"/>
      <x:c r="G55" s="136"/>
      <x:c r="H55" s="136"/>
      <x:c r="I55" s="136"/>
      <x:c r="J55" s="136"/>
      <x:c r="K55" s="136"/>
      <x:c r="L55" s="136"/>
      <x:c r="M55" s="136"/>
      <x:c r="N55" s="137"/>
      <x:c r="O55" s="137"/>
      <x:c r="P55" s="136"/>
      <x:c r="Q55" s="1318"/>
    </x:row>
    <x:row r="56" spans="2:17" s="127" customFormat="1">
      <x:c r="B56" s="136"/>
      <x:c r="C56" s="136"/>
      <x:c r="D56" s="136"/>
      <x:c r="E56" s="136"/>
      <x:c r="F56" s="136"/>
      <x:c r="G56" s="136"/>
      <x:c r="H56" s="136"/>
      <x:c r="I56" s="136"/>
      <x:c r="J56" s="136"/>
      <x:c r="K56" s="136"/>
      <x:c r="L56" s="136"/>
      <x:c r="M56" s="136"/>
      <x:c r="N56" s="137"/>
      <x:c r="O56" s="137"/>
      <x:c r="P56" s="136"/>
      <x:c r="Q56" s="1318"/>
    </x:row>
    <x:row r="57" spans="2:17" s="127" customFormat="1">
      <x:c r="B57" s="136"/>
      <x:c r="C57" s="136"/>
      <x:c r="D57" s="136"/>
      <x:c r="E57" s="136"/>
      <x:c r="F57" s="136"/>
      <x:c r="G57" s="136"/>
      <x:c r="H57" s="136"/>
      <x:c r="I57" s="136"/>
      <x:c r="J57" s="136"/>
      <x:c r="K57" s="136"/>
      <x:c r="L57" s="136"/>
      <x:c r="M57" s="136"/>
      <x:c r="N57" s="137"/>
      <x:c r="O57" s="137"/>
      <x:c r="P57" s="136"/>
      <x:c r="Q57" s="1318"/>
    </x:row>
    <x:row r="58" spans="2:17" s="127" customFormat="1">
      <x:c r="B58" s="136"/>
      <x:c r="C58" s="136"/>
      <x:c r="D58" s="136"/>
      <x:c r="E58" s="136"/>
      <x:c r="F58" s="136"/>
      <x:c r="G58" s="136"/>
      <x:c r="H58" s="136"/>
      <x:c r="I58" s="136"/>
      <x:c r="J58" s="136"/>
      <x:c r="K58" s="136"/>
      <x:c r="L58" s="136"/>
      <x:c r="M58" s="136"/>
      <x:c r="N58" s="137"/>
      <x:c r="O58" s="137"/>
      <x:c r="P58" s="136"/>
      <x:c r="Q58" s="1318"/>
    </x:row>
    <x:row r="59" spans="2:17" s="127" customFormat="1">
      <x:c r="B59" s="136"/>
      <x:c r="C59" s="136"/>
      <x:c r="D59" s="136"/>
      <x:c r="E59" s="136"/>
      <x:c r="F59" s="136"/>
      <x:c r="G59" s="136"/>
      <x:c r="H59" s="136"/>
      <x:c r="I59" s="136"/>
      <x:c r="J59" s="136"/>
      <x:c r="K59" s="136"/>
      <x:c r="L59" s="136"/>
      <x:c r="M59" s="136"/>
      <x:c r="N59" s="137"/>
      <x:c r="O59" s="137"/>
      <x:c r="P59" s="136"/>
      <x:c r="Q59" s="1318"/>
    </x:row>
    <x:row r="60" spans="2:17" s="127" customFormat="1">
      <x:c r="B60" s="136"/>
      <x:c r="C60" s="136"/>
      <x:c r="D60" s="136"/>
      <x:c r="E60" s="136"/>
      <x:c r="F60" s="136"/>
      <x:c r="G60" s="136"/>
      <x:c r="H60" s="136"/>
      <x:c r="I60" s="136"/>
      <x:c r="J60" s="136"/>
      <x:c r="K60" s="136"/>
      <x:c r="L60" s="136"/>
      <x:c r="M60" s="136"/>
      <x:c r="N60" s="137"/>
      <x:c r="O60" s="137"/>
      <x:c r="P60" s="136"/>
      <x:c r="Q60" s="1318"/>
    </x:row>
    <x:row r="61" spans="2:17" s="127" customFormat="1">
      <x:c r="B61" s="136"/>
      <x:c r="C61" s="136"/>
      <x:c r="D61" s="136"/>
      <x:c r="E61" s="136"/>
      <x:c r="F61" s="136"/>
      <x:c r="G61" s="136"/>
      <x:c r="H61" s="136"/>
      <x:c r="I61" s="136"/>
      <x:c r="J61" s="136"/>
      <x:c r="K61" s="136"/>
      <x:c r="L61" s="136"/>
      <x:c r="M61" s="136"/>
      <x:c r="N61" s="137"/>
      <x:c r="O61" s="137"/>
      <x:c r="P61" s="136"/>
      <x:c r="Q61" s="1318"/>
    </x:row>
    <x:row r="62" spans="2:17" s="127" customFormat="1">
      <x:c r="B62" s="136"/>
      <x:c r="C62" s="136"/>
      <x:c r="D62" s="136"/>
      <x:c r="E62" s="136"/>
      <x:c r="F62" s="136"/>
      <x:c r="G62" s="136"/>
      <x:c r="H62" s="136"/>
      <x:c r="I62" s="136"/>
      <x:c r="J62" s="136"/>
      <x:c r="K62" s="136"/>
      <x:c r="L62" s="136"/>
      <x:c r="M62" s="136"/>
      <x:c r="N62" s="137"/>
      <x:c r="O62" s="137"/>
      <x:c r="P62" s="136"/>
      <x:c r="Q62" s="1318"/>
    </x:row>
    <x:row r="63" spans="2:17" s="127" customFormat="1">
      <x:c r="B63" s="136"/>
      <x:c r="C63" s="136"/>
      <x:c r="D63" s="136"/>
      <x:c r="E63" s="136"/>
      <x:c r="F63" s="136"/>
      <x:c r="G63" s="136"/>
      <x:c r="H63" s="136"/>
      <x:c r="I63" s="136"/>
      <x:c r="J63" s="136"/>
      <x:c r="K63" s="136"/>
      <x:c r="L63" s="136"/>
      <x:c r="M63" s="136"/>
      <x:c r="N63" s="137"/>
      <x:c r="O63" s="137"/>
      <x:c r="P63" s="136"/>
      <x:c r="Q63" s="1318"/>
    </x:row>
    <x:row r="64" spans="2:17" s="127" customFormat="1">
      <x:c r="B64" s="136"/>
      <x:c r="C64" s="136"/>
      <x:c r="D64" s="136"/>
      <x:c r="E64" s="136"/>
      <x:c r="F64" s="136"/>
      <x:c r="G64" s="136"/>
      <x:c r="H64" s="136"/>
      <x:c r="I64" s="136"/>
      <x:c r="J64" s="136"/>
      <x:c r="K64" s="136"/>
      <x:c r="L64" s="136"/>
      <x:c r="M64" s="136"/>
      <x:c r="N64" s="137"/>
      <x:c r="O64" s="137"/>
      <x:c r="P64" s="136"/>
      <x:c r="Q64" s="1318"/>
    </x:row>
    <x:row r="65" spans="2:17" s="127" customFormat="1">
      <x:c r="B65" s="136"/>
      <x:c r="C65" s="136"/>
      <x:c r="D65" s="136"/>
      <x:c r="E65" s="136"/>
      <x:c r="F65" s="136"/>
      <x:c r="G65" s="136"/>
      <x:c r="H65" s="136"/>
      <x:c r="I65" s="136"/>
      <x:c r="J65" s="136"/>
      <x:c r="K65" s="136"/>
      <x:c r="L65" s="136"/>
      <x:c r="M65" s="136"/>
      <x:c r="N65" s="137"/>
      <x:c r="O65" s="137"/>
      <x:c r="P65" s="136"/>
      <x:c r="Q65" s="1318"/>
    </x:row>
    <x:row r="66" spans="2:17" s="127" customFormat="1">
      <x:c r="B66" s="136"/>
      <x:c r="C66" s="136"/>
      <x:c r="D66" s="136"/>
      <x:c r="E66" s="136"/>
      <x:c r="F66" s="136"/>
      <x:c r="G66" s="136"/>
      <x:c r="H66" s="136"/>
      <x:c r="I66" s="136"/>
      <x:c r="J66" s="136"/>
      <x:c r="K66" s="136"/>
      <x:c r="L66" s="136"/>
      <x:c r="M66" s="136"/>
      <x:c r="N66" s="137"/>
      <x:c r="O66" s="137"/>
      <x:c r="P66" s="136"/>
      <x:c r="Q66" s="1318"/>
    </x:row>
    <x:row r="67" spans="2:17" s="127" customFormat="1">
      <x:c r="B67" s="136"/>
      <x:c r="C67" s="136"/>
      <x:c r="D67" s="136"/>
      <x:c r="E67" s="136"/>
      <x:c r="F67" s="136"/>
      <x:c r="G67" s="136"/>
      <x:c r="H67" s="136"/>
      <x:c r="I67" s="136"/>
      <x:c r="J67" s="136"/>
      <x:c r="K67" s="136"/>
      <x:c r="L67" s="136"/>
      <x:c r="M67" s="136"/>
      <x:c r="N67" s="137"/>
      <x:c r="O67" s="137"/>
      <x:c r="P67" s="136"/>
      <x:c r="Q67" s="1318"/>
    </x:row>
    <x:row r="68" spans="2:17" s="127" customFormat="1">
      <x:c r="B68" s="136"/>
      <x:c r="C68" s="136"/>
      <x:c r="D68" s="136"/>
      <x:c r="E68" s="136"/>
      <x:c r="F68" s="136"/>
      <x:c r="G68" s="136"/>
      <x:c r="H68" s="136"/>
      <x:c r="I68" s="136"/>
      <x:c r="J68" s="136"/>
      <x:c r="K68" s="136"/>
      <x:c r="L68" s="136"/>
      <x:c r="M68" s="136"/>
      <x:c r="N68" s="137"/>
      <x:c r="O68" s="137"/>
      <x:c r="P68" s="136"/>
      <x:c r="Q68" s="1318"/>
    </x:row>
    <x:row r="69" spans="2:17" s="127" customFormat="1">
      <x:c r="B69" s="136"/>
      <x:c r="C69" s="136"/>
      <x:c r="D69" s="136"/>
      <x:c r="E69" s="136"/>
      <x:c r="F69" s="136"/>
      <x:c r="G69" s="136"/>
      <x:c r="H69" s="136"/>
      <x:c r="I69" s="136"/>
      <x:c r="J69" s="136"/>
      <x:c r="K69" s="136"/>
      <x:c r="L69" s="136"/>
      <x:c r="M69" s="136"/>
      <x:c r="N69" s="137"/>
      <x:c r="O69" s="137"/>
      <x:c r="P69" s="136"/>
      <x:c r="Q69" s="1318"/>
    </x:row>
    <x:row r="70" spans="2:17" s="127" customFormat="1">
      <x:c r="B70" s="136"/>
      <x:c r="C70" s="136"/>
      <x:c r="D70" s="136"/>
      <x:c r="E70" s="136"/>
      <x:c r="F70" s="136"/>
      <x:c r="G70" s="136"/>
      <x:c r="H70" s="136"/>
      <x:c r="I70" s="136"/>
      <x:c r="J70" s="136"/>
      <x:c r="K70" s="136"/>
      <x:c r="L70" s="136"/>
      <x:c r="M70" s="136"/>
      <x:c r="N70" s="137"/>
      <x:c r="O70" s="137"/>
      <x:c r="P70" s="136"/>
      <x:c r="Q70" s="1318"/>
    </x:row>
    <x:row r="71" spans="2:17" s="127" customFormat="1">
      <x:c r="B71" s="136"/>
      <x:c r="C71" s="136"/>
      <x:c r="D71" s="136"/>
      <x:c r="E71" s="136"/>
      <x:c r="F71" s="136"/>
      <x:c r="G71" s="136"/>
      <x:c r="H71" s="136"/>
      <x:c r="I71" s="136"/>
      <x:c r="J71" s="136"/>
      <x:c r="K71" s="136"/>
      <x:c r="L71" s="136"/>
      <x:c r="M71" s="136"/>
      <x:c r="N71" s="137"/>
      <x:c r="O71" s="137"/>
      <x:c r="P71" s="136"/>
      <x:c r="Q71" s="1318"/>
    </x:row>
    <x:row r="72" spans="2:17" s="127" customFormat="1">
      <x:c r="B72" s="136"/>
      <x:c r="C72" s="136"/>
      <x:c r="D72" s="136"/>
      <x:c r="E72" s="136"/>
      <x:c r="F72" s="136"/>
      <x:c r="G72" s="136"/>
      <x:c r="H72" s="136"/>
      <x:c r="I72" s="136"/>
      <x:c r="J72" s="136"/>
      <x:c r="K72" s="136"/>
      <x:c r="L72" s="136"/>
      <x:c r="M72" s="136"/>
      <x:c r="N72" s="137"/>
      <x:c r="O72" s="137"/>
      <x:c r="P72" s="136"/>
      <x:c r="Q72" s="1318"/>
    </x:row>
    <x:row r="73" spans="2:17" s="127" customFormat="1">
      <x:c r="B73" s="136"/>
      <x:c r="C73" s="136"/>
      <x:c r="D73" s="136"/>
      <x:c r="E73" s="136"/>
      <x:c r="F73" s="136"/>
      <x:c r="G73" s="136"/>
      <x:c r="H73" s="136"/>
      <x:c r="I73" s="136"/>
      <x:c r="J73" s="136"/>
      <x:c r="K73" s="136"/>
      <x:c r="L73" s="136"/>
      <x:c r="M73" s="136"/>
      <x:c r="N73" s="137"/>
      <x:c r="O73" s="137"/>
      <x:c r="P73" s="136"/>
      <x:c r="Q73" s="1318"/>
    </x:row>
    <x:row r="74" spans="2:17" s="127" customFormat="1">
      <x:c r="B74" s="136"/>
      <x:c r="C74" s="136"/>
      <x:c r="D74" s="136"/>
      <x:c r="E74" s="136"/>
      <x:c r="F74" s="136"/>
      <x:c r="G74" s="136"/>
      <x:c r="H74" s="136"/>
      <x:c r="I74" s="136"/>
      <x:c r="J74" s="136"/>
      <x:c r="K74" s="136"/>
      <x:c r="L74" s="136"/>
      <x:c r="M74" s="136"/>
      <x:c r="N74" s="137"/>
      <x:c r="O74" s="137"/>
      <x:c r="P74" s="136"/>
      <x:c r="Q74" s="1318"/>
    </x:row>
    <x:row r="75" spans="2:17" s="127" customFormat="1">
      <x:c r="B75" s="136"/>
      <x:c r="C75" s="136"/>
      <x:c r="D75" s="136"/>
      <x:c r="E75" s="136"/>
      <x:c r="F75" s="136"/>
      <x:c r="G75" s="136"/>
      <x:c r="H75" s="136"/>
      <x:c r="I75" s="136"/>
      <x:c r="J75" s="136"/>
      <x:c r="K75" s="136"/>
      <x:c r="L75" s="136"/>
      <x:c r="M75" s="136"/>
      <x:c r="N75" s="137"/>
      <x:c r="O75" s="137"/>
      <x:c r="P75" s="136"/>
      <x:c r="Q75" s="1318"/>
    </x:row>
    <x:row r="76" spans="2:17" s="127" customFormat="1">
      <x:c r="B76" s="136"/>
      <x:c r="C76" s="136"/>
      <x:c r="D76" s="136"/>
      <x:c r="E76" s="136"/>
      <x:c r="F76" s="136"/>
      <x:c r="G76" s="136"/>
      <x:c r="H76" s="136"/>
      <x:c r="I76" s="136"/>
      <x:c r="J76" s="136"/>
      <x:c r="K76" s="136"/>
      <x:c r="L76" s="136"/>
      <x:c r="M76" s="136"/>
      <x:c r="N76" s="137"/>
      <x:c r="O76" s="137"/>
      <x:c r="P76" s="136"/>
      <x:c r="Q76" s="1318"/>
    </x:row>
    <x:row r="77" spans="2:17" s="127" customFormat="1" ht="15.75" customHeight="1">
      <x:c r="B77" s="136"/>
      <x:c r="C77" s="136"/>
      <x:c r="D77" s="136"/>
      <x:c r="E77" s="136"/>
      <x:c r="F77" s="136"/>
      <x:c r="G77" s="136"/>
      <x:c r="H77" s="136"/>
      <x:c r="I77" s="136"/>
      <x:c r="J77" s="136"/>
      <x:c r="K77" s="136"/>
      <x:c r="L77" s="136"/>
      <x:c r="M77" s="136"/>
      <x:c r="N77" s="137"/>
      <x:c r="O77" s="137"/>
      <x:c r="P77" s="136"/>
      <x:c r="Q77" s="1318"/>
    </x:row>
    <x:row r="78" spans="2:17" s="127" customFormat="1">
      <x:c r="B78" s="136"/>
      <x:c r="C78" s="136"/>
      <x:c r="D78" s="136"/>
      <x:c r="E78" s="136"/>
      <x:c r="F78" s="136"/>
      <x:c r="G78" s="136"/>
      <x:c r="H78" s="136"/>
      <x:c r="I78" s="136"/>
      <x:c r="J78" s="136"/>
      <x:c r="K78" s="136"/>
      <x:c r="L78" s="136"/>
      <x:c r="M78" s="136"/>
      <x:c r="N78" s="137"/>
      <x:c r="O78" s="137"/>
      <x:c r="P78" s="136"/>
      <x:c r="Q78" s="1318"/>
    </x:row>
    <x:row r="79" spans="2:17" s="127" customFormat="1">
      <x:c r="B79" s="136"/>
      <x:c r="C79" s="136"/>
      <x:c r="D79" s="136"/>
      <x:c r="E79" s="136"/>
      <x:c r="F79" s="136"/>
      <x:c r="G79" s="136"/>
      <x:c r="H79" s="136"/>
      <x:c r="I79" s="136"/>
      <x:c r="J79" s="136"/>
      <x:c r="K79" s="136"/>
      <x:c r="L79" s="136"/>
      <x:c r="M79" s="136"/>
      <x:c r="N79" s="137"/>
      <x:c r="O79" s="137"/>
      <x:c r="P79" s="136"/>
      <x:c r="Q79" s="1318"/>
    </x:row>
    <x:row r="80" spans="2:17" s="127" customFormat="1">
      <x:c r="B80" s="136"/>
      <x:c r="C80" s="136"/>
      <x:c r="D80" s="136"/>
      <x:c r="E80" s="136"/>
      <x:c r="F80" s="136"/>
      <x:c r="G80" s="136"/>
      <x:c r="H80" s="136"/>
      <x:c r="I80" s="136"/>
      <x:c r="J80" s="136"/>
      <x:c r="K80" s="136"/>
      <x:c r="L80" s="136"/>
      <x:c r="M80" s="136"/>
      <x:c r="N80" s="137"/>
      <x:c r="O80" s="137"/>
      <x:c r="P80" s="136"/>
      <x:c r="Q80" s="1321"/>
    </x:row>
    <x:row r="81" spans="2:17" s="127" customFormat="1">
      <x:c r="B81" s="136"/>
      <x:c r="C81" s="136"/>
      <x:c r="D81" s="136"/>
      <x:c r="E81" s="136"/>
      <x:c r="F81" s="136"/>
      <x:c r="G81" s="136"/>
      <x:c r="H81" s="136"/>
      <x:c r="I81" s="136"/>
      <x:c r="J81" s="136"/>
      <x:c r="K81" s="136"/>
      <x:c r="L81" s="136"/>
      <x:c r="M81" s="136"/>
      <x:c r="N81" s="137"/>
      <x:c r="O81" s="137"/>
      <x:c r="P81" s="136"/>
      <x:c r="Q81" s="1318"/>
    </x:row>
    <x:row r="82" spans="2:17" s="127" customFormat="1">
      <x:c r="B82" s="136"/>
      <x:c r="C82" s="136"/>
      <x:c r="D82" s="136"/>
      <x:c r="E82" s="136"/>
      <x:c r="F82" s="136"/>
      <x:c r="G82" s="136"/>
      <x:c r="H82" s="136"/>
      <x:c r="I82" s="136"/>
      <x:c r="J82" s="136"/>
      <x:c r="K82" s="136"/>
      <x:c r="L82" s="136"/>
      <x:c r="M82" s="136"/>
      <x:c r="N82" s="137"/>
      <x:c r="O82" s="137"/>
      <x:c r="P82" s="136"/>
      <x:c r="Q82" s="1318"/>
    </x:row>
    <x:row r="83" spans="2:17" s="127" customFormat="1">
      <x:c r="B83" s="136"/>
      <x:c r="C83" s="136"/>
      <x:c r="D83" s="136"/>
      <x:c r="E83" s="136"/>
      <x:c r="F83" s="136"/>
      <x:c r="G83" s="136"/>
      <x:c r="H83" s="136"/>
      <x:c r="I83" s="136"/>
      <x:c r="J83" s="136"/>
      <x:c r="K83" s="136"/>
      <x:c r="L83" s="136"/>
      <x:c r="M83" s="136"/>
      <x:c r="N83" s="137"/>
      <x:c r="O83" s="137"/>
      <x:c r="P83" s="136"/>
      <x:c r="Q83" s="1318"/>
    </x:row>
    <x:row r="84" spans="2:17" s="127" customFormat="1">
      <x:c r="B84" s="136"/>
      <x:c r="C84" s="136"/>
      <x:c r="D84" s="136"/>
      <x:c r="E84" s="136"/>
      <x:c r="F84" s="136"/>
      <x:c r="G84" s="136"/>
      <x:c r="H84" s="136"/>
      <x:c r="I84" s="136"/>
      <x:c r="J84" s="136"/>
      <x:c r="K84" s="136"/>
      <x:c r="L84" s="136"/>
      <x:c r="M84" s="136"/>
      <x:c r="N84" s="137"/>
      <x:c r="O84" s="137"/>
      <x:c r="P84" s="136"/>
      <x:c r="Q84" s="1318"/>
    </x:row>
    <x:row r="85" spans="2:17" s="127" customFormat="1">
      <x:c r="B85" s="136"/>
      <x:c r="C85" s="136"/>
      <x:c r="D85" s="136"/>
      <x:c r="E85" s="136"/>
      <x:c r="F85" s="136"/>
      <x:c r="G85" s="136"/>
      <x:c r="H85" s="136"/>
      <x:c r="I85" s="136"/>
      <x:c r="J85" s="136"/>
      <x:c r="K85" s="136"/>
      <x:c r="L85" s="136"/>
      <x:c r="M85" s="136"/>
      <x:c r="N85" s="137"/>
      <x:c r="O85" s="137"/>
      <x:c r="P85" s="136"/>
      <x:c r="Q85" s="1318"/>
    </x:row>
    <x:row r="86" spans="2:17" s="127" customFormat="1">
      <x:c r="B86" s="136"/>
      <x:c r="C86" s="136"/>
      <x:c r="D86" s="136"/>
      <x:c r="E86" s="136"/>
      <x:c r="F86" s="136"/>
      <x:c r="G86" s="136"/>
      <x:c r="H86" s="136"/>
      <x:c r="I86" s="136"/>
      <x:c r="J86" s="136"/>
      <x:c r="K86" s="136"/>
      <x:c r="L86" s="136"/>
      <x:c r="M86" s="136"/>
      <x:c r="N86" s="137"/>
      <x:c r="O86" s="137"/>
      <x:c r="P86" s="136"/>
      <x:c r="Q86" s="1318"/>
    </x:row>
    <x:row r="87" spans="2:17" s="127" customFormat="1">
      <x:c r="B87" s="136"/>
      <x:c r="C87" s="136"/>
      <x:c r="D87" s="136"/>
      <x:c r="E87" s="136"/>
      <x:c r="F87" s="136"/>
      <x:c r="G87" s="136"/>
      <x:c r="H87" s="136"/>
      <x:c r="I87" s="136"/>
      <x:c r="J87" s="136"/>
      <x:c r="K87" s="136"/>
      <x:c r="L87" s="136"/>
      <x:c r="M87" s="136"/>
      <x:c r="N87" s="137"/>
      <x:c r="O87" s="137"/>
      <x:c r="P87" s="136"/>
      <x:c r="Q87" s="1318"/>
    </x:row>
    <x:row r="88" spans="2:17" s="127" customFormat="1">
      <x:c r="B88" s="136"/>
      <x:c r="C88" s="136"/>
      <x:c r="D88" s="136"/>
      <x:c r="E88" s="136"/>
      <x:c r="F88" s="136"/>
      <x:c r="G88" s="136"/>
      <x:c r="H88" s="136"/>
      <x:c r="I88" s="136"/>
      <x:c r="J88" s="136"/>
      <x:c r="K88" s="136"/>
      <x:c r="L88" s="136"/>
      <x:c r="M88" s="136"/>
      <x:c r="N88" s="137"/>
      <x:c r="O88" s="137"/>
      <x:c r="P88" s="136"/>
      <x:c r="Q88" s="1318"/>
    </x:row>
    <x:row r="89" spans="2:17" s="127" customFormat="1">
      <x:c r="B89" s="136"/>
      <x:c r="C89" s="136"/>
      <x:c r="D89" s="136"/>
      <x:c r="E89" s="136"/>
      <x:c r="F89" s="136"/>
      <x:c r="G89" s="136"/>
      <x:c r="H89" s="136"/>
      <x:c r="I89" s="136"/>
      <x:c r="J89" s="136"/>
      <x:c r="K89" s="136"/>
      <x:c r="L89" s="136"/>
      <x:c r="M89" s="136"/>
      <x:c r="N89" s="137"/>
      <x:c r="O89" s="137"/>
      <x:c r="P89" s="136"/>
      <x:c r="Q89" s="1318"/>
    </x:row>
    <x:row r="90" spans="2:17" s="127" customFormat="1">
      <x:c r="B90" s="136"/>
      <x:c r="C90" s="136"/>
      <x:c r="D90" s="136"/>
      <x:c r="E90" s="136"/>
      <x:c r="F90" s="136"/>
      <x:c r="G90" s="136"/>
      <x:c r="H90" s="136"/>
      <x:c r="I90" s="136"/>
      <x:c r="J90" s="136"/>
      <x:c r="K90" s="136"/>
      <x:c r="L90" s="136"/>
      <x:c r="M90" s="136"/>
      <x:c r="N90" s="137"/>
      <x:c r="O90" s="137"/>
      <x:c r="P90" s="136"/>
      <x:c r="Q90" s="1318"/>
    </x:row>
    <x:row r="91" spans="2:17" s="127" customFormat="1">
      <x:c r="B91" s="136"/>
      <x:c r="C91" s="136"/>
      <x:c r="D91" s="136"/>
      <x:c r="E91" s="136"/>
      <x:c r="F91" s="136"/>
      <x:c r="G91" s="136"/>
      <x:c r="H91" s="136"/>
      <x:c r="I91" s="136"/>
      <x:c r="J91" s="136"/>
      <x:c r="K91" s="136"/>
      <x:c r="L91" s="136"/>
      <x:c r="M91" s="136"/>
      <x:c r="N91" s="137"/>
      <x:c r="O91" s="137"/>
      <x:c r="P91" s="136"/>
      <x:c r="Q91" s="1318"/>
    </x:row>
    <x:row r="92" spans="2:17" s="127" customFormat="1">
      <x:c r="B92" s="136"/>
      <x:c r="C92" s="136"/>
      <x:c r="D92" s="136"/>
      <x:c r="E92" s="136"/>
      <x:c r="F92" s="136"/>
      <x:c r="G92" s="136"/>
      <x:c r="H92" s="136"/>
      <x:c r="I92" s="136"/>
      <x:c r="J92" s="136"/>
      <x:c r="K92" s="136"/>
      <x:c r="L92" s="136"/>
      <x:c r="M92" s="136"/>
      <x:c r="N92" s="137"/>
      <x:c r="O92" s="137"/>
      <x:c r="P92" s="136"/>
      <x:c r="Q92" s="1318"/>
    </x:row>
    <x:row r="93" spans="2:17" s="127" customFormat="1">
      <x:c r="B93" s="136"/>
      <x:c r="C93" s="136"/>
      <x:c r="D93" s="136"/>
      <x:c r="E93" s="136"/>
      <x:c r="F93" s="136"/>
      <x:c r="G93" s="136"/>
      <x:c r="H93" s="136"/>
      <x:c r="I93" s="136"/>
      <x:c r="J93" s="136"/>
      <x:c r="K93" s="136"/>
      <x:c r="L93" s="136"/>
      <x:c r="M93" s="136"/>
      <x:c r="N93" s="137"/>
      <x:c r="O93" s="137"/>
      <x:c r="P93" s="136"/>
      <x:c r="Q93" s="1318"/>
    </x:row>
    <x:row r="94" spans="2:17" s="127" customFormat="1">
      <x:c r="B94" s="136"/>
      <x:c r="C94" s="136"/>
      <x:c r="D94" s="136"/>
      <x:c r="E94" s="136"/>
      <x:c r="F94" s="136"/>
      <x:c r="G94" s="136"/>
      <x:c r="H94" s="136"/>
      <x:c r="I94" s="136"/>
      <x:c r="J94" s="136"/>
      <x:c r="K94" s="136"/>
      <x:c r="L94" s="136"/>
      <x:c r="M94" s="136"/>
      <x:c r="N94" s="137"/>
      <x:c r="O94" s="137"/>
      <x:c r="P94" s="136"/>
      <x:c r="Q94" s="1318"/>
    </x:row>
    <x:row r="95" spans="2:17" s="127" customFormat="1">
      <x:c r="B95" s="136"/>
      <x:c r="C95" s="136"/>
      <x:c r="D95" s="136"/>
      <x:c r="E95" s="136"/>
      <x:c r="F95" s="136"/>
      <x:c r="G95" s="136"/>
      <x:c r="H95" s="136"/>
      <x:c r="I95" s="136"/>
      <x:c r="J95" s="136"/>
      <x:c r="K95" s="136"/>
      <x:c r="L95" s="136"/>
      <x:c r="M95" s="136"/>
      <x:c r="N95" s="137"/>
      <x:c r="O95" s="137"/>
      <x:c r="P95" s="136"/>
      <x:c r="Q95" s="1318"/>
    </x:row>
    <x:row r="96" spans="2:17" s="127" customFormat="1">
      <x:c r="B96" s="136"/>
      <x:c r="C96" s="136"/>
      <x:c r="D96" s="136"/>
      <x:c r="E96" s="136"/>
      <x:c r="F96" s="136"/>
      <x:c r="G96" s="136"/>
      <x:c r="H96" s="136"/>
      <x:c r="I96" s="136"/>
      <x:c r="J96" s="136"/>
      <x:c r="K96" s="136"/>
      <x:c r="L96" s="136"/>
      <x:c r="M96" s="136"/>
      <x:c r="N96" s="137"/>
      <x:c r="O96" s="137"/>
      <x:c r="P96" s="136"/>
      <x:c r="Q96" s="1318"/>
    </x:row>
    <x:row r="97" spans="2:17" s="127" customFormat="1">
      <x:c r="B97" s="136"/>
      <x:c r="C97" s="136"/>
      <x:c r="D97" s="136"/>
      <x:c r="E97" s="136"/>
      <x:c r="F97" s="136"/>
      <x:c r="G97" s="136"/>
      <x:c r="H97" s="136"/>
      <x:c r="I97" s="136"/>
      <x:c r="J97" s="136"/>
      <x:c r="K97" s="136"/>
      <x:c r="L97" s="136"/>
      <x:c r="M97" s="136"/>
      <x:c r="N97" s="137"/>
      <x:c r="O97" s="137"/>
      <x:c r="P97" s="136"/>
      <x:c r="Q97" s="1318"/>
    </x:row>
    <x:row r="98" spans="2:17" s="127" customFormat="1">
      <x:c r="B98" s="136"/>
      <x:c r="C98" s="136"/>
      <x:c r="D98" s="136"/>
      <x:c r="E98" s="136"/>
      <x:c r="F98" s="136"/>
      <x:c r="G98" s="136"/>
      <x:c r="H98" s="136"/>
      <x:c r="I98" s="136"/>
      <x:c r="J98" s="136"/>
      <x:c r="K98" s="136"/>
      <x:c r="L98" s="136"/>
      <x:c r="M98" s="136"/>
      <x:c r="N98" s="137"/>
      <x:c r="O98" s="137"/>
      <x:c r="P98" s="136"/>
      <x:c r="Q98" s="1318"/>
    </x:row>
    <x:row r="99" spans="2:17" s="127" customFormat="1">
      <x:c r="B99" s="136"/>
      <x:c r="C99" s="136"/>
      <x:c r="D99" s="136"/>
      <x:c r="E99" s="136"/>
      <x:c r="F99" s="136"/>
      <x:c r="G99" s="136"/>
      <x:c r="H99" s="136"/>
      <x:c r="I99" s="136"/>
      <x:c r="J99" s="136"/>
      <x:c r="K99" s="136"/>
      <x:c r="L99" s="136"/>
      <x:c r="M99" s="136"/>
      <x:c r="N99" s="137"/>
      <x:c r="O99" s="137"/>
      <x:c r="P99" s="136"/>
      <x:c r="Q99" s="1318"/>
    </x:row>
    <x:row r="100" spans="2:17" s="127" customFormat="1">
      <x:c r="B100" s="136"/>
      <x:c r="C100" s="136"/>
      <x:c r="D100" s="136"/>
      <x:c r="E100" s="136"/>
      <x:c r="F100" s="136"/>
      <x:c r="G100" s="136"/>
      <x:c r="H100" s="136"/>
      <x:c r="I100" s="136"/>
      <x:c r="J100" s="136"/>
      <x:c r="K100" s="136"/>
      <x:c r="L100" s="136"/>
      <x:c r="M100" s="136"/>
      <x:c r="N100" s="137"/>
      <x:c r="O100" s="137"/>
      <x:c r="P100" s="136"/>
      <x:c r="Q100" s="1318"/>
    </x:row>
    <x:row r="101" spans="2:17" s="127" customFormat="1">
      <x:c r="B101" s="136"/>
      <x:c r="C101" s="136"/>
      <x:c r="D101" s="136"/>
      <x:c r="E101" s="136"/>
      <x:c r="F101" s="136"/>
      <x:c r="G101" s="136"/>
      <x:c r="H101" s="136"/>
      <x:c r="I101" s="136"/>
      <x:c r="J101" s="136"/>
      <x:c r="K101" s="136"/>
      <x:c r="L101" s="136"/>
      <x:c r="M101" s="136"/>
      <x:c r="N101" s="137"/>
      <x:c r="O101" s="137"/>
      <x:c r="P101" s="136"/>
      <x:c r="Q101" s="1318"/>
    </x:row>
    <x:row r="102" spans="2:17" s="127" customFormat="1">
      <x:c r="B102" s="136"/>
      <x:c r="C102" s="136"/>
      <x:c r="D102" s="136"/>
      <x:c r="E102" s="136"/>
      <x:c r="F102" s="136"/>
      <x:c r="G102" s="136"/>
      <x:c r="H102" s="136"/>
      <x:c r="I102" s="136"/>
      <x:c r="J102" s="136"/>
      <x:c r="K102" s="136"/>
      <x:c r="L102" s="136"/>
      <x:c r="M102" s="136"/>
      <x:c r="N102" s="137"/>
      <x:c r="O102" s="137"/>
      <x:c r="P102" s="136"/>
      <x:c r="Q102" s="1318"/>
    </x:row>
    <x:row r="103" spans="2:17" s="127" customFormat="1">
      <x:c r="B103" s="136"/>
      <x:c r="C103" s="136"/>
      <x:c r="D103" s="136"/>
      <x:c r="E103" s="136"/>
      <x:c r="F103" s="136"/>
      <x:c r="G103" s="136"/>
      <x:c r="H103" s="136"/>
      <x:c r="I103" s="136"/>
      <x:c r="J103" s="136"/>
      <x:c r="K103" s="136"/>
      <x:c r="L103" s="136"/>
      <x:c r="M103" s="136"/>
      <x:c r="N103" s="137"/>
      <x:c r="O103" s="137"/>
      <x:c r="P103" s="136"/>
      <x:c r="Q103" s="1318"/>
    </x:row>
    <x:row r="104" spans="2:17" s="127" customFormat="1">
      <x:c r="B104" s="136"/>
      <x:c r="C104" s="136"/>
      <x:c r="D104" s="136"/>
      <x:c r="E104" s="136"/>
      <x:c r="F104" s="136"/>
      <x:c r="G104" s="136"/>
      <x:c r="H104" s="136"/>
      <x:c r="I104" s="136"/>
      <x:c r="J104" s="136"/>
      <x:c r="K104" s="136"/>
      <x:c r="L104" s="136"/>
      <x:c r="M104" s="136"/>
      <x:c r="N104" s="137"/>
      <x:c r="O104" s="137"/>
      <x:c r="P104" s="136"/>
      <x:c r="Q104" s="1318"/>
    </x:row>
    <x:row r="105" spans="2:17" s="127" customFormat="1">
      <x:c r="B105" s="136"/>
      <x:c r="C105" s="136"/>
      <x:c r="D105" s="136"/>
      <x:c r="E105" s="136"/>
      <x:c r="F105" s="136"/>
      <x:c r="G105" s="136"/>
      <x:c r="H105" s="136"/>
      <x:c r="I105" s="136"/>
      <x:c r="J105" s="136"/>
      <x:c r="K105" s="136"/>
      <x:c r="L105" s="136"/>
      <x:c r="M105" s="136"/>
      <x:c r="N105" s="137"/>
      <x:c r="O105" s="137"/>
      <x:c r="P105" s="136"/>
      <x:c r="Q105" s="1318"/>
    </x:row>
    <x:row r="106" spans="2:17" s="127" customFormat="1">
      <x:c r="B106" s="136"/>
      <x:c r="C106" s="136"/>
      <x:c r="D106" s="136"/>
      <x:c r="E106" s="136"/>
      <x:c r="F106" s="136"/>
      <x:c r="G106" s="136"/>
      <x:c r="H106" s="136"/>
      <x:c r="I106" s="136"/>
      <x:c r="J106" s="136"/>
      <x:c r="K106" s="136"/>
      <x:c r="L106" s="136"/>
      <x:c r="M106" s="136"/>
      <x:c r="N106" s="137"/>
      <x:c r="O106" s="137"/>
      <x:c r="P106" s="136"/>
      <x:c r="Q106" s="1318"/>
    </x:row>
    <x:row r="107" spans="2:17" s="127" customFormat="1">
      <x:c r="B107" s="136"/>
      <x:c r="C107" s="136"/>
      <x:c r="D107" s="136"/>
      <x:c r="E107" s="136"/>
      <x:c r="F107" s="136"/>
      <x:c r="G107" s="136"/>
      <x:c r="H107" s="136"/>
      <x:c r="I107" s="136"/>
      <x:c r="J107" s="136"/>
      <x:c r="K107" s="136"/>
      <x:c r="L107" s="136"/>
      <x:c r="M107" s="136"/>
      <x:c r="N107" s="137"/>
      <x:c r="O107" s="137"/>
      <x:c r="P107" s="136"/>
      <x:c r="Q107" s="1318"/>
    </x:row>
    <x:row r="108" spans="2:17" s="127" customFormat="1">
      <x:c r="B108" s="136"/>
      <x:c r="C108" s="136"/>
      <x:c r="D108" s="136"/>
      <x:c r="E108" s="136"/>
      <x:c r="F108" s="136"/>
      <x:c r="G108" s="136"/>
      <x:c r="H108" s="136"/>
      <x:c r="I108" s="136"/>
      <x:c r="J108" s="136"/>
      <x:c r="K108" s="136"/>
      <x:c r="L108" s="136"/>
      <x:c r="M108" s="136"/>
      <x:c r="N108" s="137"/>
      <x:c r="O108" s="137"/>
      <x:c r="P108" s="136"/>
      <x:c r="Q108" s="1318"/>
    </x:row>
    <x:row r="109" spans="2:17" s="127" customFormat="1">
      <x:c r="B109" s="136"/>
      <x:c r="C109" s="136"/>
      <x:c r="D109" s="136"/>
      <x:c r="E109" s="136"/>
      <x:c r="F109" s="136"/>
      <x:c r="G109" s="136"/>
      <x:c r="H109" s="136"/>
      <x:c r="I109" s="136"/>
      <x:c r="J109" s="136"/>
      <x:c r="K109" s="136"/>
      <x:c r="L109" s="136"/>
      <x:c r="M109" s="136"/>
      <x:c r="N109" s="137"/>
      <x:c r="O109" s="137"/>
      <x:c r="P109" s="136"/>
      <x:c r="Q109" s="1318"/>
    </x:row>
    <x:row r="110" spans="2:17">
      <x:c r="B110" s="912"/>
      <x:c r="C110" s="912"/>
      <x:c r="D110" s="912"/>
      <x:c r="E110" s="912"/>
      <x:c r="F110" s="912"/>
      <x:c r="G110" s="912"/>
      <x:c r="H110" s="912"/>
      <x:c r="I110" s="912"/>
      <x:c r="J110" s="912"/>
      <x:c r="K110" s="912"/>
      <x:c r="L110" s="912"/>
      <x:c r="M110" s="912"/>
      <x:c r="N110" s="913"/>
      <x:c r="O110" s="913"/>
      <x:c r="P110" s="912"/>
    </x:row>
    <x:row r="111" spans="2:17">
      <x:c r="B111" s="912"/>
      <x:c r="C111" s="912"/>
      <x:c r="D111" s="912"/>
      <x:c r="E111" s="912"/>
      <x:c r="F111" s="912"/>
      <x:c r="G111" s="912"/>
      <x:c r="H111" s="912"/>
      <x:c r="I111" s="912"/>
      <x:c r="J111" s="912"/>
      <x:c r="K111" s="912"/>
      <x:c r="L111" s="912"/>
      <x:c r="M111" s="912"/>
      <x:c r="N111" s="913"/>
      <x:c r="O111" s="913"/>
      <x:c r="P111" s="912"/>
    </x:row>
    <x:row r="112" spans="2:17">
      <x:c r="B112" s="912"/>
      <x:c r="C112" s="912"/>
      <x:c r="D112" s="912"/>
      <x:c r="E112" s="912"/>
      <x:c r="F112" s="912"/>
      <x:c r="G112" s="912"/>
      <x:c r="H112" s="912"/>
      <x:c r="I112" s="912"/>
      <x:c r="J112" s="912"/>
      <x:c r="K112" s="912"/>
      <x:c r="L112" s="912"/>
      <x:c r="M112" s="912"/>
      <x:c r="N112" s="913"/>
      <x:c r="O112" s="913"/>
      <x:c r="P112" s="912"/>
    </x:row>
    <x:row r="113" spans="2:16">
      <x:c r="B113" s="912"/>
      <x:c r="C113" s="912"/>
      <x:c r="D113" s="912"/>
      <x:c r="E113" s="912"/>
      <x:c r="F113" s="912"/>
      <x:c r="G113" s="912"/>
      <x:c r="H113" s="912"/>
      <x:c r="I113" s="912"/>
      <x:c r="J113" s="912"/>
      <x:c r="K113" s="912"/>
      <x:c r="L113" s="912"/>
      <x:c r="M113" s="912"/>
      <x:c r="N113" s="913"/>
      <x:c r="O113" s="913"/>
      <x:c r="P113" s="912"/>
    </x:row>
    <x:row r="114" spans="2:16">
      <x:c r="B114" s="912"/>
      <x:c r="C114" s="912"/>
      <x:c r="D114" s="912"/>
      <x:c r="E114" s="912"/>
      <x:c r="F114" s="912"/>
      <x:c r="G114" s="912"/>
      <x:c r="H114" s="912"/>
      <x:c r="I114" s="912"/>
      <x:c r="J114" s="912"/>
      <x:c r="K114" s="912"/>
      <x:c r="L114" s="912"/>
      <x:c r="M114" s="912"/>
      <x:c r="N114" s="913"/>
      <x:c r="O114" s="913"/>
      <x:c r="P114" s="912"/>
    </x:row>
    <x:row r="115" spans="2:16">
      <x:c r="B115" s="912"/>
      <x:c r="C115" s="912"/>
      <x:c r="D115" s="912"/>
      <x:c r="E115" s="912"/>
      <x:c r="F115" s="912"/>
      <x:c r="G115" s="912"/>
      <x:c r="H115" s="912"/>
      <x:c r="I115" s="912"/>
      <x:c r="J115" s="912"/>
      <x:c r="K115" s="912"/>
      <x:c r="L115" s="912"/>
      <x:c r="M115" s="912"/>
      <x:c r="N115" s="913"/>
      <x:c r="O115" s="913"/>
      <x:c r="P115" s="912"/>
    </x:row>
    <x:row r="116" spans="2:16">
      <x:c r="B116" s="912"/>
      <x:c r="C116" s="912"/>
      <x:c r="D116" s="912"/>
      <x:c r="E116" s="912"/>
      <x:c r="F116" s="912"/>
      <x:c r="G116" s="912"/>
      <x:c r="H116" s="912"/>
      <x:c r="I116" s="912"/>
      <x:c r="J116" s="912"/>
      <x:c r="K116" s="912"/>
      <x:c r="L116" s="912"/>
      <x:c r="M116" s="912"/>
      <x:c r="N116" s="913"/>
      <x:c r="O116" s="913"/>
      <x:c r="P116" s="912"/>
    </x:row>
    <x:row r="117" spans="2:16">
      <x:c r="B117" s="912"/>
      <x:c r="C117" s="912"/>
      <x:c r="D117" s="912"/>
      <x:c r="E117" s="912"/>
      <x:c r="F117" s="912"/>
      <x:c r="G117" s="912"/>
      <x:c r="H117" s="912"/>
      <x:c r="I117" s="912"/>
      <x:c r="J117" s="912"/>
      <x:c r="K117" s="912"/>
      <x:c r="L117" s="912"/>
      <x:c r="M117" s="912"/>
      <x:c r="N117" s="913"/>
      <x:c r="O117" s="913"/>
      <x:c r="P117" s="912"/>
    </x:row>
    <x:row r="118" spans="2:16">
      <x:c r="B118" s="912"/>
      <x:c r="C118" s="912"/>
      <x:c r="D118" s="912"/>
      <x:c r="E118" s="912"/>
      <x:c r="F118" s="912"/>
      <x:c r="G118" s="912"/>
      <x:c r="H118" s="912"/>
      <x:c r="I118" s="912"/>
      <x:c r="J118" s="912"/>
      <x:c r="K118" s="912"/>
      <x:c r="L118" s="912"/>
      <x:c r="M118" s="912"/>
      <x:c r="N118" s="913"/>
      <x:c r="O118" s="913"/>
      <x:c r="P118" s="912"/>
    </x:row>
    <x:row r="119" spans="2:16">
      <x:c r="B119" s="912"/>
      <x:c r="C119" s="912"/>
      <x:c r="D119" s="912"/>
      <x:c r="E119" s="912"/>
      <x:c r="F119" s="912"/>
      <x:c r="G119" s="912"/>
      <x:c r="H119" s="912"/>
      <x:c r="I119" s="912"/>
      <x:c r="J119" s="912"/>
      <x:c r="K119" s="912"/>
      <x:c r="L119" s="912"/>
      <x:c r="M119" s="912"/>
      <x:c r="N119" s="913"/>
      <x:c r="O119" s="913"/>
      <x:c r="P119" s="912"/>
    </x:row>
    <x:row r="120" spans="2:16">
      <x:c r="B120" s="912"/>
      <x:c r="C120" s="912"/>
      <x:c r="D120" s="912"/>
      <x:c r="E120" s="912"/>
      <x:c r="F120" s="912"/>
      <x:c r="G120" s="912"/>
      <x:c r="H120" s="912"/>
      <x:c r="I120" s="912"/>
      <x:c r="J120" s="912"/>
      <x:c r="K120" s="912"/>
      <x:c r="L120" s="912"/>
      <x:c r="M120" s="912"/>
      <x:c r="N120" s="913"/>
      <x:c r="O120" s="913"/>
      <x:c r="P120" s="912"/>
    </x:row>
    <x:row r="121" spans="2:16">
      <x:c r="B121" s="912"/>
      <x:c r="C121" s="912"/>
      <x:c r="D121" s="912"/>
      <x:c r="E121" s="912"/>
      <x:c r="F121" s="912"/>
      <x:c r="G121" s="912"/>
      <x:c r="H121" s="912"/>
      <x:c r="I121" s="912"/>
      <x:c r="J121" s="912"/>
      <x:c r="K121" s="912"/>
      <x:c r="L121" s="912"/>
      <x:c r="M121" s="912"/>
      <x:c r="N121" s="913"/>
      <x:c r="O121" s="913"/>
      <x:c r="P121" s="912"/>
    </x:row>
    <x:row r="122" spans="2:16">
      <x:c r="B122" s="912"/>
      <x:c r="C122" s="912"/>
      <x:c r="D122" s="912"/>
      <x:c r="E122" s="912"/>
      <x:c r="F122" s="912"/>
      <x:c r="G122" s="912"/>
      <x:c r="H122" s="912"/>
      <x:c r="I122" s="912"/>
      <x:c r="J122" s="912"/>
      <x:c r="K122" s="912"/>
      <x:c r="L122" s="912"/>
      <x:c r="M122" s="912"/>
      <x:c r="N122" s="913"/>
      <x:c r="O122" s="913"/>
      <x:c r="P122" s="912"/>
    </x:row>
    <x:row r="123" spans="2:16">
      <x:c r="B123" s="912"/>
      <x:c r="C123" s="912"/>
      <x:c r="D123" s="912"/>
      <x:c r="E123" s="912"/>
      <x:c r="F123" s="912"/>
      <x:c r="G123" s="912"/>
      <x:c r="H123" s="912"/>
      <x:c r="I123" s="912"/>
      <x:c r="J123" s="912"/>
      <x:c r="K123" s="912"/>
      <x:c r="L123" s="912"/>
      <x:c r="M123" s="912"/>
      <x:c r="N123" s="913"/>
      <x:c r="O123" s="913"/>
      <x:c r="P123" s="912"/>
    </x:row>
    <x:row r="124" spans="2:16">
      <x:c r="B124" s="912"/>
      <x:c r="C124" s="912"/>
      <x:c r="D124" s="912"/>
      <x:c r="E124" s="912"/>
      <x:c r="F124" s="912"/>
      <x:c r="G124" s="912"/>
      <x:c r="H124" s="912"/>
      <x:c r="I124" s="912"/>
      <x:c r="J124" s="912"/>
      <x:c r="K124" s="912"/>
      <x:c r="L124" s="912"/>
      <x:c r="M124" s="912"/>
      <x:c r="N124" s="913"/>
      <x:c r="O124" s="913"/>
      <x:c r="P124" s="912"/>
    </x:row>
    <x:row r="125" spans="2:16">
      <x:c r="B125" s="912"/>
      <x:c r="C125" s="912"/>
      <x:c r="D125" s="912"/>
      <x:c r="E125" s="912"/>
      <x:c r="F125" s="912"/>
      <x:c r="G125" s="912"/>
      <x:c r="H125" s="912"/>
      <x:c r="I125" s="912"/>
      <x:c r="J125" s="912"/>
      <x:c r="K125" s="912"/>
      <x:c r="L125" s="912"/>
      <x:c r="M125" s="912"/>
      <x:c r="N125" s="913"/>
      <x:c r="O125" s="913"/>
      <x:c r="P125" s="912"/>
    </x:row>
    <x:row r="126" spans="2:16">
      <x:c r="B126" s="912"/>
      <x:c r="C126" s="912"/>
      <x:c r="D126" s="912"/>
      <x:c r="E126" s="912"/>
      <x:c r="F126" s="912"/>
      <x:c r="G126" s="912"/>
      <x:c r="H126" s="912"/>
      <x:c r="I126" s="912"/>
      <x:c r="J126" s="912"/>
      <x:c r="K126" s="912"/>
      <x:c r="L126" s="912"/>
      <x:c r="M126" s="912"/>
      <x:c r="N126" s="913"/>
      <x:c r="O126" s="913"/>
      <x:c r="P126" s="912"/>
    </x:row>
    <x:row r="127" spans="2:16">
      <x:c r="B127" s="912"/>
      <x:c r="C127" s="912"/>
      <x:c r="D127" s="912"/>
      <x:c r="E127" s="912"/>
      <x:c r="F127" s="912"/>
      <x:c r="G127" s="912"/>
      <x:c r="H127" s="912"/>
      <x:c r="I127" s="912"/>
      <x:c r="J127" s="912"/>
      <x:c r="K127" s="912"/>
      <x:c r="L127" s="912"/>
      <x:c r="M127" s="912"/>
      <x:c r="N127" s="913"/>
      <x:c r="O127" s="913"/>
      <x:c r="P127" s="912"/>
    </x:row>
    <x:row r="128" spans="2:16">
      <x:c r="B128" s="912"/>
      <x:c r="C128" s="912"/>
      <x:c r="D128" s="912"/>
      <x:c r="E128" s="912"/>
      <x:c r="F128" s="912"/>
      <x:c r="G128" s="912"/>
      <x:c r="H128" s="912"/>
      <x:c r="I128" s="912"/>
      <x:c r="J128" s="912"/>
      <x:c r="K128" s="912"/>
      <x:c r="L128" s="912"/>
      <x:c r="M128" s="912"/>
      <x:c r="N128" s="913"/>
      <x:c r="O128" s="913"/>
      <x:c r="P128" s="912"/>
    </x:row>
    <x:row r="129" spans="2:16">
      <x:c r="B129" s="912"/>
      <x:c r="C129" s="912"/>
      <x:c r="D129" s="912"/>
      <x:c r="E129" s="912"/>
      <x:c r="F129" s="912"/>
      <x:c r="G129" s="912"/>
      <x:c r="H129" s="912"/>
      <x:c r="I129" s="912"/>
      <x:c r="J129" s="912"/>
      <x:c r="K129" s="912"/>
      <x:c r="L129" s="912"/>
      <x:c r="M129" s="912"/>
      <x:c r="N129" s="913"/>
      <x:c r="O129" s="913"/>
      <x:c r="P129" s="912"/>
    </x:row>
    <x:row r="130" spans="2:16">
      <x:c r="B130" s="912"/>
      <x:c r="C130" s="912"/>
      <x:c r="D130" s="912"/>
      <x:c r="E130" s="912"/>
      <x:c r="F130" s="912"/>
      <x:c r="G130" s="912"/>
      <x:c r="H130" s="912"/>
      <x:c r="I130" s="912"/>
      <x:c r="J130" s="912"/>
      <x:c r="K130" s="912"/>
      <x:c r="L130" s="912"/>
      <x:c r="M130" s="912"/>
      <x:c r="N130" s="913"/>
      <x:c r="O130" s="913"/>
      <x:c r="P130" s="912"/>
    </x:row>
    <x:row r="131" spans="2:16">
      <x:c r="B131" s="912"/>
      <x:c r="C131" s="912"/>
      <x:c r="D131" s="912"/>
      <x:c r="E131" s="912"/>
      <x:c r="F131" s="912"/>
      <x:c r="G131" s="912"/>
      <x:c r="H131" s="912"/>
      <x:c r="I131" s="912"/>
      <x:c r="J131" s="912"/>
      <x:c r="K131" s="912"/>
      <x:c r="L131" s="912"/>
      <x:c r="M131" s="912"/>
      <x:c r="N131" s="913"/>
      <x:c r="O131" s="913"/>
      <x:c r="P131" s="912"/>
    </x:row>
    <x:row r="132" spans="2:16">
      <x:c r="B132" s="912"/>
      <x:c r="C132" s="912"/>
      <x:c r="D132" s="912"/>
      <x:c r="E132" s="912"/>
      <x:c r="F132" s="912"/>
      <x:c r="G132" s="912"/>
      <x:c r="H132" s="912"/>
      <x:c r="I132" s="912"/>
      <x:c r="J132" s="912"/>
      <x:c r="K132" s="912"/>
      <x:c r="L132" s="912"/>
      <x:c r="M132" s="912"/>
      <x:c r="N132" s="913"/>
      <x:c r="O132" s="913"/>
      <x:c r="P132" s="912"/>
    </x:row>
    <x:row r="133" spans="2:16">
      <x:c r="B133" s="912"/>
      <x:c r="C133" s="912"/>
      <x:c r="D133" s="912"/>
      <x:c r="E133" s="912"/>
      <x:c r="F133" s="912"/>
      <x:c r="G133" s="912"/>
      <x:c r="H133" s="912"/>
      <x:c r="I133" s="912"/>
      <x:c r="J133" s="912"/>
      <x:c r="K133" s="912"/>
      <x:c r="L133" s="912"/>
      <x:c r="M133" s="912"/>
      <x:c r="N133" s="913"/>
      <x:c r="O133" s="913"/>
      <x:c r="P133" s="912"/>
    </x:row>
    <x:row r="134" spans="2:16">
      <x:c r="B134" s="912"/>
      <x:c r="C134" s="912"/>
      <x:c r="D134" s="912"/>
      <x:c r="E134" s="912"/>
      <x:c r="F134" s="912"/>
      <x:c r="G134" s="912"/>
      <x:c r="H134" s="912"/>
      <x:c r="I134" s="912"/>
      <x:c r="J134" s="912"/>
      <x:c r="K134" s="912"/>
      <x:c r="L134" s="912"/>
      <x:c r="M134" s="912"/>
      <x:c r="N134" s="913"/>
      <x:c r="O134" s="913"/>
      <x:c r="P134" s="912"/>
    </x:row>
    <x:row r="135" spans="2:16">
      <x:c r="B135" s="912"/>
      <x:c r="C135" s="912"/>
      <x:c r="D135" s="912"/>
      <x:c r="E135" s="912"/>
      <x:c r="F135" s="912"/>
      <x:c r="G135" s="912"/>
      <x:c r="H135" s="912"/>
      <x:c r="I135" s="912"/>
      <x:c r="J135" s="912"/>
      <x:c r="K135" s="912"/>
      <x:c r="L135" s="912"/>
      <x:c r="M135" s="912"/>
      <x:c r="N135" s="913"/>
      <x:c r="O135" s="913"/>
      <x:c r="P135" s="912"/>
    </x:row>
    <x:row r="136" spans="2:16">
      <x:c r="B136" s="912"/>
      <x:c r="C136" s="912"/>
      <x:c r="D136" s="912"/>
      <x:c r="E136" s="912"/>
      <x:c r="F136" s="912"/>
      <x:c r="G136" s="912"/>
      <x:c r="H136" s="912"/>
      <x:c r="I136" s="912"/>
      <x:c r="J136" s="912"/>
      <x:c r="K136" s="912"/>
      <x:c r="L136" s="912"/>
      <x:c r="M136" s="912"/>
      <x:c r="N136" s="913"/>
      <x:c r="O136" s="913"/>
      <x:c r="P136" s="912"/>
    </x:row>
    <x:row r="137" spans="2:16">
      <x:c r="B137" s="912"/>
      <x:c r="C137" s="912"/>
      <x:c r="D137" s="912"/>
      <x:c r="E137" s="912"/>
      <x:c r="F137" s="912"/>
      <x:c r="G137" s="912"/>
      <x:c r="H137" s="912"/>
      <x:c r="I137" s="912"/>
      <x:c r="J137" s="912"/>
      <x:c r="K137" s="912"/>
      <x:c r="L137" s="912"/>
      <x:c r="M137" s="912"/>
      <x:c r="N137" s="913"/>
      <x:c r="O137" s="913"/>
      <x:c r="P137" s="912"/>
    </x:row>
    <x:row r="138" spans="2:16">
      <x:c r="B138" s="912"/>
      <x:c r="C138" s="912"/>
      <x:c r="D138" s="912"/>
      <x:c r="E138" s="912"/>
      <x:c r="F138" s="912"/>
      <x:c r="G138" s="912"/>
      <x:c r="H138" s="912"/>
      <x:c r="I138" s="912"/>
      <x:c r="J138" s="912"/>
      <x:c r="K138" s="912"/>
      <x:c r="L138" s="912"/>
      <x:c r="M138" s="912"/>
      <x:c r="N138" s="913"/>
      <x:c r="O138" s="913"/>
      <x:c r="P138" s="912"/>
    </x:row>
    <x:row r="139" spans="2:16">
      <x:c r="B139" s="912"/>
      <x:c r="C139" s="912"/>
      <x:c r="D139" s="912"/>
      <x:c r="E139" s="912"/>
      <x:c r="F139" s="912"/>
      <x:c r="G139" s="912"/>
      <x:c r="H139" s="912"/>
      <x:c r="I139" s="912"/>
      <x:c r="J139" s="912"/>
      <x:c r="K139" s="912"/>
      <x:c r="L139" s="912"/>
      <x:c r="M139" s="912"/>
      <x:c r="N139" s="913"/>
      <x:c r="O139" s="913"/>
      <x:c r="P139" s="912"/>
    </x:row>
    <x:row r="140" spans="2:16">
      <x:c r="B140" s="912"/>
      <x:c r="C140" s="912"/>
      <x:c r="D140" s="912"/>
      <x:c r="E140" s="912"/>
      <x:c r="F140" s="912"/>
      <x:c r="G140" s="912"/>
      <x:c r="H140" s="912"/>
      <x:c r="I140" s="912"/>
      <x:c r="J140" s="912"/>
      <x:c r="K140" s="912"/>
      <x:c r="L140" s="912"/>
      <x:c r="M140" s="912"/>
      <x:c r="N140" s="913"/>
      <x:c r="O140" s="913"/>
      <x:c r="P140" s="912"/>
    </x:row>
    <x:row r="141" spans="2:16">
      <x:c r="B141" s="912"/>
      <x:c r="C141" s="912"/>
      <x:c r="D141" s="912"/>
      <x:c r="E141" s="912"/>
      <x:c r="F141" s="912"/>
      <x:c r="G141" s="912"/>
      <x:c r="H141" s="912"/>
      <x:c r="I141" s="912"/>
      <x:c r="J141" s="912"/>
      <x:c r="K141" s="912"/>
      <x:c r="L141" s="912"/>
      <x:c r="M141" s="912"/>
      <x:c r="N141" s="913"/>
      <x:c r="O141" s="913"/>
      <x:c r="P141" s="912"/>
    </x:row>
    <x:row r="142" spans="2:16">
      <x:c r="B142" s="912"/>
      <x:c r="C142" s="912"/>
      <x:c r="D142" s="912"/>
      <x:c r="E142" s="912"/>
      <x:c r="F142" s="912"/>
      <x:c r="G142" s="912"/>
      <x:c r="H142" s="912"/>
      <x:c r="I142" s="912"/>
      <x:c r="J142" s="912"/>
      <x:c r="K142" s="912"/>
      <x:c r="L142" s="912"/>
      <x:c r="M142" s="912"/>
      <x:c r="N142" s="913"/>
      <x:c r="O142" s="913"/>
      <x:c r="P142" s="912"/>
    </x:row>
    <x:row r="143" spans="2:16">
      <x:c r="B143" s="912"/>
      <x:c r="C143" s="912"/>
      <x:c r="D143" s="912"/>
      <x:c r="E143" s="912"/>
      <x:c r="F143" s="912"/>
      <x:c r="G143" s="912"/>
      <x:c r="H143" s="912"/>
      <x:c r="I143" s="912"/>
      <x:c r="J143" s="912"/>
      <x:c r="K143" s="912"/>
      <x:c r="L143" s="912"/>
      <x:c r="M143" s="912"/>
      <x:c r="N143" s="913"/>
      <x:c r="O143" s="913"/>
      <x:c r="P143" s="912"/>
    </x:row>
    <x:row r="144" spans="2:16">
      <x:c r="B144" s="912"/>
      <x:c r="C144" s="912"/>
      <x:c r="D144" s="912"/>
      <x:c r="E144" s="912"/>
      <x:c r="F144" s="912"/>
      <x:c r="G144" s="912"/>
      <x:c r="H144" s="912"/>
      <x:c r="I144" s="912"/>
      <x:c r="J144" s="912"/>
      <x:c r="K144" s="912"/>
      <x:c r="L144" s="912"/>
      <x:c r="M144" s="912"/>
      <x:c r="N144" s="913"/>
      <x:c r="O144" s="913"/>
      <x:c r="P144" s="912"/>
    </x:row>
    <x:row r="145" spans="2:16">
      <x:c r="B145" s="912"/>
      <x:c r="C145" s="912"/>
      <x:c r="D145" s="912"/>
      <x:c r="E145" s="912"/>
      <x:c r="F145" s="912"/>
      <x:c r="G145" s="912"/>
      <x:c r="H145" s="912"/>
      <x:c r="I145" s="912"/>
      <x:c r="J145" s="912"/>
      <x:c r="K145" s="912"/>
      <x:c r="L145" s="912"/>
      <x:c r="M145" s="912"/>
      <x:c r="N145" s="913"/>
      <x:c r="O145" s="913"/>
      <x:c r="P145" s="912"/>
    </x:row>
    <x:row r="146" spans="2:16">
      <x:c r="B146" s="912"/>
      <x:c r="C146" s="912"/>
      <x:c r="D146" s="912"/>
      <x:c r="E146" s="912"/>
      <x:c r="F146" s="912"/>
      <x:c r="G146" s="912"/>
      <x:c r="H146" s="912"/>
      <x:c r="I146" s="912"/>
      <x:c r="J146" s="912"/>
      <x:c r="K146" s="912"/>
      <x:c r="L146" s="912"/>
      <x:c r="M146" s="912"/>
      <x:c r="N146" s="913"/>
      <x:c r="O146" s="913"/>
      <x:c r="P146" s="912"/>
    </x:row>
    <x:row r="147" spans="2:16">
      <x:c r="B147" s="912"/>
      <x:c r="C147" s="912"/>
      <x:c r="D147" s="912"/>
      <x:c r="E147" s="912"/>
      <x:c r="F147" s="912"/>
      <x:c r="G147" s="912"/>
      <x:c r="H147" s="912"/>
      <x:c r="I147" s="912"/>
      <x:c r="J147" s="912"/>
      <x:c r="K147" s="912"/>
      <x:c r="L147" s="912"/>
      <x:c r="M147" s="912"/>
      <x:c r="N147" s="913"/>
      <x:c r="O147" s="913"/>
      <x:c r="P147" s="912"/>
    </x:row>
    <x:row r="148" spans="2:16">
      <x:c r="B148" s="912"/>
      <x:c r="C148" s="912"/>
      <x:c r="D148" s="912"/>
      <x:c r="E148" s="912"/>
      <x:c r="F148" s="912"/>
      <x:c r="G148" s="912"/>
      <x:c r="H148" s="912"/>
      <x:c r="I148" s="912"/>
      <x:c r="J148" s="912"/>
      <x:c r="K148" s="912"/>
      <x:c r="L148" s="912"/>
      <x:c r="M148" s="912"/>
      <x:c r="N148" s="913"/>
      <x:c r="O148" s="913"/>
      <x:c r="P148" s="912"/>
    </x:row>
    <x:row r="149" spans="2:16">
      <x:c r="B149" s="912"/>
      <x:c r="C149" s="912"/>
      <x:c r="D149" s="912"/>
      <x:c r="E149" s="912"/>
      <x:c r="F149" s="912"/>
      <x:c r="G149" s="912"/>
      <x:c r="H149" s="912"/>
      <x:c r="I149" s="912"/>
      <x:c r="J149" s="912"/>
      <x:c r="K149" s="912"/>
      <x:c r="L149" s="912"/>
      <x:c r="M149" s="912"/>
      <x:c r="N149" s="913"/>
      <x:c r="O149" s="913"/>
      <x:c r="P149" s="912"/>
    </x:row>
    <x:row r="150" spans="2:16">
      <x:c r="B150" s="912"/>
      <x:c r="C150" s="912"/>
      <x:c r="D150" s="912"/>
      <x:c r="E150" s="912"/>
      <x:c r="F150" s="912"/>
      <x:c r="G150" s="912"/>
      <x:c r="H150" s="912"/>
      <x:c r="I150" s="912"/>
      <x:c r="J150" s="912"/>
      <x:c r="K150" s="912"/>
      <x:c r="L150" s="912"/>
      <x:c r="M150" s="912"/>
      <x:c r="N150" s="913"/>
      <x:c r="O150" s="913"/>
      <x:c r="P150" s="912"/>
    </x:row>
    <x:row r="151" spans="2:16">
      <x:c r="B151" s="912"/>
      <x:c r="C151" s="912"/>
      <x:c r="D151" s="912"/>
      <x:c r="E151" s="912"/>
      <x:c r="F151" s="912"/>
      <x:c r="G151" s="912"/>
      <x:c r="H151" s="912"/>
      <x:c r="I151" s="912"/>
      <x:c r="J151" s="912"/>
      <x:c r="K151" s="912"/>
      <x:c r="L151" s="912"/>
      <x:c r="M151" s="912"/>
      <x:c r="N151" s="913"/>
      <x:c r="O151" s="913"/>
      <x:c r="P151" s="912"/>
    </x:row>
    <x:row r="152" spans="2:16">
      <x:c r="B152" s="912"/>
      <x:c r="C152" s="912"/>
      <x:c r="D152" s="912"/>
      <x:c r="E152" s="912"/>
      <x:c r="F152" s="912"/>
      <x:c r="G152" s="912"/>
      <x:c r="H152" s="912"/>
      <x:c r="I152" s="912"/>
      <x:c r="J152" s="912"/>
      <x:c r="K152" s="912"/>
      <x:c r="L152" s="912"/>
      <x:c r="M152" s="912"/>
      <x:c r="N152" s="913"/>
      <x:c r="O152" s="913"/>
      <x:c r="P152" s="912"/>
    </x:row>
    <x:row r="153" spans="2:16">
      <x:c r="B153" s="912"/>
      <x:c r="C153" s="912"/>
      <x:c r="D153" s="912"/>
      <x:c r="E153" s="912"/>
      <x:c r="F153" s="912"/>
      <x:c r="G153" s="912"/>
      <x:c r="H153" s="912"/>
      <x:c r="I153" s="912"/>
      <x:c r="J153" s="912"/>
      <x:c r="K153" s="912"/>
      <x:c r="L153" s="912"/>
      <x:c r="M153" s="912"/>
      <x:c r="N153" s="913"/>
      <x:c r="O153" s="913"/>
      <x:c r="P153" s="912"/>
    </x:row>
    <x:row r="154" spans="2:16">
      <x:c r="B154" s="912"/>
      <x:c r="C154" s="912"/>
      <x:c r="D154" s="912"/>
      <x:c r="E154" s="912"/>
      <x:c r="F154" s="912"/>
      <x:c r="G154" s="912"/>
      <x:c r="H154" s="912"/>
      <x:c r="I154" s="912"/>
      <x:c r="J154" s="912"/>
      <x:c r="K154" s="912"/>
      <x:c r="L154" s="912"/>
      <x:c r="M154" s="912"/>
      <x:c r="N154" s="913"/>
      <x:c r="O154" s="913"/>
      <x:c r="P154" s="912"/>
    </x:row>
    <x:row r="155" spans="2:16">
      <x:c r="B155" s="912"/>
      <x:c r="C155" s="912"/>
      <x:c r="D155" s="912"/>
      <x:c r="E155" s="912"/>
      <x:c r="F155" s="912"/>
      <x:c r="G155" s="912"/>
      <x:c r="H155" s="912"/>
      <x:c r="I155" s="912"/>
      <x:c r="J155" s="912"/>
      <x:c r="K155" s="912"/>
      <x:c r="L155" s="912"/>
      <x:c r="M155" s="912"/>
      <x:c r="N155" s="913"/>
      <x:c r="O155" s="913"/>
      <x:c r="P155" s="912"/>
    </x:row>
    <x:row r="156" spans="2:16">
      <x:c r="B156" s="912"/>
      <x:c r="C156" s="912"/>
      <x:c r="D156" s="912"/>
      <x:c r="E156" s="912"/>
      <x:c r="F156" s="912"/>
      <x:c r="G156" s="912"/>
      <x:c r="H156" s="912"/>
      <x:c r="I156" s="912"/>
      <x:c r="J156" s="912"/>
      <x:c r="K156" s="912"/>
      <x:c r="L156" s="912"/>
      <x:c r="M156" s="912"/>
      <x:c r="N156" s="913"/>
      <x:c r="O156" s="913"/>
      <x:c r="P156" s="912"/>
    </x:row>
    <x:row r="157" spans="2:16">
      <x:c r="B157" s="912"/>
      <x:c r="C157" s="912"/>
      <x:c r="D157" s="912"/>
      <x:c r="E157" s="912"/>
      <x:c r="F157" s="912"/>
      <x:c r="G157" s="912"/>
      <x:c r="H157" s="912"/>
      <x:c r="I157" s="912"/>
      <x:c r="J157" s="912"/>
      <x:c r="K157" s="912"/>
      <x:c r="L157" s="912"/>
      <x:c r="M157" s="912"/>
      <x:c r="N157" s="913"/>
      <x:c r="O157" s="913"/>
      <x:c r="P157" s="912"/>
    </x:row>
    <x:row r="158" spans="2:16">
      <x:c r="B158" s="912"/>
      <x:c r="C158" s="912"/>
      <x:c r="D158" s="912"/>
      <x:c r="E158" s="912"/>
      <x:c r="F158" s="912"/>
      <x:c r="G158" s="912"/>
      <x:c r="H158" s="912"/>
      <x:c r="I158" s="912"/>
      <x:c r="J158" s="912"/>
      <x:c r="K158" s="912"/>
      <x:c r="L158" s="912"/>
      <x:c r="M158" s="912"/>
      <x:c r="N158" s="913"/>
      <x:c r="O158" s="913"/>
      <x:c r="P158" s="912"/>
    </x:row>
    <x:row r="159" spans="2:16">
      <x:c r="B159" s="912"/>
      <x:c r="C159" s="912"/>
      <x:c r="D159" s="912"/>
      <x:c r="E159" s="912"/>
      <x:c r="F159" s="912"/>
      <x:c r="G159" s="912"/>
      <x:c r="H159" s="912"/>
      <x:c r="I159" s="912"/>
      <x:c r="J159" s="912"/>
      <x:c r="K159" s="912"/>
      <x:c r="L159" s="912"/>
      <x:c r="M159" s="912"/>
      <x:c r="N159" s="913"/>
      <x:c r="O159" s="913"/>
      <x:c r="P159" s="912"/>
    </x:row>
    <x:row r="160" spans="2:16">
      <x:c r="B160" s="912"/>
      <x:c r="C160" s="912"/>
      <x:c r="D160" s="912"/>
      <x:c r="E160" s="912"/>
      <x:c r="F160" s="912"/>
      <x:c r="G160" s="912"/>
      <x:c r="H160" s="912"/>
      <x:c r="I160" s="912"/>
      <x:c r="J160" s="912"/>
      <x:c r="K160" s="912"/>
      <x:c r="L160" s="912"/>
      <x:c r="M160" s="912"/>
      <x:c r="N160" s="913"/>
      <x:c r="O160" s="913"/>
      <x:c r="P160" s="912"/>
    </x:row>
    <x:row r="161" spans="2:16">
      <x:c r="B161" s="912"/>
      <x:c r="C161" s="912"/>
      <x:c r="D161" s="912"/>
      <x:c r="E161" s="912"/>
      <x:c r="F161" s="912"/>
      <x:c r="G161" s="912"/>
      <x:c r="H161" s="912"/>
      <x:c r="I161" s="912"/>
      <x:c r="J161" s="912"/>
      <x:c r="K161" s="912"/>
      <x:c r="L161" s="912"/>
      <x:c r="M161" s="912"/>
      <x:c r="N161" s="913"/>
      <x:c r="O161" s="913"/>
      <x:c r="P161" s="912"/>
    </x:row>
    <x:row r="162" spans="2:16">
      <x:c r="B162" s="912"/>
      <x:c r="C162" s="912"/>
      <x:c r="D162" s="912"/>
      <x:c r="E162" s="912"/>
      <x:c r="F162" s="912"/>
      <x:c r="G162" s="912"/>
      <x:c r="H162" s="912"/>
      <x:c r="I162" s="912"/>
      <x:c r="J162" s="912"/>
      <x:c r="K162" s="912"/>
      <x:c r="L162" s="912"/>
      <x:c r="M162" s="912"/>
      <x:c r="N162" s="913"/>
      <x:c r="O162" s="913"/>
      <x:c r="P162" s="912"/>
    </x:row>
    <x:row r="163" spans="2:16">
      <x:c r="B163" s="912"/>
      <x:c r="C163" s="912"/>
      <x:c r="D163" s="912"/>
      <x:c r="E163" s="912"/>
      <x:c r="F163" s="912"/>
      <x:c r="G163" s="912"/>
      <x:c r="H163" s="912"/>
      <x:c r="I163" s="912"/>
      <x:c r="J163" s="912"/>
      <x:c r="K163" s="912"/>
      <x:c r="L163" s="912"/>
      <x:c r="M163" s="912"/>
      <x:c r="N163" s="913"/>
      <x:c r="O163" s="913"/>
      <x:c r="P163" s="912"/>
    </x:row>
    <x:row r="164" spans="2:16">
      <x:c r="B164" s="912"/>
      <x:c r="C164" s="912"/>
      <x:c r="D164" s="912"/>
      <x:c r="E164" s="912"/>
      <x:c r="F164" s="912"/>
      <x:c r="G164" s="912"/>
      <x:c r="H164" s="912"/>
      <x:c r="I164" s="912"/>
      <x:c r="J164" s="912"/>
      <x:c r="K164" s="912"/>
      <x:c r="L164" s="912"/>
      <x:c r="M164" s="912"/>
      <x:c r="N164" s="913"/>
      <x:c r="O164" s="913"/>
      <x:c r="P164" s="912"/>
    </x:row>
    <x:row r="165" spans="2:16">
      <x:c r="B165" s="912"/>
      <x:c r="C165" s="912"/>
      <x:c r="D165" s="912"/>
      <x:c r="E165" s="912"/>
      <x:c r="F165" s="912"/>
      <x:c r="G165" s="912"/>
      <x:c r="H165" s="912"/>
      <x:c r="I165" s="912"/>
      <x:c r="J165" s="912"/>
      <x:c r="K165" s="912"/>
      <x:c r="L165" s="912"/>
      <x:c r="M165" s="912"/>
      <x:c r="N165" s="913"/>
      <x:c r="O165" s="913"/>
      <x:c r="P165" s="912"/>
    </x:row>
    <x:row r="166" spans="2:16">
      <x:c r="B166" s="912"/>
      <x:c r="C166" s="912"/>
      <x:c r="D166" s="912"/>
      <x:c r="E166" s="912"/>
      <x:c r="F166" s="912"/>
      <x:c r="G166" s="912"/>
      <x:c r="H166" s="912"/>
      <x:c r="I166" s="912"/>
      <x:c r="J166" s="912"/>
      <x:c r="K166" s="912"/>
      <x:c r="L166" s="912"/>
      <x:c r="M166" s="912"/>
      <x:c r="N166" s="913"/>
      <x:c r="O166" s="913"/>
      <x:c r="P166" s="912"/>
    </x:row>
    <x:row r="167" spans="2:16">
      <x:c r="B167" s="912"/>
      <x:c r="C167" s="912"/>
      <x:c r="D167" s="912"/>
      <x:c r="E167" s="912"/>
      <x:c r="F167" s="912"/>
      <x:c r="G167" s="912"/>
      <x:c r="H167" s="912"/>
      <x:c r="I167" s="912"/>
      <x:c r="J167" s="912"/>
      <x:c r="K167" s="912"/>
      <x:c r="L167" s="912"/>
      <x:c r="M167" s="912"/>
      <x:c r="N167" s="913"/>
      <x:c r="O167" s="913"/>
      <x:c r="P167" s="912"/>
    </x:row>
    <x:row r="168" spans="2:16">
      <x:c r="B168" s="912"/>
      <x:c r="C168" s="912"/>
      <x:c r="D168" s="912"/>
      <x:c r="E168" s="912"/>
      <x:c r="F168" s="912"/>
      <x:c r="G168" s="912"/>
      <x:c r="H168" s="912"/>
      <x:c r="I168" s="912"/>
      <x:c r="J168" s="912"/>
      <x:c r="K168" s="912"/>
      <x:c r="L168" s="912"/>
      <x:c r="M168" s="912"/>
      <x:c r="N168" s="913"/>
      <x:c r="O168" s="913"/>
      <x:c r="P168" s="912"/>
    </x:row>
    <x:row r="169" spans="2:16">
      <x:c r="B169" s="912"/>
      <x:c r="C169" s="912"/>
      <x:c r="D169" s="912"/>
      <x:c r="E169" s="912"/>
      <x:c r="F169" s="912"/>
      <x:c r="G169" s="912"/>
      <x:c r="H169" s="912"/>
      <x:c r="I169" s="912"/>
      <x:c r="J169" s="912"/>
      <x:c r="K169" s="912"/>
      <x:c r="L169" s="912"/>
      <x:c r="M169" s="912"/>
      <x:c r="N169" s="913"/>
      <x:c r="O169" s="913"/>
      <x:c r="P169" s="912"/>
    </x:row>
    <x:row r="170" spans="2:16">
      <x:c r="B170" s="912"/>
      <x:c r="C170" s="912"/>
      <x:c r="D170" s="912"/>
      <x:c r="E170" s="912"/>
      <x:c r="F170" s="912"/>
      <x:c r="G170" s="912"/>
      <x:c r="H170" s="912"/>
      <x:c r="I170" s="912"/>
      <x:c r="J170" s="912"/>
      <x:c r="K170" s="912"/>
      <x:c r="L170" s="912"/>
      <x:c r="M170" s="912"/>
      <x:c r="N170" s="913"/>
      <x:c r="O170" s="913"/>
      <x:c r="P170" s="912"/>
    </x:row>
    <x:row r="171" spans="2:16">
      <x:c r="B171" s="912"/>
      <x:c r="C171" s="912"/>
      <x:c r="D171" s="912"/>
      <x:c r="E171" s="912"/>
      <x:c r="F171" s="912"/>
      <x:c r="G171" s="912"/>
      <x:c r="H171" s="912"/>
      <x:c r="I171" s="912"/>
      <x:c r="J171" s="912"/>
      <x:c r="K171" s="912"/>
      <x:c r="L171" s="912"/>
      <x:c r="M171" s="912"/>
      <x:c r="N171" s="913"/>
      <x:c r="O171" s="913"/>
      <x:c r="P171" s="912"/>
    </x:row>
    <x:row r="172" spans="2:16">
      <x:c r="B172" s="912"/>
      <x:c r="C172" s="912"/>
      <x:c r="D172" s="912"/>
      <x:c r="E172" s="912"/>
      <x:c r="F172" s="912"/>
      <x:c r="G172" s="912"/>
      <x:c r="H172" s="912"/>
      <x:c r="I172" s="912"/>
      <x:c r="J172" s="912"/>
      <x:c r="K172" s="912"/>
      <x:c r="L172" s="912"/>
      <x:c r="M172" s="912"/>
      <x:c r="N172" s="913"/>
      <x:c r="O172" s="913"/>
      <x:c r="P172" s="912"/>
    </x:row>
    <x:row r="173" spans="2:16">
      <x:c r="B173" s="912"/>
      <x:c r="C173" s="912"/>
      <x:c r="D173" s="912"/>
      <x:c r="E173" s="912"/>
      <x:c r="F173" s="912"/>
      <x:c r="G173" s="912"/>
      <x:c r="H173" s="912"/>
      <x:c r="I173" s="912"/>
      <x:c r="J173" s="912"/>
      <x:c r="K173" s="912"/>
      <x:c r="L173" s="912"/>
      <x:c r="M173" s="912"/>
      <x:c r="N173" s="913"/>
      <x:c r="O173" s="913"/>
      <x:c r="P173" s="912"/>
    </x:row>
    <x:row r="174" spans="2:16">
      <x:c r="B174" s="912"/>
      <x:c r="C174" s="912"/>
      <x:c r="D174" s="912"/>
      <x:c r="E174" s="912"/>
      <x:c r="F174" s="912"/>
      <x:c r="G174" s="912"/>
      <x:c r="H174" s="912"/>
      <x:c r="I174" s="912"/>
      <x:c r="J174" s="912"/>
      <x:c r="K174" s="912"/>
      <x:c r="L174" s="912"/>
      <x:c r="M174" s="912"/>
      <x:c r="N174" s="913"/>
      <x:c r="O174" s="913"/>
      <x:c r="P174" s="912"/>
    </x:row>
    <x:row r="175" spans="2:16">
      <x:c r="B175" s="912"/>
      <x:c r="C175" s="912"/>
      <x:c r="D175" s="912"/>
      <x:c r="E175" s="912"/>
      <x:c r="F175" s="912"/>
      <x:c r="G175" s="912"/>
      <x:c r="H175" s="912"/>
      <x:c r="I175" s="912"/>
      <x:c r="J175" s="912"/>
      <x:c r="K175" s="912"/>
      <x:c r="L175" s="912"/>
      <x:c r="M175" s="912"/>
      <x:c r="N175" s="913"/>
      <x:c r="O175" s="913"/>
      <x:c r="P175" s="912"/>
    </x:row>
    <x:row r="176" spans="2:16">
      <x:c r="B176" s="912"/>
      <x:c r="C176" s="912"/>
      <x:c r="D176" s="912"/>
      <x:c r="E176" s="912"/>
      <x:c r="F176" s="912"/>
      <x:c r="G176" s="912"/>
      <x:c r="H176" s="912"/>
      <x:c r="I176" s="912"/>
      <x:c r="J176" s="912"/>
      <x:c r="K176" s="912"/>
      <x:c r="L176" s="912"/>
      <x:c r="M176" s="912"/>
      <x:c r="N176" s="913"/>
      <x:c r="O176" s="913"/>
      <x:c r="P176" s="912"/>
    </x:row>
    <x:row r="177" spans="2:16">
      <x:c r="B177" s="912"/>
      <x:c r="C177" s="912"/>
      <x:c r="D177" s="912"/>
      <x:c r="E177" s="912"/>
      <x:c r="F177" s="912"/>
      <x:c r="G177" s="912"/>
      <x:c r="H177" s="912"/>
      <x:c r="I177" s="912"/>
      <x:c r="J177" s="912"/>
      <x:c r="K177" s="912"/>
      <x:c r="L177" s="912"/>
      <x:c r="M177" s="912"/>
      <x:c r="N177" s="913"/>
      <x:c r="O177" s="913"/>
      <x:c r="P177" s="912"/>
    </x:row>
    <x:row r="178" spans="2:16">
      <x:c r="B178" s="912"/>
      <x:c r="C178" s="912"/>
      <x:c r="D178" s="912"/>
      <x:c r="E178" s="912"/>
      <x:c r="F178" s="912"/>
      <x:c r="G178" s="912"/>
      <x:c r="H178" s="912"/>
      <x:c r="I178" s="912"/>
      <x:c r="J178" s="912"/>
      <x:c r="K178" s="912"/>
      <x:c r="L178" s="912"/>
      <x:c r="M178" s="912"/>
      <x:c r="N178" s="913"/>
      <x:c r="O178" s="913"/>
      <x:c r="P178" s="912"/>
    </x:row>
    <x:row r="179" spans="2:16">
      <x:c r="B179" s="912"/>
      <x:c r="C179" s="912"/>
      <x:c r="D179" s="912"/>
      <x:c r="E179" s="912"/>
      <x:c r="F179" s="912"/>
      <x:c r="G179" s="912"/>
      <x:c r="H179" s="912"/>
      <x:c r="I179" s="912"/>
      <x:c r="J179" s="912"/>
      <x:c r="K179" s="912"/>
      <x:c r="L179" s="912"/>
      <x:c r="M179" s="912"/>
      <x:c r="N179" s="913"/>
      <x:c r="O179" s="913"/>
      <x:c r="P179" s="912"/>
    </x:row>
    <x:row r="180" spans="2:16">
      <x:c r="B180" s="912"/>
      <x:c r="C180" s="912"/>
      <x:c r="D180" s="912"/>
      <x:c r="E180" s="912"/>
      <x:c r="F180" s="912"/>
      <x:c r="G180" s="912"/>
      <x:c r="H180" s="912"/>
      <x:c r="I180" s="912"/>
      <x:c r="J180" s="912"/>
      <x:c r="K180" s="912"/>
      <x:c r="L180" s="912"/>
      <x:c r="M180" s="912"/>
      <x:c r="N180" s="913"/>
      <x:c r="O180" s="913"/>
      <x:c r="P180" s="912"/>
    </x:row>
    <x:row r="181" spans="2:16">
      <x:c r="B181" s="912"/>
      <x:c r="C181" s="912"/>
      <x:c r="D181" s="912"/>
      <x:c r="E181" s="912"/>
      <x:c r="F181" s="912"/>
      <x:c r="G181" s="912"/>
      <x:c r="H181" s="912"/>
      <x:c r="I181" s="912"/>
      <x:c r="J181" s="912"/>
      <x:c r="K181" s="912"/>
      <x:c r="L181" s="912"/>
      <x:c r="M181" s="912"/>
      <x:c r="N181" s="913"/>
      <x:c r="O181" s="913"/>
      <x:c r="P181" s="912"/>
    </x:row>
    <x:row r="182" spans="2:16">
      <x:c r="B182" s="912"/>
      <x:c r="C182" s="912"/>
      <x:c r="D182" s="912"/>
      <x:c r="E182" s="912"/>
      <x:c r="F182" s="912"/>
      <x:c r="G182" s="912"/>
      <x:c r="H182" s="912"/>
      <x:c r="I182" s="912"/>
      <x:c r="J182" s="912"/>
      <x:c r="K182" s="912"/>
      <x:c r="L182" s="912"/>
      <x:c r="M182" s="912"/>
      <x:c r="N182" s="913"/>
      <x:c r="O182" s="913"/>
      <x:c r="P182" s="912"/>
    </x:row>
    <x:row r="183" spans="2:16">
      <x:c r="B183" s="912"/>
      <x:c r="C183" s="912"/>
      <x:c r="D183" s="912"/>
      <x:c r="E183" s="912"/>
      <x:c r="F183" s="912"/>
      <x:c r="G183" s="912"/>
      <x:c r="H183" s="912"/>
      <x:c r="I183" s="912"/>
      <x:c r="J183" s="912"/>
      <x:c r="K183" s="912"/>
      <x:c r="L183" s="912"/>
      <x:c r="M183" s="912"/>
      <x:c r="N183" s="913"/>
      <x:c r="O183" s="913"/>
      <x:c r="P183" s="912"/>
    </x:row>
    <x:row r="184" spans="2:16">
      <x:c r="B184" s="912"/>
      <x:c r="C184" s="912"/>
      <x:c r="D184" s="912"/>
      <x:c r="E184" s="912"/>
      <x:c r="F184" s="912"/>
      <x:c r="G184" s="912"/>
      <x:c r="H184" s="912"/>
      <x:c r="I184" s="912"/>
      <x:c r="J184" s="912"/>
      <x:c r="K184" s="912"/>
      <x:c r="L184" s="912"/>
      <x:c r="M184" s="912"/>
      <x:c r="N184" s="913"/>
      <x:c r="O184" s="913"/>
      <x:c r="P184" s="912"/>
    </x:row>
    <x:row r="185" spans="2:16">
      <x:c r="B185" s="912"/>
      <x:c r="C185" s="912"/>
      <x:c r="D185" s="912"/>
      <x:c r="E185" s="912"/>
      <x:c r="F185" s="912"/>
      <x:c r="G185" s="912"/>
      <x:c r="H185" s="912"/>
      <x:c r="I185" s="912"/>
      <x:c r="J185" s="912"/>
      <x:c r="K185" s="912"/>
      <x:c r="L185" s="912"/>
      <x:c r="M185" s="912"/>
      <x:c r="N185" s="913"/>
      <x:c r="O185" s="913"/>
      <x:c r="P185" s="912"/>
    </x:row>
    <x:row r="186" spans="2:16">
      <x:c r="B186" s="912"/>
      <x:c r="C186" s="912"/>
      <x:c r="D186" s="912"/>
      <x:c r="E186" s="912"/>
      <x:c r="F186" s="912"/>
      <x:c r="G186" s="912"/>
      <x:c r="H186" s="912"/>
      <x:c r="I186" s="912"/>
      <x:c r="J186" s="912"/>
      <x:c r="K186" s="912"/>
      <x:c r="L186" s="912"/>
      <x:c r="M186" s="912"/>
      <x:c r="N186" s="913"/>
      <x:c r="O186" s="913"/>
      <x:c r="P186" s="912"/>
    </x:row>
    <x:row r="187" spans="2:16">
      <x:c r="B187" s="912"/>
      <x:c r="C187" s="912"/>
      <x:c r="D187" s="912"/>
      <x:c r="E187" s="912"/>
      <x:c r="F187" s="912"/>
      <x:c r="G187" s="912"/>
      <x:c r="H187" s="912"/>
      <x:c r="I187" s="912"/>
      <x:c r="J187" s="912"/>
      <x:c r="K187" s="912"/>
      <x:c r="L187" s="912"/>
      <x:c r="M187" s="912"/>
      <x:c r="N187" s="913"/>
      <x:c r="O187" s="913"/>
      <x:c r="P187" s="912"/>
    </x:row>
    <x:row r="188" spans="2:16">
      <x:c r="B188" s="912"/>
      <x:c r="C188" s="912"/>
      <x:c r="D188" s="912"/>
      <x:c r="E188" s="912"/>
      <x:c r="F188" s="912"/>
      <x:c r="G188" s="912"/>
      <x:c r="H188" s="912"/>
      <x:c r="I188" s="912"/>
      <x:c r="J188" s="912"/>
      <x:c r="K188" s="912"/>
      <x:c r="L188" s="912"/>
      <x:c r="M188" s="912"/>
      <x:c r="N188" s="913"/>
      <x:c r="O188" s="913"/>
      <x:c r="P188" s="912"/>
    </x:row>
    <x:row r="189" spans="2:16">
      <x:c r="B189" s="912"/>
      <x:c r="C189" s="912"/>
      <x:c r="D189" s="912"/>
      <x:c r="E189" s="912"/>
      <x:c r="F189" s="912"/>
      <x:c r="G189" s="912"/>
      <x:c r="H189" s="912"/>
      <x:c r="I189" s="912"/>
      <x:c r="J189" s="912"/>
      <x:c r="K189" s="912"/>
      <x:c r="L189" s="912"/>
      <x:c r="M189" s="912"/>
      <x:c r="N189" s="913"/>
      <x:c r="O189" s="913"/>
      <x:c r="P189" s="912"/>
    </x:row>
    <x:row r="190" spans="2:16">
      <x:c r="B190" s="912"/>
      <x:c r="C190" s="912"/>
      <x:c r="D190" s="912"/>
      <x:c r="E190" s="912"/>
      <x:c r="F190" s="912"/>
      <x:c r="G190" s="912"/>
      <x:c r="H190" s="912"/>
      <x:c r="I190" s="912"/>
      <x:c r="J190" s="912"/>
      <x:c r="K190" s="912"/>
      <x:c r="L190" s="912"/>
      <x:c r="M190" s="912"/>
      <x:c r="N190" s="913"/>
      <x:c r="O190" s="913"/>
      <x:c r="P190" s="912"/>
    </x:row>
    <x:row r="191" spans="2:16">
      <x:c r="B191" s="912"/>
      <x:c r="C191" s="912"/>
      <x:c r="D191" s="912"/>
      <x:c r="E191" s="912"/>
      <x:c r="F191" s="912"/>
      <x:c r="G191" s="912"/>
      <x:c r="H191" s="912"/>
      <x:c r="I191" s="912"/>
      <x:c r="J191" s="912"/>
      <x:c r="K191" s="912"/>
      <x:c r="L191" s="912"/>
      <x:c r="M191" s="912"/>
      <x:c r="N191" s="913"/>
      <x:c r="O191" s="913"/>
      <x:c r="P191" s="912"/>
    </x:row>
    <x:row r="192" spans="2:16">
      <x:c r="B192" s="912"/>
      <x:c r="C192" s="912"/>
      <x:c r="D192" s="912"/>
      <x:c r="E192" s="912"/>
      <x:c r="F192" s="912"/>
      <x:c r="G192" s="912"/>
      <x:c r="H192" s="912"/>
      <x:c r="I192" s="912"/>
      <x:c r="J192" s="912"/>
      <x:c r="K192" s="912"/>
      <x:c r="L192" s="912"/>
      <x:c r="M192" s="912"/>
      <x:c r="N192" s="913"/>
      <x:c r="O192" s="913"/>
      <x:c r="P192" s="912"/>
    </x:row>
    <x:row r="193" spans="1:16">
      <x:c r="B193" s="912"/>
      <x:c r="C193" s="912"/>
      <x:c r="D193" s="912"/>
      <x:c r="E193" s="912"/>
      <x:c r="F193" s="912"/>
      <x:c r="G193" s="912"/>
      <x:c r="H193" s="912"/>
      <x:c r="I193" s="912"/>
      <x:c r="J193" s="912"/>
      <x:c r="K193" s="912"/>
      <x:c r="L193" s="912"/>
      <x:c r="M193" s="912"/>
      <x:c r="N193" s="913"/>
      <x:c r="O193" s="913"/>
      <x:c r="P193" s="912"/>
    </x:row>
    <x:row r="194" spans="1:16">
      <x:c r="B194" s="912"/>
      <x:c r="C194" s="912"/>
      <x:c r="D194" s="912"/>
      <x:c r="E194" s="912"/>
      <x:c r="F194" s="912"/>
      <x:c r="G194" s="912"/>
      <x:c r="H194" s="912"/>
      <x:c r="I194" s="912"/>
      <x:c r="J194" s="912"/>
      <x:c r="K194" s="912"/>
      <x:c r="L194" s="912"/>
      <x:c r="M194" s="912"/>
      <x:c r="N194" s="913"/>
      <x:c r="O194" s="913"/>
      <x:c r="P194" s="912"/>
    </x:row>
    <x:row r="195" spans="1:16">
      <x:c r="B195" s="912"/>
      <x:c r="C195" s="912"/>
      <x:c r="D195" s="912"/>
      <x:c r="E195" s="912"/>
      <x:c r="F195" s="912"/>
      <x:c r="G195" s="912"/>
      <x:c r="H195" s="912"/>
      <x:c r="I195" s="912"/>
      <x:c r="J195" s="912"/>
      <x:c r="K195" s="912"/>
      <x:c r="L195" s="912"/>
      <x:c r="M195" s="912"/>
      <x:c r="N195" s="913"/>
      <x:c r="O195" s="913"/>
      <x:c r="P195" s="912"/>
    </x:row>
    <x:row r="196" spans="1:16">
      <x:c r="B196" s="912"/>
      <x:c r="C196" s="912"/>
      <x:c r="D196" s="912"/>
      <x:c r="E196" s="912"/>
      <x:c r="F196" s="912"/>
      <x:c r="G196" s="912"/>
      <x:c r="H196" s="912"/>
      <x:c r="I196" s="912"/>
      <x:c r="J196" s="912"/>
      <x:c r="K196" s="912"/>
      <x:c r="L196" s="912"/>
      <x:c r="M196" s="912"/>
      <x:c r="N196" s="913"/>
      <x:c r="O196" s="913"/>
      <x:c r="P196" s="912"/>
    </x:row>
    <x:row r="197" spans="1:16">
      <x:c r="B197" s="912"/>
      <x:c r="C197" s="912"/>
      <x:c r="D197" s="912"/>
      <x:c r="E197" s="912"/>
      <x:c r="F197" s="912"/>
      <x:c r="G197" s="912"/>
      <x:c r="H197" s="912"/>
      <x:c r="I197" s="912"/>
      <x:c r="J197" s="912"/>
      <x:c r="K197" s="912"/>
      <x:c r="L197" s="912"/>
      <x:c r="M197" s="912"/>
      <x:c r="N197" s="913"/>
      <x:c r="O197" s="913"/>
      <x:c r="P197" s="912"/>
    </x:row>
    <x:row r="198" spans="1:16">
      <x:c r="B198" s="912"/>
      <x:c r="C198" s="912"/>
      <x:c r="D198" s="912"/>
      <x:c r="E198" s="912"/>
      <x:c r="F198" s="912"/>
      <x:c r="G198" s="912"/>
      <x:c r="H198" s="912"/>
      <x:c r="I198" s="912"/>
      <x:c r="J198" s="912"/>
      <x:c r="K198" s="912"/>
      <x:c r="L198" s="912"/>
      <x:c r="M198" s="912"/>
      <x:c r="N198" s="913"/>
      <x:c r="O198" s="913"/>
      <x:c r="P198" s="912"/>
    </x:row>
    <x:row r="199" spans="1:16">
      <x:c r="A199" s="914"/>
      <x:c r="B199" s="912"/>
      <x:c r="C199" s="912"/>
      <x:c r="D199" s="912"/>
      <x:c r="E199" s="912"/>
      <x:c r="F199" s="912"/>
      <x:c r="G199" s="912"/>
      <x:c r="H199" s="912"/>
      <x:c r="I199" s="912"/>
      <x:c r="J199" s="912"/>
      <x:c r="K199" s="912"/>
      <x:c r="L199" s="912"/>
      <x:c r="M199" s="912"/>
      <x:c r="N199" s="912"/>
      <x:c r="O199" s="912"/>
      <x:c r="P199" s="912"/>
    </x:row>
    <x:row r="200" spans="1:16">
      <x:c r="A200" s="914"/>
      <x:c r="B200" s="912"/>
      <x:c r="C200" s="912"/>
      <x:c r="D200" s="912"/>
      <x:c r="E200" s="912"/>
      <x:c r="F200" s="912"/>
      <x:c r="G200" s="912"/>
      <x:c r="H200" s="912"/>
      <x:c r="I200" s="912"/>
      <x:c r="J200" s="912"/>
      <x:c r="K200" s="912"/>
      <x:c r="L200" s="912"/>
      <x:c r="M200" s="912"/>
      <x:c r="N200" s="912"/>
      <x:c r="O200" s="912"/>
      <x:c r="P200" s="912"/>
    </x:row>
    <x:row r="201" spans="1:16">
      <x:c r="A201" s="914"/>
      <x:c r="B201" s="915"/>
      <x:c r="C201" s="915"/>
      <x:c r="D201" s="915"/>
      <x:c r="E201" s="915"/>
      <x:c r="F201" s="915"/>
      <x:c r="G201" s="915"/>
      <x:c r="H201" s="915"/>
      <x:c r="I201" s="915"/>
      <x:c r="J201" s="915"/>
      <x:c r="K201" s="915"/>
      <x:c r="L201" s="915"/>
      <x:c r="M201" s="915"/>
      <x:c r="N201" s="912"/>
      <x:c r="O201" s="912"/>
      <x:c r="P201" s="912"/>
    </x:row>
    <x:row r="202" spans="1:16">
      <x:c r="A202" s="914"/>
      <x:c r="B202" s="912"/>
      <x:c r="C202" s="912"/>
      <x:c r="D202" s="912"/>
      <x:c r="E202" s="912"/>
      <x:c r="F202" s="912"/>
      <x:c r="G202" s="912"/>
      <x:c r="H202" s="912"/>
      <x:c r="I202" s="912"/>
      <x:c r="J202" s="912"/>
      <x:c r="K202" s="912"/>
      <x:c r="L202" s="912"/>
      <x:c r="M202" s="912"/>
      <x:c r="N202" s="912"/>
      <x:c r="O202" s="912"/>
      <x:c r="P202" s="912"/>
    </x:row>
    <x:row r="203" spans="1:16">
      <x:c r="A203" s="914"/>
      <x:c r="B203" s="912"/>
      <x:c r="C203" s="912"/>
      <x:c r="D203" s="912"/>
      <x:c r="E203" s="912"/>
      <x:c r="F203" s="912"/>
      <x:c r="G203" s="912"/>
      <x:c r="H203" s="912"/>
      <x:c r="I203" s="912"/>
      <x:c r="J203" s="912"/>
      <x:c r="K203" s="912"/>
      <x:c r="L203" s="912"/>
      <x:c r="M203" s="912"/>
      <x:c r="N203" s="912"/>
      <x:c r="O203" s="912"/>
      <x:c r="P203" s="912"/>
    </x:row>
    <x:row r="204" spans="1:16">
      <x:c r="A204" s="914"/>
      <x:c r="B204" s="912"/>
      <x:c r="C204" s="912"/>
      <x:c r="D204" s="912"/>
      <x:c r="E204" s="912"/>
      <x:c r="F204" s="912"/>
      <x:c r="G204" s="912"/>
      <x:c r="H204" s="912"/>
      <x:c r="I204" s="912"/>
      <x:c r="J204" s="912"/>
      <x:c r="K204" s="912"/>
      <x:c r="L204" s="912"/>
      <x:c r="M204" s="912"/>
      <x:c r="N204" s="912"/>
      <x:c r="O204" s="912"/>
      <x:c r="P204" s="912"/>
    </x:row>
    <x:row r="205" spans="1:16">
      <x:c r="A205" s="914"/>
      <x:c r="B205" s="912"/>
      <x:c r="C205" s="912"/>
      <x:c r="D205" s="912"/>
      <x:c r="E205" s="912"/>
      <x:c r="F205" s="912"/>
      <x:c r="G205" s="912"/>
      <x:c r="H205" s="912"/>
      <x:c r="I205" s="912"/>
      <x:c r="J205" s="912"/>
      <x:c r="K205" s="912"/>
      <x:c r="L205" s="912"/>
      <x:c r="M205" s="912"/>
      <x:c r="N205" s="912"/>
      <x:c r="O205" s="912"/>
      <x:c r="P205" s="912"/>
    </x:row>
    <x:row r="206" spans="1:16">
      <x:c r="A206" s="914"/>
      <x:c r="B206" s="912"/>
      <x:c r="C206" s="912"/>
      <x:c r="D206" s="912"/>
      <x:c r="E206" s="912"/>
      <x:c r="F206" s="912"/>
      <x:c r="G206" s="912"/>
      <x:c r="H206" s="912"/>
      <x:c r="I206" s="912"/>
      <x:c r="J206" s="912"/>
      <x:c r="K206" s="912"/>
      <x:c r="L206" s="912"/>
      <x:c r="M206" s="912"/>
      <x:c r="N206" s="912"/>
      <x:c r="O206" s="912"/>
      <x:c r="P206" s="912"/>
    </x:row>
    <x:row r="207" spans="1:16">
      <x:c r="A207" s="914"/>
      <x:c r="B207" s="912"/>
      <x:c r="C207" s="912"/>
      <x:c r="D207" s="912"/>
      <x:c r="E207" s="912"/>
      <x:c r="F207" s="912"/>
      <x:c r="G207" s="912"/>
      <x:c r="H207" s="912"/>
      <x:c r="I207" s="912"/>
      <x:c r="J207" s="912"/>
      <x:c r="K207" s="912"/>
      <x:c r="L207" s="912"/>
      <x:c r="M207" s="912"/>
      <x:c r="N207" s="912"/>
      <x:c r="O207" s="912"/>
      <x:c r="P207" s="912"/>
    </x:row>
    <x:row r="208" spans="1:16">
      <x:c r="A208" s="914"/>
      <x:c r="B208" s="912"/>
      <x:c r="C208" s="912"/>
      <x:c r="D208" s="912"/>
      <x:c r="E208" s="912"/>
      <x:c r="F208" s="912"/>
      <x:c r="G208" s="912"/>
      <x:c r="H208" s="912"/>
      <x:c r="I208" s="912"/>
      <x:c r="J208" s="912"/>
      <x:c r="K208" s="912"/>
      <x:c r="L208" s="912"/>
      <x:c r="M208" s="912"/>
      <x:c r="N208" s="912"/>
      <x:c r="O208" s="912"/>
      <x:c r="P208" s="912"/>
    </x:row>
    <x:row r="209" spans="1:16">
      <x:c r="A209" s="914"/>
      <x:c r="B209" s="912"/>
      <x:c r="C209" s="912"/>
      <x:c r="D209" s="912"/>
      <x:c r="E209" s="912"/>
      <x:c r="F209" s="912"/>
      <x:c r="G209" s="912"/>
      <x:c r="H209" s="912"/>
      <x:c r="I209" s="912"/>
      <x:c r="J209" s="912"/>
      <x:c r="K209" s="912"/>
      <x:c r="L209" s="912"/>
      <x:c r="M209" s="912"/>
      <x:c r="N209" s="912"/>
      <x:c r="O209" s="912"/>
      <x:c r="P209" s="912"/>
    </x:row>
    <x:row r="210" spans="1:16">
      <x:c r="A210" s="914"/>
      <x:c r="B210" s="912"/>
      <x:c r="C210" s="912"/>
      <x:c r="D210" s="912"/>
      <x:c r="E210" s="912"/>
      <x:c r="F210" s="912"/>
      <x:c r="G210" s="912"/>
      <x:c r="H210" s="912"/>
      <x:c r="I210" s="912"/>
      <x:c r="J210" s="912"/>
      <x:c r="K210" s="912"/>
      <x:c r="L210" s="912"/>
      <x:c r="M210" s="912"/>
      <x:c r="N210" s="912"/>
      <x:c r="O210" s="912"/>
      <x:c r="P210" s="912"/>
    </x:row>
    <x:row r="211" spans="1:16">
      <x:c r="A211" s="914"/>
      <x:c r="B211" s="912"/>
      <x:c r="C211" s="912"/>
      <x:c r="D211" s="912"/>
      <x:c r="E211" s="912"/>
      <x:c r="F211" s="912"/>
      <x:c r="G211" s="912"/>
      <x:c r="H211" s="912"/>
      <x:c r="I211" s="912"/>
      <x:c r="J211" s="912"/>
      <x:c r="K211" s="912"/>
      <x:c r="L211" s="912"/>
      <x:c r="M211" s="912"/>
      <x:c r="N211" s="912"/>
      <x:c r="O211" s="912"/>
      <x:c r="P211" s="912"/>
    </x:row>
    <x:row r="212" spans="1:16">
      <x:c r="A212" s="914"/>
      <x:c r="B212" s="912"/>
      <x:c r="C212" s="912"/>
      <x:c r="D212" s="912"/>
      <x:c r="E212" s="912"/>
      <x:c r="F212" s="912"/>
      <x:c r="G212" s="912"/>
      <x:c r="H212" s="912"/>
      <x:c r="I212" s="912"/>
      <x:c r="J212" s="912"/>
      <x:c r="K212" s="912"/>
      <x:c r="L212" s="912"/>
      <x:c r="M212" s="912"/>
      <x:c r="N212" s="912"/>
      <x:c r="O212" s="912"/>
      <x:c r="P212" s="912"/>
    </x:row>
    <x:row r="213" spans="1:16">
      <x:c r="A213" s="914"/>
      <x:c r="B213" s="912"/>
      <x:c r="C213" s="912"/>
      <x:c r="D213" s="912"/>
      <x:c r="E213" s="912"/>
      <x:c r="F213" s="912"/>
      <x:c r="G213" s="912"/>
      <x:c r="H213" s="912"/>
      <x:c r="I213" s="912"/>
      <x:c r="J213" s="912"/>
      <x:c r="K213" s="912"/>
      <x:c r="L213" s="912"/>
      <x:c r="M213" s="912"/>
      <x:c r="N213" s="912"/>
      <x:c r="O213" s="912"/>
      <x:c r="P213" s="912"/>
    </x:row>
    <x:row r="214" spans="1:16">
      <x:c r="A214" s="914"/>
      <x:c r="B214" s="912"/>
      <x:c r="C214" s="912"/>
      <x:c r="D214" s="912"/>
      <x:c r="E214" s="912"/>
      <x:c r="F214" s="912"/>
      <x:c r="G214" s="912"/>
      <x:c r="H214" s="912"/>
      <x:c r="I214" s="912"/>
      <x:c r="J214" s="912"/>
      <x:c r="K214" s="912"/>
      <x:c r="L214" s="912"/>
      <x:c r="M214" s="912"/>
      <x:c r="N214" s="912"/>
      <x:c r="O214" s="912"/>
      <x:c r="P214" s="912"/>
    </x:row>
    <x:row r="215" spans="1:16">
      <x:c r="A215" s="914"/>
      <x:c r="B215" s="912"/>
      <x:c r="C215" s="912"/>
      <x:c r="D215" s="912"/>
      <x:c r="E215" s="912"/>
      <x:c r="F215" s="912"/>
      <x:c r="G215" s="912"/>
      <x:c r="H215" s="912"/>
      <x:c r="I215" s="912"/>
      <x:c r="J215" s="912"/>
      <x:c r="K215" s="912"/>
      <x:c r="L215" s="912"/>
      <x:c r="M215" s="912"/>
      <x:c r="N215" s="912"/>
      <x:c r="O215" s="912"/>
      <x:c r="P215" s="912"/>
    </x:row>
    <x:row r="216" spans="1:16">
      <x:c r="A216" s="914"/>
      <x:c r="B216" s="912"/>
      <x:c r="C216" s="912"/>
      <x:c r="D216" s="912"/>
      <x:c r="E216" s="912"/>
      <x:c r="F216" s="912"/>
      <x:c r="G216" s="912"/>
      <x:c r="H216" s="912"/>
      <x:c r="I216" s="912"/>
      <x:c r="J216" s="912"/>
      <x:c r="K216" s="912"/>
      <x:c r="L216" s="912"/>
      <x:c r="M216" s="912"/>
      <x:c r="N216" s="912"/>
      <x:c r="O216" s="912"/>
      <x:c r="P216" s="912"/>
    </x:row>
    <x:row r="217" spans="1:16">
      <x:c r="A217" s="914"/>
      <x:c r="B217" s="912"/>
      <x:c r="C217" s="912"/>
      <x:c r="D217" s="912"/>
      <x:c r="E217" s="912"/>
      <x:c r="F217" s="912"/>
      <x:c r="G217" s="912"/>
      <x:c r="H217" s="912"/>
      <x:c r="I217" s="912"/>
      <x:c r="J217" s="912"/>
      <x:c r="K217" s="912"/>
      <x:c r="L217" s="912"/>
      <x:c r="M217" s="912"/>
      <x:c r="N217" s="912"/>
      <x:c r="O217" s="912"/>
      <x:c r="P217" s="912"/>
    </x:row>
    <x:row r="218" spans="1:16">
      <x:c r="A218" s="914"/>
      <x:c r="B218" s="912"/>
      <x:c r="C218" s="912"/>
      <x:c r="D218" s="912"/>
      <x:c r="E218" s="912"/>
      <x:c r="F218" s="912"/>
      <x:c r="G218" s="912"/>
      <x:c r="H218" s="912"/>
      <x:c r="I218" s="912"/>
      <x:c r="J218" s="912"/>
      <x:c r="K218" s="912"/>
      <x:c r="L218" s="912"/>
      <x:c r="M218" s="912"/>
      <x:c r="N218" s="912"/>
      <x:c r="O218" s="912"/>
      <x:c r="P218" s="912"/>
    </x:row>
    <x:row r="219" spans="1:16">
      <x:c r="A219" s="914"/>
      <x:c r="B219" s="912"/>
      <x:c r="C219" s="912"/>
      <x:c r="D219" s="912"/>
      <x:c r="E219" s="912"/>
      <x:c r="F219" s="912"/>
      <x:c r="G219" s="912"/>
      <x:c r="H219" s="912"/>
      <x:c r="I219" s="912"/>
      <x:c r="J219" s="912"/>
      <x:c r="K219" s="912"/>
      <x:c r="L219" s="912"/>
      <x:c r="M219" s="912"/>
      <x:c r="N219" s="912"/>
      <x:c r="O219" s="912"/>
      <x:c r="P219" s="912"/>
    </x:row>
    <x:row r="220" spans="1:16">
      <x:c r="A220" s="914"/>
      <x:c r="B220" s="912"/>
      <x:c r="C220" s="912"/>
      <x:c r="D220" s="912"/>
      <x:c r="E220" s="912"/>
      <x:c r="F220" s="912"/>
      <x:c r="G220" s="912"/>
      <x:c r="H220" s="912"/>
      <x:c r="I220" s="912"/>
      <x:c r="J220" s="912"/>
      <x:c r="K220" s="912"/>
      <x:c r="L220" s="912"/>
      <x:c r="M220" s="912"/>
      <x:c r="N220" s="912"/>
      <x:c r="O220" s="912"/>
      <x:c r="P220" s="912"/>
    </x:row>
    <x:row r="221" spans="1:16">
      <x:c r="A221" s="914"/>
      <x:c r="B221" s="912"/>
      <x:c r="C221" s="912"/>
      <x:c r="D221" s="912"/>
      <x:c r="E221" s="912"/>
      <x:c r="F221" s="912"/>
      <x:c r="G221" s="912"/>
      <x:c r="H221" s="912"/>
      <x:c r="I221" s="912"/>
      <x:c r="J221" s="912"/>
      <x:c r="K221" s="912"/>
      <x:c r="L221" s="912"/>
      <x:c r="M221" s="912"/>
      <x:c r="N221" s="912"/>
      <x:c r="O221" s="912"/>
      <x:c r="P221" s="912"/>
    </x:row>
    <x:row r="222" spans="1:16">
      <x:c r="A222" s="914"/>
      <x:c r="B222" s="912"/>
      <x:c r="C222" s="912"/>
      <x:c r="D222" s="912"/>
      <x:c r="E222" s="912"/>
      <x:c r="F222" s="912"/>
      <x:c r="G222" s="912"/>
      <x:c r="H222" s="912"/>
      <x:c r="I222" s="912"/>
      <x:c r="J222" s="912"/>
      <x:c r="K222" s="912"/>
      <x:c r="L222" s="912"/>
      <x:c r="M222" s="912"/>
      <x:c r="N222" s="912"/>
      <x:c r="O222" s="912"/>
      <x:c r="P222" s="912"/>
    </x:row>
    <x:row r="223" spans="1:16">
      <x:c r="A223" s="914"/>
      <x:c r="B223" s="912"/>
      <x:c r="C223" s="912"/>
      <x:c r="D223" s="912"/>
      <x:c r="E223" s="912"/>
      <x:c r="F223" s="912"/>
      <x:c r="G223" s="912"/>
      <x:c r="H223" s="912"/>
      <x:c r="I223" s="912"/>
      <x:c r="J223" s="912"/>
      <x:c r="K223" s="912"/>
      <x:c r="L223" s="912"/>
      <x:c r="M223" s="912"/>
      <x:c r="N223" s="912"/>
      <x:c r="O223" s="912"/>
      <x:c r="P223" s="912"/>
    </x:row>
    <x:row r="224" spans="1:16">
      <x:c r="A224" s="914"/>
      <x:c r="B224" s="912"/>
      <x:c r="C224" s="912"/>
      <x:c r="D224" s="912"/>
      <x:c r="E224" s="912"/>
      <x:c r="F224" s="912"/>
      <x:c r="G224" s="912"/>
      <x:c r="H224" s="912"/>
      <x:c r="I224" s="912"/>
      <x:c r="J224" s="912"/>
      <x:c r="K224" s="912"/>
      <x:c r="L224" s="912"/>
      <x:c r="M224" s="912"/>
      <x:c r="N224" s="912"/>
      <x:c r="O224" s="912"/>
      <x:c r="P224" s="912"/>
    </x:row>
    <x:row r="225" spans="1:16">
      <x:c r="A225" s="914"/>
      <x:c r="B225" s="912"/>
      <x:c r="C225" s="912"/>
      <x:c r="D225" s="912"/>
      <x:c r="E225" s="912"/>
      <x:c r="F225" s="912"/>
      <x:c r="G225" s="912"/>
      <x:c r="H225" s="912"/>
      <x:c r="I225" s="912"/>
      <x:c r="J225" s="912"/>
      <x:c r="K225" s="912"/>
      <x:c r="L225" s="912"/>
      <x:c r="M225" s="912"/>
      <x:c r="N225" s="912"/>
      <x:c r="O225" s="912"/>
      <x:c r="P225" s="912"/>
    </x:row>
    <x:row r="226" spans="1:16">
      <x:c r="A226" s="914"/>
      <x:c r="B226" s="912"/>
      <x:c r="C226" s="912"/>
      <x:c r="D226" s="912"/>
      <x:c r="E226" s="912"/>
      <x:c r="F226" s="912"/>
      <x:c r="G226" s="912"/>
      <x:c r="H226" s="912"/>
      <x:c r="I226" s="912"/>
      <x:c r="J226" s="912"/>
      <x:c r="K226" s="912"/>
      <x:c r="L226" s="912"/>
      <x:c r="M226" s="912"/>
      <x:c r="N226" s="912"/>
      <x:c r="O226" s="912"/>
      <x:c r="P226" s="912"/>
    </x:row>
    <x:row r="227" spans="1:16">
      <x:c r="A227" s="914"/>
      <x:c r="B227" s="912"/>
      <x:c r="C227" s="912"/>
      <x:c r="D227" s="912"/>
      <x:c r="E227" s="912"/>
      <x:c r="F227" s="912"/>
      <x:c r="G227" s="912"/>
      <x:c r="H227" s="912"/>
      <x:c r="I227" s="912"/>
      <x:c r="J227" s="912"/>
      <x:c r="K227" s="912"/>
      <x:c r="L227" s="912"/>
      <x:c r="M227" s="912"/>
      <x:c r="N227" s="912"/>
      <x:c r="O227" s="912"/>
      <x:c r="P227" s="912"/>
    </x:row>
    <x:row r="228" spans="1:16">
      <x:c r="A228" s="916"/>
      <x:c r="B228" s="917"/>
      <x:c r="C228" s="917"/>
      <x:c r="D228" s="917"/>
      <x:c r="E228" s="917"/>
      <x:c r="F228" s="917"/>
      <x:c r="G228" s="917"/>
      <x:c r="H228" s="917"/>
      <x:c r="I228" s="917"/>
      <x:c r="J228" s="917"/>
      <x:c r="K228" s="917"/>
      <x:c r="L228" s="917"/>
      <x:c r="M228" s="917"/>
      <x:c r="N228" s="917"/>
      <x:c r="O228" s="917"/>
      <x:c r="P228" s="917"/>
    </x:row>
    <x:row r="229" spans="1:16">
      <x:c r="A229" s="914"/>
      <x:c r="B229" s="912"/>
      <x:c r="C229" s="912"/>
      <x:c r="D229" s="912"/>
      <x:c r="E229" s="912"/>
      <x:c r="F229" s="912"/>
      <x:c r="G229" s="912"/>
      <x:c r="H229" s="912"/>
      <x:c r="I229" s="912"/>
      <x:c r="J229" s="912"/>
      <x:c r="K229" s="912"/>
      <x:c r="L229" s="912"/>
      <x:c r="M229" s="912"/>
      <x:c r="N229" s="912"/>
      <x:c r="O229" s="912"/>
      <x:c r="P229" s="912"/>
    </x:row>
  </x:sheetData>
  <x:mergeCells count="2">
    <x:mergeCell ref="A1:P1"/>
    <x:mergeCell ref="A2:P2"/>
  </x:mergeCells>
  <x:printOptions horizontalCentered="1"/>
  <x:pageMargins left="0.25" right="0.25" top="0.5" bottom="0.5" header="0.25" footer="0.25"/>
  <x:pageSetup scale="52" fitToHeight="0" orientation="portrait" r:id="rId2"/>
  <x:headerFooter alignWithMargins="0"/>
  <x:rowBreaks count="1" manualBreakCount="1">
    <x:brk id="80"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P191"/>
  <x:sheetViews>
    <x:sheetView zoomScaleNormal="100" zoomScaleSheetLayoutView="80" workbookViewId="0">
      <x:pane xSplit="1" ySplit="2" topLeftCell="B3" activePane="bottomRight" state="frozen"/>
      <x:selection activeCell="K27" sqref="K27"/>
      <x:selection pane="topRight" activeCell="K27" sqref="K27"/>
      <x:selection pane="bottomLeft" activeCell="K27" sqref="K27"/>
      <x:selection pane="bottomRight" sqref="A1:P1"/>
    </x:sheetView>
  </x:sheetViews>
  <x:sheetFormatPr defaultColWidth="9.140625" defaultRowHeight="12.75"/>
  <x:cols>
    <x:col min="1" max="1" width="34.7109375" style="169" bestFit="1" customWidth="1"/>
    <x:col min="2" max="2" width="16.5703125" style="169" customWidth="1"/>
    <x:col min="3" max="3" width="2.5703125" style="169" customWidth="1"/>
    <x:col min="4" max="4" width="16.5703125" style="169" customWidth="1"/>
    <x:col min="5" max="5" width="2.5703125" style="169" customWidth="1"/>
    <x:col min="6" max="6" width="16.5703125" style="169" customWidth="1"/>
    <x:col min="7" max="7" width="2.5703125" style="169" customWidth="1"/>
    <x:col min="8" max="8" width="16.5703125" style="169" customWidth="1"/>
    <x:col min="9" max="9" width="2.5703125" style="169" customWidth="1"/>
    <x:col min="10" max="10" width="16.5703125" style="169" customWidth="1"/>
    <x:col min="11" max="11" width="2.5703125" style="169" customWidth="1"/>
    <x:col min="12" max="12" width="16.5703125" style="169" customWidth="1"/>
    <x:col min="13" max="13" width="2.5703125" style="169" customWidth="1"/>
    <x:col min="14" max="14" width="16.5703125" style="169" customWidth="1"/>
    <x:col min="15" max="15" width="2.5703125" style="169" customWidth="1"/>
    <x:col min="16" max="16" width="16.5703125" style="169" customWidth="1"/>
    <x:col min="17" max="16384" width="9.140625" style="169"/>
  </x:cols>
  <x:sheetData>
    <x:row r="1" spans="1:16" ht="18">
      <x:c r="A1" s="1717" t="s">
        <x:v>1328</x:v>
      </x:c>
      <x:c r="B1" s="1717"/>
      <x:c r="C1" s="1717"/>
      <x:c r="D1" s="1717"/>
      <x:c r="E1" s="1717"/>
      <x:c r="F1" s="1717"/>
      <x:c r="G1" s="1717"/>
      <x:c r="H1" s="1717"/>
      <x:c r="I1" s="1717"/>
      <x:c r="J1" s="1717"/>
      <x:c r="K1" s="1717"/>
      <x:c r="L1" s="1717"/>
      <x:c r="M1" s="1717"/>
      <x:c r="N1" s="1717"/>
      <x:c r="O1" s="1717"/>
      <x:c r="P1" s="1717"/>
    </x:row>
    <x:row r="2" spans="1:16" s="1127" customFormat="1" ht="15.75">
      <x:c r="A2" s="1718" t="s">
        <x:v>964</x:v>
      </x:c>
      <x:c r="B2" s="1718"/>
      <x:c r="C2" s="1718"/>
      <x:c r="D2" s="1718"/>
      <x:c r="E2" s="1718"/>
      <x:c r="F2" s="1718"/>
      <x:c r="G2" s="1718"/>
      <x:c r="H2" s="1718"/>
      <x:c r="I2" s="1718"/>
      <x:c r="J2" s="1718"/>
      <x:c r="K2" s="1718"/>
      <x:c r="L2" s="1718"/>
      <x:c r="M2" s="1718"/>
      <x:c r="N2" s="1718"/>
      <x:c r="O2" s="1718"/>
      <x:c r="P2" s="1718"/>
    </x:row>
    <x:row r="3" spans="1:16" s="1127" customFormat="1" ht="15.75">
      <x:c r="A3" s="1420"/>
      <x:c r="B3" s="1420"/>
      <x:c r="C3" s="1420"/>
      <x:c r="D3" s="1420"/>
      <x:c r="E3" s="1420"/>
      <x:c r="F3" s="1420"/>
      <x:c r="G3" s="1420"/>
      <x:c r="H3" s="1420"/>
      <x:c r="I3" s="1420"/>
      <x:c r="J3" s="1420"/>
      <x:c r="K3" s="1420"/>
      <x:c r="L3" s="1420"/>
      <x:c r="M3" s="1420"/>
      <x:c r="N3" s="1420"/>
      <x:c r="O3" s="1420"/>
      <x:c r="P3" s="1420"/>
    </x:row>
    <x:row r="4" spans="1:16" s="1310" customFormat="1" ht="15.75">
      <x:c r="A4" s="1309"/>
      <x:c r="B4" s="1309"/>
      <x:c r="C4" s="1309"/>
      <x:c r="D4" s="1309"/>
      <x:c r="E4" s="1309"/>
      <x:c r="F4" s="1309"/>
      <x:c r="G4" s="1309"/>
      <x:c r="H4" s="1309"/>
      <x:c r="I4" s="1309"/>
      <x:c r="J4" s="1309"/>
      <x:c r="K4" s="1309"/>
      <x:c r="L4" s="1309"/>
      <x:c r="M4" s="1309"/>
      <x:c r="N4" s="1309"/>
      <x:c r="O4" s="1309"/>
      <x:c r="P4" s="1309"/>
    </x:row>
    <x:row r="5" spans="1:16" s="1311" customFormat="1" ht="15">
      <x:c r="A5" s="1312"/>
      <x:c r="B5" s="1313" t="s">
        <x:v>448</x:v>
      </x:c>
      <x:c r="C5" s="1313"/>
      <x:c r="D5" s="1313" t="s">
        <x:v>449</x:v>
      </x:c>
      <x:c r="E5" s="1313"/>
      <x:c r="F5" s="1313"/>
      <x:c r="G5" s="1313"/>
      <x:c r="H5" s="1313"/>
      <x:c r="I5" s="1313"/>
      <x:c r="J5" s="1313"/>
      <x:c r="K5" s="1313"/>
      <x:c r="L5" s="1313"/>
      <x:c r="M5" s="1313"/>
      <x:c r="N5" s="1313"/>
      <x:c r="O5" s="1313"/>
      <x:c r="P5" s="1313"/>
    </x:row>
    <x:row r="6" spans="1:16" s="1311" customFormat="1">
      <x:c r="A6" s="1313" t="s">
        <x:v>2139</x:v>
      </x:c>
      <x:c r="B6" s="1313" t="s">
        <x:v>450</x:v>
      </x:c>
      <x:c r="C6" s="1313"/>
      <x:c r="D6" s="1313" t="s">
        <x:v>451</x:v>
      </x:c>
      <x:c r="E6" s="1313"/>
      <x:c r="F6" s="1313" t="s">
        <x:v>137</x:v>
      </x:c>
      <x:c r="G6" s="1313"/>
      <x:c r="H6" s="1313" t="s">
        <x:v>965</x:v>
      </x:c>
      <x:c r="J6" s="1313" t="s">
        <x:v>966</x:v>
      </x:c>
      <x:c r="L6" s="1313" t="s">
        <x:v>967</x:v>
      </x:c>
      <x:c r="M6" s="1313"/>
      <x:c r="N6" s="1313" t="s">
        <x:v>452</x:v>
      </x:c>
      <x:c r="O6" s="1313"/>
      <x:c r="P6" s="1313" t="s">
        <x:v>42</x:v>
      </x:c>
    </x:row>
    <x:row r="7" spans="1:16" s="1311" customFormat="1" ht="15">
      <x:c r="A7" s="1312"/>
      <x:c r="B7" s="1314"/>
      <x:c r="C7" s="1314"/>
      <x:c r="D7" s="1314"/>
      <x:c r="E7" s="1314"/>
      <x:c r="F7" s="1314"/>
      <x:c r="G7" s="1314"/>
      <x:c r="H7" s="1314"/>
      <x:c r="I7" s="1314"/>
      <x:c r="J7" s="1314"/>
      <x:c r="K7" s="1314"/>
      <x:c r="L7" s="1314"/>
      <x:c r="M7" s="1314"/>
      <x:c r="N7" s="1314"/>
      <x:c r="O7" s="1315"/>
      <x:c r="P7" s="1316"/>
    </x:row>
    <x:row r="8" spans="1:16" ht="15" customHeight="1">
      <x:c r="A8" s="599" t="s">
        <x:v>1807</x:v>
      </x:c>
      <x:c r="B8" s="1104">
        <x:v>-125306.64000000001</x:v>
      </x:c>
      <x:c r="C8" s="599"/>
      <x:c r="D8" s="599">
        <x:v>-105727.46</x:v>
      </x:c>
      <x:c r="E8" s="599"/>
      <x:c r="F8" s="599">
        <x:v>-214546.36999999994</x:v>
      </x:c>
      <x:c r="G8" s="599"/>
      <x:c r="H8" s="599">
        <x:v>-358607.7300000001</x:v>
      </x:c>
      <x:c r="I8" s="599"/>
      <x:c r="J8" s="599">
        <x:v>-789143.1100000001</x:v>
      </x:c>
      <x:c r="K8" s="599"/>
      <x:c r="L8" s="599">
        <x:v>-339646.9</x:v>
      </x:c>
      <x:c r="M8" s="599"/>
      <x:c r="N8" s="1104">
        <x:v>-127985.87999999989</x:v>
      </x:c>
      <x:c r="O8" s="386"/>
      <x:c r="P8" s="1053">
        <x:f t="shared" ref="P8:P27" si="0">SUM(B8:O8)</x:f>
        <x:v>-2060964.0899999999</x:v>
      </x:c>
    </x:row>
    <x:row r="9" spans="1:16" ht="15" customHeight="1">
      <x:c r="A9" s="599" t="s">
        <x:v>1808</x:v>
      </x:c>
      <x:c r="B9" s="599">
        <x:v>950222.19</x:v>
      </x:c>
      <x:c r="C9" s="599"/>
      <x:c r="D9" s="599">
        <x:v>801750.12</x:v>
      </x:c>
      <x:c r="E9" s="599"/>
      <x:c r="F9" s="599">
        <x:v>1626941.91</x:v>
      </x:c>
      <x:c r="G9" s="599"/>
      <x:c r="H9" s="599">
        <x:v>2720272.93</x:v>
      </x:c>
      <x:c r="I9" s="599"/>
      <x:c r="J9" s="599">
        <x:v>6304700.5499999998</x:v>
      </x:c>
      <x:c r="K9" s="599"/>
      <x:c r="L9" s="599">
        <x:v>2575942.9099999997</x:v>
      </x:c>
      <x:c r="M9" s="599"/>
      <x:c r="N9" s="599">
        <x:v>970541.00000000186</x:v>
      </x:c>
      <x:c r="O9" s="386"/>
      <x:c r="P9" s="1105">
        <x:f t="shared" si="0"/>
        <x:v>15950371.610000001</x:v>
      </x:c>
    </x:row>
    <x:row r="10" spans="1:16" ht="15" customHeight="1">
      <x:c r="A10" s="599" t="s">
        <x:v>1809</x:v>
      </x:c>
      <x:c r="B10" s="599">
        <x:v>82920.359999999986</x:v>
      </x:c>
      <x:c r="C10" s="599"/>
      <x:c r="D10" s="599">
        <x:v>69964.05</x:v>
      </x:c>
      <x:c r="E10" s="599"/>
      <x:c r="F10" s="599">
        <x:v>141973.62</x:v>
      </x:c>
      <x:c r="G10" s="599"/>
      <x:c r="H10" s="599">
        <x:v>237304.67000000004</x:v>
      </x:c>
      <x:c r="I10" s="599"/>
      <x:c r="J10" s="599">
        <x:v>522206.39999999991</x:v>
      </x:c>
      <x:c r="K10" s="599"/>
      <x:c r="L10" s="599">
        <x:v>224757.54</x:v>
      </x:c>
      <x:c r="M10" s="599"/>
      <x:c r="N10" s="599">
        <x:v>84693.460000000196</x:v>
      </x:c>
      <x:c r="O10" s="386"/>
      <x:c r="P10" s="1105">
        <x:f t="shared" si="0"/>
        <x:v>1363820.1</x:v>
      </x:c>
    </x:row>
    <x:row r="11" spans="1:16" ht="15" customHeight="1">
      <x:c r="A11" s="599" t="s">
        <x:v>1810</x:v>
      </x:c>
      <x:c r="B11" s="599">
        <x:v>507684.73999999993</x:v>
      </x:c>
      <x:c r="C11" s="599"/>
      <x:c r="D11" s="599">
        <x:v>423463.12</x:v>
      </x:c>
      <x:c r="E11" s="599"/>
      <x:c r="F11" s="599">
        <x:v>991941.78999999992</x:v>
      </x:c>
      <x:c r="G11" s="599"/>
      <x:c r="H11" s="599">
        <x:v>1674427.2</x:v>
      </x:c>
      <x:c r="I11" s="599"/>
      <x:c r="J11" s="599">
        <x:v>3459438.45</x:v>
      </x:c>
      <x:c r="K11" s="599"/>
      <x:c r="L11" s="599">
        <x:v>1585524.58</x:v>
      </x:c>
      <x:c r="M11" s="599"/>
      <x:c r="N11" s="599">
        <x:v>633155.54000000283</x:v>
      </x:c>
      <x:c r="O11" s="386"/>
      <x:c r="P11" s="1105">
        <x:f t="shared" si="0"/>
        <x:v>9275635.4200000018</x:v>
      </x:c>
    </x:row>
    <x:row r="12" spans="1:16" ht="15" customHeight="1">
      <x:c r="A12" s="599" t="s">
        <x:v>1811</x:v>
      </x:c>
      <x:c r="B12" s="599">
        <x:v>1145959.6299999999</x:v>
      </x:c>
      <x:c r="C12" s="599"/>
      <x:c r="D12" s="599">
        <x:v>963041.26</x:v>
      </x:c>
      <x:c r="E12" s="599"/>
      <x:c r="F12" s="599">
        <x:v>1899634.08</x:v>
      </x:c>
      <x:c r="G12" s="599"/>
      <x:c r="H12" s="599">
        <x:v>3534759.33</x:v>
      </x:c>
      <x:c r="I12" s="599"/>
      <x:c r="J12" s="599">
        <x:v>7123453.1300000008</x:v>
      </x:c>
      <x:c r="K12" s="599"/>
      <x:c r="L12" s="599">
        <x:v>3212730.59</x:v>
      </x:c>
      <x:c r="M12" s="599"/>
      <x:c r="N12" s="599">
        <x:v>982241.85000000149</x:v>
      </x:c>
      <x:c r="O12" s="386"/>
      <x:c r="P12" s="1105">
        <x:f t="shared" si="0"/>
        <x:v>18861819.870000001</x:v>
      </x:c>
    </x:row>
    <x:row r="13" spans="1:16" ht="15" customHeight="1">
      <x:c r="A13" s="599" t="s">
        <x:v>1812</x:v>
      </x:c>
      <x:c r="B13" s="599">
        <x:v>1461078.3</x:v>
      </x:c>
      <x:c r="C13" s="599"/>
      <x:c r="D13" s="599">
        <x:v>1232784.8099999998</x:v>
      </x:c>
      <x:c r="E13" s="599"/>
      <x:c r="F13" s="599">
        <x:v>2501615.9500000002</x:v>
      </x:c>
      <x:c r="G13" s="599"/>
      <x:c r="H13" s="599">
        <x:v>4181375.4000000004</x:v>
      </x:c>
      <x:c r="I13" s="599"/>
      <x:c r="J13" s="599">
        <x:v>9201428.9399999995</x:v>
      </x:c>
      <x:c r="K13" s="599"/>
      <x:c r="L13" s="599">
        <x:v>3960291.16</x:v>
      </x:c>
      <x:c r="M13" s="599"/>
      <x:c r="N13" s="599">
        <x:v>1492318.4700000025</x:v>
      </x:c>
      <x:c r="O13" s="386"/>
      <x:c r="P13" s="1105">
        <x:f t="shared" si="0"/>
        <x:v>24030893.030000001</x:v>
      </x:c>
    </x:row>
    <x:row r="14" spans="1:16" ht="15" customHeight="1">
      <x:c r="A14" s="599" t="s">
        <x:v>1813</x:v>
      </x:c>
      <x:c r="B14" s="599">
        <x:v>3429895.35</x:v>
      </x:c>
      <x:c r="C14" s="599"/>
      <x:c r="D14" s="599">
        <x:v>2893967.6099999994</x:v>
      </x:c>
      <x:c r="E14" s="599"/>
      <x:c r="F14" s="599">
        <x:v>5884045.6699999999</x:v>
      </x:c>
      <x:c r="G14" s="599"/>
      <x:c r="H14" s="599">
        <x:v>9835079.8299999982</x:v>
      </x:c>
      <x:c r="I14" s="599"/>
      <x:c r="J14" s="599">
        <x:v>21655857.870000001</x:v>
      </x:c>
      <x:c r="K14" s="599"/>
      <x:c r="L14" s="599">
        <x:v>9293688.9099999983</x:v>
      </x:c>
      <x:c r="M14" s="599"/>
      <x:c r="N14" s="599">
        <x:v>3580291.950000003</x:v>
      </x:c>
      <x:c r="O14" s="386"/>
      <x:c r="P14" s="1105">
        <x:f t="shared" si="0"/>
        <x:v>56572827.189999998</x:v>
      </x:c>
    </x:row>
    <x:row r="15" spans="1:16" ht="15" customHeight="1">
      <x:c r="A15" s="599" t="s">
        <x:v>1814</x:v>
      </x:c>
      <x:c r="B15" s="599">
        <x:v>11716643.26</x:v>
      </x:c>
      <x:c r="C15" s="599"/>
      <x:c r="D15" s="599">
        <x:v>7393461.9299999988</x:v>
      </x:c>
      <x:c r="E15" s="599"/>
      <x:c r="F15" s="599">
        <x:v>16379011.219999999</x:v>
      </x:c>
      <x:c r="G15" s="599"/>
      <x:c r="H15" s="599">
        <x:v>27069665.509999998</x:v>
      </x:c>
      <x:c r="I15" s="599"/>
      <x:c r="J15" s="599">
        <x:v>40720307.019999996</x:v>
      </x:c>
      <x:c r="K15" s="599"/>
      <x:c r="L15" s="599">
        <x:v>28218961.609999999</x:v>
      </x:c>
      <x:c r="M15" s="599"/>
      <x:c r="N15" s="599">
        <x:v>1606193.450000003</x:v>
      </x:c>
      <x:c r="O15" s="386"/>
      <x:c r="P15" s="1105">
        <x:f t="shared" si="0"/>
        <x:v>133104244</x:v>
      </x:c>
    </x:row>
    <x:row r="16" spans="1:16" ht="15" customHeight="1">
      <x:c r="A16" s="599" t="s">
        <x:v>1815</x:v>
      </x:c>
      <x:c r="B16" s="599">
        <x:v>0</x:v>
      </x:c>
      <x:c r="C16" s="599"/>
      <x:c r="D16" s="599">
        <x:v>0</x:v>
      </x:c>
      <x:c r="E16" s="599"/>
      <x:c r="F16" s="599">
        <x:v>0</x:v>
      </x:c>
      <x:c r="G16" s="599"/>
      <x:c r="H16" s="599">
        <x:v>0</x:v>
      </x:c>
      <x:c r="I16" s="599"/>
      <x:c r="J16" s="599">
        <x:v>0</x:v>
      </x:c>
      <x:c r="K16" s="599"/>
      <x:c r="L16" s="599">
        <x:v>0</x:v>
      </x:c>
      <x:c r="M16" s="599"/>
      <x:c r="N16" s="599">
        <x:v>5672.69</x:v>
      </x:c>
      <x:c r="O16" s="386"/>
      <x:c r="P16" s="1105">
        <x:f t="shared" si="0"/>
        <x:v>5672.69</x:v>
      </x:c>
    </x:row>
    <x:row r="17" spans="1:16" ht="15" customHeight="1">
      <x:c r="A17" s="599" t="s">
        <x:v>1816</x:v>
      </x:c>
      <x:c r="B17" s="599">
        <x:v>11538830.050000001</x:v>
      </x:c>
      <x:c r="C17" s="599"/>
      <x:c r="D17" s="599">
        <x:v>9795905.0300000012</x:v>
      </x:c>
      <x:c r="E17" s="599"/>
      <x:c r="F17" s="599">
        <x:v>19796741.490000002</x:v>
      </x:c>
      <x:c r="G17" s="599"/>
      <x:c r="H17" s="599">
        <x:v>31417212.210000001</x:v>
      </x:c>
      <x:c r="I17" s="599"/>
      <x:c r="J17" s="599">
        <x:v>60087586.670000002</x:v>
      </x:c>
      <x:c r="K17" s="599"/>
      <x:c r="L17" s="599">
        <x:v>27625811.940000001</x:v>
      </x:c>
      <x:c r="M17" s="599"/>
      <x:c r="N17" s="599">
        <x:v>13253359.689999968</x:v>
      </x:c>
      <x:c r="O17" s="386"/>
      <x:c r="P17" s="1105">
        <x:f t="shared" si="0"/>
        <x:v>173515447.07999998</x:v>
      </x:c>
    </x:row>
    <x:row r="18" spans="1:16" ht="15" customHeight="1">
      <x:c r="A18" s="599" t="s">
        <x:v>1817</x:v>
      </x:c>
      <x:c r="B18" s="599">
        <x:v>1759053.2999999998</x:v>
      </x:c>
      <x:c r="C18" s="599"/>
      <x:c r="D18" s="599">
        <x:v>1482643.87</x:v>
      </x:c>
      <x:c r="E18" s="599"/>
      <x:c r="F18" s="599">
        <x:v>3006346.1100000003</x:v>
      </x:c>
      <x:c r="G18" s="599"/>
      <x:c r="H18" s="599">
        <x:v>5032224.1999999993</x:v>
      </x:c>
      <x:c r="I18" s="599"/>
      <x:c r="J18" s="599">
        <x:v>11045249.030000001</x:v>
      </x:c>
      <x:c r="K18" s="599"/>
      <x:c r="L18" s="599">
        <x:v>4770124.549999998</x:v>
      </x:c>
      <x:c r="M18" s="599"/>
      <x:c r="N18" s="599">
        <x:v>1801701.6700000055</x:v>
      </x:c>
      <x:c r="O18" s="386"/>
      <x:c r="P18" s="1105">
        <x:f t="shared" si="0"/>
        <x:v>28897342.730000004</x:v>
      </x:c>
    </x:row>
    <x:row r="19" spans="1:16" ht="15" customHeight="1">
      <x:c r="A19" s="599" t="s">
        <x:v>2135</x:v>
      </x:c>
      <x:c r="B19" s="599">
        <x:v>804531.47</x:v>
      </x:c>
      <x:c r="C19" s="599"/>
      <x:c r="D19" s="599">
        <x:v>678823.35</x:v>
      </x:c>
      <x:c r="E19" s="599"/>
      <x:c r="F19" s="599">
        <x:v>1397308.02</x:v>
      </x:c>
      <x:c r="G19" s="599"/>
      <x:c r="H19" s="599">
        <x:v>2306821.04</x:v>
      </x:c>
      <x:c r="I19" s="599"/>
      <x:c r="J19" s="599">
        <x:v>6420134.9699999997</x:v>
      </x:c>
      <x:c r="K19" s="599"/>
      <x:c r="L19" s="599">
        <x:v>2180595.15</x:v>
      </x:c>
      <x:c r="M19" s="599"/>
      <x:c r="N19" s="599">
        <x:v>821006.89000000432</x:v>
      </x:c>
      <x:c r="O19" s="386"/>
      <x:c r="P19" s="1105">
        <x:f t="shared" si="0"/>
        <x:v>14609220.890000004</x:v>
      </x:c>
    </x:row>
    <x:row r="20" spans="1:16" ht="15" customHeight="1">
      <x:c r="A20" s="599" t="s">
        <x:v>1818</x:v>
      </x:c>
      <x:c r="B20" s="599">
        <x:v>3178241.2299999995</x:v>
      </x:c>
      <x:c r="C20" s="599"/>
      <x:c r="D20" s="599">
        <x:v>2164626.66</x:v>
      </x:c>
      <x:c r="E20" s="599"/>
      <x:c r="F20" s="599">
        <x:v>4791014.09</x:v>
      </x:c>
      <x:c r="G20" s="599"/>
      <x:c r="H20" s="599">
        <x:v>11076686.279999999</x:v>
      </x:c>
      <x:c r="I20" s="599"/>
      <x:c r="J20" s="599">
        <x:v>22445049.609999999</x:v>
      </x:c>
      <x:c r="K20" s="599"/>
      <x:c r="L20" s="599">
        <x:v>10074877.809999997</x:v>
      </x:c>
      <x:c r="M20" s="599"/>
      <x:c r="N20" s="599">
        <x:v>4468561.1700000092</x:v>
      </x:c>
      <x:c r="O20" s="386"/>
      <x:c r="P20" s="1105">
        <x:f t="shared" si="0"/>
        <x:v>58199056.850000001</x:v>
      </x:c>
    </x:row>
    <x:row r="21" spans="1:16" ht="15" customHeight="1">
      <x:c r="A21" s="599" t="s">
        <x:v>2136</x:v>
      </x:c>
      <x:c r="B21" s="599">
        <x:v>84906074.710000008</x:v>
      </x:c>
      <x:c r="C21" s="599"/>
      <x:c r="D21" s="599">
        <x:v>67336506.999999985</x:v>
      </x:c>
      <x:c r="E21" s="599"/>
      <x:c r="F21" s="599">
        <x:v>126543110.16</x:v>
      </x:c>
      <x:c r="G21" s="599"/>
      <x:c r="H21" s="599">
        <x:v>240943923.60999998</x:v>
      </x:c>
      <x:c r="I21" s="599"/>
      <x:c r="J21" s="599">
        <x:v>449151721.13999999</x:v>
      </x:c>
      <x:c r="K21" s="599"/>
      <x:c r="L21" s="599">
        <x:v>245062115.44</x:v>
      </x:c>
      <x:c r="M21" s="599"/>
      <x:c r="N21" s="599">
        <x:v>22712754.799999952</x:v>
      </x:c>
      <x:c r="O21" s="386"/>
      <x:c r="P21" s="1105">
        <x:f t="shared" si="0"/>
        <x:v>1236656206.8599999</x:v>
      </x:c>
    </x:row>
    <x:row r="22" spans="1:16" ht="15" customHeight="1">
      <x:c r="A22" s="599" t="s">
        <x:v>1819</x:v>
      </x:c>
      <x:c r="B22" s="599">
        <x:v>186283.11999999997</x:v>
      </x:c>
      <x:c r="C22" s="599"/>
      <x:c r="D22" s="599">
        <x:v>157176.45000000001</x:v>
      </x:c>
      <x:c r="E22" s="599"/>
      <x:c r="F22" s="599">
        <x:v>318948.69</x:v>
      </x:c>
      <x:c r="G22" s="599"/>
      <x:c r="H22" s="599">
        <x:v>533112.78</x:v>
      </x:c>
      <x:c r="I22" s="599"/>
      <x:c r="J22" s="599">
        <x:v>1173154.5</x:v>
      </x:c>
      <x:c r="K22" s="599"/>
      <x:c r="L22" s="599">
        <x:v>504925.49000000005</x:v>
      </x:c>
      <x:c r="M22" s="599"/>
      <x:c r="N22" s="599">
        <x:v>190267.08999999985</x:v>
      </x:c>
      <x:c r="O22" s="386"/>
      <x:c r="P22" s="1105">
        <x:f t="shared" si="0"/>
        <x:v>3063868.12</x:v>
      </x:c>
    </x:row>
    <x:row r="23" spans="1:16" ht="15" customHeight="1">
      <x:c r="A23" s="599" t="s">
        <x:v>1820</x:v>
      </x:c>
      <x:c r="B23" s="599">
        <x:v>1437223.29</x:v>
      </x:c>
      <x:c r="C23" s="599"/>
      <x:c r="D23" s="599">
        <x:v>1452974.5</x:v>
      </x:c>
      <x:c r="E23" s="599"/>
      <x:c r="F23" s="599">
        <x:v>2648589.25</x:v>
      </x:c>
      <x:c r="G23" s="599"/>
      <x:c r="H23" s="599">
        <x:v>4067279.28</x:v>
      </x:c>
      <x:c r="I23" s="599"/>
      <x:c r="J23" s="599">
        <x:v>7176753</x:v>
      </x:c>
      <x:c r="K23" s="599"/>
      <x:c r="L23" s="599">
        <x:v>3949816</x:v>
      </x:c>
      <x:c r="M23" s="599"/>
      <x:c r="N23" s="599">
        <x:v>857304.3599999994</x:v>
      </x:c>
      <x:c r="O23" s="386"/>
      <x:c r="P23" s="1105">
        <x:f t="shared" si="0"/>
        <x:v>21589939.68</x:v>
      </x:c>
    </x:row>
    <x:row r="24" spans="1:16" ht="15" customHeight="1">
      <x:c r="A24" s="599" t="s">
        <x:v>1902</x:v>
      </x:c>
      <x:c r="B24" s="599">
        <x:v>318127.75000000012</x:v>
      </x:c>
      <x:c r="C24" s="599"/>
      <x:c r="D24" s="599">
        <x:v>323090.69</x:v>
      </x:c>
      <x:c r="E24" s="599"/>
      <x:c r="F24" s="599">
        <x:v>311726.01</x:v>
      </x:c>
      <x:c r="G24" s="599"/>
      <x:c r="H24" s="599">
        <x:v>686961.5199999999</x:v>
      </x:c>
      <x:c r="I24" s="599"/>
      <x:c r="J24" s="599">
        <x:v>3391860.1200000006</x:v>
      </x:c>
      <x:c r="K24" s="599"/>
      <x:c r="L24" s="599">
        <x:v>951757.11999999988</x:v>
      </x:c>
      <x:c r="M24" s="599"/>
      <x:c r="N24" s="599">
        <x:v>64410.61999999918</x:v>
      </x:c>
      <x:c r="O24" s="386"/>
      <x:c r="P24" s="1105">
        <x:f t="shared" si="0"/>
        <x:v>6047933.8300000001</x:v>
      </x:c>
    </x:row>
    <x:row r="25" spans="1:16" ht="15" customHeight="1">
      <x:c r="A25" s="599" t="s">
        <x:v>2176</x:v>
      </x:c>
      <x:c r="B25" s="599">
        <x:v>917742.15</x:v>
      </x:c>
      <x:c r="C25" s="599"/>
      <x:c r="D25" s="599">
        <x:v>774398.37000000011</x:v>
      </x:c>
      <x:c r="E25" s="599"/>
      <x:c r="F25" s="599">
        <x:v>1571509.2799999998</x:v>
      </x:c>
      <x:c r="G25" s="599"/>
      <x:c r="H25" s="599">
        <x:v>2626135.3200000003</x:v>
      </x:c>
      <x:c r="I25" s="599"/>
      <x:c r="J25" s="599">
        <x:v>5781428.6399999997</x:v>
      </x:c>
      <x:c r="K25" s="599"/>
      <x:c r="L25" s="599">
        <x:v>2487600.37</x:v>
      </x:c>
      <x:c r="M25" s="599"/>
      <x:c r="N25" s="599">
        <x:v>920553.93999999948</x:v>
      </x:c>
      <x:c r="O25" s="386"/>
      <x:c r="P25" s="1105">
        <x:f t="shared" si="0"/>
        <x:v>15079368.069999998</x:v>
      </x:c>
    </x:row>
    <x:row r="26" spans="1:16" ht="15" customHeight="1">
      <x:c r="A26" s="599" t="s">
        <x:v>2137</x:v>
      </x:c>
      <x:c r="B26" s="599">
        <x:v>2632511.39</x:v>
      </x:c>
      <x:c r="C26" s="599"/>
      <x:c r="D26" s="599">
        <x:v>2746770.82</x:v>
      </x:c>
      <x:c r="E26" s="599"/>
      <x:c r="F26" s="599">
        <x:v>5594287.1100000003</x:v>
      </x:c>
      <x:c r="G26" s="599"/>
      <x:c r="H26" s="599">
        <x:v>6945836.3399999999</x:v>
      </x:c>
      <x:c r="I26" s="599"/>
      <x:c r="J26" s="599">
        <x:v>16016842.140000001</x:v>
      </x:c>
      <x:c r="K26" s="599"/>
      <x:c r="L26" s="599">
        <x:v>8363493.4699999997</x:v>
      </x:c>
      <x:c r="M26" s="599"/>
      <x:c r="N26" s="599">
        <x:v>418938.25000000745</x:v>
      </x:c>
      <x:c r="O26" s="386"/>
      <x:c r="P26" s="1105">
        <x:f t="shared" si="0"/>
        <x:v>42718679.520000003</x:v>
      </x:c>
    </x:row>
    <x:row r="27" spans="1:16" ht="15" customHeight="1">
      <x:c r="A27" s="599" t="s">
        <x:v>2138</x:v>
      </x:c>
      <x:c r="B27" s="1104">
        <x:v>0</x:v>
      </x:c>
      <x:c r="C27" s="599"/>
      <x:c r="D27" s="599">
        <x:v>0</x:v>
      </x:c>
      <x:c r="E27" s="599"/>
      <x:c r="F27" s="599">
        <x:v>0</x:v>
      </x:c>
      <x:c r="G27" s="599"/>
      <x:c r="H27" s="599">
        <x:v>0</x:v>
      </x:c>
      <x:c r="I27" s="599"/>
      <x:c r="J27" s="599">
        <x:v>780.71</x:v>
      </x:c>
      <x:c r="K27" s="599"/>
      <x:c r="L27" s="599">
        <x:v>0</x:v>
      </x:c>
      <x:c r="M27" s="599"/>
      <x:c r="N27" s="1104">
        <x:v>0</x:v>
      </x:c>
      <x:c r="O27" s="386"/>
      <x:c r="P27" s="1059">
        <x:f t="shared" si="0"/>
        <x:v>780.71</x:v>
      </x:c>
    </x:row>
    <x:row r="28" spans="1:16" s="1311" customFormat="1" ht="14.25">
      <x:c r="A28" s="1334"/>
      <x:c r="B28" s="1314"/>
      <x:c r="C28" s="1314"/>
      <x:c r="D28" s="1314"/>
      <x:c r="E28" s="1314"/>
      <x:c r="F28" s="1314"/>
      <x:c r="G28" s="1314"/>
      <x:c r="H28" s="1314"/>
      <x:c r="I28" s="1314"/>
      <x:c r="J28" s="1314"/>
      <x:c r="K28" s="1314"/>
      <x:c r="L28" s="1314"/>
      <x:c r="M28" s="1314"/>
      <x:c r="N28" s="1314"/>
      <x:c r="O28" s="1335"/>
      <x:c r="P28" s="1316"/>
    </x:row>
    <x:row r="29" spans="1:16" ht="15.75" thickBot="1">
      <x:c r="A29" s="549" t="s">
        <x:v>42</x:v>
      </x:c>
      <x:c r="B29" s="138">
        <x:f>SUM(B7:B28)</x:f>
        <x:v>126847715.65000002</x:v>
      </x:c>
      <x:c r="C29" s="138"/>
      <x:c r="D29" s="138">
        <x:f>SUM(D7:D28)</x:f>
        <x:v>100585622.17999999</x:v>
      </x:c>
      <x:c r="E29" s="138"/>
      <x:c r="F29" s="138">
        <x:f>SUM(F7:F28)</x:f>
        <x:v>195190198.08000001</x:v>
      </x:c>
      <x:c r="G29" s="138"/>
      <x:c r="H29" s="138">
        <x:f>SUM(H7:H28)</x:f>
        <x:v>354530469.71999991</x:v>
      </x:c>
      <x:c r="I29" s="138"/>
      <x:c r="J29" s="138">
        <x:f>SUM(J7:J28)</x:f>
        <x:v>670888809.78000009</x:v>
      </x:c>
      <x:c r="K29" s="138"/>
      <x:c r="L29" s="138">
        <x:f>SUM(L7:L28)</x:f>
        <x:v>354703367.74000007</x:v>
      </x:c>
      <x:c r="M29" s="138"/>
      <x:c r="N29" s="138">
        <x:f>SUM(N7:N28)</x:f>
        <x:v>54735981.009999961</x:v>
      </x:c>
      <x:c r="O29" s="138"/>
      <x:c r="P29" s="138">
        <x:f>SUM(P7:P28)</x:f>
        <x:v>1857482164.1599998</x:v>
      </x:c>
    </x:row>
    <x:row r="30" spans="1:16" ht="15" thickTop="1">
      <x:c r="A30" s="131"/>
      <x:c r="B30" s="665"/>
      <x:c r="C30" s="666"/>
      <x:c r="D30" s="665"/>
      <x:c r="E30" s="665"/>
      <x:c r="F30" s="665"/>
      <x:c r="G30" s="665"/>
      <x:c r="H30" s="667"/>
      <x:c r="I30" s="387"/>
      <x:c r="J30" s="388"/>
      <x:c r="K30" s="133"/>
    </x:row>
    <x:row r="31" spans="1:16" ht="14.25">
      <x:c r="A31" s="160"/>
      <x:c r="B31" s="160"/>
      <x:c r="C31" s="160"/>
      <x:c r="D31" s="160"/>
      <x:c r="E31" s="160"/>
      <x:c r="F31" s="160"/>
      <x:c r="G31" s="160"/>
      <x:c r="H31" s="160"/>
      <x:c r="I31" s="160"/>
      <x:c r="J31" s="160"/>
      <x:c r="K31" s="160"/>
      <x:c r="L31" s="160"/>
    </x:row>
    <x:row r="32" spans="1:16" ht="14.25">
      <x:c r="A32" s="160"/>
      <x:c r="B32" s="160"/>
      <x:c r="C32" s="160"/>
      <x:c r="D32" s="160"/>
      <x:c r="E32" s="160"/>
      <x:c r="F32" s="160"/>
      <x:c r="G32" s="160"/>
      <x:c r="H32" s="160"/>
      <x:c r="I32" s="160"/>
      <x:c r="J32" s="160"/>
      <x:c r="K32" s="160"/>
      <x:c r="L32" s="160"/>
    </x:row>
    <x:row r="33" spans="1:12" ht="14.25">
      <x:c r="A33" s="160"/>
      <x:c r="B33" s="160"/>
      <x:c r="C33" s="160"/>
      <x:c r="D33" s="160"/>
      <x:c r="E33" s="160"/>
      <x:c r="F33" s="160"/>
      <x:c r="G33" s="160"/>
      <x:c r="H33" s="160"/>
      <x:c r="I33" s="160"/>
      <x:c r="J33" s="160"/>
      <x:c r="K33" s="160"/>
      <x:c r="L33" s="160"/>
    </x:row>
    <x:row r="34" spans="1:12" ht="14.25">
      <x:c r="A34" s="160"/>
      <x:c r="B34" s="160"/>
      <x:c r="C34" s="160"/>
      <x:c r="D34" s="160"/>
      <x:c r="E34" s="160"/>
      <x:c r="F34" s="160"/>
      <x:c r="G34" s="160"/>
      <x:c r="H34" s="160"/>
      <x:c r="I34" s="160"/>
      <x:c r="J34" s="160"/>
      <x:c r="K34" s="160"/>
      <x:c r="L34" s="160"/>
    </x:row>
    <x:row r="35" spans="1:12">
      <x:c r="B35" s="136"/>
      <x:c r="C35" s="136"/>
      <x:c r="D35" s="136"/>
      <x:c r="E35" s="136"/>
      <x:c r="F35" s="136"/>
      <x:c r="G35" s="136"/>
      <x:c r="H35" s="137"/>
      <x:c r="I35" s="137"/>
      <x:c r="J35" s="136"/>
    </x:row>
    <x:row r="36" spans="1:12">
      <x:c r="B36" s="136"/>
      <x:c r="C36" s="136"/>
      <x:c r="D36" s="136"/>
      <x:c r="E36" s="136"/>
      <x:c r="F36" s="136"/>
      <x:c r="G36" s="136"/>
      <x:c r="H36" s="137"/>
      <x:c r="I36" s="137"/>
      <x:c r="J36" s="136"/>
    </x:row>
    <x:row r="37" spans="1:12">
      <x:c r="B37" s="136"/>
      <x:c r="C37" s="136"/>
      <x:c r="D37" s="136"/>
      <x:c r="E37" s="136"/>
      <x:c r="F37" s="136"/>
      <x:c r="G37" s="136"/>
      <x:c r="H37" s="137"/>
      <x:c r="I37" s="137"/>
      <x:c r="J37" s="136"/>
    </x:row>
    <x:row r="38" spans="1:12">
      <x:c r="B38" s="136"/>
      <x:c r="C38" s="136"/>
      <x:c r="D38" s="136"/>
      <x:c r="E38" s="136"/>
      <x:c r="F38" s="136"/>
      <x:c r="G38" s="136"/>
      <x:c r="H38" s="137"/>
      <x:c r="I38" s="137"/>
      <x:c r="J38" s="136"/>
    </x:row>
    <x:row r="39" spans="1:12">
      <x:c r="B39" s="136"/>
      <x:c r="C39" s="136"/>
      <x:c r="D39" s="136"/>
      <x:c r="E39" s="136"/>
      <x:c r="F39" s="136"/>
      <x:c r="G39" s="136"/>
      <x:c r="H39" s="137"/>
      <x:c r="I39" s="137"/>
      <x:c r="J39" s="136"/>
    </x:row>
    <x:row r="40" spans="1:12">
      <x:c r="B40" s="136"/>
      <x:c r="C40" s="136"/>
      <x:c r="D40" s="136"/>
      <x:c r="E40" s="136"/>
      <x:c r="F40" s="136"/>
      <x:c r="G40" s="136"/>
      <x:c r="H40" s="137"/>
      <x:c r="I40" s="137"/>
      <x:c r="J40" s="136"/>
    </x:row>
    <x:row r="41" spans="1:12">
      <x:c r="B41" s="136"/>
      <x:c r="C41" s="136"/>
      <x:c r="D41" s="136"/>
      <x:c r="E41" s="136"/>
      <x:c r="F41" s="136"/>
      <x:c r="G41" s="136"/>
      <x:c r="H41" s="137"/>
      <x:c r="I41" s="137"/>
      <x:c r="J41" s="136"/>
    </x:row>
    <x:row r="42" spans="1:12">
      <x:c r="B42" s="136"/>
      <x:c r="C42" s="136"/>
      <x:c r="D42" s="136"/>
      <x:c r="E42" s="136"/>
      <x:c r="F42" s="136"/>
      <x:c r="G42" s="136"/>
      <x:c r="H42" s="137"/>
      <x:c r="I42" s="137"/>
      <x:c r="J42" s="136"/>
    </x:row>
    <x:row r="43" spans="1:12">
      <x:c r="B43" s="136"/>
      <x:c r="C43" s="136"/>
      <x:c r="D43" s="136"/>
      <x:c r="E43" s="136"/>
      <x:c r="F43" s="136"/>
      <x:c r="G43" s="136"/>
      <x:c r="H43" s="137"/>
      <x:c r="I43" s="137"/>
      <x:c r="J43" s="136"/>
    </x:row>
    <x:row r="44" spans="1:12">
      <x:c r="B44" s="136"/>
      <x:c r="C44" s="136"/>
      <x:c r="D44" s="136"/>
      <x:c r="E44" s="136"/>
      <x:c r="F44" s="136"/>
      <x:c r="G44" s="136"/>
      <x:c r="H44" s="137"/>
      <x:c r="I44" s="137"/>
      <x:c r="J44" s="136"/>
    </x:row>
    <x:row r="45" spans="1:12">
      <x:c r="B45" s="136"/>
      <x:c r="C45" s="136"/>
      <x:c r="D45" s="136"/>
      <x:c r="E45" s="136"/>
      <x:c r="F45" s="136"/>
      <x:c r="G45" s="136"/>
      <x:c r="H45" s="137"/>
      <x:c r="I45" s="137"/>
      <x:c r="J45" s="136"/>
    </x:row>
    <x:row r="46" spans="1:12">
      <x:c r="B46" s="136"/>
      <x:c r="C46" s="136"/>
      <x:c r="D46" s="136"/>
      <x:c r="E46" s="136"/>
      <x:c r="F46" s="136"/>
      <x:c r="G46" s="136"/>
      <x:c r="H46" s="137"/>
      <x:c r="I46" s="137"/>
      <x:c r="J46" s="136"/>
    </x:row>
    <x:row r="47" spans="1:12">
      <x:c r="B47" s="136"/>
      <x:c r="C47" s="136"/>
      <x:c r="D47" s="136"/>
      <x:c r="E47" s="136"/>
      <x:c r="F47" s="136"/>
      <x:c r="G47" s="136"/>
      <x:c r="H47" s="137"/>
      <x:c r="I47" s="137"/>
      <x:c r="J47" s="136"/>
    </x:row>
    <x:row r="48" spans="1:12">
      <x:c r="B48" s="136"/>
      <x:c r="C48" s="136"/>
      <x:c r="D48" s="136"/>
      <x:c r="E48" s="136"/>
      <x:c r="F48" s="136"/>
      <x:c r="G48" s="136"/>
      <x:c r="H48" s="137"/>
      <x:c r="I48" s="137"/>
      <x:c r="J48" s="136"/>
    </x:row>
    <x:row r="49" spans="2:10">
      <x:c r="B49" s="136"/>
      <x:c r="C49" s="136"/>
      <x:c r="D49" s="136"/>
      <x:c r="E49" s="136"/>
      <x:c r="F49" s="136"/>
      <x:c r="G49" s="136"/>
      <x:c r="H49" s="137"/>
      <x:c r="I49" s="137"/>
      <x:c r="J49" s="136"/>
    </x:row>
    <x:row r="50" spans="2:10">
      <x:c r="B50" s="136"/>
      <x:c r="C50" s="136"/>
      <x:c r="D50" s="136"/>
      <x:c r="E50" s="136"/>
      <x:c r="F50" s="136"/>
      <x:c r="G50" s="136"/>
      <x:c r="H50" s="137"/>
      <x:c r="I50" s="137"/>
      <x:c r="J50" s="136"/>
    </x:row>
    <x:row r="51" spans="2:10">
      <x:c r="B51" s="136"/>
      <x:c r="C51" s="136"/>
      <x:c r="D51" s="136"/>
      <x:c r="E51" s="136"/>
      <x:c r="F51" s="136"/>
      <x:c r="G51" s="136"/>
      <x:c r="H51" s="137"/>
      <x:c r="I51" s="137"/>
      <x:c r="J51" s="136"/>
    </x:row>
    <x:row r="52" spans="2:10">
      <x:c r="B52" s="136"/>
      <x:c r="C52" s="136"/>
      <x:c r="D52" s="136"/>
      <x:c r="E52" s="136"/>
      <x:c r="F52" s="136"/>
      <x:c r="G52" s="136"/>
      <x:c r="H52" s="137"/>
      <x:c r="I52" s="137"/>
      <x:c r="J52" s="136"/>
    </x:row>
    <x:row r="53" spans="2:10">
      <x:c r="B53" s="136"/>
      <x:c r="C53" s="136"/>
      <x:c r="D53" s="136"/>
      <x:c r="E53" s="136"/>
      <x:c r="F53" s="136"/>
      <x:c r="G53" s="136"/>
      <x:c r="H53" s="137"/>
      <x:c r="I53" s="137"/>
      <x:c r="J53" s="136"/>
    </x:row>
    <x:row r="54" spans="2:10">
      <x:c r="B54" s="136"/>
      <x:c r="C54" s="136"/>
      <x:c r="D54" s="136"/>
      <x:c r="E54" s="136"/>
      <x:c r="F54" s="136"/>
      <x:c r="G54" s="136"/>
      <x:c r="H54" s="137"/>
      <x:c r="I54" s="137"/>
      <x:c r="J54" s="136"/>
    </x:row>
    <x:row r="55" spans="2:10">
      <x:c r="B55" s="136"/>
      <x:c r="C55" s="136"/>
      <x:c r="D55" s="136"/>
      <x:c r="E55" s="136"/>
      <x:c r="F55" s="136"/>
      <x:c r="G55" s="136"/>
      <x:c r="H55" s="137"/>
      <x:c r="I55" s="137"/>
      <x:c r="J55" s="136"/>
    </x:row>
    <x:row r="56" spans="2:10">
      <x:c r="B56" s="136"/>
      <x:c r="C56" s="136"/>
      <x:c r="D56" s="136"/>
      <x:c r="E56" s="136"/>
      <x:c r="F56" s="136"/>
      <x:c r="G56" s="136"/>
      <x:c r="H56" s="137"/>
      <x:c r="I56" s="137"/>
      <x:c r="J56" s="136"/>
    </x:row>
    <x:row r="57" spans="2:10">
      <x:c r="B57" s="136"/>
      <x:c r="C57" s="136"/>
      <x:c r="D57" s="136"/>
      <x:c r="E57" s="136"/>
      <x:c r="F57" s="136"/>
      <x:c r="G57" s="136"/>
      <x:c r="H57" s="137"/>
      <x:c r="I57" s="137"/>
      <x:c r="J57" s="136"/>
    </x:row>
    <x:row r="58" spans="2:10">
      <x:c r="B58" s="136"/>
      <x:c r="C58" s="136"/>
      <x:c r="D58" s="136"/>
      <x:c r="E58" s="136"/>
      <x:c r="F58" s="136"/>
      <x:c r="G58" s="136"/>
      <x:c r="H58" s="137"/>
      <x:c r="I58" s="137"/>
      <x:c r="J58" s="136"/>
    </x:row>
    <x:row r="59" spans="2:10">
      <x:c r="B59" s="136"/>
      <x:c r="C59" s="136"/>
      <x:c r="D59" s="136"/>
      <x:c r="E59" s="136"/>
      <x:c r="F59" s="136"/>
      <x:c r="G59" s="136"/>
      <x:c r="H59" s="137"/>
      <x:c r="I59" s="137"/>
      <x:c r="J59" s="136"/>
    </x:row>
    <x:row r="60" spans="2:10">
      <x:c r="B60" s="136"/>
      <x:c r="C60" s="136"/>
      <x:c r="D60" s="136"/>
      <x:c r="E60" s="136"/>
      <x:c r="F60" s="136"/>
      <x:c r="G60" s="136"/>
      <x:c r="H60" s="137"/>
      <x:c r="I60" s="137"/>
      <x:c r="J60" s="136"/>
    </x:row>
    <x:row r="61" spans="2:10">
      <x:c r="B61" s="136"/>
      <x:c r="C61" s="136"/>
      <x:c r="D61" s="136"/>
      <x:c r="E61" s="136"/>
      <x:c r="F61" s="136"/>
      <x:c r="G61" s="136"/>
      <x:c r="H61" s="137"/>
      <x:c r="I61" s="137"/>
      <x:c r="J61" s="136"/>
    </x:row>
    <x:row r="62" spans="2:10">
      <x:c r="B62" s="136"/>
      <x:c r="C62" s="136"/>
      <x:c r="D62" s="136"/>
      <x:c r="E62" s="136"/>
      <x:c r="F62" s="136"/>
      <x:c r="G62" s="136"/>
      <x:c r="H62" s="137"/>
      <x:c r="I62" s="137"/>
      <x:c r="J62" s="136"/>
    </x:row>
    <x:row r="63" spans="2:10">
      <x:c r="B63" s="136"/>
      <x:c r="C63" s="136"/>
      <x:c r="D63" s="136"/>
      <x:c r="E63" s="136"/>
      <x:c r="F63" s="136"/>
      <x:c r="G63" s="136"/>
      <x:c r="H63" s="137"/>
      <x:c r="I63" s="137"/>
      <x:c r="J63" s="136"/>
    </x:row>
    <x:row r="64" spans="2:10">
      <x:c r="B64" s="136"/>
      <x:c r="C64" s="136"/>
      <x:c r="D64" s="136"/>
      <x:c r="E64" s="136"/>
      <x:c r="F64" s="136"/>
      <x:c r="G64" s="136"/>
      <x:c r="H64" s="137"/>
      <x:c r="I64" s="137"/>
      <x:c r="J64" s="136"/>
    </x:row>
    <x:row r="65" spans="2:10">
      <x:c r="B65" s="136"/>
      <x:c r="C65" s="136"/>
      <x:c r="D65" s="136"/>
      <x:c r="E65" s="136"/>
      <x:c r="F65" s="136"/>
      <x:c r="G65" s="136"/>
      <x:c r="H65" s="137"/>
      <x:c r="I65" s="137"/>
      <x:c r="J65" s="136"/>
    </x:row>
    <x:row r="66" spans="2:10">
      <x:c r="B66" s="136"/>
      <x:c r="C66" s="136"/>
      <x:c r="D66" s="136"/>
      <x:c r="E66" s="136"/>
      <x:c r="F66" s="136"/>
      <x:c r="G66" s="136"/>
      <x:c r="H66" s="137"/>
      <x:c r="I66" s="137"/>
      <x:c r="J66" s="136"/>
    </x:row>
    <x:row r="67" spans="2:10">
      <x:c r="B67" s="136"/>
      <x:c r="C67" s="136"/>
      <x:c r="D67" s="136"/>
      <x:c r="E67" s="136"/>
      <x:c r="F67" s="136"/>
      <x:c r="G67" s="136"/>
      <x:c r="H67" s="137"/>
      <x:c r="I67" s="137"/>
      <x:c r="J67" s="136"/>
    </x:row>
    <x:row r="68" spans="2:10">
      <x:c r="B68" s="136"/>
      <x:c r="C68" s="136"/>
      <x:c r="D68" s="136"/>
      <x:c r="E68" s="136"/>
      <x:c r="F68" s="136"/>
      <x:c r="G68" s="136"/>
      <x:c r="H68" s="137"/>
      <x:c r="I68" s="137"/>
      <x:c r="J68" s="136"/>
    </x:row>
    <x:row r="69" spans="2:10">
      <x:c r="B69" s="136"/>
      <x:c r="C69" s="136"/>
      <x:c r="D69" s="136"/>
      <x:c r="E69" s="136"/>
      <x:c r="F69" s="136"/>
      <x:c r="G69" s="136"/>
      <x:c r="H69" s="137"/>
      <x:c r="I69" s="137"/>
      <x:c r="J69" s="136"/>
    </x:row>
    <x:row r="70" spans="2:10">
      <x:c r="B70" s="136"/>
      <x:c r="C70" s="136"/>
      <x:c r="D70" s="136"/>
      <x:c r="E70" s="136"/>
      <x:c r="F70" s="136"/>
      <x:c r="G70" s="136"/>
      <x:c r="H70" s="137"/>
      <x:c r="I70" s="137"/>
      <x:c r="J70" s="136"/>
    </x:row>
    <x:row r="71" spans="2:10">
      <x:c r="B71" s="136"/>
      <x:c r="C71" s="136"/>
      <x:c r="D71" s="136"/>
      <x:c r="E71" s="136"/>
      <x:c r="F71" s="136"/>
      <x:c r="G71" s="136"/>
      <x:c r="H71" s="137"/>
      <x:c r="I71" s="137"/>
      <x:c r="J71" s="136"/>
    </x:row>
    <x:row r="72" spans="2:10">
      <x:c r="B72" s="136"/>
      <x:c r="C72" s="136"/>
      <x:c r="D72" s="136"/>
      <x:c r="E72" s="136"/>
      <x:c r="F72" s="136"/>
      <x:c r="G72" s="136"/>
      <x:c r="H72" s="137"/>
      <x:c r="I72" s="137"/>
      <x:c r="J72" s="136"/>
    </x:row>
    <x:row r="73" spans="2:10">
      <x:c r="B73" s="136"/>
      <x:c r="C73" s="136"/>
      <x:c r="D73" s="136"/>
      <x:c r="E73" s="136"/>
      <x:c r="F73" s="136"/>
      <x:c r="G73" s="136"/>
      <x:c r="H73" s="137"/>
      <x:c r="I73" s="137"/>
      <x:c r="J73" s="136"/>
    </x:row>
    <x:row r="74" spans="2:10">
      <x:c r="B74" s="136"/>
      <x:c r="C74" s="136"/>
      <x:c r="D74" s="136"/>
      <x:c r="E74" s="136"/>
      <x:c r="F74" s="136"/>
      <x:c r="G74" s="136"/>
      <x:c r="H74" s="137"/>
      <x:c r="I74" s="137"/>
      <x:c r="J74" s="136"/>
    </x:row>
    <x:row r="75" spans="2:10">
      <x:c r="B75" s="136"/>
      <x:c r="C75" s="136"/>
      <x:c r="D75" s="136"/>
      <x:c r="E75" s="136"/>
      <x:c r="F75" s="136"/>
      <x:c r="G75" s="136"/>
      <x:c r="H75" s="137"/>
      <x:c r="I75" s="137"/>
      <x:c r="J75" s="136"/>
    </x:row>
    <x:row r="76" spans="2:10">
      <x:c r="B76" s="136"/>
      <x:c r="C76" s="136"/>
      <x:c r="D76" s="136"/>
      <x:c r="E76" s="136"/>
      <x:c r="F76" s="136"/>
      <x:c r="G76" s="136"/>
      <x:c r="H76" s="137"/>
      <x:c r="I76" s="137"/>
      <x:c r="J76" s="136"/>
    </x:row>
    <x:row r="77" spans="2:10">
      <x:c r="B77" s="136"/>
      <x:c r="C77" s="136"/>
      <x:c r="D77" s="136"/>
      <x:c r="E77" s="136"/>
      <x:c r="F77" s="136"/>
      <x:c r="G77" s="136"/>
      <x:c r="H77" s="137"/>
      <x:c r="I77" s="137"/>
      <x:c r="J77" s="136"/>
    </x:row>
    <x:row r="78" spans="2:10">
      <x:c r="B78" s="136"/>
      <x:c r="C78" s="136"/>
      <x:c r="D78" s="136"/>
      <x:c r="E78" s="136"/>
      <x:c r="F78" s="136"/>
      <x:c r="G78" s="136"/>
      <x:c r="H78" s="137"/>
      <x:c r="I78" s="137"/>
      <x:c r="J78" s="136"/>
    </x:row>
    <x:row r="79" spans="2:10">
      <x:c r="B79" s="136"/>
      <x:c r="C79" s="136"/>
      <x:c r="D79" s="136"/>
      <x:c r="E79" s="136"/>
      <x:c r="F79" s="136"/>
      <x:c r="G79" s="136"/>
      <x:c r="H79" s="137"/>
      <x:c r="I79" s="137"/>
      <x:c r="J79" s="136"/>
    </x:row>
    <x:row r="80" spans="2:10">
      <x:c r="B80" s="136"/>
      <x:c r="C80" s="136"/>
      <x:c r="D80" s="136"/>
      <x:c r="E80" s="136"/>
      <x:c r="F80" s="136"/>
      <x:c r="G80" s="136"/>
      <x:c r="H80" s="137"/>
      <x:c r="I80" s="137"/>
      <x:c r="J80" s="136"/>
    </x:row>
    <x:row r="81" spans="2:10">
      <x:c r="B81" s="136"/>
      <x:c r="C81" s="136"/>
      <x:c r="D81" s="136"/>
      <x:c r="E81" s="136"/>
      <x:c r="F81" s="136"/>
      <x:c r="G81" s="136"/>
      <x:c r="H81" s="137"/>
      <x:c r="I81" s="137"/>
      <x:c r="J81" s="136"/>
    </x:row>
    <x:row r="82" spans="2:10">
      <x:c r="B82" s="136"/>
      <x:c r="C82" s="136"/>
      <x:c r="D82" s="136"/>
      <x:c r="E82" s="136"/>
      <x:c r="F82" s="136"/>
      <x:c r="G82" s="136"/>
      <x:c r="H82" s="137"/>
      <x:c r="I82" s="137"/>
      <x:c r="J82" s="136"/>
    </x:row>
    <x:row r="83" spans="2:10">
      <x:c r="B83" s="136"/>
      <x:c r="C83" s="136"/>
      <x:c r="D83" s="136"/>
      <x:c r="E83" s="136"/>
      <x:c r="F83" s="136"/>
      <x:c r="G83" s="136"/>
      <x:c r="H83" s="137"/>
      <x:c r="I83" s="137"/>
      <x:c r="J83" s="136"/>
    </x:row>
    <x:row r="84" spans="2:10">
      <x:c r="B84" s="136"/>
      <x:c r="C84" s="136"/>
      <x:c r="D84" s="136"/>
      <x:c r="E84" s="136"/>
      <x:c r="F84" s="136"/>
      <x:c r="G84" s="136"/>
      <x:c r="H84" s="137"/>
      <x:c r="I84" s="137"/>
      <x:c r="J84" s="136"/>
    </x:row>
    <x:row r="85" spans="2:10">
      <x:c r="B85" s="136"/>
      <x:c r="C85" s="136"/>
      <x:c r="D85" s="136"/>
      <x:c r="E85" s="136"/>
      <x:c r="F85" s="136"/>
      <x:c r="G85" s="136"/>
      <x:c r="H85" s="137"/>
      <x:c r="I85" s="137"/>
      <x:c r="J85" s="136"/>
    </x:row>
    <x:row r="86" spans="2:10">
      <x:c r="B86" s="136"/>
      <x:c r="C86" s="136"/>
      <x:c r="D86" s="136"/>
      <x:c r="E86" s="136"/>
      <x:c r="F86" s="136"/>
      <x:c r="G86" s="136"/>
      <x:c r="H86" s="137"/>
      <x:c r="I86" s="137"/>
      <x:c r="J86" s="136"/>
    </x:row>
    <x:row r="87" spans="2:10">
      <x:c r="B87" s="136"/>
      <x:c r="C87" s="136"/>
      <x:c r="D87" s="136"/>
      <x:c r="E87" s="136"/>
      <x:c r="F87" s="136"/>
      <x:c r="G87" s="136"/>
      <x:c r="H87" s="137"/>
      <x:c r="I87" s="137"/>
      <x:c r="J87" s="136"/>
    </x:row>
    <x:row r="88" spans="2:10">
      <x:c r="B88" s="136"/>
      <x:c r="C88" s="136"/>
      <x:c r="D88" s="136"/>
      <x:c r="E88" s="136"/>
      <x:c r="F88" s="136"/>
      <x:c r="G88" s="136"/>
      <x:c r="H88" s="137"/>
      <x:c r="I88" s="137"/>
      <x:c r="J88" s="136"/>
    </x:row>
    <x:row r="89" spans="2:10">
      <x:c r="B89" s="136"/>
      <x:c r="C89" s="136"/>
      <x:c r="D89" s="136"/>
      <x:c r="E89" s="136"/>
      <x:c r="F89" s="136"/>
      <x:c r="G89" s="136"/>
      <x:c r="H89" s="137"/>
      <x:c r="I89" s="137"/>
      <x:c r="J89" s="136"/>
    </x:row>
    <x:row r="90" spans="2:10">
      <x:c r="B90" s="136"/>
      <x:c r="C90" s="136"/>
      <x:c r="D90" s="136"/>
      <x:c r="E90" s="136"/>
      <x:c r="F90" s="136"/>
      <x:c r="G90" s="136"/>
      <x:c r="H90" s="137"/>
      <x:c r="I90" s="137"/>
      <x:c r="J90" s="136"/>
    </x:row>
    <x:row r="91" spans="2:10">
      <x:c r="B91" s="136"/>
      <x:c r="C91" s="136"/>
      <x:c r="D91" s="136"/>
      <x:c r="E91" s="136"/>
      <x:c r="F91" s="136"/>
      <x:c r="G91" s="136"/>
      <x:c r="H91" s="137"/>
      <x:c r="I91" s="137"/>
      <x:c r="J91" s="136"/>
    </x:row>
    <x:row r="92" spans="2:10">
      <x:c r="B92" s="136"/>
      <x:c r="C92" s="136"/>
      <x:c r="D92" s="136"/>
      <x:c r="E92" s="136"/>
      <x:c r="F92" s="136"/>
      <x:c r="G92" s="136"/>
      <x:c r="H92" s="137"/>
      <x:c r="I92" s="137"/>
      <x:c r="J92" s="136"/>
    </x:row>
    <x:row r="93" spans="2:10">
      <x:c r="B93" s="136"/>
      <x:c r="C93" s="136"/>
      <x:c r="D93" s="136"/>
      <x:c r="E93" s="136"/>
      <x:c r="F93" s="136"/>
      <x:c r="G93" s="136"/>
      <x:c r="H93" s="137"/>
      <x:c r="I93" s="137"/>
      <x:c r="J93" s="136"/>
    </x:row>
    <x:row r="94" spans="2:10">
      <x:c r="B94" s="136"/>
      <x:c r="C94" s="136"/>
      <x:c r="D94" s="136"/>
      <x:c r="E94" s="136"/>
      <x:c r="F94" s="136"/>
      <x:c r="G94" s="136"/>
      <x:c r="H94" s="137"/>
      <x:c r="I94" s="137"/>
      <x:c r="J94" s="136"/>
    </x:row>
    <x:row r="95" spans="2:10">
      <x:c r="B95" s="136"/>
      <x:c r="C95" s="136"/>
      <x:c r="D95" s="136"/>
      <x:c r="E95" s="136"/>
      <x:c r="F95" s="136"/>
      <x:c r="G95" s="136"/>
      <x:c r="H95" s="137"/>
      <x:c r="I95" s="137"/>
      <x:c r="J95" s="136"/>
    </x:row>
    <x:row r="96" spans="2:10">
      <x:c r="B96" s="136"/>
      <x:c r="C96" s="136"/>
      <x:c r="D96" s="136"/>
      <x:c r="E96" s="136"/>
      <x:c r="F96" s="136"/>
      <x:c r="G96" s="136"/>
      <x:c r="H96" s="137"/>
      <x:c r="I96" s="137"/>
      <x:c r="J96" s="136"/>
    </x:row>
    <x:row r="97" spans="2:10">
      <x:c r="B97" s="136"/>
      <x:c r="C97" s="136"/>
      <x:c r="D97" s="136"/>
      <x:c r="E97" s="136"/>
      <x:c r="F97" s="136"/>
      <x:c r="G97" s="136"/>
      <x:c r="H97" s="137"/>
      <x:c r="I97" s="137"/>
      <x:c r="J97" s="136"/>
    </x:row>
    <x:row r="98" spans="2:10">
      <x:c r="B98" s="136"/>
      <x:c r="C98" s="136"/>
      <x:c r="D98" s="136"/>
      <x:c r="E98" s="136"/>
      <x:c r="F98" s="136"/>
      <x:c r="G98" s="136"/>
      <x:c r="H98" s="137"/>
      <x:c r="I98" s="137"/>
      <x:c r="J98" s="136"/>
    </x:row>
    <x:row r="99" spans="2:10">
      <x:c r="B99" s="136"/>
      <x:c r="C99" s="136"/>
      <x:c r="D99" s="136"/>
      <x:c r="E99" s="136"/>
      <x:c r="F99" s="136"/>
      <x:c r="G99" s="136"/>
      <x:c r="H99" s="137"/>
      <x:c r="I99" s="137"/>
      <x:c r="J99" s="136"/>
    </x:row>
    <x:row r="100" spans="2:10">
      <x:c r="B100" s="136"/>
      <x:c r="C100" s="136"/>
      <x:c r="D100" s="136"/>
      <x:c r="E100" s="136"/>
      <x:c r="F100" s="136"/>
      <x:c r="G100" s="136"/>
      <x:c r="H100" s="137"/>
      <x:c r="I100" s="137"/>
      <x:c r="J100" s="136"/>
    </x:row>
    <x:row r="101" spans="2:10">
      <x:c r="B101" s="136"/>
      <x:c r="C101" s="136"/>
      <x:c r="D101" s="136"/>
      <x:c r="E101" s="136"/>
      <x:c r="F101" s="136"/>
      <x:c r="G101" s="136"/>
      <x:c r="H101" s="137"/>
      <x:c r="I101" s="137"/>
      <x:c r="J101" s="136"/>
    </x:row>
    <x:row r="102" spans="2:10">
      <x:c r="B102" s="136"/>
      <x:c r="C102" s="136"/>
      <x:c r="D102" s="136"/>
      <x:c r="E102" s="136"/>
      <x:c r="F102" s="136"/>
      <x:c r="G102" s="136"/>
      <x:c r="H102" s="137"/>
      <x:c r="I102" s="137"/>
      <x:c r="J102" s="136"/>
    </x:row>
    <x:row r="103" spans="2:10">
      <x:c r="B103" s="136"/>
      <x:c r="C103" s="136"/>
      <x:c r="D103" s="136"/>
      <x:c r="E103" s="136"/>
      <x:c r="F103" s="136"/>
      <x:c r="G103" s="136"/>
      <x:c r="H103" s="137"/>
      <x:c r="I103" s="137"/>
      <x:c r="J103" s="136"/>
    </x:row>
    <x:row r="104" spans="2:10">
      <x:c r="B104" s="136"/>
      <x:c r="C104" s="136"/>
      <x:c r="D104" s="136"/>
      <x:c r="E104" s="136"/>
      <x:c r="F104" s="136"/>
      <x:c r="G104" s="136"/>
      <x:c r="H104" s="137"/>
      <x:c r="I104" s="137"/>
      <x:c r="J104" s="136"/>
    </x:row>
    <x:row r="105" spans="2:10">
      <x:c r="B105" s="136"/>
      <x:c r="C105" s="136"/>
      <x:c r="D105" s="136"/>
      <x:c r="E105" s="136"/>
      <x:c r="F105" s="136"/>
      <x:c r="G105" s="136"/>
      <x:c r="H105" s="137"/>
      <x:c r="I105" s="137"/>
      <x:c r="J105" s="136"/>
    </x:row>
    <x:row r="106" spans="2:10">
      <x:c r="B106" s="136"/>
      <x:c r="C106" s="136"/>
      <x:c r="D106" s="136"/>
      <x:c r="E106" s="136"/>
      <x:c r="F106" s="136"/>
      <x:c r="G106" s="136"/>
      <x:c r="H106" s="137"/>
      <x:c r="I106" s="137"/>
      <x:c r="J106" s="136"/>
    </x:row>
    <x:row r="107" spans="2:10">
      <x:c r="B107" s="136"/>
      <x:c r="C107" s="136"/>
      <x:c r="D107" s="136"/>
      <x:c r="E107" s="136"/>
      <x:c r="F107" s="136"/>
      <x:c r="G107" s="136"/>
      <x:c r="H107" s="137"/>
      <x:c r="I107" s="137"/>
      <x:c r="J107" s="136"/>
    </x:row>
    <x:row r="108" spans="2:10">
      <x:c r="B108" s="136"/>
      <x:c r="C108" s="136"/>
      <x:c r="D108" s="136"/>
      <x:c r="E108" s="136"/>
      <x:c r="F108" s="136"/>
      <x:c r="G108" s="136"/>
      <x:c r="H108" s="137"/>
      <x:c r="I108" s="137"/>
      <x:c r="J108" s="136"/>
    </x:row>
    <x:row r="109" spans="2:10">
      <x:c r="B109" s="136"/>
      <x:c r="C109" s="136"/>
      <x:c r="D109" s="136"/>
      <x:c r="E109" s="136"/>
      <x:c r="F109" s="136"/>
      <x:c r="G109" s="136"/>
      <x:c r="H109" s="137"/>
      <x:c r="I109" s="137"/>
      <x:c r="J109" s="136"/>
    </x:row>
    <x:row r="110" spans="2:10">
      <x:c r="B110" s="136"/>
      <x:c r="C110" s="136"/>
      <x:c r="D110" s="136"/>
      <x:c r="E110" s="136"/>
      <x:c r="F110" s="136"/>
      <x:c r="G110" s="136"/>
      <x:c r="H110" s="137"/>
      <x:c r="I110" s="137"/>
      <x:c r="J110" s="136"/>
    </x:row>
    <x:row r="111" spans="2:10">
      <x:c r="B111" s="136"/>
      <x:c r="C111" s="136"/>
      <x:c r="D111" s="136"/>
      <x:c r="E111" s="136"/>
      <x:c r="F111" s="136"/>
      <x:c r="G111" s="136"/>
      <x:c r="H111" s="137"/>
      <x:c r="I111" s="137"/>
      <x:c r="J111" s="136"/>
    </x:row>
    <x:row r="112" spans="2:10">
      <x:c r="B112" s="136"/>
      <x:c r="C112" s="136"/>
      <x:c r="D112" s="136"/>
      <x:c r="E112" s="136"/>
      <x:c r="F112" s="136"/>
      <x:c r="G112" s="136"/>
      <x:c r="H112" s="137"/>
      <x:c r="I112" s="137"/>
      <x:c r="J112" s="136"/>
    </x:row>
    <x:row r="113" spans="2:10">
      <x:c r="B113" s="136"/>
      <x:c r="C113" s="136"/>
      <x:c r="D113" s="136"/>
      <x:c r="E113" s="136"/>
      <x:c r="F113" s="136"/>
      <x:c r="G113" s="136"/>
      <x:c r="H113" s="137"/>
      <x:c r="I113" s="137"/>
      <x:c r="J113" s="136"/>
    </x:row>
    <x:row r="114" spans="2:10">
      <x:c r="B114" s="136"/>
      <x:c r="C114" s="136"/>
      <x:c r="D114" s="136"/>
      <x:c r="E114" s="136"/>
      <x:c r="F114" s="136"/>
      <x:c r="G114" s="136"/>
      <x:c r="H114" s="137"/>
      <x:c r="I114" s="137"/>
      <x:c r="J114" s="136"/>
    </x:row>
    <x:row r="115" spans="2:10">
      <x:c r="B115" s="136"/>
      <x:c r="C115" s="136"/>
      <x:c r="D115" s="136"/>
      <x:c r="E115" s="136"/>
      <x:c r="F115" s="136"/>
      <x:c r="G115" s="136"/>
      <x:c r="H115" s="137"/>
      <x:c r="I115" s="137"/>
      <x:c r="J115" s="136"/>
    </x:row>
    <x:row r="116" spans="2:10">
      <x:c r="B116" s="136"/>
      <x:c r="C116" s="136"/>
      <x:c r="D116" s="136"/>
      <x:c r="E116" s="136"/>
      <x:c r="F116" s="136"/>
      <x:c r="G116" s="136"/>
      <x:c r="H116" s="137"/>
      <x:c r="I116" s="137"/>
      <x:c r="J116" s="136"/>
    </x:row>
    <x:row r="117" spans="2:10">
      <x:c r="B117" s="136"/>
      <x:c r="C117" s="136"/>
      <x:c r="D117" s="136"/>
      <x:c r="E117" s="136"/>
      <x:c r="F117" s="136"/>
      <x:c r="G117" s="136"/>
      <x:c r="H117" s="137"/>
      <x:c r="I117" s="137"/>
      <x:c r="J117" s="136"/>
    </x:row>
    <x:row r="118" spans="2:10">
      <x:c r="B118" s="136"/>
      <x:c r="C118" s="136"/>
      <x:c r="D118" s="136"/>
      <x:c r="E118" s="136"/>
      <x:c r="F118" s="136"/>
      <x:c r="G118" s="136"/>
      <x:c r="H118" s="137"/>
      <x:c r="I118" s="137"/>
      <x:c r="J118" s="136"/>
    </x:row>
    <x:row r="119" spans="2:10">
      <x:c r="B119" s="136"/>
      <x:c r="C119" s="136"/>
      <x:c r="D119" s="136"/>
      <x:c r="E119" s="136"/>
      <x:c r="F119" s="136"/>
      <x:c r="G119" s="136"/>
      <x:c r="H119" s="137"/>
      <x:c r="I119" s="137"/>
      <x:c r="J119" s="136"/>
    </x:row>
    <x:row r="120" spans="2:10">
      <x:c r="B120" s="136"/>
      <x:c r="C120" s="136"/>
      <x:c r="D120" s="136"/>
      <x:c r="E120" s="136"/>
      <x:c r="F120" s="136"/>
      <x:c r="G120" s="136"/>
      <x:c r="H120" s="137"/>
      <x:c r="I120" s="137"/>
      <x:c r="J120" s="136"/>
    </x:row>
    <x:row r="121" spans="2:10">
      <x:c r="B121" s="136"/>
      <x:c r="C121" s="136"/>
      <x:c r="D121" s="136"/>
      <x:c r="E121" s="136"/>
      <x:c r="F121" s="136"/>
      <x:c r="G121" s="136"/>
      <x:c r="H121" s="137"/>
      <x:c r="I121" s="137"/>
      <x:c r="J121" s="136"/>
    </x:row>
    <x:row r="122" spans="2:10">
      <x:c r="B122" s="136"/>
      <x:c r="C122" s="136"/>
      <x:c r="D122" s="136"/>
      <x:c r="E122" s="136"/>
      <x:c r="F122" s="136"/>
      <x:c r="G122" s="136"/>
      <x:c r="H122" s="137"/>
      <x:c r="I122" s="137"/>
      <x:c r="J122" s="136"/>
    </x:row>
    <x:row r="123" spans="2:10">
      <x:c r="B123" s="136"/>
      <x:c r="C123" s="136"/>
      <x:c r="D123" s="136"/>
      <x:c r="E123" s="136"/>
      <x:c r="F123" s="136"/>
      <x:c r="G123" s="136"/>
      <x:c r="H123" s="137"/>
      <x:c r="I123" s="137"/>
      <x:c r="J123" s="136"/>
    </x:row>
    <x:row r="124" spans="2:10">
      <x:c r="B124" s="136"/>
      <x:c r="C124" s="136"/>
      <x:c r="D124" s="136"/>
      <x:c r="E124" s="136"/>
      <x:c r="F124" s="136"/>
      <x:c r="G124" s="136"/>
      <x:c r="H124" s="137"/>
      <x:c r="I124" s="137"/>
      <x:c r="J124" s="136"/>
    </x:row>
    <x:row r="125" spans="2:10">
      <x:c r="B125" s="136"/>
      <x:c r="C125" s="136"/>
      <x:c r="D125" s="136"/>
      <x:c r="E125" s="136"/>
      <x:c r="F125" s="136"/>
      <x:c r="G125" s="136"/>
      <x:c r="H125" s="137"/>
      <x:c r="I125" s="137"/>
      <x:c r="J125" s="136"/>
    </x:row>
    <x:row r="126" spans="2:10">
      <x:c r="B126" s="136"/>
      <x:c r="C126" s="136"/>
      <x:c r="D126" s="136"/>
      <x:c r="E126" s="136"/>
      <x:c r="F126" s="136"/>
      <x:c r="G126" s="136"/>
      <x:c r="H126" s="137"/>
      <x:c r="I126" s="137"/>
      <x:c r="J126" s="136"/>
    </x:row>
    <x:row r="127" spans="2:10">
      <x:c r="B127" s="136"/>
      <x:c r="C127" s="136"/>
      <x:c r="D127" s="136"/>
      <x:c r="E127" s="136"/>
      <x:c r="F127" s="136"/>
      <x:c r="G127" s="136"/>
      <x:c r="H127" s="137"/>
      <x:c r="I127" s="137"/>
      <x:c r="J127" s="136"/>
    </x:row>
    <x:row r="128" spans="2:10">
      <x:c r="B128" s="136"/>
      <x:c r="C128" s="136"/>
      <x:c r="D128" s="136"/>
      <x:c r="E128" s="136"/>
      <x:c r="F128" s="136"/>
      <x:c r="G128" s="136"/>
      <x:c r="H128" s="137"/>
      <x:c r="I128" s="137"/>
      <x:c r="J128" s="136"/>
    </x:row>
    <x:row r="129" spans="2:10">
      <x:c r="B129" s="136"/>
      <x:c r="C129" s="136"/>
      <x:c r="D129" s="136"/>
      <x:c r="E129" s="136"/>
      <x:c r="F129" s="136"/>
      <x:c r="G129" s="136"/>
      <x:c r="H129" s="137"/>
      <x:c r="I129" s="137"/>
      <x:c r="J129" s="136"/>
    </x:row>
    <x:row r="130" spans="2:10">
      <x:c r="B130" s="136"/>
      <x:c r="C130" s="136"/>
      <x:c r="D130" s="136"/>
      <x:c r="E130" s="136"/>
      <x:c r="F130" s="136"/>
      <x:c r="G130" s="136"/>
      <x:c r="H130" s="137"/>
      <x:c r="I130" s="137"/>
      <x:c r="J130" s="136"/>
    </x:row>
    <x:row r="131" spans="2:10">
      <x:c r="B131" s="136"/>
      <x:c r="C131" s="136"/>
      <x:c r="D131" s="136"/>
      <x:c r="E131" s="136"/>
      <x:c r="F131" s="136"/>
      <x:c r="G131" s="136"/>
      <x:c r="H131" s="137"/>
      <x:c r="I131" s="137"/>
      <x:c r="J131" s="136"/>
    </x:row>
    <x:row r="132" spans="2:10">
      <x:c r="B132" s="136"/>
      <x:c r="C132" s="136"/>
      <x:c r="D132" s="136"/>
      <x:c r="E132" s="136"/>
      <x:c r="F132" s="136"/>
      <x:c r="G132" s="136"/>
      <x:c r="H132" s="137"/>
      <x:c r="I132" s="137"/>
      <x:c r="J132" s="136"/>
    </x:row>
    <x:row r="133" spans="2:10">
      <x:c r="B133" s="136"/>
      <x:c r="C133" s="136"/>
      <x:c r="D133" s="136"/>
      <x:c r="E133" s="136"/>
      <x:c r="F133" s="136"/>
      <x:c r="G133" s="136"/>
      <x:c r="H133" s="137"/>
      <x:c r="I133" s="137"/>
      <x:c r="J133" s="136"/>
    </x:row>
    <x:row r="134" spans="2:10">
      <x:c r="B134" s="136"/>
      <x:c r="C134" s="136"/>
      <x:c r="D134" s="136"/>
      <x:c r="E134" s="136"/>
      <x:c r="F134" s="136"/>
      <x:c r="G134" s="136"/>
      <x:c r="H134" s="137"/>
      <x:c r="I134" s="137"/>
      <x:c r="J134" s="136"/>
    </x:row>
    <x:row r="135" spans="2:10">
      <x:c r="B135" s="136"/>
      <x:c r="C135" s="136"/>
      <x:c r="D135" s="136"/>
      <x:c r="E135" s="136"/>
      <x:c r="F135" s="136"/>
      <x:c r="G135" s="136"/>
      <x:c r="H135" s="137"/>
      <x:c r="I135" s="137"/>
      <x:c r="J135" s="136"/>
    </x:row>
    <x:row r="136" spans="2:10">
      <x:c r="B136" s="136"/>
      <x:c r="C136" s="136"/>
      <x:c r="D136" s="136"/>
      <x:c r="E136" s="136"/>
      <x:c r="F136" s="136"/>
      <x:c r="G136" s="136"/>
      <x:c r="H136" s="137"/>
      <x:c r="I136" s="137"/>
      <x:c r="J136" s="136"/>
    </x:row>
    <x:row r="137" spans="2:10">
      <x:c r="B137" s="136"/>
      <x:c r="C137" s="136"/>
      <x:c r="D137" s="136"/>
      <x:c r="E137" s="136"/>
      <x:c r="F137" s="136"/>
      <x:c r="G137" s="136"/>
      <x:c r="H137" s="137"/>
      <x:c r="I137" s="137"/>
      <x:c r="J137" s="136"/>
    </x:row>
    <x:row r="138" spans="2:10">
      <x:c r="B138" s="136"/>
      <x:c r="C138" s="136"/>
      <x:c r="D138" s="136"/>
      <x:c r="E138" s="136"/>
      <x:c r="F138" s="136"/>
      <x:c r="G138" s="136"/>
      <x:c r="H138" s="137"/>
      <x:c r="I138" s="137"/>
      <x:c r="J138" s="136"/>
    </x:row>
    <x:row r="139" spans="2:10">
      <x:c r="B139" s="136"/>
      <x:c r="C139" s="136"/>
      <x:c r="D139" s="136"/>
      <x:c r="E139" s="136"/>
      <x:c r="F139" s="136"/>
      <x:c r="G139" s="136"/>
      <x:c r="H139" s="137"/>
      <x:c r="I139" s="137"/>
      <x:c r="J139" s="136"/>
    </x:row>
    <x:row r="140" spans="2:10">
      <x:c r="B140" s="136"/>
      <x:c r="C140" s="136"/>
      <x:c r="D140" s="136"/>
      <x:c r="E140" s="136"/>
      <x:c r="F140" s="136"/>
      <x:c r="G140" s="136"/>
      <x:c r="H140" s="137"/>
      <x:c r="I140" s="137"/>
      <x:c r="J140" s="136"/>
    </x:row>
    <x:row r="141" spans="2:10">
      <x:c r="B141" s="136"/>
      <x:c r="C141" s="136"/>
      <x:c r="D141" s="136"/>
      <x:c r="E141" s="136"/>
      <x:c r="F141" s="136"/>
      <x:c r="G141" s="136"/>
      <x:c r="H141" s="137"/>
      <x:c r="I141" s="137"/>
      <x:c r="J141" s="136"/>
    </x:row>
    <x:row r="142" spans="2:10">
      <x:c r="B142" s="136"/>
      <x:c r="C142" s="136"/>
      <x:c r="D142" s="136"/>
      <x:c r="E142" s="136"/>
      <x:c r="F142" s="136"/>
      <x:c r="G142" s="136"/>
      <x:c r="H142" s="137"/>
      <x:c r="I142" s="137"/>
      <x:c r="J142" s="136"/>
    </x:row>
    <x:row r="143" spans="2:10">
      <x:c r="B143" s="136"/>
      <x:c r="C143" s="136"/>
      <x:c r="D143" s="136"/>
      <x:c r="E143" s="136"/>
      <x:c r="F143" s="136"/>
      <x:c r="G143" s="136"/>
      <x:c r="H143" s="137"/>
      <x:c r="I143" s="137"/>
      <x:c r="J143" s="136"/>
    </x:row>
    <x:row r="144" spans="2:10">
      <x:c r="B144" s="136"/>
      <x:c r="C144" s="136"/>
      <x:c r="D144" s="136"/>
      <x:c r="E144" s="136"/>
      <x:c r="F144" s="136"/>
      <x:c r="G144" s="136"/>
      <x:c r="H144" s="137"/>
      <x:c r="I144" s="137"/>
      <x:c r="J144" s="136"/>
    </x:row>
    <x:row r="145" spans="2:10">
      <x:c r="B145" s="136"/>
      <x:c r="C145" s="136"/>
      <x:c r="D145" s="136"/>
      <x:c r="E145" s="136"/>
      <x:c r="F145" s="136"/>
      <x:c r="G145" s="136"/>
      <x:c r="H145" s="137"/>
      <x:c r="I145" s="137"/>
      <x:c r="J145" s="136"/>
    </x:row>
    <x:row r="146" spans="2:10">
      <x:c r="B146" s="136"/>
      <x:c r="C146" s="136"/>
      <x:c r="D146" s="136"/>
      <x:c r="E146" s="136"/>
      <x:c r="F146" s="136"/>
      <x:c r="G146" s="136"/>
      <x:c r="H146" s="137"/>
      <x:c r="I146" s="137"/>
      <x:c r="J146" s="136"/>
    </x:row>
    <x:row r="147" spans="2:10">
      <x:c r="B147" s="136"/>
      <x:c r="C147" s="136"/>
      <x:c r="D147" s="136"/>
      <x:c r="E147" s="136"/>
      <x:c r="F147" s="136"/>
      <x:c r="G147" s="136"/>
      <x:c r="H147" s="137"/>
      <x:c r="I147" s="137"/>
      <x:c r="J147" s="136"/>
    </x:row>
    <x:row r="148" spans="2:10">
      <x:c r="B148" s="136"/>
      <x:c r="C148" s="136"/>
      <x:c r="D148" s="136"/>
      <x:c r="E148" s="136"/>
      <x:c r="F148" s="136"/>
      <x:c r="G148" s="136"/>
      <x:c r="H148" s="137"/>
      <x:c r="I148" s="137"/>
      <x:c r="J148" s="136"/>
    </x:row>
    <x:row r="149" spans="2:10">
      <x:c r="B149" s="136"/>
      <x:c r="C149" s="136"/>
      <x:c r="D149" s="136"/>
      <x:c r="E149" s="136"/>
      <x:c r="F149" s="136"/>
      <x:c r="G149" s="136"/>
      <x:c r="H149" s="137"/>
      <x:c r="I149" s="137"/>
      <x:c r="J149" s="136"/>
    </x:row>
    <x:row r="150" spans="2:10">
      <x:c r="B150" s="136"/>
      <x:c r="C150" s="136"/>
      <x:c r="D150" s="136"/>
      <x:c r="E150" s="136"/>
      <x:c r="F150" s="136"/>
      <x:c r="G150" s="136"/>
      <x:c r="H150" s="137"/>
      <x:c r="I150" s="137"/>
      <x:c r="J150" s="136"/>
    </x:row>
    <x:row r="151" spans="2:10">
      <x:c r="B151" s="136"/>
      <x:c r="C151" s="136"/>
      <x:c r="D151" s="136"/>
      <x:c r="E151" s="136"/>
      <x:c r="F151" s="136"/>
      <x:c r="G151" s="136"/>
      <x:c r="H151" s="137"/>
      <x:c r="I151" s="137"/>
      <x:c r="J151" s="136"/>
    </x:row>
    <x:row r="152" spans="2:10">
      <x:c r="B152" s="136"/>
      <x:c r="C152" s="136"/>
      <x:c r="D152" s="136"/>
      <x:c r="E152" s="136"/>
      <x:c r="F152" s="136"/>
      <x:c r="G152" s="136"/>
      <x:c r="H152" s="137"/>
      <x:c r="I152" s="137"/>
      <x:c r="J152" s="136"/>
    </x:row>
    <x:row r="153" spans="2:10">
      <x:c r="B153" s="136"/>
      <x:c r="C153" s="136"/>
      <x:c r="D153" s="136"/>
      <x:c r="E153" s="136"/>
      <x:c r="F153" s="136"/>
      <x:c r="G153" s="136"/>
      <x:c r="H153" s="137"/>
      <x:c r="I153" s="137"/>
      <x:c r="J153" s="136"/>
    </x:row>
    <x:row r="154" spans="2:10">
      <x:c r="B154" s="136"/>
      <x:c r="C154" s="136"/>
      <x:c r="D154" s="136"/>
      <x:c r="E154" s="136"/>
      <x:c r="F154" s="136"/>
      <x:c r="G154" s="136"/>
      <x:c r="H154" s="137"/>
      <x:c r="I154" s="137"/>
      <x:c r="J154" s="136"/>
    </x:row>
    <x:row r="155" spans="2:10">
      <x:c r="B155" s="136"/>
      <x:c r="C155" s="136"/>
      <x:c r="D155" s="136"/>
      <x:c r="E155" s="136"/>
      <x:c r="F155" s="136"/>
      <x:c r="G155" s="136"/>
      <x:c r="H155" s="137"/>
      <x:c r="I155" s="137"/>
      <x:c r="J155" s="136"/>
    </x:row>
    <x:row r="156" spans="2:10">
      <x:c r="B156" s="136"/>
      <x:c r="C156" s="136"/>
      <x:c r="D156" s="136"/>
      <x:c r="E156" s="136"/>
      <x:c r="F156" s="136"/>
      <x:c r="G156" s="136"/>
      <x:c r="H156" s="137"/>
      <x:c r="I156" s="137"/>
      <x:c r="J156" s="136"/>
    </x:row>
    <x:row r="157" spans="2:10">
      <x:c r="B157" s="136"/>
      <x:c r="C157" s="136"/>
      <x:c r="D157" s="136"/>
      <x:c r="E157" s="136"/>
      <x:c r="F157" s="136"/>
      <x:c r="G157" s="136"/>
      <x:c r="H157" s="137"/>
      <x:c r="I157" s="137"/>
      <x:c r="J157" s="136"/>
    </x:row>
    <x:row r="158" spans="2:10">
      <x:c r="B158" s="136"/>
      <x:c r="C158" s="136"/>
      <x:c r="D158" s="136"/>
      <x:c r="E158" s="136"/>
      <x:c r="F158" s="136"/>
      <x:c r="G158" s="136"/>
      <x:c r="H158" s="137"/>
      <x:c r="I158" s="137"/>
      <x:c r="J158" s="136"/>
    </x:row>
    <x:row r="159" spans="2:10">
      <x:c r="B159" s="136"/>
      <x:c r="C159" s="136"/>
      <x:c r="D159" s="136"/>
      <x:c r="E159" s="136"/>
      <x:c r="F159" s="136"/>
      <x:c r="G159" s="136"/>
      <x:c r="H159" s="137"/>
      <x:c r="I159" s="137"/>
      <x:c r="J159" s="136"/>
    </x:row>
    <x:row r="160" spans="2:10">
      <x:c r="B160" s="136"/>
      <x:c r="C160" s="136"/>
      <x:c r="D160" s="136"/>
      <x:c r="E160" s="136"/>
      <x:c r="F160" s="136"/>
      <x:c r="G160" s="136"/>
      <x:c r="H160" s="137"/>
      <x:c r="I160" s="137"/>
      <x:c r="J160" s="136"/>
    </x:row>
    <x:row r="161" spans="1:10">
      <x:c r="A161" s="135"/>
      <x:c r="B161" s="136"/>
      <x:c r="C161" s="136"/>
      <x:c r="D161" s="136"/>
      <x:c r="E161" s="136"/>
      <x:c r="F161" s="136"/>
      <x:c r="G161" s="136"/>
      <x:c r="H161" s="136"/>
      <x:c r="I161" s="136"/>
      <x:c r="J161" s="136"/>
    </x:row>
    <x:row r="162" spans="1:10">
      <x:c r="A162" s="135"/>
      <x:c r="B162" s="136"/>
      <x:c r="C162" s="136"/>
      <x:c r="D162" s="136"/>
      <x:c r="E162" s="136"/>
      <x:c r="F162" s="136"/>
      <x:c r="G162" s="136"/>
      <x:c r="H162" s="136"/>
      <x:c r="I162" s="136"/>
      <x:c r="J162" s="136"/>
    </x:row>
    <x:row r="163" spans="1:10">
      <x:c r="A163" s="135"/>
      <x:c r="B163" s="389"/>
      <x:c r="C163" s="389"/>
      <x:c r="D163" s="389"/>
      <x:c r="E163" s="389"/>
      <x:c r="F163" s="389"/>
      <x:c r="G163" s="389"/>
      <x:c r="H163" s="136"/>
      <x:c r="I163" s="136"/>
      <x:c r="J163" s="136"/>
    </x:row>
    <x:row r="164" spans="1:10">
      <x:c r="A164" s="135"/>
      <x:c r="B164" s="136"/>
      <x:c r="C164" s="136"/>
      <x:c r="D164" s="136"/>
      <x:c r="E164" s="136"/>
      <x:c r="F164" s="136"/>
      <x:c r="G164" s="136"/>
      <x:c r="H164" s="136"/>
      <x:c r="I164" s="136"/>
      <x:c r="J164" s="136"/>
    </x:row>
    <x:row r="165" spans="1:10">
      <x:c r="A165" s="135"/>
      <x:c r="B165" s="136"/>
      <x:c r="C165" s="136"/>
      <x:c r="D165" s="136"/>
      <x:c r="E165" s="136"/>
      <x:c r="F165" s="136"/>
      <x:c r="G165" s="136"/>
      <x:c r="H165" s="136"/>
      <x:c r="I165" s="136"/>
      <x:c r="J165" s="136"/>
    </x:row>
    <x:row r="166" spans="1:10">
      <x:c r="A166" s="135"/>
      <x:c r="B166" s="136"/>
      <x:c r="C166" s="136"/>
      <x:c r="D166" s="136"/>
      <x:c r="E166" s="136"/>
      <x:c r="F166" s="136"/>
      <x:c r="G166" s="136"/>
      <x:c r="H166" s="136"/>
      <x:c r="I166" s="136"/>
      <x:c r="J166" s="136"/>
    </x:row>
    <x:row r="167" spans="1:10">
      <x:c r="A167" s="135"/>
      <x:c r="B167" s="136"/>
      <x:c r="C167" s="136"/>
      <x:c r="D167" s="136"/>
      <x:c r="E167" s="136"/>
      <x:c r="F167" s="136"/>
      <x:c r="G167" s="136"/>
      <x:c r="H167" s="136"/>
      <x:c r="I167" s="136"/>
      <x:c r="J167" s="136"/>
    </x:row>
    <x:row r="168" spans="1:10">
      <x:c r="A168" s="135"/>
      <x:c r="B168" s="136"/>
      <x:c r="C168" s="136"/>
      <x:c r="D168" s="136"/>
      <x:c r="E168" s="136"/>
      <x:c r="F168" s="136"/>
      <x:c r="G168" s="136"/>
      <x:c r="H168" s="136"/>
      <x:c r="I168" s="136"/>
      <x:c r="J168" s="136"/>
    </x:row>
    <x:row r="169" spans="1:10">
      <x:c r="A169" s="135"/>
      <x:c r="B169" s="136"/>
      <x:c r="C169" s="136"/>
      <x:c r="D169" s="136"/>
      <x:c r="E169" s="136"/>
      <x:c r="F169" s="136"/>
      <x:c r="G169" s="136"/>
      <x:c r="H169" s="136"/>
      <x:c r="I169" s="136"/>
      <x:c r="J169" s="136"/>
    </x:row>
    <x:row r="170" spans="1:10">
      <x:c r="A170" s="135"/>
      <x:c r="B170" s="136"/>
      <x:c r="C170" s="136"/>
      <x:c r="D170" s="136"/>
      <x:c r="E170" s="136"/>
      <x:c r="F170" s="136"/>
      <x:c r="G170" s="136"/>
      <x:c r="H170" s="136"/>
      <x:c r="I170" s="136"/>
      <x:c r="J170" s="136"/>
    </x:row>
    <x:row r="171" spans="1:10">
      <x:c r="A171" s="135"/>
      <x:c r="B171" s="136"/>
      <x:c r="C171" s="136"/>
      <x:c r="D171" s="136"/>
      <x:c r="E171" s="136"/>
      <x:c r="F171" s="136"/>
      <x:c r="G171" s="136"/>
      <x:c r="H171" s="136"/>
      <x:c r="I171" s="136"/>
      <x:c r="J171" s="136"/>
    </x:row>
    <x:row r="172" spans="1:10">
      <x:c r="A172" s="135"/>
      <x:c r="B172" s="136"/>
      <x:c r="C172" s="136"/>
      <x:c r="D172" s="136"/>
      <x:c r="E172" s="136"/>
      <x:c r="F172" s="136"/>
      <x:c r="G172" s="136"/>
      <x:c r="H172" s="136"/>
      <x:c r="I172" s="136"/>
      <x:c r="J172" s="136"/>
    </x:row>
    <x:row r="173" spans="1:10">
      <x:c r="A173" s="135"/>
      <x:c r="B173" s="136"/>
      <x:c r="C173" s="136"/>
      <x:c r="D173" s="136"/>
      <x:c r="E173" s="136"/>
      <x:c r="F173" s="136"/>
      <x:c r="G173" s="136"/>
      <x:c r="H173" s="136"/>
      <x:c r="I173" s="136"/>
      <x:c r="J173" s="136"/>
    </x:row>
    <x:row r="174" spans="1:10">
      <x:c r="A174" s="135"/>
      <x:c r="B174" s="136"/>
      <x:c r="C174" s="136"/>
      <x:c r="D174" s="136"/>
      <x:c r="E174" s="136"/>
      <x:c r="F174" s="136"/>
      <x:c r="G174" s="136"/>
      <x:c r="H174" s="136"/>
      <x:c r="I174" s="136"/>
      <x:c r="J174" s="136"/>
    </x:row>
    <x:row r="175" spans="1:10">
      <x:c r="A175" s="135"/>
      <x:c r="B175" s="136"/>
      <x:c r="C175" s="136"/>
      <x:c r="D175" s="136"/>
      <x:c r="E175" s="136"/>
      <x:c r="F175" s="136"/>
      <x:c r="G175" s="136"/>
      <x:c r="H175" s="136"/>
      <x:c r="I175" s="136"/>
      <x:c r="J175" s="136"/>
    </x:row>
    <x:row r="176" spans="1:10">
      <x:c r="A176" s="135"/>
      <x:c r="B176" s="136"/>
      <x:c r="C176" s="136"/>
      <x:c r="D176" s="136"/>
      <x:c r="E176" s="136"/>
      <x:c r="F176" s="136"/>
      <x:c r="G176" s="136"/>
      <x:c r="H176" s="136"/>
      <x:c r="I176" s="136"/>
      <x:c r="J176" s="136"/>
    </x:row>
    <x:row r="177" spans="1:10">
      <x:c r="A177" s="135"/>
      <x:c r="B177" s="136"/>
      <x:c r="C177" s="136"/>
      <x:c r="D177" s="136"/>
      <x:c r="E177" s="136"/>
      <x:c r="F177" s="136"/>
      <x:c r="G177" s="136"/>
      <x:c r="H177" s="136"/>
      <x:c r="I177" s="136"/>
      <x:c r="J177" s="136"/>
    </x:row>
    <x:row r="178" spans="1:10">
      <x:c r="A178" s="135"/>
      <x:c r="B178" s="136"/>
      <x:c r="C178" s="136"/>
      <x:c r="D178" s="136"/>
      <x:c r="E178" s="136"/>
      <x:c r="F178" s="136"/>
      <x:c r="G178" s="136"/>
      <x:c r="H178" s="136"/>
      <x:c r="I178" s="136"/>
      <x:c r="J178" s="136"/>
    </x:row>
    <x:row r="179" spans="1:10">
      <x:c r="A179" s="135"/>
      <x:c r="B179" s="136"/>
      <x:c r="C179" s="136"/>
      <x:c r="D179" s="136"/>
      <x:c r="E179" s="136"/>
      <x:c r="F179" s="136"/>
      <x:c r="G179" s="136"/>
      <x:c r="H179" s="136"/>
      <x:c r="I179" s="136"/>
      <x:c r="J179" s="136"/>
    </x:row>
    <x:row r="180" spans="1:10">
      <x:c r="A180" s="135"/>
      <x:c r="B180" s="136"/>
      <x:c r="C180" s="136"/>
      <x:c r="D180" s="136"/>
      <x:c r="E180" s="136"/>
      <x:c r="F180" s="136"/>
      <x:c r="G180" s="136"/>
      <x:c r="H180" s="136"/>
      <x:c r="I180" s="136"/>
      <x:c r="J180" s="136"/>
    </x:row>
    <x:row r="181" spans="1:10">
      <x:c r="A181" s="135"/>
      <x:c r="B181" s="136"/>
      <x:c r="C181" s="136"/>
      <x:c r="D181" s="136"/>
      <x:c r="E181" s="136"/>
      <x:c r="F181" s="136"/>
      <x:c r="G181" s="136"/>
      <x:c r="H181" s="136"/>
      <x:c r="I181" s="136"/>
      <x:c r="J181" s="136"/>
    </x:row>
    <x:row r="182" spans="1:10">
      <x:c r="A182" s="135"/>
      <x:c r="B182" s="136"/>
      <x:c r="C182" s="136"/>
      <x:c r="D182" s="136"/>
      <x:c r="E182" s="136"/>
      <x:c r="F182" s="136"/>
      <x:c r="G182" s="136"/>
      <x:c r="H182" s="136"/>
      <x:c r="I182" s="136"/>
      <x:c r="J182" s="136"/>
    </x:row>
    <x:row r="183" spans="1:10">
      <x:c r="A183" s="135"/>
      <x:c r="B183" s="136"/>
      <x:c r="C183" s="136"/>
      <x:c r="D183" s="136"/>
      <x:c r="E183" s="136"/>
      <x:c r="F183" s="136"/>
      <x:c r="G183" s="136"/>
      <x:c r="H183" s="136"/>
      <x:c r="I183" s="136"/>
      <x:c r="J183" s="136"/>
    </x:row>
    <x:row r="184" spans="1:10">
      <x:c r="A184" s="135"/>
      <x:c r="B184" s="136"/>
      <x:c r="C184" s="136"/>
      <x:c r="D184" s="136"/>
      <x:c r="E184" s="136"/>
      <x:c r="F184" s="136"/>
      <x:c r="G184" s="136"/>
      <x:c r="H184" s="136"/>
      <x:c r="I184" s="136"/>
      <x:c r="J184" s="136"/>
    </x:row>
    <x:row r="185" spans="1:10">
      <x:c r="A185" s="135"/>
      <x:c r="B185" s="136"/>
      <x:c r="C185" s="136"/>
      <x:c r="D185" s="136"/>
      <x:c r="E185" s="136"/>
      <x:c r="F185" s="136"/>
      <x:c r="G185" s="136"/>
      <x:c r="H185" s="136"/>
      <x:c r="I185" s="136"/>
      <x:c r="J185" s="136"/>
    </x:row>
    <x:row r="186" spans="1:10">
      <x:c r="A186" s="135"/>
      <x:c r="B186" s="136"/>
      <x:c r="C186" s="136"/>
      <x:c r="D186" s="136"/>
      <x:c r="E186" s="136"/>
      <x:c r="F186" s="136"/>
      <x:c r="G186" s="136"/>
      <x:c r="H186" s="136"/>
      <x:c r="I186" s="136"/>
      <x:c r="J186" s="136"/>
    </x:row>
    <x:row r="187" spans="1:10">
      <x:c r="A187" s="135"/>
      <x:c r="B187" s="136"/>
      <x:c r="C187" s="136"/>
      <x:c r="D187" s="136"/>
      <x:c r="E187" s="136"/>
      <x:c r="F187" s="136"/>
      <x:c r="G187" s="136"/>
      <x:c r="H187" s="136"/>
      <x:c r="I187" s="136"/>
      <x:c r="J187" s="136"/>
    </x:row>
    <x:row r="188" spans="1:10">
      <x:c r="A188" s="135"/>
      <x:c r="B188" s="136"/>
      <x:c r="C188" s="136"/>
      <x:c r="D188" s="136"/>
      <x:c r="E188" s="136"/>
      <x:c r="F188" s="136"/>
      <x:c r="G188" s="136"/>
      <x:c r="H188" s="136"/>
      <x:c r="I188" s="136"/>
      <x:c r="J188" s="136"/>
    </x:row>
    <x:row r="189" spans="1:10">
      <x:c r="A189" s="135"/>
      <x:c r="B189" s="136"/>
      <x:c r="C189" s="136"/>
      <x:c r="D189" s="136"/>
      <x:c r="E189" s="136"/>
      <x:c r="F189" s="136"/>
      <x:c r="G189" s="136"/>
      <x:c r="H189" s="136"/>
      <x:c r="I189" s="136"/>
      <x:c r="J189" s="136"/>
    </x:row>
    <x:row r="190" spans="1:10">
      <x:c r="A190" s="10"/>
      <x:c r="B190" s="390"/>
      <x:c r="C190" s="390"/>
      <x:c r="D190" s="390"/>
      <x:c r="E190" s="390"/>
      <x:c r="F190" s="390"/>
      <x:c r="G190" s="390"/>
      <x:c r="H190" s="390"/>
      <x:c r="I190" s="390"/>
      <x:c r="J190" s="390"/>
    </x:row>
    <x:row r="191" spans="1:10">
      <x:c r="A191" s="135"/>
      <x:c r="B191" s="136"/>
      <x:c r="C191" s="136"/>
      <x:c r="D191" s="136"/>
      <x:c r="E191" s="136"/>
      <x:c r="F191" s="136"/>
      <x:c r="G191" s="136"/>
      <x:c r="H191" s="136"/>
      <x:c r="I191" s="136"/>
      <x:c r="J191" s="136"/>
    </x:row>
  </x:sheetData>
  <x:mergeCells count="2">
    <x:mergeCell ref="A1:P1"/>
    <x:mergeCell ref="A2:P2"/>
  </x:mergeCells>
  <x:printOptions horizontalCentered="1"/>
  <x:pageMargins left="0.25" right="0.25" top="0.5" bottom="0.5" header="0.25" footer="0.25"/>
  <x:pageSetup scale="72" fitToHeight="0" orientation="landscape" r:id="rId1"/>
  <x:headerFooter alignWithMargins="0"/>
  <x:rowBreaks count="2" manualBreakCount="2">
    <x:brk id="34" max="16383" man="1"/>
    <x:brk id="91"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V111"/>
  <x:sheetViews>
    <x:sheetView zoomScaleNormal="100" workbookViewId="0">
      <x:pane xSplit="2" ySplit="3" topLeftCell="C4" activePane="bottomRight" state="frozen"/>
      <x:selection activeCell="J35" sqref="J35:Q35"/>
      <x:selection pane="topRight" activeCell="J35" sqref="J35:Q35"/>
      <x:selection pane="bottomLeft" activeCell="J35" sqref="J35:Q35"/>
      <x:selection pane="bottomRight" sqref="A1:Q1"/>
    </x:sheetView>
  </x:sheetViews>
  <x:sheetFormatPr defaultColWidth="11.42578125" defaultRowHeight="12.75"/>
  <x:cols>
    <x:col min="1" max="1" width="7.7109375" style="692" customWidth="1"/>
    <x:col min="2" max="2" width="1.85546875" style="353" customWidth="1"/>
    <x:col min="3" max="3" width="44.5703125" style="353" customWidth="1"/>
    <x:col min="4" max="4" width="17.5703125" style="353" customWidth="1"/>
    <x:col min="5" max="5" width="16.5703125" style="353" customWidth="1"/>
    <x:col min="6" max="17" width="17.5703125" style="353" customWidth="1"/>
    <x:col min="18" max="18" width="16" style="353" customWidth="1"/>
    <x:col min="19" max="19" width="16.7109375" style="353" customWidth="1"/>
    <x:col min="20" max="20" width="14.5703125" style="668" bestFit="1" customWidth="1"/>
    <x:col min="21" max="16384" width="11.42578125" style="353"/>
  </x:cols>
  <x:sheetData>
    <x:row r="1" spans="1:21" s="1118" customFormat="1" ht="18">
      <x:c r="A1" s="1655" t="str">
        <x:f>'ATT H-3D'!$A$4</x:f>
        <x:v>Delmarva Power &amp; Light Company</x:v>
      </x:c>
      <x:c r="B1" s="1655"/>
      <x:c r="C1" s="1655"/>
      <x:c r="D1" s="1655"/>
      <x:c r="E1" s="1655"/>
      <x:c r="F1" s="1655"/>
      <x:c r="G1" s="1655"/>
      <x:c r="H1" s="1655"/>
      <x:c r="I1" s="1655"/>
      <x:c r="J1" s="1655"/>
      <x:c r="K1" s="1655"/>
      <x:c r="L1" s="1655"/>
      <x:c r="M1" s="1655"/>
      <x:c r="N1" s="1655"/>
      <x:c r="O1" s="1655"/>
      <x:c r="P1" s="1655"/>
      <x:c r="Q1" s="1655"/>
      <x:c r="R1" s="1122"/>
      <x:c r="S1" s="1122"/>
      <x:c r="T1" s="1123"/>
      <x:c r="U1" s="1122"/>
    </x:row>
    <x:row r="2" spans="1:21" s="144" customFormat="1" ht="15.75" customHeight="1">
      <x:c r="A2" s="1723" t="s">
        <x:v>265</x:v>
      </x:c>
      <x:c r="B2" s="1723"/>
      <x:c r="C2" s="1723"/>
      <x:c r="D2" s="1723"/>
      <x:c r="E2" s="1723"/>
      <x:c r="F2" s="1723"/>
      <x:c r="G2" s="1723"/>
      <x:c r="H2" s="1723"/>
      <x:c r="I2" s="1723"/>
      <x:c r="J2" s="1723"/>
      <x:c r="K2" s="1723"/>
      <x:c r="L2" s="1723"/>
      <x:c r="M2" s="1723"/>
      <x:c r="N2" s="1723"/>
      <x:c r="O2" s="1723"/>
      <x:c r="P2" s="1723"/>
      <x:c r="Q2" s="1723"/>
      <x:c r="R2" s="1121"/>
      <x:c r="S2" s="1124"/>
      <x:c r="T2" s="1125"/>
      <x:c r="U2" s="1121"/>
    </x:row>
    <x:row r="3" spans="1:21" s="144" customFormat="1" ht="15.75">
      <x:c r="A3" s="1724" t="s">
        <x:v>1116</x:v>
      </x:c>
      <x:c r="B3" s="1724"/>
      <x:c r="C3" s="1724"/>
      <x:c r="D3" s="1724"/>
      <x:c r="E3" s="1724"/>
      <x:c r="F3" s="1724"/>
      <x:c r="G3" s="1724"/>
      <x:c r="H3" s="1724"/>
      <x:c r="I3" s="1724"/>
      <x:c r="J3" s="1724"/>
      <x:c r="K3" s="1724"/>
      <x:c r="L3" s="1724"/>
      <x:c r="M3" s="1724"/>
      <x:c r="N3" s="1724"/>
      <x:c r="O3" s="1724"/>
      <x:c r="P3" s="1724"/>
      <x:c r="Q3" s="1724"/>
      <x:c r="R3" s="1121"/>
      <x:c r="S3" s="1126"/>
      <x:c r="T3" s="1125"/>
      <x:c r="U3" s="1121"/>
    </x:row>
    <x:row r="4" spans="1:21">
      <x:c r="A4" s="1249"/>
      <x:c r="C4" s="669"/>
      <x:c r="D4" s="669"/>
      <x:c r="E4" s="669"/>
      <x:c r="F4" s="669"/>
      <x:c r="G4" s="672"/>
      <x:c r="H4" s="669"/>
      <x:c r="I4" s="669"/>
      <x:c r="J4" s="669"/>
      <x:c r="K4" s="669"/>
      <x:c r="L4" s="669"/>
      <x:c r="M4" s="669"/>
      <x:c r="N4" s="669"/>
      <x:c r="O4" s="669"/>
      <x:c r="P4" s="669"/>
      <x:c r="Q4" s="669"/>
      <x:c r="R4" s="669"/>
      <x:c r="S4" s="673"/>
      <x:c r="T4" s="670"/>
      <x:c r="U4" s="669"/>
    </x:row>
    <x:row r="5" spans="1:21">
      <x:c r="A5" s="1249"/>
      <x:c r="C5" s="669"/>
      <x:c r="D5" s="669"/>
      <x:c r="E5" s="669"/>
      <x:c r="F5" s="669"/>
      <x:c r="G5" s="674"/>
      <x:c r="H5" s="669"/>
      <x:c r="I5" s="669"/>
      <x:c r="J5" s="669"/>
      <x:c r="K5" s="669"/>
      <x:c r="L5" s="669"/>
      <x:c r="M5" s="669"/>
      <x:c r="N5" s="669"/>
      <x:c r="O5" s="669"/>
      <x:c r="P5" s="669"/>
      <x:c r="Q5" s="669"/>
      <x:c r="R5" s="669"/>
      <x:c r="S5" s="673"/>
      <x:c r="T5" s="670"/>
      <x:c r="U5" s="669"/>
    </x:row>
    <x:row r="6" spans="1:21" s="1244" customFormat="1" ht="15">
      <x:c r="A6" s="1260"/>
      <x:c r="C6" s="1245" t="s">
        <x:v>1405</x:v>
      </x:c>
      <x:c r="D6" s="1245"/>
      <x:c r="E6" s="1245"/>
      <x:c r="F6" s="1245"/>
      <x:c r="G6" s="1246"/>
      <x:c r="H6" s="1245"/>
      <x:c r="I6" s="1245"/>
      <x:c r="J6" s="1245"/>
      <x:c r="K6" s="1245"/>
      <x:c r="L6" s="1245"/>
      <x:c r="M6" s="1245"/>
      <x:c r="N6" s="1245"/>
      <x:c r="O6" s="1245"/>
      <x:c r="P6" s="1245"/>
      <x:c r="Q6" s="1245"/>
      <x:c r="R6" s="1245"/>
      <x:c r="S6" s="1247"/>
      <x:c r="T6" s="1248"/>
      <x:c r="U6" s="1245"/>
    </x:row>
    <x:row r="7" spans="1:21">
      <x:c r="A7" s="1249"/>
      <x:c r="C7" s="669"/>
      <x:c r="D7" s="669"/>
      <x:c r="E7" s="669"/>
      <x:c r="F7" s="669"/>
      <x:c r="G7" s="669"/>
      <x:c r="L7" s="671"/>
      <x:c r="M7" s="671"/>
      <x:c r="N7" s="671"/>
      <x:c r="O7" s="671"/>
      <x:c r="P7" s="669"/>
      <x:c r="Q7" s="669"/>
      <x:c r="R7" s="669"/>
      <x:c r="S7" s="669"/>
      <x:c r="T7" s="602"/>
      <x:c r="U7" s="669"/>
    </x:row>
    <x:row r="8" spans="1:21">
      <x:c r="C8" s="675" t="s">
        <x:v>519</x:v>
      </x:c>
      <x:c r="D8" s="675"/>
      <x:c r="E8" s="675" t="s">
        <x:v>520</x:v>
      </x:c>
      <x:c r="F8" s="675"/>
      <x:c r="I8" s="675" t="s">
        <x:v>521</x:v>
      </x:c>
      <x:c r="L8" s="676" t="s">
        <x:v>522</x:v>
      </x:c>
      <x:c r="M8" s="676"/>
      <x:c r="N8" s="676"/>
      <x:c r="O8" s="676"/>
      <x:c r="P8" s="671"/>
      <x:c r="Q8" s="676"/>
      <x:c r="R8" s="671"/>
      <x:c r="S8" s="676"/>
      <x:c r="U8" s="669"/>
    </x:row>
    <x:row r="9" spans="1:21">
      <x:c r="A9" s="1259" t="s">
        <x:v>523</x:v>
      </x:c>
      <x:c r="C9" s="669"/>
      <x:c r="D9" s="669"/>
      <x:c r="E9" s="677" t="s">
        <x:v>1406</x:v>
      </x:c>
      <x:c r="F9" s="677"/>
      <x:c r="I9" s="671"/>
      <x:c r="P9" s="671"/>
      <x:c r="R9" s="671"/>
      <x:c r="S9" s="675"/>
      <x:c r="T9" s="678"/>
      <x:c r="U9" s="669"/>
    </x:row>
    <x:row r="10" spans="1:21">
      <x:c r="A10" s="1259" t="s">
        <x:v>525</x:v>
      </x:c>
      <x:c r="C10" s="669"/>
      <x:c r="D10" s="669"/>
      <x:c r="E10" s="679" t="s">
        <x:v>524</x:v>
      </x:c>
      <x:c r="F10" s="679"/>
      <x:c r="I10" s="680" t="s">
        <x:v>206</x:v>
      </x:c>
      <x:c r="L10" s="680" t="s">
        <x:v>214</x:v>
      </x:c>
      <x:c r="M10" s="680"/>
      <x:c r="N10" s="680"/>
      <x:c r="O10" s="680"/>
      <x:c r="P10" s="671"/>
      <x:c r="R10" s="669"/>
      <x:c r="S10" s="681"/>
      <x:c r="T10" s="678"/>
      <x:c r="U10" s="669"/>
    </x:row>
    <x:row r="11" spans="1:21">
      <x:c r="A11" s="1261"/>
      <x:c r="C11" s="669"/>
      <x:c r="D11" s="669"/>
      <x:c r="E11" s="671"/>
      <x:c r="F11" s="671"/>
      <x:c r="I11" s="671"/>
      <x:c r="L11" s="671"/>
      <x:c r="M11" s="671"/>
      <x:c r="N11" s="671"/>
      <x:c r="O11" s="671"/>
      <x:c r="P11" s="671"/>
      <x:c r="Q11" s="671"/>
      <x:c r="R11" s="669"/>
      <x:c r="S11" s="671"/>
      <x:c r="U11" s="669"/>
    </x:row>
    <x:row r="12" spans="1:21">
      <x:c r="A12" s="684">
        <x:v>1</x:v>
      </x:c>
      <x:c r="C12" s="669" t="s">
        <x:v>526</x:v>
      </x:c>
      <x:c r="D12" s="669"/>
      <x:c r="E12" s="684" t="s">
        <x:v>725</x:v>
      </x:c>
      <x:c r="F12" s="683"/>
      <x:c r="I12" s="668">
        <x:f>+'9 - Rate Base'!C26</x:f>
        <x:v>2267367283.2436771</x:v>
      </x:c>
      <x:c r="P12" s="671"/>
      <x:c r="Q12" s="671"/>
      <x:c r="R12" s="669"/>
      <x:c r="S12" s="671"/>
      <x:c r="U12" s="669"/>
    </x:row>
    <x:row r="13" spans="1:21" ht="15">
      <x:c r="A13" s="684">
        <x:v>2</x:v>
      </x:c>
      <x:c r="C13" s="669" t="s">
        <x:v>527</x:v>
      </x:c>
      <x:c r="D13" s="669"/>
      <x:c r="E13" s="684" t="s">
        <x:v>1497</x:v>
      </x:c>
      <x:c r="F13" s="683"/>
      <x:c r="I13" s="668">
        <x:f>+'9 - Rate Base'!K26</x:f>
        <x:v>1667427766.1939282</x:v>
      </x:c>
      <x:c r="M13" s="460"/>
      <x:c r="P13" s="671"/>
      <x:c r="Q13" s="671"/>
      <x:c r="R13" s="669"/>
      <x:c r="S13" s="671"/>
      <x:c r="U13" s="669"/>
    </x:row>
    <x:row r="14" spans="1:21">
      <x:c r="A14" s="684"/>
      <x:c r="E14" s="684"/>
      <x:c r="F14" s="683"/>
      <x:c r="P14" s="671"/>
      <x:c r="Q14" s="671"/>
      <x:c r="R14" s="669"/>
      <x:c r="S14" s="671"/>
      <x:c r="U14" s="669"/>
    </x:row>
    <x:row r="15" spans="1:21">
      <x:c r="A15" s="684"/>
      <x:c r="C15" s="669" t="s">
        <x:v>528</x:v>
      </x:c>
      <x:c r="D15" s="669"/>
      <x:c r="E15" s="684"/>
      <x:c r="F15" s="683"/>
      <x:c r="I15" s="671"/>
      <x:c r="L15" s="671"/>
      <x:c r="M15" s="671"/>
      <x:c r="N15" s="671"/>
      <x:c r="O15" s="671"/>
      <x:c r="P15" s="671"/>
      <x:c r="Q15" s="671"/>
      <x:c r="R15" s="671"/>
      <x:c r="S15" s="671"/>
      <x:c r="U15" s="669"/>
    </x:row>
    <x:row r="16" spans="1:21">
      <x:c r="A16" s="684">
        <x:v>3</x:v>
      </x:c>
      <x:c r="C16" s="669" t="s">
        <x:v>529</x:v>
      </x:c>
      <x:c r="D16" s="669"/>
      <x:c r="E16" s="684" t="s">
        <x:v>1407</x:v>
      </x:c>
      <x:c r="F16" s="683"/>
      <x:c r="I16" s="668">
        <x:f>+'ATT H-3D'!H179</x:f>
        <x:v>39705456.085851431</x:v>
      </x:c>
      <x:c r="P16" s="671"/>
      <x:c r="Q16" s="671"/>
      <x:c r="R16" s="671"/>
      <x:c r="S16" s="671"/>
      <x:c r="U16" s="669"/>
    </x:row>
    <x:row r="17" spans="1:21">
      <x:c r="A17" s="684">
        <x:v>4</x:v>
      </x:c>
      <x:c r="C17" s="669" t="s">
        <x:v>530</x:v>
      </x:c>
      <x:c r="D17" s="669"/>
      <x:c r="E17" s="684" t="s">
        <x:v>531</x:v>
      </x:c>
      <x:c r="F17" s="683"/>
      <x:c r="I17" s="685">
        <x:f>IF(I$12=0,0,I16/I$12)</x:f>
        <x:v>1.7511700190473389E-2</x:v>
      </x:c>
      <x:c r="L17" s="686">
        <x:f>I17</x:f>
        <x:v>1.7511700190473389E-2</x:v>
      </x:c>
      <x:c r="M17" s="687"/>
      <x:c r="N17" s="687"/>
      <x:c r="O17" s="687"/>
      <x:c r="P17" s="671"/>
      <x:c r="Q17" s="688"/>
      <x:c r="R17" s="689"/>
      <x:c r="S17" s="690"/>
      <x:c r="U17" s="669"/>
    </x:row>
    <x:row r="18" spans="1:21">
      <x:c r="A18" s="684"/>
      <x:c r="C18" s="669"/>
      <x:c r="D18" s="669"/>
      <x:c r="E18" s="684"/>
      <x:c r="F18" s="683"/>
      <x:c r="I18" s="691"/>
      <x:c r="L18" s="686"/>
      <x:c r="M18" s="687"/>
      <x:c r="N18" s="687"/>
      <x:c r="O18" s="687"/>
      <x:c r="P18" s="671"/>
      <x:c r="Q18" s="688"/>
      <x:c r="R18" s="689"/>
      <x:c r="S18" s="690"/>
      <x:c r="U18" s="669"/>
    </x:row>
    <x:row r="19" spans="1:21">
      <x:c r="A19" s="704"/>
      <x:c r="C19" s="669" t="s">
        <x:v>532</x:v>
      </x:c>
      <x:c r="D19" s="669"/>
      <x:c r="E19" s="692"/>
      <x:c r="F19" s="693"/>
      <x:c r="I19" s="671"/>
      <x:c r="L19" s="685"/>
      <x:c r="M19" s="671"/>
      <x:c r="N19" s="671"/>
      <x:c r="O19" s="671"/>
      <x:c r="P19" s="671"/>
      <x:c r="Q19" s="688"/>
      <x:c r="R19" s="689"/>
      <x:c r="S19" s="690"/>
      <x:c r="U19" s="669"/>
    </x:row>
    <x:row r="20" spans="1:21">
      <x:c r="A20" s="704" t="s">
        <x:v>533</x:v>
      </x:c>
      <x:c r="C20" s="669" t="s">
        <x:v>534</x:v>
      </x:c>
      <x:c r="D20" s="669"/>
      <x:c r="E20" s="684" t="s">
        <x:v>1408</x:v>
      </x:c>
      <x:c r="F20" s="683"/>
      <x:c r="I20" s="668">
        <x:f>+'ATT H-3D'!H195+'ATT H-3D'!H201</x:f>
        <x:v>4706822.2294235388</x:v>
      </x:c>
      <x:c r="L20" s="685"/>
      <x:c r="P20" s="671"/>
      <x:c r="Q20" s="688"/>
      <x:c r="R20" s="689"/>
      <x:c r="S20" s="690"/>
      <x:c r="U20" s="669"/>
    </x:row>
    <x:row r="21" spans="1:21">
      <x:c r="A21" s="704" t="s">
        <x:v>535</x:v>
      </x:c>
      <x:c r="C21" s="669" t="s">
        <x:v>536</x:v>
      </x:c>
      <x:c r="D21" s="669"/>
      <x:c r="E21" s="684" t="s">
        <x:v>537</x:v>
      </x:c>
      <x:c r="F21" s="683"/>
      <x:c r="I21" s="685">
        <x:f>IF(I20=0,0,I20/I12)</x:f>
        <x:v>2.0758975681654879E-3</x:v>
      </x:c>
      <x:c r="J21" s="685"/>
      <x:c r="K21" s="685"/>
      <x:c r="L21" s="686">
        <x:f>I21</x:f>
        <x:v>2.0758975681654879E-3</x:v>
      </x:c>
      <x:c r="M21" s="687"/>
      <x:c r="N21" s="687"/>
      <x:c r="O21" s="687"/>
      <x:c r="P21" s="671"/>
      <x:c r="Q21" s="688"/>
      <x:c r="R21" s="689"/>
      <x:c r="S21" s="690"/>
      <x:c r="U21" s="669"/>
    </x:row>
    <x:row r="22" spans="1:21">
      <x:c r="A22" s="684"/>
      <x:c r="C22" s="669"/>
      <x:c r="D22" s="669"/>
      <x:c r="E22" s="684"/>
      <x:c r="F22" s="683"/>
      <x:c r="I22" s="685"/>
      <x:c r="J22" s="685"/>
      <x:c r="K22" s="685"/>
      <x:c r="L22" s="686"/>
      <x:c r="M22" s="687"/>
      <x:c r="N22" s="687"/>
      <x:c r="O22" s="687"/>
      <x:c r="P22" s="671"/>
      <x:c r="Q22" s="688"/>
      <x:c r="R22" s="689"/>
      <x:c r="S22" s="690"/>
      <x:c r="U22" s="669"/>
    </x:row>
    <x:row r="23" spans="1:21">
      <x:c r="A23" s="704"/>
      <x:c r="C23" s="669" t="s">
        <x:v>538</x:v>
      </x:c>
      <x:c r="D23" s="669"/>
      <x:c r="E23" s="692"/>
      <x:c r="F23" s="693"/>
      <x:c r="I23" s="685"/>
      <x:c r="J23" s="685"/>
      <x:c r="K23" s="685"/>
      <x:c r="L23" s="685"/>
      <x:c r="M23" s="671"/>
      <x:c r="N23" s="671"/>
      <x:c r="O23" s="671"/>
      <x:c r="P23" s="671"/>
      <x:c r="Q23" s="671"/>
      <x:c r="R23" s="671"/>
      <x:c r="S23" s="671"/>
      <x:c r="U23" s="669"/>
    </x:row>
    <x:row r="24" spans="1:21">
      <x:c r="A24" s="704" t="s">
        <x:v>539</x:v>
      </x:c>
      <x:c r="C24" s="669" t="s">
        <x:v>540</x:v>
      </x:c>
      <x:c r="D24" s="669"/>
      <x:c r="E24" s="684" t="s">
        <x:v>1409</x:v>
      </x:c>
      <x:c r="F24" s="683"/>
      <x:c r="I24" s="668">
        <x:f>+'ATT H-3D'!H210</x:f>
        <x:v>14199403.489112882</x:v>
      </x:c>
      <x:c r="J24" s="685"/>
      <x:c r="K24" s="685"/>
      <x:c r="L24" s="685"/>
      <x:c r="P24" s="671"/>
      <x:c r="Q24" s="681"/>
      <x:c r="R24" s="671"/>
      <x:c r="S24" s="683"/>
      <x:c r="T24" s="678"/>
      <x:c r="U24" s="669"/>
    </x:row>
    <x:row r="25" spans="1:21">
      <x:c r="A25" s="704" t="s">
        <x:v>541</x:v>
      </x:c>
      <x:c r="C25" s="669" t="s">
        <x:v>542</x:v>
      </x:c>
      <x:c r="D25" s="669"/>
      <x:c r="E25" s="684" t="s">
        <x:v>543</x:v>
      </x:c>
      <x:c r="F25" s="683"/>
      <x:c r="I25" s="685">
        <x:f>IF(I24=0,0,I24/I12)</x:f>
        <x:v>6.262507002746962E-3</x:v>
      </x:c>
      <x:c r="J25" s="685"/>
      <x:c r="K25" s="685"/>
      <x:c r="L25" s="686">
        <x:f>I25</x:f>
        <x:v>6.262507002746962E-3</x:v>
      </x:c>
      <x:c r="M25" s="687"/>
      <x:c r="N25" s="687"/>
      <x:c r="O25" s="687"/>
      <x:c r="P25" s="671"/>
      <x:c r="Q25" s="688"/>
      <x:c r="R25" s="671"/>
      <x:c r="S25" s="690"/>
      <x:c r="T25" s="678"/>
      <x:c r="U25" s="669"/>
    </x:row>
    <x:row r="26" spans="1:21">
      <x:c r="A26" s="704"/>
      <x:c r="C26" s="669"/>
      <x:c r="D26" s="669"/>
      <x:c r="E26" s="684"/>
      <x:c r="F26" s="683"/>
      <x:c r="I26" s="671"/>
      <x:c r="L26" s="685"/>
      <x:c r="M26" s="671"/>
      <x:c r="N26" s="671"/>
      <x:c r="O26" s="671"/>
      <x:c r="P26" s="671"/>
      <x:c r="U26" s="669"/>
    </x:row>
    <x:row r="27" spans="1:21">
      <x:c r="A27" s="704" t="s">
        <x:v>544</x:v>
      </x:c>
      <x:c r="C27" s="669" t="s">
        <x:v>704</x:v>
      </x:c>
      <x:c r="D27" s="669"/>
      <x:c r="E27" s="684" t="s">
        <x:v>1410</x:v>
      </x:c>
      <x:c r="F27" s="683"/>
      <x:c r="I27" s="668">
        <x:f>-'ATT H-3D'!H306</x:f>
        <x:v>-8518417.3156069368</x:v>
      </x:c>
      <x:c r="L27" s="685"/>
      <x:c r="M27" s="671"/>
      <x:c r="N27" s="671"/>
      <x:c r="O27" s="671"/>
      <x:c r="P27" s="671"/>
      <x:c r="U27" s="669"/>
    </x:row>
    <x:row r="28" spans="1:21">
      <x:c r="A28" s="704" t="s">
        <x:v>545</x:v>
      </x:c>
      <x:c r="C28" s="669" t="s">
        <x:v>546</x:v>
      </x:c>
      <x:c r="D28" s="669"/>
      <x:c r="E28" s="684" t="s">
        <x:v>547</x:v>
      </x:c>
      <x:c r="F28" s="683"/>
      <x:c r="I28" s="685">
        <x:f>IF(I$12=0,0,I27/I$12)</x:f>
        <x:v>-3.7569640254403592E-3</x:v>
      </x:c>
      <x:c r="L28" s="685">
        <x:f>+I28</x:f>
        <x:v>-3.7569640254403592E-3</x:v>
      </x:c>
      <x:c r="M28" s="671"/>
      <x:c r="N28" s="671"/>
      <x:c r="O28" s="671"/>
      <x:c r="P28" s="671"/>
      <x:c r="U28" s="669"/>
    </x:row>
    <x:row r="29" spans="1:21">
      <x:c r="A29" s="704"/>
      <x:c r="C29" s="669"/>
      <x:c r="D29" s="669"/>
      <x:c r="E29" s="684"/>
      <x:c r="F29" s="683"/>
      <x:c r="I29" s="671"/>
      <x:c r="L29" s="685"/>
      <x:c r="M29" s="671"/>
      <x:c r="N29" s="671"/>
      <x:c r="O29" s="671"/>
      <x:c r="P29" s="671"/>
      <x:c r="U29" s="669"/>
    </x:row>
    <x:row r="30" spans="1:21">
      <x:c r="A30" s="1250" t="s">
        <x:v>548</x:v>
      </x:c>
      <x:c r="B30" s="694"/>
      <x:c r="C30" s="682" t="s">
        <x:v>549</x:v>
      </x:c>
      <x:c r="D30" s="682"/>
      <x:c r="E30" s="695" t="s">
        <x:v>550</x:v>
      </x:c>
      <x:c r="F30" s="677"/>
      <x:c r="I30" s="689"/>
      <x:c r="L30" s="696">
        <x:f>L17+L21+L25+L28</x:f>
        <x:v>2.2093140735945479E-2</x:v>
      </x:c>
      <x:c r="M30" s="697"/>
      <x:c r="N30" s="697"/>
      <x:c r="O30" s="697"/>
      <x:c r="P30" s="671"/>
      <x:c r="U30" s="669"/>
    </x:row>
    <x:row r="31" spans="1:21">
      <x:c r="A31" s="704"/>
      <x:c r="C31" s="669"/>
      <x:c r="D31" s="669"/>
      <x:c r="E31" s="684"/>
      <x:c r="F31" s="683"/>
      <x:c r="I31" s="671"/>
      <x:c r="L31" s="685"/>
      <x:c r="M31" s="671"/>
      <x:c r="N31" s="671"/>
      <x:c r="O31" s="671"/>
      <x:c r="P31" s="671"/>
      <x:c r="Q31" s="671"/>
      <x:c r="R31" s="671"/>
      <x:c r="S31" s="698"/>
      <x:c r="U31" s="669"/>
    </x:row>
    <x:row r="32" spans="1:21">
      <x:c r="A32" s="704"/>
      <x:c r="B32" s="699"/>
      <x:c r="C32" s="671" t="s">
        <x:v>518</x:v>
      </x:c>
      <x:c r="D32" s="671"/>
      <x:c r="E32" s="684"/>
      <x:c r="F32" s="683"/>
      <x:c r="I32" s="671"/>
      <x:c r="L32" s="685"/>
      <x:c r="M32" s="671"/>
      <x:c r="N32" s="671"/>
      <x:c r="O32" s="671"/>
      <x:c r="P32" s="700"/>
      <x:c r="Q32" s="699"/>
      <x:c r="T32" s="678"/>
      <x:c r="U32" s="671" t="s">
        <x:v>83</x:v>
      </x:c>
    </x:row>
    <x:row r="33" spans="1:21">
      <x:c r="A33" s="704" t="s">
        <x:v>551</x:v>
      </x:c>
      <x:c r="B33" s="699"/>
      <x:c r="C33" s="671" t="s">
        <x:v>185</x:v>
      </x:c>
      <x:c r="D33" s="671"/>
      <x:c r="E33" s="684" t="s">
        <x:v>1411</x:v>
      </x:c>
      <x:c r="F33" s="683"/>
      <x:c r="I33" s="668">
        <x:f>+'ATT H-3D'!H293</x:f>
        <x:v>27933878.563605469</x:v>
      </x:c>
      <x:c r="L33" s="685"/>
      <x:c r="M33" s="671"/>
      <x:c r="N33" s="671"/>
      <x:c r="O33" s="671"/>
      <x:c r="P33" s="700"/>
      <x:c r="Q33" s="699"/>
      <x:c r="T33" s="678"/>
      <x:c r="U33" s="671"/>
    </x:row>
    <x:row r="34" spans="1:21">
      <x:c r="A34" s="704" t="s">
        <x:v>552</x:v>
      </x:c>
      <x:c r="B34" s="699"/>
      <x:c r="C34" s="671" t="s">
        <x:v>553</x:v>
      </x:c>
      <x:c r="D34" s="671"/>
      <x:c r="E34" s="684" t="s">
        <x:v>554</x:v>
      </x:c>
      <x:c r="F34" s="683"/>
      <x:c r="I34" s="685">
        <x:f>IF(I13=0,0,I33/I13)</x:f>
        <x:v>1.6752676865497664E-2</x:v>
      </x:c>
      <x:c r="L34" s="686">
        <x:f>I34</x:f>
        <x:v>1.6752676865497664E-2</x:v>
      </x:c>
      <x:c r="M34" s="687"/>
      <x:c r="N34" s="687"/>
      <x:c r="O34" s="687"/>
      <x:c r="P34" s="700"/>
      <x:c r="Q34" s="699"/>
      <x:c r="R34" s="671"/>
      <x:c r="S34" s="671"/>
      <x:c r="T34" s="678"/>
      <x:c r="U34" s="671"/>
    </x:row>
    <x:row r="35" spans="1:21">
      <x:c r="A35" s="704"/>
      <x:c r="C35" s="671"/>
      <x:c r="D35" s="671"/>
      <x:c r="E35" s="684"/>
      <x:c r="F35" s="683"/>
      <x:c r="I35" s="671"/>
      <x:c r="L35" s="685"/>
      <x:c r="M35" s="671"/>
      <x:c r="N35" s="671"/>
      <x:c r="O35" s="671"/>
      <x:c r="P35" s="671"/>
      <x:c r="R35" s="669"/>
      <x:c r="S35" s="671"/>
      <x:c r="T35" s="602"/>
      <x:c r="U35" s="669"/>
    </x:row>
    <x:row r="36" spans="1:21">
      <x:c r="A36" s="704"/>
      <x:c r="C36" s="669" t="s">
        <x:v>555</x:v>
      </x:c>
      <x:c r="D36" s="669"/>
      <x:c r="E36" s="701"/>
      <x:c r="F36" s="702"/>
      <x:c r="L36" s="685"/>
      <x:c r="P36" s="671"/>
      <x:c r="R36" s="671"/>
      <x:c r="S36" s="671"/>
      <x:c r="U36" s="669"/>
    </x:row>
    <x:row r="37" spans="1:21">
      <x:c r="A37" s="704" t="s">
        <x:v>556</x:v>
      </x:c>
      <x:c r="C37" s="669" t="s">
        <x:v>557</x:v>
      </x:c>
      <x:c r="D37" s="669"/>
      <x:c r="E37" s="684" t="s">
        <x:v>1412</x:v>
      </x:c>
      <x:c r="F37" s="683"/>
      <x:c r="I37" s="668">
        <x:f>+'ATT H-3D'!H292</x:f>
        <x:v>107602271.26982586</x:v>
      </x:c>
      <x:c r="L37" s="685"/>
      <x:c r="M37" s="671"/>
      <x:c r="N37" s="671"/>
      <x:c r="O37" s="671"/>
      <x:c r="P37" s="671"/>
      <x:c r="R37" s="671"/>
      <x:c r="S37" s="671"/>
      <x:c r="U37" s="669"/>
    </x:row>
    <x:row r="38" spans="1:21">
      <x:c r="A38" s="704" t="s">
        <x:v>558</x:v>
      </x:c>
      <x:c r="B38" s="699"/>
      <x:c r="C38" s="671" t="s">
        <x:v>559</x:v>
      </x:c>
      <x:c r="D38" s="671"/>
      <x:c r="E38" s="684" t="s">
        <x:v>560</x:v>
      </x:c>
      <x:c r="F38" s="683"/>
      <x:c r="I38" s="685">
        <x:f>IF(I13=0,0,I37/I13)</x:f>
        <x:v>6.453189364564732E-2</x:v>
      </x:c>
      <x:c r="L38" s="686">
        <x:f>I38</x:f>
        <x:v>6.453189364564732E-2</x:v>
      </x:c>
      <x:c r="M38" s="687"/>
      <x:c r="N38" s="687"/>
      <x:c r="O38" s="687"/>
      <x:c r="P38" s="671"/>
      <x:c r="S38" s="703"/>
      <x:c r="T38" s="678"/>
      <x:c r="U38" s="671"/>
    </x:row>
    <x:row r="39" spans="1:21">
      <x:c r="A39" s="704"/>
      <x:c r="C39" s="669"/>
      <x:c r="D39" s="669"/>
      <x:c r="E39" s="684"/>
      <x:c r="F39" s="683"/>
      <x:c r="I39" s="671"/>
      <x:c r="L39" s="685"/>
      <x:c r="M39" s="671"/>
      <x:c r="N39" s="671"/>
      <x:c r="O39" s="671"/>
      <x:c r="P39" s="671"/>
      <x:c r="Q39" s="702"/>
      <x:c r="R39" s="671"/>
      <x:c r="S39" s="671"/>
      <x:c r="U39" s="669"/>
    </x:row>
    <x:row r="40" spans="1:21">
      <x:c r="A40" s="1250" t="s">
        <x:v>561</x:v>
      </x:c>
      <x:c r="B40" s="694"/>
      <x:c r="C40" s="682" t="s">
        <x:v>562</x:v>
      </x:c>
      <x:c r="D40" s="682"/>
      <x:c r="E40" s="695" t="s">
        <x:v>563</x:v>
      </x:c>
      <x:c r="F40" s="677"/>
      <x:c r="I40" s="685">
        <x:f>+I38+I34</x:f>
        <x:v>8.1284570511144988E-2</x:v>
      </x:c>
      <x:c r="L40" s="696">
        <x:f>L34+L38</x:f>
        <x:v>8.1284570511144988E-2</x:v>
      </x:c>
      <x:c r="M40" s="697"/>
      <x:c r="N40" s="697"/>
      <x:c r="O40" s="697"/>
      <x:c r="P40" s="671"/>
      <x:c r="Q40" s="702"/>
      <x:c r="R40" s="671"/>
      <x:c r="S40" s="671"/>
      <x:c r="U40" s="669"/>
    </x:row>
    <x:row r="41" spans="1:21">
      <x:c r="A41" s="1249"/>
      <x:c r="E41" s="682"/>
      <x:c r="F41" s="682"/>
      <x:c r="H41" s="669"/>
      <x:c r="I41" s="669"/>
      <x:c r="J41" s="669"/>
      <x:c r="K41" s="669"/>
      <x:c r="L41" s="669"/>
      <x:c r="M41" s="669"/>
      <x:c r="N41" s="669"/>
      <x:c r="O41" s="669"/>
      <x:c r="P41" s="671"/>
      <x:c r="Q41" s="671"/>
      <x:c r="R41" s="671"/>
      <x:c r="S41" s="669"/>
      <x:c r="U41" s="669"/>
    </x:row>
    <x:row r="42" spans="1:21">
      <x:c r="A42" s="1249"/>
      <x:c r="C42" s="706">
        <x:v>-1</x:v>
      </x:c>
      <x:c r="D42" s="706">
        <x:v>-2</x:v>
      </x:c>
      <x:c r="E42" s="706">
        <x:v>-3</x:v>
      </x:c>
      <x:c r="F42" s="706">
        <x:v>-4</x:v>
      </x:c>
      <x:c r="G42" s="706">
        <x:v>-5</x:v>
      </x:c>
      <x:c r="H42" s="706">
        <x:v>-6</x:v>
      </x:c>
      <x:c r="I42" s="706">
        <x:v>-7</x:v>
      </x:c>
      <x:c r="J42" s="706">
        <x:v>-8</x:v>
      </x:c>
      <x:c r="K42" s="706">
        <x:v>-9</x:v>
      </x:c>
      <x:c r="L42" s="706">
        <x:v>-10</x:v>
      </x:c>
      <x:c r="M42" s="706">
        <x:v>-11</x:v>
      </x:c>
      <x:c r="N42" s="706">
        <x:v>-12</x:v>
      </x:c>
      <x:c r="O42" s="706">
        <x:v>-13</x:v>
      </x:c>
      <x:c r="P42" s="707" t="s">
        <x:v>564</x:v>
      </x:c>
      <x:c r="Q42" s="707" t="s">
        <x:v>565</x:v>
      </x:c>
      <x:c r="U42" s="669"/>
    </x:row>
    <x:row r="43" spans="1:21" ht="53.25" customHeight="1">
      <x:c r="A43" s="1251" t="s">
        <x:v>566</x:v>
      </x:c>
      <x:c r="B43" s="708"/>
      <x:c r="C43" s="709" t="s">
        <x:v>1117</x:v>
      </x:c>
      <x:c r="D43" s="710" t="s">
        <x:v>1118</x:v>
      </x:c>
      <x:c r="E43" s="711" t="s">
        <x:v>569</x:v>
      </x:c>
      <x:c r="F43" s="711" t="s">
        <x:v>549</x:v>
      </x:c>
      <x:c r="G43" s="712" t="s">
        <x:v>570</x:v>
      </x:c>
      <x:c r="H43" s="711" t="s">
        <x:v>571</x:v>
      </x:c>
      <x:c r="I43" s="711" t="s">
        <x:v>562</x:v>
      </x:c>
      <x:c r="J43" s="712" t="s">
        <x:v>572</x:v>
      </x:c>
      <x:c r="K43" s="711" t="s">
        <x:v>2180</x:v>
      </x:c>
      <x:c r="L43" s="713" t="s">
        <x:v>573</x:v>
      </x:c>
      <x:c r="M43" s="713" t="s">
        <x:v>574</x:v>
      </x:c>
      <x:c r="N43" s="713" t="s">
        <x:v>575</x:v>
      </x:c>
      <x:c r="O43" s="713" t="s">
        <x:v>576</x:v>
      </x:c>
      <x:c r="P43" s="713" t="s">
        <x:v>577</x:v>
      </x:c>
      <x:c r="Q43" s="713" t="s">
        <x:v>578</x:v>
      </x:c>
      <x:c r="U43" s="669"/>
    </x:row>
    <x:row r="44" spans="1:21" ht="25.5">
      <x:c r="A44" s="1252"/>
      <x:c r="B44" s="714"/>
      <x:c r="C44" s="714"/>
      <x:c r="D44" s="714"/>
      <x:c r="E44" s="715" t="s">
        <x:v>64</x:v>
      </x:c>
      <x:c r="F44" s="715" t="s">
        <x:v>579</x:v>
      </x:c>
      <x:c r="G44" s="716" t="s">
        <x:v>580</x:v>
      </x:c>
      <x:c r="H44" s="715" t="s">
        <x:v>581</x:v>
      </x:c>
      <x:c r="I44" s="715" t="s">
        <x:v>582</x:v>
      </x:c>
      <x:c r="J44" s="716" t="s">
        <x:v>583</x:v>
      </x:c>
      <x:c r="K44" s="715" t="s">
        <x:v>584</x:v>
      </x:c>
      <x:c r="L44" s="716" t="s">
        <x:v>585</x:v>
      </x:c>
      <x:c r="M44" s="715" t="s">
        <x:v>586</x:v>
      </x:c>
      <x:c r="N44" s="717" t="s">
        <x:v>1322</x:v>
      </x:c>
      <x:c r="O44" s="718" t="s">
        <x:v>587</x:v>
      </x:c>
      <x:c r="P44" s="719" t="s">
        <x:v>588</x:v>
      </x:c>
      <x:c r="Q44" s="718" t="s">
        <x:v>679</x:v>
      </x:c>
      <x:c r="U44" s="669"/>
    </x:row>
    <x:row r="45" spans="1:21">
      <x:c r="A45" s="1253"/>
      <x:c r="B45" s="669"/>
      <x:c r="C45" s="669"/>
      <x:c r="D45" s="669"/>
      <x:c r="E45" s="669"/>
      <x:c r="F45" s="669"/>
      <x:c r="G45" s="720"/>
      <x:c r="H45" s="669"/>
      <x:c r="I45" s="669"/>
      <x:c r="J45" s="720"/>
      <x:c r="K45" s="669"/>
      <x:c r="L45" s="720"/>
      <x:c r="M45" s="721"/>
      <x:c r="N45" s="720"/>
      <x:c r="O45" s="720"/>
      <x:c r="P45" s="671"/>
      <x:c r="Q45" s="722"/>
      <x:c r="U45" s="669"/>
    </x:row>
    <x:row r="46" spans="1:21">
      <x:c r="A46" s="1254" t="s">
        <x:v>197</x:v>
      </x:c>
      <x:c r="B46" s="723"/>
      <x:c r="C46" s="723" t="s">
        <x:v>589</x:v>
      </x:c>
      <x:c r="D46" s="724" t="s">
        <x:v>590</x:v>
      </x:c>
      <x:c r="E46" s="725">
        <x:f>+'9 - Rate Base'!C26-SUM('6 - Project Rev Req'!E47:E63)</x:f>
        <x:v>2166266709.2436771</x:v>
      </x:c>
      <x:c r="F46" s="685">
        <x:f t="shared" ref="F46:F59" si="0">$L$30</x:f>
        <x:v>2.2093140735945479E-2</x:v>
      </x:c>
      <x:c r="G46" s="1508">
        <x:f t="shared" ref="G46:G58" si="1">E46*F46</x:f>
        <x:v>47859635.278914042</x:v>
      </x:c>
      <x:c r="H46" s="725">
        <x:f>+'9 - Rate Base'!K26-SUM(H47:H62)</x:f>
        <x:v>1593821439.8618805</x:v>
      </x:c>
      <x:c r="I46" s="685">
        <x:f>$L$40</x:f>
        <x:v>8.1284570511144988E-2</x:v>
      </x:c>
      <x:c r="J46" s="1508">
        <x:f>H46*I46</x:f>
        <x:v>129553091.21062766</x:v>
      </x:c>
      <x:c r="K46" s="1509">
        <x:f>+'ATT H-3D'!H185-SUM('6 - Project Rev Req'!K47:K62)</x:f>
        <x:v>69126730.352187708</x:v>
      </x:c>
      <x:c r="L46" s="1508">
        <x:f>G46+J46+K46</x:f>
        <x:v>246539456.8417294</x:v>
      </x:c>
      <x:c r="M46" s="728">
        <x:v>0</x:v>
      </x:c>
      <x:c r="N46" s="726">
        <x:v>0</x:v>
      </x:c>
      <x:c r="O46" s="1508">
        <x:f>+L46+N46</x:f>
        <x:v>246539456.8417294</x:v>
      </x:c>
      <x:c r="P46" s="728"/>
      <x:c r="Q46" s="1508">
        <x:f t="shared" ref="Q46:Q58" si="2">+O46+P46</x:f>
        <x:v>246539456.8417294</x:v>
      </x:c>
    </x:row>
    <x:row r="47" spans="1:21">
      <x:c r="A47" s="1254" t="s">
        <x:v>157</x:v>
      </x:c>
      <x:c r="B47" s="723"/>
      <x:c r="C47" s="729" t="s">
        <x:v>1821</x:v>
      </x:c>
      <x:c r="D47" s="729" t="s">
        <x:v>1822</x:v>
      </x:c>
      <x:c r="E47" s="1506">
        <x:f>+'7 - Cap Add WS '!E28</x:f>
        <x:v>14689101</x:v>
      </x:c>
      <x:c r="F47" s="685">
        <x:f t="shared" si="0"/>
        <x:v>2.2093140735945479E-2</x:v>
      </x:c>
      <x:c r="G47" s="726">
        <x:f t="shared" si="1"/>
        <x:v>324528.37567751744</x:v>
      </x:c>
      <x:c r="H47" s="1506">
        <x:f>AVERAGE('7 - Cap Add WS '!G58,'7 - Cap Add WS '!G60)</x:f>
        <x:v>9652837.8000000045</x:v>
      </x:c>
      <x:c r="I47" s="685">
        <x:f t="shared" ref="I47:I59" si="3">$L$40</x:f>
        <x:v>8.1284570511144988E-2</x:v>
      </x:c>
      <x:c r="J47" s="726">
        <x:f t="shared" ref="J47:J58" si="4">H47*I47</x:f>
        <x:v>784626.77478674601</x:v>
      </x:c>
      <x:c r="K47" s="727">
        <x:f>+'7 - Cap Add WS '!F60</x:f>
        <x:v>419688.6</x:v>
      </x:c>
      <x:c r="L47" s="726">
        <x:f t="shared" ref="L47" si="5">G47+J47+K47</x:f>
        <x:v>1528843.7504642634</x:v>
      </x:c>
      <x:c r="M47" s="728">
        <x:f>+'7 - Cap Add WS '!E25</x:f>
        <x:v>150</x:v>
      </x:c>
      <x:c r="N47" s="726">
        <x:f>+'7 - Cap Add WS '!H68-'7 - Cap Add WS '!H67</x:f>
        <x:v>69065.196012540488</x:v>
      </x:c>
      <x:c r="O47" s="726">
        <x:f>+L47+N47</x:f>
        <x:v>1597908.9464768039</x:v>
      </x:c>
      <x:c r="P47" s="728"/>
      <x:c r="Q47" s="726">
        <x:f t="shared" si="2"/>
        <x:v>1597908.9464768039</x:v>
      </x:c>
    </x:row>
    <x:row r="48" spans="1:21">
      <x:c r="A48" s="1254" t="s">
        <x:v>198</x:v>
      </x:c>
      <x:c r="B48" s="723"/>
      <x:c r="C48" s="729" t="s">
        <x:v>1823</x:v>
      </x:c>
      <x:c r="D48" s="729" t="s">
        <x:v>1824</x:v>
      </x:c>
      <x:c r="E48" s="1506">
        <x:f>+'7 - Cap Add WS '!I28</x:f>
        <x:v>3099104</x:v>
      </x:c>
      <x:c r="F48" s="685">
        <x:f t="shared" si="0"/>
        <x:v>2.2093140735945479E-2</x:v>
      </x:c>
      <x:c r="G48" s="726">
        <x:f t="shared" si="1"/>
        <x:v>68468.940827331578</x:v>
      </x:c>
      <x:c r="H48" s="1506">
        <x:f>AVERAGE('7 - Cap Add WS '!K58,'7 - Cap Add WS '!K60)</x:f>
        <x:v>2036554.0571428575</x:v>
      </x:c>
      <x:c r="I48" s="685">
        <x:f t="shared" si="3"/>
        <x:v>8.1284570511144988E-2</x:v>
      </x:c>
      <x:c r="J48" s="726">
        <x:f t="shared" si="4"/>
        <x:v>165540.421857587</x:v>
      </x:c>
      <x:c r="K48" s="727">
        <x:f>+'7 - Cap Add WS '!J60</x:f>
        <x:v>88545.828571428574</x:v>
      </x:c>
      <x:c r="L48" s="726">
        <x:f>G48+J48+K48</x:f>
        <x:v>322555.19125634711</x:v>
      </x:c>
      <x:c r="M48" s="728">
        <x:f>+'7 - Cap Add WS '!I25</x:f>
        <x:v>150</x:v>
      </x:c>
      <x:c r="N48" s="726">
        <x:f>+'7 - Cap Add WS '!L68-'7 - Cap Add WS '!L67</x:f>
        <x:v>14571.363163970876</x:v>
      </x:c>
      <x:c r="O48" s="726">
        <x:f t="shared" ref="O48:O58" si="6">+L48+N48</x:f>
        <x:v>337126.55442031799</x:v>
      </x:c>
      <x:c r="P48" s="728"/>
      <x:c r="Q48" s="726">
        <x:f t="shared" si="2"/>
        <x:v>337126.55442031799</x:v>
      </x:c>
    </x:row>
    <x:row r="49" spans="1:20">
      <x:c r="A49" s="1254" t="s">
        <x:v>199</x:v>
      </x:c>
      <x:c r="B49" s="723"/>
      <x:c r="C49" s="729" t="s">
        <x:v>1823</x:v>
      </x:c>
      <x:c r="D49" s="729" t="s">
        <x:v>1825</x:v>
      </x:c>
      <x:c r="E49" s="1506">
        <x:f>+'7 - Cap Add WS '!M28</x:f>
        <x:v>2418717</x:v>
      </x:c>
      <x:c r="F49" s="685">
        <x:f t="shared" si="0"/>
        <x:v>2.2093140735945479E-2</x:v>
      </x:c>
      <x:c r="G49" s="726">
        <x:f t="shared" si="1"/>
        <x:v>53437.055081423838</x:v>
      </x:c>
      <x:c r="H49" s="1506">
        <x:f>AVERAGE('7 - Cap Add WS '!O58,'7 - Cap Add WS '!O60)</x:f>
        <x:v>1589442.6</x:v>
      </x:c>
      <x:c r="I49" s="685">
        <x:f t="shared" si="3"/>
        <x:v>8.1284570511144988E-2</x:v>
      </x:c>
      <x:c r="J49" s="726">
        <x:f t="shared" si="4"/>
        <x:v>129197.15909311763</x:v>
      </x:c>
      <x:c r="K49" s="727">
        <x:f>+'7 - Cap Add WS '!N60</x:f>
        <x:v>69106.2</x:v>
      </x:c>
      <x:c r="L49" s="726">
        <x:f>G49+J49+K49</x:f>
        <x:v>251740.41417454148</x:v>
      </x:c>
      <x:c r="M49" s="728">
        <x:f>+'7 - Cap Add WS '!M25</x:f>
        <x:v>150</x:v>
      </x:c>
      <x:c r="N49" s="726">
        <x:f>+'7 - Cap Add WS '!P68-'7 - Cap Add WS '!P67</x:f>
        <x:v>11372.320450643223</x:v>
      </x:c>
      <x:c r="O49" s="726">
        <x:f t="shared" si="6"/>
        <x:v>263112.73462518468</x:v>
      </x:c>
      <x:c r="P49" s="728"/>
      <x:c r="Q49" s="726">
        <x:f t="shared" si="2"/>
        <x:v>263112.73462518468</x:v>
      </x:c>
    </x:row>
    <x:row r="50" spans="1:20">
      <x:c r="A50" s="1254" t="s">
        <x:v>200</x:v>
      </x:c>
      <x:c r="B50" s="723"/>
      <x:c r="C50" s="729" t="s">
        <x:v>1910</x:v>
      </x:c>
      <x:c r="D50" s="729" t="s">
        <x:v>1826</x:v>
      </x:c>
      <x:c r="E50" s="1506">
        <x:f>+'7 - Cap Add WS '!Q28</x:f>
        <x:v>6414723</x:v>
      </x:c>
      <x:c r="F50" s="685">
        <x:f t="shared" si="0"/>
        <x:v>2.2093140735945479E-2</x:v>
      </x:c>
      <x:c r="G50" s="726">
        <x:f t="shared" si="1"/>
        <x:v>141721.37802110639</x:v>
      </x:c>
      <x:c r="H50" s="1506">
        <x:f>AVERAGE('7 - Cap Add WS '!S58,'7 - Cap Add WS '!S60)</x:f>
        <x:v>4398667.2000000011</x:v>
      </x:c>
      <x:c r="I50" s="685">
        <x:f t="shared" si="3"/>
        <x:v>8.1284570511144988E-2</x:v>
      </x:c>
      <x:c r="J50" s="726">
        <x:f t="shared" si="4"/>
        <x:v>357543.77417346078</x:v>
      </x:c>
      <x:c r="K50" s="727">
        <x:f>+'7 - Cap Add WS '!R60</x:f>
        <x:v>183277.8</x:v>
      </x:c>
      <x:c r="L50" s="726">
        <x:f t="shared" ref="L50:L58" si="7">G50+J50+K50</x:f>
        <x:v>682542.95219456707</x:v>
      </x:c>
      <x:c r="M50" s="728">
        <x:f>+'7 - Cap Add WS '!Q25</x:f>
        <x:v>150</x:v>
      </x:c>
      <x:c r="N50" s="726">
        <x:f>+'7 - Cap Add WS '!T68-'7 - Cap Add WS '!T67</x:f>
        <x:v>31816.214079633355</x:v>
      </x:c>
      <x:c r="O50" s="726">
        <x:f t="shared" si="6"/>
        <x:v>714359.16627420043</x:v>
      </x:c>
      <x:c r="P50" s="728"/>
      <x:c r="Q50" s="726">
        <x:f t="shared" si="2"/>
        <x:v>714359.16627420043</x:v>
      </x:c>
    </x:row>
    <x:row r="51" spans="1:20">
      <x:c r="A51" s="1254" t="s">
        <x:v>201</x:v>
      </x:c>
      <x:c r="B51" s="723"/>
      <x:c r="C51" s="729" t="s">
        <x:v>1827</x:v>
      </x:c>
      <x:c r="D51" s="729" t="s">
        <x:v>1828</x:v>
      </x:c>
      <x:c r="E51" s="1506">
        <x:f>+'7 - Cap Add WS '!U28</x:f>
        <x:v>8379558</x:v>
      </x:c>
      <x:c r="F51" s="685">
        <x:f t="shared" si="0"/>
        <x:v>2.2093140735945479E-2</x:v>
      </x:c>
      <x:c r="G51" s="726">
        <x:f t="shared" si="1"/>
        <x:v>185130.75419901783</x:v>
      </x:c>
      <x:c r="H51" s="1506">
        <x:f>AVERAGE('7 - Cap Add WS '!W58,'7 - Cap Add WS '!W60)</x:f>
        <x:v>5865690.6000000034</x:v>
      </x:c>
      <x:c r="I51" s="685">
        <x:f t="shared" si="3"/>
        <x:v>8.1284570511144988E-2</x:v>
      </x:c>
      <x:c r="J51" s="726">
        <x:f t="shared" si="4"/>
        <x:v>476790.14117226063</x:v>
      </x:c>
      <x:c r="K51" s="727">
        <x:f>+'7 - Cap Add WS '!V60</x:f>
        <x:v>239415.94285714286</x:v>
      </x:c>
      <x:c r="L51" s="726">
        <x:f t="shared" si="7"/>
        <x:v>901336.8382284214</x:v>
      </x:c>
      <x:c r="M51" s="728">
        <x:f>+'7 - Cap Add WS '!U25</x:f>
        <x:v>150</x:v>
      </x:c>
      <x:c r="N51" s="726">
        <x:f>+'7 - Cap Add WS '!X68-'7 - Cap Add WS '!X67</x:f>
        <x:v>42642.822981800651</x:v>
      </x:c>
      <x:c r="O51" s="726">
        <x:f t="shared" si="6"/>
        <x:v>943979.66121022205</x:v>
      </x:c>
      <x:c r="P51" s="728"/>
      <x:c r="Q51" s="726">
        <x:f t="shared" si="2"/>
        <x:v>943979.66121022205</x:v>
      </x:c>
    </x:row>
    <x:row r="52" spans="1:20">
      <x:c r="A52" s="1254" t="s">
        <x:v>202</x:v>
      </x:c>
      <x:c r="B52" s="723"/>
      <x:c r="C52" s="729" t="s">
        <x:v>1829</x:v>
      </x:c>
      <x:c r="D52" s="729" t="s">
        <x:v>1830</x:v>
      </x:c>
      <x:c r="E52" s="1506">
        <x:f>+'7 - Cap Add WS '!Y28</x:f>
        <x:v>14504530</x:v>
      </x:c>
      <x:c r="F52" s="685">
        <x:f t="shared" si="0"/>
        <x:v>2.2093140735945479E-2</x:v>
      </x:c>
      <x:c r="G52" s="726">
        <x:f t="shared" si="1"/>
        <x:v>320450.6225987433</x:v>
      </x:c>
      <x:c r="H52" s="1506">
        <x:f>AVERAGE('7 - Cap Add WS '!AA58,'7 - Cap Add WS '!AA60)</x:f>
        <x:v>10049567.214285705</x:v>
      </x:c>
      <x:c r="I52" s="685">
        <x:f t="shared" si="3"/>
        <x:v>8.1284570511144988E-2</x:v>
      </x:c>
      <x:c r="J52" s="726">
        <x:f t="shared" si="4"/>
        <x:v>816874.75483609736</x:v>
      </x:c>
      <x:c r="K52" s="727">
        <x:f>+'7 - Cap Add WS '!Z60</x:f>
        <x:v>414415.14285714284</x:v>
      </x:c>
      <x:c r="L52" s="726">
        <x:f t="shared" si="7"/>
        <x:v>1551740.5202919836</x:v>
      </x:c>
      <x:c r="M52" s="728">
        <x:f>+'7 - Cap Add WS '!Y25</x:f>
        <x:v>150</x:v>
      </x:c>
      <x:c r="N52" s="726">
        <x:f>+'7 - Cap Add WS '!AB68-'7 - Cap Add WS '!AB67</x:f>
        <x:v>72876.445869758725</x:v>
      </x:c>
      <x:c r="O52" s="726">
        <x:f t="shared" si="6"/>
        <x:v>1624616.9661617423</x:v>
      </x:c>
      <x:c r="P52" s="728"/>
      <x:c r="Q52" s="726">
        <x:f t="shared" si="2"/>
        <x:v>1624616.9661617423</x:v>
      </x:c>
    </x:row>
    <x:row r="53" spans="1:20">
      <x:c r="A53" s="1254" t="s">
        <x:v>591</x:v>
      </x:c>
      <x:c r="B53" s="723"/>
      <x:c r="C53" s="729" t="s">
        <x:v>1831</x:v>
      </x:c>
      <x:c r="D53" s="729" t="s">
        <x:v>1832</x:v>
      </x:c>
      <x:c r="E53" s="1506">
        <x:f>+'7 - Cap Add WS '!AC28</x:f>
        <x:v>6681345</x:v>
      </x:c>
      <x:c r="F53" s="685">
        <x:f t="shared" si="0"/>
        <x:v>2.2093140735945479E-2</x:v>
      </x:c>
      <x:c r="G53" s="726">
        <x:f t="shared" si="1"/>
        <x:v>147611.89539040564</x:v>
      </x:c>
      <x:c r="H53" s="1506">
        <x:f>AVERAGE('7 - Cap Add WS '!AE58,'7 - Cap Add WS '!AE60)</x:f>
        <x:v>4804205.2142857108</x:v>
      </x:c>
      <x:c r="I53" s="685">
        <x:f t="shared" si="3"/>
        <x:v>8.1284570511144988E-2</x:v>
      </x:c>
      <x:c r="J53" s="726">
        <x:f t="shared" si="4"/>
        <x:v>390507.75749061728</x:v>
      </x:c>
      <x:c r="K53" s="727">
        <x:f>+'7 - Cap Add WS '!AD60</x:f>
        <x:v>190895.57142857142</x:v>
      </x:c>
      <x:c r="L53" s="726">
        <x:f t="shared" si="7"/>
        <x:v>729015.22430959437</x:v>
      </x:c>
      <x:c r="M53" s="728">
        <x:f>+'7 - Cap Add WS '!AC25</x:f>
        <x:v>150</x:v>
      </x:c>
      <x:c r="N53" s="726">
        <x:f>+'7 - Cap Add WS '!AF68-'7 - Cap Add WS '!AF67</x:f>
        <x:v>35150.292685557273</x:v>
      </x:c>
      <x:c r="O53" s="726">
        <x:f t="shared" si="6"/>
        <x:v>764165.51699515164</x:v>
      </x:c>
      <x:c r="P53" s="728"/>
      <x:c r="Q53" s="726">
        <x:f t="shared" si="2"/>
        <x:v>764165.51699515164</x:v>
      </x:c>
    </x:row>
    <x:row r="54" spans="1:20">
      <x:c r="A54" s="1254" t="s">
        <x:v>592</x:v>
      </x:c>
      <x:c r="B54" s="723"/>
      <x:c r="C54" s="729" t="s">
        <x:v>1833</x:v>
      </x:c>
      <x:c r="D54" s="729" t="s">
        <x:v>1834</x:v>
      </x:c>
      <x:c r="E54" s="1506">
        <x:f>+'7 - Cap Add WS '!AG28</x:f>
        <x:v>217662</x:v>
      </x:c>
      <x:c r="F54" s="685">
        <x:f t="shared" si="0"/>
        <x:v>2.2093140735945479E-2</x:v>
      </x:c>
      <x:c r="G54" s="726">
        <x:f t="shared" si="1"/>
        <x:v>4808.8371988673653</x:v>
      </x:c>
      <x:c r="H54" s="1506">
        <x:f>AVERAGE('7 - Cap Add WS '!AI58,'7 - Cap Add WS '!AI60)</x:f>
        <x:v>161691.77142857155</x:v>
      </x:c>
      <x:c r="I54" s="685">
        <x:f t="shared" si="3"/>
        <x:v>8.1284570511144988E-2</x:v>
      </x:c>
      <x:c r="J54" s="726">
        <x:f t="shared" si="4"/>
        <x:v>13143.046195757663</x:v>
      </x:c>
      <x:c r="K54" s="727">
        <x:f>+'7 - Cap Add WS '!AH60</x:f>
        <x:v>6218.9142857142861</x:v>
      </x:c>
      <x:c r="L54" s="726">
        <x:f t="shared" si="7"/>
        <x:v>24170.797680339314</x:v>
      </x:c>
      <x:c r="M54" s="728">
        <x:f>+'7 - Cap Add WS '!AG25</x:f>
        <x:v>0</x:v>
      </x:c>
      <x:c r="N54" s="726">
        <x:v>0</x:v>
      </x:c>
      <x:c r="O54" s="726">
        <x:f t="shared" si="6"/>
        <x:v>24170.797680339314</x:v>
      </x:c>
      <x:c r="P54" s="728"/>
      <x:c r="Q54" s="726">
        <x:f t="shared" si="2"/>
        <x:v>24170.797680339314</x:v>
      </x:c>
    </x:row>
    <x:row r="55" spans="1:20">
      <x:c r="A55" s="1254" t="s">
        <x:v>593</x:v>
      </x:c>
      <x:c r="B55" s="723"/>
      <x:c r="C55" s="729" t="s">
        <x:v>1835</x:v>
      </x:c>
      <x:c r="D55" s="729" t="s">
        <x:v>1836</x:v>
      </x:c>
      <x:c r="E55" s="1506">
        <x:f>+'7 - Cap Add WS '!AK28</x:f>
        <x:v>5055041</x:v>
      </x:c>
      <x:c r="F55" s="685">
        <x:f t="shared" si="0"/>
        <x:v>2.2093140735945479E-2</x:v>
      </x:c>
      <x:c r="G55" s="726">
        <x:f t="shared" si="1"/>
        <x:v>111681.73223897457</x:v>
      </x:c>
      <x:c r="H55" s="1506">
        <x:f>AVERAGE('7 - Cap Add WS '!AM58,'7 - Cap Add WS '!AM60)</x:f>
        <x:v>3755173.3142857123</x:v>
      </x:c>
      <x:c r="I55" s="685">
        <x:f t="shared" si="3"/>
        <x:v>8.1284570511144988E-2</x:v>
      </x:c>
      <x:c r="J55" s="726">
        <x:f t="shared" si="4"/>
        <x:v>305237.65004662698</x:v>
      </x:c>
      <x:c r="K55" s="727">
        <x:f>+'7 - Cap Add WS '!AL60</x:f>
        <x:v>144429.74285714285</x:v>
      </x:c>
      <x:c r="L55" s="726">
        <x:f t="shared" si="7"/>
        <x:v>561349.12514274439</x:v>
      </x:c>
      <x:c r="M55" s="728">
        <x:f>+'7 - Cap Add WS '!AK25</x:f>
        <x:v>0</x:v>
      </x:c>
      <x:c r="N55" s="726">
        <x:v>0</x:v>
      </x:c>
      <x:c r="O55" s="726">
        <x:f t="shared" si="6"/>
        <x:v>561349.12514274439</x:v>
      </x:c>
      <x:c r="P55" s="728"/>
      <x:c r="Q55" s="726">
        <x:f t="shared" si="2"/>
        <x:v>561349.12514274439</x:v>
      </x:c>
    </x:row>
    <x:row r="56" spans="1:20">
      <x:c r="A56" s="1254" t="s">
        <x:v>594</x:v>
      </x:c>
      <x:c r="B56" s="723"/>
      <x:c r="C56" s="729" t="s">
        <x:v>1837</x:v>
      </x:c>
      <x:c r="D56" s="729" t="s">
        <x:v>1838</x:v>
      </x:c>
      <x:c r="E56" s="1506">
        <x:f>+'7 - Cap Add WS '!AO28</x:f>
        <x:v>16372433</x:v>
      </x:c>
      <x:c r="F56" s="685">
        <x:f t="shared" si="0"/>
        <x:v>2.2093140735945479E-2</x:v>
      </x:c>
      <x:c r="G56" s="726">
        <x:f t="shared" si="1"/>
        <x:v>361718.46645883803</x:v>
      </x:c>
      <x:c r="H56" s="1506">
        <x:f>AVERAGE('7 - Cap Add WS '!AQ58,'7 - Cap Add WS '!AQ60)</x:f>
        <x:v>12396270.699999994</x:v>
      </x:c>
      <x:c r="I56" s="685">
        <x:f t="shared" si="3"/>
        <x:v>8.1284570511144988E-2</x:v>
      </x:c>
      <x:c r="J56" s="726">
        <x:f t="shared" si="4"/>
        <x:v>1007625.5397893902</x:v>
      </x:c>
      <x:c r="K56" s="727">
        <x:f>+'7 - Cap Add WS '!AP60</x:f>
        <x:v>467783.8</x:v>
      </x:c>
      <x:c r="L56" s="726">
        <x:f t="shared" si="7"/>
        <x:v>1837127.8062482283</x:v>
      </x:c>
      <x:c r="M56" s="728">
        <x:f>+'7 - Cap Add WS '!AO25</x:f>
        <x:v>150</x:v>
      </x:c>
      <x:c r="N56" s="726">
        <x:f>+'7 - Cap Add WS '!AR68-'7 - Cap Add WS '!AR67</x:f>
        <x:v>91768.472617964493</x:v>
      </x:c>
      <x:c r="O56" s="726">
        <x:f t="shared" si="6"/>
        <x:v>1928896.2788661928</x:v>
      </x:c>
      <x:c r="P56" s="728"/>
      <x:c r="Q56" s="726">
        <x:f t="shared" si="2"/>
        <x:v>1928896.2788661928</x:v>
      </x:c>
    </x:row>
    <x:row r="57" spans="1:20">
      <x:c r="A57" s="1254" t="s">
        <x:v>595</x:v>
      </x:c>
      <x:c r="B57" s="723"/>
      <x:c r="C57" s="729" t="s">
        <x:v>1839</x:v>
      </x:c>
      <x:c r="D57" s="729" t="s">
        <x:v>1840</x:v>
      </x:c>
      <x:c r="E57" s="1506">
        <x:f>+'7 - Cap Add WS '!AS28</x:f>
        <x:v>10567349</x:v>
      </x:c>
      <x:c r="F57" s="685">
        <x:f t="shared" si="0"/>
        <x:v>2.2093140735945479E-2</x:v>
      </x:c>
      <x:c r="G57" s="726">
        <x:f t="shared" si="1"/>
        <x:v>233465.92866285273</x:v>
      </x:c>
      <x:c r="H57" s="1506">
        <x:f>AVERAGE('7 - Cap Add WS '!AU58,'7 - Cap Add WS '!AU60)</x:f>
        <x:v>8101634.2333333362</x:v>
      </x:c>
      <x:c r="I57" s="685">
        <x:f t="shared" si="3"/>
        <x:v>8.1284570511144988E-2</x:v>
      </x:c>
      <x:c r="J57" s="726">
        <x:f t="shared" si="4"/>
        <x:v>658537.8590948896</x:v>
      </x:c>
      <x:c r="K57" s="727">
        <x:f>+'7 - Cap Add WS '!AT60</x:f>
        <x:v>301924.25714285712</x:v>
      </x:c>
      <x:c r="L57" s="726">
        <x:f t="shared" si="7"/>
        <x:v>1193928.0449005994</x:v>
      </x:c>
      <x:c r="M57" s="728">
        <x:f>+'7 - Cap Add WS '!AS25</x:f>
        <x:v>0</x:v>
      </x:c>
      <x:c r="N57" s="726"/>
      <x:c r="O57" s="726">
        <x:f t="shared" si="6"/>
        <x:v>1193928.0449005994</x:v>
      </x:c>
      <x:c r="P57" s="728"/>
      <x:c r="Q57" s="726">
        <x:f t="shared" si="2"/>
        <x:v>1193928.0449005994</x:v>
      </x:c>
    </x:row>
    <x:row r="58" spans="1:20">
      <x:c r="A58" s="1254" t="s">
        <x:v>596</x:v>
      </x:c>
      <x:c r="B58" s="723"/>
      <x:c r="C58" s="729" t="s">
        <x:v>2159</x:v>
      </x:c>
      <x:c r="D58" s="729" t="s">
        <x:v>1841</x:v>
      </x:c>
      <x:c r="E58" s="1506">
        <x:f>+'7 - Cap Add WS '!AW28</x:f>
        <x:v>7246743</x:v>
      </x:c>
      <x:c r="F58" s="685">
        <x:f t="shared" si="0"/>
        <x:v>2.2093140735945479E-2</x:v>
      </x:c>
      <x:c r="G58" s="726">
        <x:f t="shared" si="1"/>
        <x:v>160103.31297622775</x:v>
      </x:c>
      <x:c r="H58" s="1506">
        <x:f>AVERAGE('7 - Cap Add WS '!AY58,'7 - Cap Add WS '!AY60)</x:f>
        <x:v>5444214.4463333338</x:v>
      </x:c>
      <x:c r="I58" s="685">
        <x:f t="shared" si="3"/>
        <x:v>8.1284570511144988E-2</x:v>
      </x:c>
      <x:c r="J58" s="726">
        <x:f t="shared" si="4"/>
        <x:v>442530.63304077607</x:v>
      </x:c>
      <x:c r="K58" s="727">
        <x:f>+'7 - Cap Add WS '!AX60</x:f>
        <x:v>207049.8</x:v>
      </x:c>
      <x:c r="L58" s="726">
        <x:f t="shared" si="7"/>
        <x:v>809683.7460170039</x:v>
      </x:c>
      <x:c r="M58" s="728">
        <x:f>+'7 - Cap Add WS '!AW25</x:f>
        <x:v>0</x:v>
      </x:c>
      <x:c r="N58" s="726"/>
      <x:c r="O58" s="726">
        <x:f t="shared" si="6"/>
        <x:v>809683.7460170039</x:v>
      </x:c>
      <x:c r="P58" s="728"/>
      <x:c r="Q58" s="726">
        <x:f t="shared" si="2"/>
        <x:v>809683.7460170039</x:v>
      </x:c>
    </x:row>
    <x:row r="59" spans="1:20" s="1156" customFormat="1" ht="66" customHeight="1">
      <x:c r="A59" s="1262" t="s">
        <x:v>597</x:v>
      </x:c>
      <x:c r="B59" s="1157"/>
      <x:c r="C59" s="1158" t="s">
        <x:v>2158</x:v>
      </x:c>
      <x:c r="D59" s="1159" t="s">
        <x:v>1842</x:v>
      </x:c>
      <x:c r="E59" s="1507">
        <x:f>+'7 - Cap Add WS '!BA28</x:f>
        <x:v>5454268</x:v>
      </x:c>
      <x:c r="F59" s="1160">
        <x:f t="shared" si="0"/>
        <x:v>2.2093140735945479E-2</x:v>
      </x:c>
      <x:c r="G59" s="1161">
        <x:f t="shared" ref="G59" si="8">E59*F59</x:f>
        <x:v>120501.91053556387</x:v>
      </x:c>
      <x:c r="H59" s="1507">
        <x:f>AVERAGE('7 - Cap Add WS '!BC58,'7 - Cap Add WS '!BC60)</x:f>
        <x:v>5350377.1809523813</x:v>
      </x:c>
      <x:c r="I59" s="1160">
        <x:f t="shared" si="3"/>
        <x:v>8.1284570511144988E-2</x:v>
      </x:c>
      <x:c r="J59" s="1161">
        <x:f t="shared" ref="J59" si="9">H59*I59</x:f>
        <x:v>434903.111226345</x:v>
      </x:c>
      <x:c r="K59" s="1162">
        <x:f>+'7 - Cap Add WS '!BB60</x:f>
        <x:v>155836.22857142857</x:v>
      </x:c>
      <x:c r="L59" s="1161">
        <x:f t="shared" ref="L59" si="10">G59+J59+K59</x:f>
        <x:v>711241.25033333746</x:v>
      </x:c>
      <x:c r="M59" s="1163">
        <x:f>+'7 - Cap Add WS '!BA25</x:f>
        <x:v>0</x:v>
      </x:c>
      <x:c r="N59" s="1161"/>
      <x:c r="O59" s="1161">
        <x:f t="shared" ref="O59" si="11">+L59+N59</x:f>
        <x:v>711241.25033333746</x:v>
      </x:c>
      <x:c r="P59" s="1163"/>
      <x:c r="Q59" s="1161">
        <x:f t="shared" ref="Q59" si="12">+O59+P59</x:f>
        <x:v>711241.25033333746</x:v>
      </x:c>
      <x:c r="T59" s="1164"/>
    </x:row>
    <x:row r="60" spans="1:20">
      <x:c r="A60" s="1254" t="s">
        <x:v>598</x:v>
      </x:c>
      <x:c r="B60" s="723"/>
      <x:c r="C60" s="729"/>
      <x:c r="D60" s="730"/>
      <x:c r="E60" s="725"/>
      <x:c r="F60" s="685"/>
      <x:c r="G60" s="726"/>
      <x:c r="H60" s="725"/>
      <x:c r="I60" s="685"/>
      <x:c r="J60" s="726"/>
      <x:c r="K60" s="727"/>
      <x:c r="L60" s="726"/>
      <x:c r="M60" s="728"/>
      <x:c r="N60" s="726"/>
      <x:c r="O60" s="726"/>
      <x:c r="P60" s="728"/>
      <x:c r="Q60" s="726"/>
    </x:row>
    <x:row r="61" spans="1:20">
      <x:c r="A61" s="1254" t="s">
        <x:v>599</x:v>
      </x:c>
      <x:c r="B61" s="723"/>
      <x:c r="C61" s="729"/>
      <x:c r="D61" s="730"/>
      <x:c r="E61" s="725"/>
      <x:c r="F61" s="685"/>
      <x:c r="G61" s="726"/>
      <x:c r="H61" s="725"/>
      <x:c r="I61" s="685"/>
      <x:c r="J61" s="726"/>
      <x:c r="K61" s="727"/>
      <x:c r="L61" s="726"/>
      <x:c r="M61" s="728"/>
      <x:c r="N61" s="726"/>
      <x:c r="O61" s="726"/>
      <x:c r="P61" s="728"/>
      <x:c r="Q61" s="726"/>
    </x:row>
    <x:row r="62" spans="1:20">
      <x:c r="A62" s="1254" t="s">
        <x:v>600</x:v>
      </x:c>
      <x:c r="B62" s="723"/>
      <x:c r="C62" s="729"/>
      <x:c r="D62" s="730"/>
      <x:c r="E62" s="725"/>
      <x:c r="F62" s="685"/>
      <x:c r="G62" s="726"/>
      <x:c r="H62" s="725"/>
      <x:c r="I62" s="685"/>
      <x:c r="J62" s="726"/>
      <x:c r="K62" s="727"/>
      <x:c r="L62" s="726"/>
      <x:c r="M62" s="728"/>
      <x:c r="N62" s="726"/>
      <x:c r="O62" s="726"/>
      <x:c r="P62" s="728"/>
      <x:c r="Q62" s="726"/>
    </x:row>
    <x:row r="63" spans="1:20">
      <x:c r="A63" s="1254" t="s">
        <x:v>601</x:v>
      </x:c>
      <x:c r="B63" s="723"/>
      <x:c r="C63" s="729"/>
      <x:c r="D63" s="730"/>
      <x:c r="E63" s="725"/>
      <x:c r="F63" s="685"/>
      <x:c r="G63" s="726"/>
      <x:c r="H63" s="725"/>
      <x:c r="I63" s="685"/>
      <x:c r="J63" s="726"/>
      <x:c r="K63" s="727"/>
      <x:c r="L63" s="726"/>
      <x:c r="M63" s="728"/>
      <x:c r="N63" s="726"/>
      <x:c r="O63" s="726"/>
      <x:c r="P63" s="728"/>
      <x:c r="Q63" s="726"/>
    </x:row>
    <x:row r="64" spans="1:20">
      <x:c r="A64" s="1254" t="s">
        <x:v>602</x:v>
      </x:c>
      <x:c r="B64" s="723"/>
      <x:c r="C64" s="729"/>
      <x:c r="D64" s="730"/>
      <x:c r="E64" s="725"/>
      <x:c r="F64" s="685"/>
      <x:c r="G64" s="731"/>
      <x:c r="H64" s="725"/>
      <x:c r="I64" s="685"/>
      <x:c r="J64" s="726"/>
      <x:c r="K64" s="727"/>
      <x:c r="L64" s="726"/>
      <x:c r="M64" s="728"/>
      <x:c r="N64" s="726"/>
      <x:c r="O64" s="726"/>
      <x:c r="P64" s="727"/>
      <x:c r="Q64" s="726"/>
    </x:row>
    <x:row r="65" spans="1:18">
      <x:c r="A65" s="1256" t="s">
        <x:v>603</x:v>
      </x:c>
      <x:c r="B65" s="723"/>
      <x:c r="C65" s="732"/>
      <x:c r="D65" s="730"/>
      <x:c r="E65" s="725"/>
      <x:c r="F65" s="685"/>
      <x:c r="G65" s="731"/>
      <x:c r="H65" s="725"/>
      <x:c r="I65" s="685"/>
      <x:c r="J65" s="726"/>
      <x:c r="K65" s="727"/>
      <x:c r="L65" s="726"/>
      <x:c r="M65" s="728"/>
      <x:c r="N65" s="726"/>
      <x:c r="O65" s="726"/>
      <x:c r="P65" s="727"/>
      <x:c r="Q65" s="726"/>
    </x:row>
    <x:row r="66" spans="1:18">
      <x:c r="A66" s="1254" t="s">
        <x:v>604</x:v>
      </x:c>
      <x:c r="B66" s="723"/>
      <x:c r="C66" s="729"/>
      <x:c r="D66" s="730"/>
      <x:c r="E66" s="725"/>
      <x:c r="F66" s="685"/>
      <x:c r="G66" s="731"/>
      <x:c r="H66" s="725"/>
      <x:c r="I66" s="685"/>
      <x:c r="J66" s="726"/>
      <x:c r="K66" s="727"/>
      <x:c r="L66" s="726"/>
      <x:c r="M66" s="728"/>
      <x:c r="N66" s="726"/>
      <x:c r="O66" s="726"/>
      <x:c r="P66" s="727"/>
      <x:c r="Q66" s="726"/>
    </x:row>
    <x:row r="67" spans="1:18">
      <x:c r="A67" s="1254" t="s">
        <x:v>605</x:v>
      </x:c>
      <x:c r="B67" s="723"/>
      <x:c r="C67" s="729"/>
      <x:c r="D67" s="730"/>
      <x:c r="E67" s="725"/>
      <x:c r="F67" s="685"/>
      <x:c r="G67" s="731"/>
      <x:c r="H67" s="725"/>
      <x:c r="I67" s="685"/>
      <x:c r="J67" s="726"/>
      <x:c r="K67" s="727"/>
      <x:c r="L67" s="726"/>
      <x:c r="M67" s="728"/>
      <x:c r="N67" s="726"/>
      <x:c r="O67" s="726"/>
      <x:c r="P67" s="727"/>
      <x:c r="Q67" s="726"/>
    </x:row>
    <x:row r="68" spans="1:18">
      <x:c r="A68" s="1254" t="s">
        <x:v>606</x:v>
      </x:c>
      <x:c r="C68" s="729"/>
      <x:c r="D68" s="730"/>
      <x:c r="E68" s="725"/>
      <x:c r="F68" s="685"/>
      <x:c r="G68" s="731"/>
      <x:c r="H68" s="725"/>
      <x:c r="I68" s="685"/>
      <x:c r="J68" s="726"/>
      <x:c r="K68" s="727"/>
      <x:c r="L68" s="726"/>
      <x:c r="M68" s="728"/>
      <x:c r="N68" s="726"/>
      <x:c r="O68" s="726"/>
      <x:c r="P68" s="727"/>
      <x:c r="Q68" s="726"/>
    </x:row>
    <x:row r="69" spans="1:18">
      <x:c r="A69" s="1257"/>
      <x:c r="B69" s="733"/>
      <x:c r="C69" s="734"/>
      <x:c r="D69" s="734"/>
      <x:c r="E69" s="734"/>
      <x:c r="F69" s="733"/>
      <x:c r="G69" s="735"/>
      <x:c r="H69" s="734"/>
      <x:c r="I69" s="733"/>
      <x:c r="J69" s="736"/>
      <x:c r="K69" s="737"/>
      <x:c r="L69" s="736"/>
      <x:c r="M69" s="738"/>
      <x:c r="N69" s="739"/>
      <x:c r="O69" s="739"/>
      <x:c r="P69" s="737"/>
      <x:c r="Q69" s="736"/>
    </x:row>
    <x:row r="70" spans="1:18">
      <x:c r="A70" s="1250" t="s">
        <x:v>607</x:v>
      </x:c>
      <x:c r="B70" s="699"/>
      <x:c r="C70" s="669" t="s">
        <x:v>608</x:v>
      </x:c>
      <x:c r="D70" s="669"/>
      <x:c r="E70" s="1510">
        <x:f>SUM(E46:E69)</x:f>
        <x:v>2267367283.2436771</x:v>
      </x:c>
      <x:c r="F70" s="668"/>
      <x:c r="G70" s="1510">
        <x:f>SUM(G46:G69)</x:f>
        <x:v>50093264.488780923</x:v>
      </x:c>
      <x:c r="H70" s="1510">
        <x:f>SUM(H46:H69)</x:f>
        <x:v>1667427766.193928</x:v>
      </x:c>
      <x:c r="I70" s="671"/>
      <x:c r="J70" s="1510">
        <x:f>SUM(J46:J69)</x:f>
        <x:v>135536149.83343133</x:v>
      </x:c>
      <x:c r="K70" s="1510">
        <x:f>SUM(K46:K69)</x:f>
        <x:v>72015318.180759132</x:v>
      </x:c>
      <x:c r="L70" s="1510">
        <x:f>SUM(L46:L69)</x:f>
        <x:v>257644732.50297138</x:v>
      </x:c>
      <x:c r="M70" s="668"/>
      <x:c r="N70" s="1510">
        <x:f>SUM(N46:N69)</x:f>
        <x:v>369263.12786186906</x:v>
      </x:c>
      <x:c r="O70" s="1510">
        <x:f>SUM(O46:O69)</x:f>
        <x:v>258013995.63083327</x:v>
      </x:c>
      <x:c r="P70" s="668">
        <x:f>SUM(P46:P69)</x:f>
        <x:v>0</x:v>
      </x:c>
      <x:c r="Q70" s="1510">
        <x:f>SUM(Q46:Q69)</x:f>
        <x:v>258013995.63083327</x:v>
      </x:c>
    </x:row>
    <x:row r="71" spans="1:18">
      <x:c r="K71" s="699"/>
      <x:c r="L71" s="699"/>
      <x:c r="M71" s="699"/>
      <x:c r="N71" s="1387"/>
      <x:c r="O71" s="699"/>
    </x:row>
    <x:row r="72" spans="1:18">
      <x:c r="A72" s="692" t="s">
        <x:v>609</x:v>
      </x:c>
    </x:row>
    <x:row r="73" spans="1:18" ht="13.5" thickBot="1">
      <x:c r="A73" s="1258" t="s">
        <x:v>610</x:v>
      </x:c>
    </x:row>
    <x:row r="74" spans="1:18">
      <x:c r="A74" s="1255" t="s">
        <x:v>9</x:v>
      </x:c>
      <x:c r="C74" s="1720" t="s">
        <x:v>2148</x:v>
      </x:c>
      <x:c r="D74" s="1720"/>
      <x:c r="E74" s="1720"/>
      <x:c r="F74" s="1720"/>
      <x:c r="G74" s="1720"/>
      <x:c r="H74" s="1720"/>
      <x:c r="I74" s="1720"/>
      <x:c r="J74" s="1720"/>
      <x:c r="K74" s="1720"/>
      <x:c r="L74" s="1720"/>
      <x:c r="M74" s="1720"/>
      <x:c r="N74" s="1720"/>
      <x:c r="O74" s="1720"/>
      <x:c r="P74" s="1720"/>
      <x:c r="Q74" s="1720"/>
      <x:c r="R74" s="741"/>
    </x:row>
    <x:row r="75" spans="1:18">
      <x:c r="A75" s="1255" t="s">
        <x:v>10</x:v>
      </x:c>
      <x:c r="C75" s="1720" t="s">
        <x:v>611</x:v>
      </x:c>
      <x:c r="D75" s="1720"/>
      <x:c r="E75" s="1720"/>
      <x:c r="F75" s="1720"/>
      <x:c r="G75" s="1720"/>
      <x:c r="H75" s="1720"/>
      <x:c r="I75" s="1720"/>
      <x:c r="J75" s="1720"/>
      <x:c r="K75" s="1720"/>
      <x:c r="L75" s="1720"/>
      <x:c r="M75" s="1720"/>
      <x:c r="N75" s="1720"/>
      <x:c r="O75" s="1720"/>
      <x:c r="P75" s="1720"/>
      <x:c r="Q75" s="1720"/>
    </x:row>
    <x:row r="76" spans="1:18">
      <x:c r="A76" s="1255" t="s">
        <x:v>11</x:v>
      </x:c>
      <x:c r="C76" s="1721" t="s">
        <x:v>612</x:v>
      </x:c>
      <x:c r="D76" s="1721"/>
      <x:c r="E76" s="1721"/>
      <x:c r="F76" s="1721"/>
      <x:c r="G76" s="1721"/>
      <x:c r="H76" s="1721"/>
      <x:c r="I76" s="1721"/>
      <x:c r="J76" s="1721"/>
      <x:c r="K76" s="1721"/>
      <x:c r="L76" s="1721"/>
      <x:c r="M76" s="1721"/>
      <x:c r="N76" s="1721"/>
      <x:c r="O76" s="1721"/>
      <x:c r="P76" s="1721"/>
      <x:c r="Q76" s="1721"/>
    </x:row>
    <x:row r="77" spans="1:18">
      <x:c r="C77" s="353" t="s">
        <x:v>613</x:v>
      </x:c>
    </x:row>
    <x:row r="78" spans="1:18">
      <x:c r="A78" s="1255" t="s">
        <x:v>14</x:v>
      </x:c>
      <x:c r="C78" s="1721" t="s">
        <x:v>614</x:v>
      </x:c>
      <x:c r="D78" s="1721"/>
      <x:c r="E78" s="1721"/>
      <x:c r="F78" s="1721"/>
      <x:c r="G78" s="1721"/>
      <x:c r="H78" s="1721"/>
      <x:c r="I78" s="1721"/>
      <x:c r="J78" s="1721"/>
      <x:c r="K78" s="1721"/>
      <x:c r="L78" s="1721"/>
      <x:c r="M78" s="1721"/>
      <x:c r="N78" s="1721"/>
      <x:c r="O78" s="1721"/>
      <x:c r="P78" s="1721"/>
      <x:c r="Q78" s="1721"/>
    </x:row>
    <x:row r="79" spans="1:18">
      <x:c r="A79" s="692" t="s">
        <x:v>133</x:v>
      </x:c>
      <x:c r="C79" s="1722" t="s">
        <x:v>2149</x:v>
      </x:c>
      <x:c r="D79" s="1722"/>
      <x:c r="E79" s="1722"/>
      <x:c r="F79" s="1722"/>
      <x:c r="G79" s="1722"/>
      <x:c r="H79" s="1722"/>
      <x:c r="I79" s="1722"/>
      <x:c r="J79" s="1722"/>
      <x:c r="K79" s="1722"/>
      <x:c r="L79" s="1722"/>
      <x:c r="M79" s="1722"/>
      <x:c r="N79" s="1722"/>
      <x:c r="O79" s="1722"/>
      <x:c r="P79" s="1722"/>
      <x:c r="Q79" s="1722"/>
    </x:row>
    <x:row r="80" spans="1:18">
      <x:c r="A80" s="692" t="s">
        <x:v>134</x:v>
      </x:c>
      <x:c r="C80" s="1722" t="s">
        <x:v>2150</x:v>
      </x:c>
      <x:c r="D80" s="1722"/>
      <x:c r="E80" s="1722"/>
      <x:c r="F80" s="1722"/>
      <x:c r="G80" s="1722"/>
      <x:c r="H80" s="1722"/>
      <x:c r="I80" s="1722"/>
      <x:c r="J80" s="1722"/>
      <x:c r="K80" s="1722"/>
      <x:c r="L80" s="1722"/>
      <x:c r="M80" s="1722"/>
      <x:c r="N80" s="1722"/>
      <x:c r="O80" s="1722"/>
      <x:c r="P80" s="1722"/>
      <x:c r="Q80" s="1722"/>
    </x:row>
    <x:row r="81" spans="1:17">
      <x:c r="A81" s="692" t="s">
        <x:v>135</x:v>
      </x:c>
      <x:c r="C81" s="1722" t="s">
        <x:v>615</x:v>
      </x:c>
      <x:c r="D81" s="1722"/>
      <x:c r="E81" s="1722"/>
      <x:c r="F81" s="1722"/>
      <x:c r="G81" s="1722"/>
      <x:c r="H81" s="1722"/>
      <x:c r="I81" s="1722"/>
      <x:c r="J81" s="1722"/>
      <x:c r="K81" s="1722"/>
      <x:c r="L81" s="1722"/>
      <x:c r="M81" s="1722"/>
      <x:c r="N81" s="1722"/>
      <x:c r="O81" s="1722"/>
      <x:c r="P81" s="1722"/>
      <x:c r="Q81" s="1722"/>
    </x:row>
    <x:row r="82" spans="1:17">
      <x:c r="A82" s="692" t="s">
        <x:v>492</x:v>
      </x:c>
      <x:c r="C82" s="1722" t="s">
        <x:v>616</x:v>
      </x:c>
      <x:c r="D82" s="1722"/>
      <x:c r="E82" s="1722"/>
      <x:c r="F82" s="1722"/>
      <x:c r="G82" s="1722"/>
      <x:c r="H82" s="1722"/>
      <x:c r="I82" s="1722"/>
      <x:c r="J82" s="1722"/>
      <x:c r="K82" s="1722"/>
      <x:c r="L82" s="1722"/>
      <x:c r="M82" s="1722"/>
      <x:c r="N82" s="1722"/>
      <x:c r="O82" s="1722"/>
      <x:c r="P82" s="1722"/>
      <x:c r="Q82" s="1722"/>
    </x:row>
    <x:row r="83" spans="1:17">
      <x:c r="A83" s="692" t="s">
        <x:v>428</x:v>
      </x:c>
      <x:c r="C83" s="353" t="s">
        <x:v>617</x:v>
      </x:c>
    </x:row>
    <x:row r="84" spans="1:17">
      <x:c r="A84" s="704" t="s">
        <x:v>429</x:v>
      </x:c>
      <x:c r="C84" s="353" t="s">
        <x:v>2151</x:v>
      </x:c>
      <x:c r="P84" s="671"/>
      <x:c r="Q84" s="705"/>
    </x:row>
    <x:row r="85" spans="1:17">
      <x:c r="A85" s="704" t="s">
        <x:v>430</x:v>
      </x:c>
      <x:c r="C85" s="353" t="s">
        <x:v>2152</x:v>
      </x:c>
      <x:c r="D85" s="676"/>
      <x:c r="E85" s="693"/>
      <x:c r="F85" s="693"/>
      <x:c r="G85" s="671"/>
      <x:c r="J85" s="691"/>
      <x:c r="P85" s="671"/>
      <x:c r="Q85" s="688"/>
    </x:row>
    <x:row r="86" spans="1:17">
      <x:c r="A86" s="692" t="s">
        <x:v>433</x:v>
      </x:c>
      <x:c r="C86" s="742" t="s">
        <x:v>1413</x:v>
      </x:c>
      <x:c r="G86" s="743"/>
    </x:row>
    <x:row r="87" spans="1:17">
      <x:c r="A87" s="692" t="s">
        <x:v>435</x:v>
      </x:c>
      <x:c r="C87" s="353" t="s">
        <x:v>2153</x:v>
      </x:c>
      <x:c r="K87" s="743"/>
    </x:row>
    <x:row r="88" spans="1:17">
      <x:c r="A88" s="692" t="s">
        <x:v>437</x:v>
      </x:c>
      <x:c r="C88" s="353" t="s">
        <x:v>618</x:v>
      </x:c>
    </x:row>
    <x:row r="89" spans="1:17">
      <x:c r="C89" s="353" t="s">
        <x:v>619</x:v>
      </x:c>
    </x:row>
    <x:row r="90" spans="1:17" ht="12.75" customHeight="1">
      <x:c r="A90" s="692" t="s">
        <x:v>438</x:v>
      </x:c>
      <x:c r="C90" s="1719" t="s">
        <x:v>1323</x:v>
      </x:c>
      <x:c r="D90" s="1719"/>
      <x:c r="E90" s="1719"/>
      <x:c r="F90" s="1719"/>
      <x:c r="G90" s="1719"/>
    </x:row>
    <x:row r="98" spans="3:22" ht="14.25">
      <x:c r="D98" s="160"/>
      <x:c r="E98" s="160"/>
      <x:c r="F98" s="160"/>
      <x:c r="G98" s="160"/>
      <x:c r="H98" s="160"/>
      <x:c r="I98" s="160"/>
      <x:c r="J98" s="160"/>
      <x:c r="K98" s="160"/>
      <x:c r="L98" s="160"/>
      <x:c r="M98" s="160"/>
      <x:c r="N98" s="160"/>
      <x:c r="O98" s="160"/>
      <x:c r="P98" s="160"/>
      <x:c r="Q98" s="160"/>
      <x:c r="R98" s="160"/>
      <x:c r="S98" s="160"/>
      <x:c r="T98" s="353"/>
    </x:row>
    <x:row r="99" spans="3:22" ht="14.25">
      <x:c r="D99" s="160"/>
      <x:c r="E99" s="160"/>
      <x:c r="F99" s="160"/>
      <x:c r="G99" s="160"/>
      <x:c r="H99" s="160"/>
      <x:c r="I99" s="160"/>
      <x:c r="J99" s="160"/>
      <x:c r="K99" s="160"/>
      <x:c r="L99" s="160"/>
      <x:c r="M99" s="160"/>
      <x:c r="N99" s="160"/>
      <x:c r="O99" s="160"/>
      <x:c r="P99" s="160"/>
      <x:c r="Q99" s="160"/>
      <x:c r="R99" s="160"/>
      <x:c r="S99" s="160"/>
      <x:c r="T99" s="353"/>
    </x:row>
    <x:row r="100" spans="3:22" ht="14.25">
      <x:c r="C100" s="744"/>
      <x:c r="D100" s="160"/>
      <x:c r="E100" s="160"/>
      <x:c r="F100" s="160"/>
      <x:c r="G100" s="160"/>
      <x:c r="H100" s="160"/>
      <x:c r="I100" s="160"/>
      <x:c r="J100" s="160"/>
      <x:c r="K100" s="160"/>
      <x:c r="L100" s="160"/>
      <x:c r="M100" s="160"/>
      <x:c r="N100" s="160"/>
      <x:c r="O100" s="160"/>
      <x:c r="P100" s="160"/>
      <x:c r="Q100" s="160"/>
      <x:c r="R100" s="160"/>
      <x:c r="S100" s="160"/>
      <x:c r="T100" s="1180"/>
      <x:c r="U100" s="1180"/>
      <x:c r="V100" s="1180"/>
    </x:row>
    <x:row r="101" spans="3:22" ht="14.25">
      <x:c r="C101" s="744"/>
      <x:c r="D101" s="160"/>
      <x:c r="E101" s="160"/>
      <x:c r="F101" s="160"/>
      <x:c r="G101" s="160"/>
      <x:c r="H101" s="160"/>
      <x:c r="I101" s="160"/>
      <x:c r="J101" s="160"/>
      <x:c r="K101" s="160"/>
      <x:c r="L101" s="160"/>
      <x:c r="M101" s="160"/>
      <x:c r="N101" s="160"/>
      <x:c r="O101" s="160"/>
      <x:c r="P101" s="160"/>
      <x:c r="Q101" s="160"/>
      <x:c r="R101" s="160"/>
      <x:c r="S101" s="160"/>
    </x:row>
    <x:row r="102" spans="3:22" ht="14.25">
      <x:c r="C102" s="744"/>
      <x:c r="D102" s="160"/>
      <x:c r="E102" s="160"/>
      <x:c r="F102" s="160"/>
      <x:c r="G102" s="160"/>
      <x:c r="H102" s="160"/>
      <x:c r="I102" s="160"/>
      <x:c r="J102" s="160"/>
      <x:c r="K102" s="160"/>
      <x:c r="L102" s="160"/>
      <x:c r="M102" s="160"/>
      <x:c r="N102" s="160"/>
      <x:c r="O102" s="160"/>
      <x:c r="P102" s="160"/>
      <x:c r="Q102" s="160"/>
      <x:c r="R102" s="160"/>
      <x:c r="S102" s="160"/>
    </x:row>
    <x:row r="103" spans="3:22" ht="14.25">
      <x:c r="C103" s="744"/>
      <x:c r="D103" s="160"/>
      <x:c r="E103" s="160"/>
      <x:c r="F103" s="160"/>
      <x:c r="G103" s="160"/>
      <x:c r="H103" s="160"/>
      <x:c r="I103" s="160"/>
      <x:c r="J103" s="160"/>
      <x:c r="K103" s="160"/>
      <x:c r="L103" s="160"/>
      <x:c r="M103" s="160"/>
      <x:c r="N103" s="160"/>
      <x:c r="O103" s="160"/>
      <x:c r="P103" s="160"/>
      <x:c r="Q103" s="160"/>
      <x:c r="R103" s="160"/>
      <x:c r="S103" s="160"/>
    </x:row>
    <x:row r="104" spans="3:22">
      <x:c r="C104" s="744"/>
    </x:row>
    <x:row r="105" spans="3:22">
      <x:c r="C105" s="744"/>
    </x:row>
    <x:row r="106" spans="3:22">
      <x:c r="C106" s="744"/>
    </x:row>
    <x:row r="107" spans="3:22">
      <x:c r="C107" s="744"/>
    </x:row>
    <x:row r="108" spans="3:22">
      <x:c r="C108" s="744"/>
    </x:row>
    <x:row r="109" spans="3:22">
      <x:c r="C109" s="744"/>
    </x:row>
    <x:row r="110" spans="3:22">
      <x:c r="C110" s="744"/>
    </x:row>
    <x:row r="111" spans="3:22">
      <x:c r="C111" s="744"/>
    </x:row>
  </x:sheetData>
  <x:mergeCells count="12">
    <x:mergeCell ref="A1:Q1"/>
    <x:mergeCell ref="A2:Q2"/>
    <x:mergeCell ref="A3:Q3"/>
    <x:mergeCell ref="C81:Q81"/>
    <x:mergeCell ref="C82:Q82"/>
    <x:mergeCell ref="C90:G90"/>
    <x:mergeCell ref="C74:Q74"/>
    <x:mergeCell ref="C75:Q75"/>
    <x:mergeCell ref="C76:Q76"/>
    <x:mergeCell ref="C78:Q78"/>
    <x:mergeCell ref="C79:Q79"/>
    <x:mergeCell ref="C80:Q80"/>
  </x:mergeCells>
  <x:printOptions horizontalCentered="1"/>
  <x:pageMargins left="0.25" right="0.25" top="0.5" bottom="0.5" header="0.3" footer="0.3"/>
  <x:pageSetup scale="42"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76"/>
  <x:sheetViews>
    <x:sheetView zoomScaleNormal="100" workbookViewId="0">
      <x:pane xSplit="1" ySplit="3" topLeftCell="B4" activePane="bottomRight" state="frozen"/>
      <x:selection activeCell="M30" sqref="M30"/>
      <x:selection pane="topRight" activeCell="M30" sqref="M30"/>
      <x:selection pane="bottomLeft" activeCell="M30" sqref="M30"/>
      <x:selection pane="bottomRight" activeCell="L1" sqref="L1"/>
    </x:sheetView>
  </x:sheetViews>
  <x:sheetFormatPr defaultColWidth="11.42578125" defaultRowHeight="12.75"/>
  <x:cols>
    <x:col min="1" max="1" width="7.7109375" style="353" customWidth="1"/>
    <x:col min="2" max="2" width="62.5703125" style="353" customWidth="1"/>
    <x:col min="3" max="11" width="18.5703125" style="353" customWidth="1"/>
    <x:col min="12" max="12" width="17.42578125" style="353" customWidth="1"/>
    <x:col min="13" max="16384" width="11.42578125" style="353"/>
  </x:cols>
  <x:sheetData>
    <x:row r="1" spans="1:13" s="1118" customFormat="1" ht="18">
      <x:c r="A1" s="1730" t="str">
        <x:f>+'ATT H-3D'!$A$4</x:f>
        <x:v>Delmarva Power &amp; Light Company</x:v>
      </x:c>
      <x:c r="B1" s="1730"/>
      <x:c r="C1" s="1730"/>
      <x:c r="D1" s="1730"/>
      <x:c r="E1" s="1730"/>
      <x:c r="F1" s="1730"/>
      <x:c r="G1" s="1730"/>
      <x:c r="H1" s="1730"/>
      <x:c r="I1" s="1730"/>
      <x:c r="J1" s="1730"/>
      <x:c r="K1" s="1730"/>
      <x:c r="L1" s="1119"/>
    </x:row>
    <x:row r="2" spans="1:13" s="144" customFormat="1" ht="15.75">
      <x:c r="A2" s="1724" t="s">
        <x:v>674</x:v>
      </x:c>
      <x:c r="B2" s="1724"/>
      <x:c r="C2" s="1724"/>
      <x:c r="D2" s="1724"/>
      <x:c r="E2" s="1724"/>
      <x:c r="F2" s="1724"/>
      <x:c r="G2" s="1724"/>
      <x:c r="H2" s="1724"/>
      <x:c r="I2" s="1724"/>
      <x:c r="J2" s="1724"/>
      <x:c r="K2" s="1724"/>
      <x:c r="L2" s="1120"/>
    </x:row>
    <x:row r="3" spans="1:13" s="144" customFormat="1" ht="15.75">
      <x:c r="A3" s="1731" t="s">
        <x:v>1119</x:v>
      </x:c>
      <x:c r="B3" s="1731"/>
      <x:c r="C3" s="1731"/>
      <x:c r="D3" s="1731"/>
      <x:c r="E3" s="1731"/>
      <x:c r="F3" s="1731"/>
      <x:c r="G3" s="1731"/>
      <x:c r="H3" s="1731"/>
      <x:c r="I3" s="1731"/>
      <x:c r="J3" s="1731"/>
      <x:c r="K3" s="1731"/>
      <x:c r="L3" s="1121"/>
    </x:row>
    <x:row r="4" spans="1:13">
      <x:c r="A4" s="745"/>
      <x:c r="E4" s="672"/>
      <x:c r="F4" s="682"/>
      <x:c r="G4" s="682"/>
      <x:c r="I4" s="669"/>
      <x:c r="J4" s="669"/>
      <x:c r="K4" s="669"/>
      <x:c r="L4" s="669"/>
    </x:row>
    <x:row r="5" spans="1:13">
      <x:c r="A5" s="746"/>
      <x:c r="B5" s="742"/>
      <x:c r="C5" s="742"/>
      <x:c r="D5" s="742"/>
      <x:c r="E5" s="742"/>
      <x:c r="F5" s="742"/>
      <x:c r="G5" s="742"/>
      <x:c r="H5" s="742"/>
      <x:c r="I5" s="742"/>
      <x:c r="J5" s="742"/>
      <x:c r="K5" s="747"/>
      <x:c r="L5" s="742"/>
    </x:row>
    <x:row r="6" spans="1:13">
      <x:c r="A6" s="746"/>
      <x:c r="B6" s="742"/>
      <x:c r="C6" s="742"/>
      <x:c r="D6" s="1732" t="s">
        <x:v>620</x:v>
      </x:c>
      <x:c r="E6" s="1733"/>
      <x:c r="F6" s="748"/>
      <x:c r="G6" s="749" t="s">
        <x:v>621</x:v>
      </x:c>
      <x:c r="H6" s="748"/>
      <x:c r="I6" s="750"/>
      <x:c r="J6" s="750"/>
      <x:c r="K6" s="751"/>
    </x:row>
    <x:row r="7" spans="1:13" ht="14.25">
      <x:c r="A7" s="746">
        <x:v>1</x:v>
      </x:c>
      <x:c r="B7" s="742" t="s">
        <x:v>622</x:v>
      </x:c>
      <x:c r="C7" s="742"/>
      <x:c r="D7" s="1734" t="s">
        <x:v>623</x:v>
      </x:c>
      <x:c r="E7" s="1735"/>
      <x:c r="F7" s="752" t="s">
        <x:v>1506</x:v>
      </x:c>
      <x:c r="G7" s="759" t="s">
        <x:v>624</x:v>
      </x:c>
      <x:c r="H7" s="752" t="s">
        <x:v>625</x:v>
      </x:c>
      <x:c r="I7" s="754"/>
      <x:c r="J7" s="754"/>
      <x:c r="K7" s="755"/>
    </x:row>
    <x:row r="8" spans="1:13">
      <x:c r="A8" s="746">
        <x:v>2</x:v>
      </x:c>
      <x:c r="B8" s="748"/>
      <x:c r="C8" s="756"/>
      <x:c r="D8" s="751"/>
      <x:c r="E8" s="756"/>
      <x:c r="F8" s="757">
        <x:f>+E65</x:f>
        <x:v>221430824.93000001</x:v>
      </x:c>
      <x:c r="G8" s="756"/>
      <x:c r="H8" s="751"/>
      <x:c r="I8" s="756"/>
      <x:c r="J8" s="756"/>
      <x:c r="K8" s="756"/>
    </x:row>
    <x:row r="9" spans="1:13">
      <x:c r="B9" s="761" t="s">
        <x:v>9</x:v>
      </x:c>
      <x:c r="C9" s="759" t="s">
        <x:v>10</x:v>
      </x:c>
      <x:c r="D9" s="1432" t="s">
        <x:v>11</x:v>
      </x:c>
      <x:c r="E9" s="753" t="s">
        <x:v>14</x:v>
      </x:c>
      <x:c r="F9" s="1429" t="s">
        <x:v>133</x:v>
      </x:c>
      <x:c r="G9" s="753" t="s">
        <x:v>134</x:v>
      </x:c>
      <x:c r="H9" s="1501" t="s">
        <x:v>135</x:v>
      </x:c>
      <x:c r="I9" s="759" t="s">
        <x:v>492</x:v>
      </x:c>
      <x:c r="J9" s="759" t="s">
        <x:v>428</x:v>
      </x:c>
      <x:c r="K9" s="753" t="s">
        <x:v>429</x:v>
      </x:c>
      <x:c r="M9" s="747"/>
    </x:row>
    <x:row r="10" spans="1:13">
      <x:c r="A10" s="746"/>
      <x:c r="B10" s="756"/>
      <x:c r="C10" s="1430"/>
      <x:c r="D10" s="1430"/>
      <x:c r="E10" s="760" t="s">
        <x:v>626</x:v>
      </x:c>
      <x:c r="F10" s="749"/>
      <x:c r="G10" s="759"/>
      <x:c r="H10" s="748"/>
      <x:c r="I10" s="749"/>
      <x:c r="J10" s="751"/>
      <x:c r="K10" s="756"/>
    </x:row>
    <x:row r="11" spans="1:13">
      <x:c r="A11" s="746"/>
      <x:c r="B11" s="758"/>
      <x:c r="C11" s="1501"/>
      <x:c r="D11" s="1501" t="s">
        <x:v>627</x:v>
      </x:c>
      <x:c r="E11" s="761" t="s">
        <x:v>42</x:v>
      </x:c>
      <x:c r="F11" s="759" t="s">
        <x:v>628</x:v>
      </x:c>
      <x:c r="G11" s="759" t="s">
        <x:v>629</x:v>
      </x:c>
      <x:c r="H11" s="761" t="s">
        <x:v>630</x:v>
      </x:c>
      <x:c r="I11" s="759"/>
      <x:c r="J11" s="1501" t="s">
        <x:v>166</x:v>
      </x:c>
      <x:c r="K11" s="759"/>
    </x:row>
    <x:row r="12" spans="1:13">
      <x:c r="A12" s="746"/>
      <x:c r="B12" s="1725" t="s">
        <x:v>1117</x:v>
      </x:c>
      <x:c r="C12" s="1727" t="s">
        <x:v>1118</x:v>
      </x:c>
      <x:c r="D12" s="1501" t="s">
        <x:v>631</x:v>
      </x:c>
      <x:c r="E12" s="761" t="s">
        <x:v>41</x:v>
      </x:c>
      <x:c r="F12" s="759" t="s">
        <x:v>632</x:v>
      </x:c>
      <x:c r="G12" s="759" t="s">
        <x:v>631</x:v>
      </x:c>
      <x:c r="H12" s="761" t="s">
        <x:v>633</x:v>
      </x:c>
      <x:c r="I12" s="759" t="s">
        <x:v>634</x:v>
      </x:c>
      <x:c r="J12" s="1501" t="s">
        <x:v>635</x:v>
      </x:c>
      <x:c r="K12" s="759" t="s">
        <x:v>636</x:v>
      </x:c>
    </x:row>
    <x:row r="13" spans="1:13" ht="14.25">
      <x:c r="A13" s="746"/>
      <x:c r="B13" s="1726"/>
      <x:c r="C13" s="1728"/>
      <x:c r="D13" s="1432" t="s">
        <x:v>1507</x:v>
      </x:c>
      <x:c r="E13" s="761" t="s">
        <x:v>624</x:v>
      </x:c>
      <x:c r="F13" s="762" t="s">
        <x:v>637</x:v>
      </x:c>
      <x:c r="G13" s="759" t="s">
        <x:v>1508</x:v>
      </x:c>
      <x:c r="H13" s="1431" t="s">
        <x:v>638</x:v>
      </x:c>
      <x:c r="I13" s="753" t="s">
        <x:v>1509</x:v>
      </x:c>
      <x:c r="J13" s="1432" t="s">
        <x:v>1510</x:v>
      </x:c>
      <x:c r="K13" s="753" t="s">
        <x:v>639</x:v>
      </x:c>
    </x:row>
    <x:row r="14" spans="1:13">
      <x:c r="A14" s="746">
        <x:v>3</x:v>
      </x:c>
      <x:c r="B14" s="758" t="s">
        <x:v>590</x:v>
      </x:c>
      <x:c r="C14" s="742" t="s">
        <x:v>590</x:v>
      </x:c>
      <x:c r="D14" s="763">
        <x:v>221810999.40313512</x:v>
      </x:c>
      <x:c r="E14" s="1154">
        <x:f t="shared" ref="E14:E27" si="0">IF(D$40=0,0,D14/D$40)</x:f>
        <x:v>0.94970172839077482</x:v>
      </x:c>
      <x:c r="F14" s="757">
        <x:f>IF(F$8=0,0,E14*F$8)</x:f>
        <x:v>210293237.15501606</x:v>
      </x:c>
      <x:c r="G14" s="1155">
        <x:f t="shared" ref="G14:G26" si="1">+$E$68*E14</x:f>
        <x:v>221810999.40313512</x:v>
      </x:c>
      <x:c r="H14" s="764">
        <x:f>+G14-F14</x:f>
        <x:v>11517762.248119056</x:v>
      </x:c>
      <x:c r="I14" s="765">
        <x:v>0</x:v>
      </x:c>
      <x:c r="J14" s="1155">
        <x:f>+'6B - True-Up Interest '!G36</x:f>
        <x:v>1354488.8403788009</x:v>
      </x:c>
      <x:c r="K14" s="765">
        <x:f>+H14+J14+I14</x:f>
        <x:v>12872251.088497857</x:v>
      </x:c>
    </x:row>
    <x:row r="15" spans="1:13">
      <x:c r="A15" s="746" t="s">
        <x:v>640</x:v>
      </x:c>
      <x:c r="B15" s="766" t="s">
        <x:v>1821</x:v>
      </x:c>
      <x:c r="C15" s="730" t="s">
        <x:v>1822</x:v>
      </x:c>
      <x:c r="D15" s="763">
        <x:v>1639051.2181843217</x:v>
      </x:c>
      <x:c r="E15" s="767">
        <x:f t="shared" si="0"/>
        <x:v>7.0177303155357128E-3</x:v>
      </x:c>
      <x:c r="F15" s="757">
        <x:f t="shared" ref="F15:F23" si="2">IF(F$8=0,0,E15*F$8)</x:f>
        <x:v>1553941.8129053421</x:v>
      </x:c>
      <x:c r="G15" s="763">
        <x:f t="shared" si="1"/>
        <x:v>1639051.2181843217</x:v>
      </x:c>
      <x:c r="H15" s="764">
        <x:f>+G15-F15</x:f>
        <x:v>85109.405278979568</x:v>
      </x:c>
      <x:c r="I15" s="763">
        <x:v>0</x:v>
      </x:c>
      <x:c r="J15" s="763">
        <x:f>+'6B - True-Up Interest '!G37</x:f>
        <x:v>10008.866060807997</x:v>
      </x:c>
      <x:c r="K15" s="765">
        <x:f t="shared" ref="K15:K23" si="3">+H15+J15+I15</x:f>
        <x:v>95118.271339787563</x:v>
      </x:c>
    </x:row>
    <x:row r="16" spans="1:13">
      <x:c r="A16" s="746" t="s">
        <x:v>641</x:v>
      </x:c>
      <x:c r="B16" s="766" t="s">
        <x:v>1823</x:v>
      </x:c>
      <x:c r="C16" s="730" t="s">
        <x:v>1824</x:v>
      </x:c>
      <x:c r="D16" s="763">
        <x:v>345806.7438218242</x:v>
      </x:c>
      <x:c r="E16" s="767">
        <x:f t="shared" si="0"/>
        <x:v>1.4805995337494092E-3</x:v>
      </x:c>
      <x:c r="F16" s="757">
        <x:f t="shared" si="2"/>
        <x:v>327850.37614910508</x:v>
      </x:c>
      <x:c r="G16" s="763">
        <x:f t="shared" si="1"/>
        <x:v>345806.7438218242</x:v>
      </x:c>
      <x:c r="H16" s="764">
        <x:f t="shared" ref="H16:H23" si="4">+G16-F16</x:f>
        <x:v>17956.36767271912</x:v>
      </x:c>
      <x:c r="I16" s="763">
        <x:v>0</x:v>
      </x:c>
      <x:c r="J16" s="763">
        <x:f>+'6B - True-Up Interest '!G38</x:f>
        <x:v>2111.6688383117685</x:v>
      </x:c>
      <x:c r="K16" s="765">
        <x:f t="shared" si="3"/>
        <x:v>20068.036511030889</x:v>
      </x:c>
    </x:row>
    <x:row r="17" spans="1:11">
      <x:c r="A17" s="746" t="s">
        <x:v>642</x:v>
      </x:c>
      <x:c r="B17" s="766" t="s">
        <x:v>1823</x:v>
      </x:c>
      <x:c r="C17" s="730" t="s">
        <x:v>1825</x:v>
      </x:c>
      <x:c r="D17" s="763">
        <x:v>269887.24805508018</x:v>
      </x:c>
      <x:c r="E17" s="767">
        <x:f t="shared" si="0"/>
        <x:v>1.1555440741813667E-3</x:v>
      </x:c>
      <x:c r="F17" s="757">
        <x:f t="shared" si="2"/>
        <x:v>255873.07758895314</x:v>
      </x:c>
      <x:c r="G17" s="763">
        <x:f t="shared" si="1"/>
        <x:v>269887.24805508018</x:v>
      </x:c>
      <x:c r="H17" s="764">
        <x:f t="shared" si="4"/>
        <x:v>14014.170466127049</x:v>
      </x:c>
      <x:c r="I17" s="763">
        <x:v>0</x:v>
      </x:c>
      <x:c r="J17" s="763">
        <x:f>+'6B - True-Up Interest '!G39</x:f>
        <x:v>1648.066446816541</x:v>
      </x:c>
      <x:c r="K17" s="765">
        <x:f t="shared" si="3"/>
        <x:v>15662.23691294359</x:v>
      </x:c>
    </x:row>
    <x:row r="18" spans="1:11">
      <x:c r="A18" s="746" t="s">
        <x:v>643</x:v>
      </x:c>
      <x:c r="B18" s="766" t="s">
        <x:v>1910</x:v>
      </x:c>
      <x:c r="C18" s="730" t="s">
        <x:v>1826</x:v>
      </x:c>
      <x:c r="D18" s="763">
        <x:v>732260.42726905749</x:v>
      </x:c>
      <x:c r="E18" s="767">
        <x:f t="shared" si="0"/>
        <x:v>3.1352322259982652E-3</x:v>
      </x:c>
      <x:c r="F18" s="757">
        <x:f t="shared" si="2"/>
        <x:v>694237.05814991612</x:v>
      </x:c>
      <x:c r="G18" s="763">
        <x:f t="shared" si="1"/>
        <x:v>732260.42726905749</x:v>
      </x:c>
      <x:c r="H18" s="764">
        <x:f t="shared" si="4"/>
        <x:v>38023.369119141367</x:v>
      </x:c>
      <x:c r="I18" s="763">
        <x:v>0</x:v>
      </x:c>
      <x:c r="J18" s="763">
        <x:f>+'6B - True-Up Interest '!G40</x:f>
        <x:v>4471.5482084110245</x:v>
      </x:c>
      <x:c r="K18" s="765">
        <x:f t="shared" si="3"/>
        <x:v>42494.917327552394</x:v>
      </x:c>
    </x:row>
    <x:row r="19" spans="1:11">
      <x:c r="A19" s="746" t="s">
        <x:v>644</x:v>
      </x:c>
      <x:c r="B19" s="766" t="s">
        <x:v>1827</x:v>
      </x:c>
      <x:c r="C19" s="730" t="s">
        <x:v>1828</x:v>
      </x:c>
      <x:c r="D19" s="763">
        <x:v>967321.28045512352</x:v>
      </x:c>
      <x:c r="E19" s="767">
        <x:f t="shared" si="0"/>
        <x:v>4.1416642746726819E-3</x:v>
      </x:c>
      <x:c r="F19" s="757">
        <x:f t="shared" si="2"/>
        <x:v>917092.13692388206</x:v>
      </x:c>
      <x:c r="G19" s="763">
        <x:f t="shared" si="1"/>
        <x:v>967321.28045512352</x:v>
      </x:c>
      <x:c r="H19" s="764">
        <x:f t="shared" si="4"/>
        <x:v>50229.143531241454</x:v>
      </x:c>
      <x:c r="I19" s="763">
        <x:v>0</x:v>
      </x:c>
      <x:c r="J19" s="763">
        <x:f>+'6B - True-Up Interest '!G41</x:f>
        <x:v>5906.9472792739953</x:v>
      </x:c>
      <x:c r="K19" s="765">
        <x:f t="shared" si="3"/>
        <x:v>56136.090810515452</x:v>
      </x:c>
    </x:row>
    <x:row r="20" spans="1:11">
      <x:c r="A20" s="746" t="s">
        <x:v>645</x:v>
      </x:c>
      <x:c r="B20" s="766" t="s">
        <x:v>1829</x:v>
      </x:c>
      <x:c r="C20" s="730" t="s">
        <x:v>1830</x:v>
      </x:c>
      <x:c r="D20" s="763">
        <x:v>1665057.0117044433</x:v>
      </x:c>
      <x:c r="E20" s="767">
        <x:f t="shared" si="0"/>
        <x:v>7.1290762231809223E-3</x:v>
      </x:c>
      <x:c r="F20" s="757">
        <x:f t="shared" si="2"/>
        <x:v>1578597.2290878005</x:v>
      </x:c>
      <x:c r="G20" s="763">
        <x:f t="shared" si="1"/>
        <x:v>1665057.0117044433</x:v>
      </x:c>
      <x:c r="H20" s="764">
        <x:f t="shared" si="4"/>
        <x:v>86459.782616642769</x:v>
      </x:c>
      <x:c r="I20" s="763">
        <x:v>0</x:v>
      </x:c>
      <x:c r="J20" s="763">
        <x:f>+'6B - True-Up Interest '!G42</x:f>
        <x:v>10167.670435717189</x:v>
      </x:c>
      <x:c r="K20" s="765">
        <x:f t="shared" si="3"/>
        <x:v>96627.453052359953</x:v>
      </x:c>
    </x:row>
    <x:row r="21" spans="1:11">
      <x:c r="A21" s="746" t="s">
        <x:v>646</x:v>
      </x:c>
      <x:c r="B21" s="766" t="s">
        <x:v>1831</x:v>
      </x:c>
      <x:c r="C21" s="730" t="s">
        <x:v>1832</x:v>
      </x:c>
      <x:c r="D21" s="763">
        <x:v>782731.17570251552</x:v>
      </x:c>
      <x:c r="E21" s="767">
        <x:f t="shared" si="0"/>
        <x:v>3.3513268162097981E-3</x:v>
      </x:c>
      <x:c r="F21" s="757">
        <x:f t="shared" si="2"/>
        <x:v>742087.06152336614</x:v>
      </x:c>
      <x:c r="G21" s="763">
        <x:f t="shared" si="1"/>
        <x:v>782731.17570251552</x:v>
      </x:c>
      <x:c r="H21" s="764">
        <x:f t="shared" si="4"/>
        <x:v>40644.114179149386</x:v>
      </x:c>
      <x:c r="I21" s="763">
        <x:v>0</x:v>
      </x:c>
      <x:c r="J21" s="763">
        <x:f>+'6B - True-Up Interest '!G43</x:f>
        <x:v>4779.7478274679679</x:v>
      </x:c>
      <x:c r="K21" s="765">
        <x:f t="shared" si="3"/>
        <x:v>45423.862006617353</x:v>
      </x:c>
    </x:row>
    <x:row r="22" spans="1:11" ht="12.75" customHeight="1">
      <x:c r="A22" s="746" t="s">
        <x:v>647</x:v>
      </x:c>
      <x:c r="B22" s="766" t="s">
        <x:v>1833</x:v>
      </x:c>
      <x:c r="C22" s="730" t="s">
        <x:v>1834</x:v>
      </x:c>
      <x:c r="D22" s="763">
        <x:v>24715.868925235674</x:v>
      </x:c>
      <x:c r="E22" s="767">
        <x:f t="shared" si="0"/>
        <x:v>1.0582299119582974E-4</x:v>
      </x:c>
      <x:c r="F22" s="757">
        <x:f t="shared" si="2"/>
        <x:v>23432.472237052705</x:v>
      </x:c>
      <x:c r="G22" s="763">
        <x:f t="shared" si="1"/>
        <x:v>24715.868925235674</x:v>
      </x:c>
      <x:c r="H22" s="764">
        <x:f t="shared" si="4"/>
        <x:v>1283.3966881829692</x:v>
      </x:c>
      <x:c r="I22" s="763">
        <x:v>0</x:v>
      </x:c>
      <x:c r="J22" s="763">
        <x:f>+'6B - True-Up Interest '!G44</x:f>
        <x:v>150.92745053031717</x:v>
      </x:c>
      <x:c r="K22" s="765">
        <x:f t="shared" si="3"/>
        <x:v>1434.3241387132864</x:v>
      </x:c>
    </x:row>
    <x:row r="23" spans="1:11">
      <x:c r="A23" s="746" t="s">
        <x:v>648</x:v>
      </x:c>
      <x:c r="B23" s="766" t="s">
        <x:v>1835</x:v>
      </x:c>
      <x:c r="C23" s="730" t="s">
        <x:v>1836</x:v>
      </x:c>
      <x:c r="D23" s="763">
        <x:v>574008.00676136476</x:v>
      </x:c>
      <x:c r="E23" s="767">
        <x:f t="shared" si="0"/>
        <x:v>2.4576616921536966E-3</x:v>
      </x:c>
      <x:c r="F23" s="757">
        <x:f t="shared" si="2"/>
        <x:v>544202.05589245283</x:v>
      </x:c>
      <x:c r="G23" s="763">
        <x:f t="shared" si="1"/>
        <x:v>574008.00676136476</x:v>
      </x:c>
      <x:c r="H23" s="764">
        <x:f t="shared" si="4"/>
        <x:v>29805.950868911925</x:v>
      </x:c>
      <x:c r="I23" s="763">
        <x:v>0</x:v>
      </x:c>
      <x:c r="J23" s="763">
        <x:f>+'6B - True-Up Interest '!G45</x:f>
        <x:v>3505.1798221840422</x:v>
      </x:c>
      <x:c r="K23" s="765">
        <x:f t="shared" si="3"/>
        <x:v>33311.130691095968</x:v>
      </x:c>
    </x:row>
    <x:row r="24" spans="1:11">
      <x:c r="A24" s="746" t="s">
        <x:v>649</x:v>
      </x:c>
      <x:c r="B24" s="766" t="s">
        <x:v>1837</x:v>
      </x:c>
      <x:c r="C24" s="730" t="s">
        <x:v>1838</x:v>
      </x:c>
      <x:c r="D24" s="763">
        <x:v>1974167.7945311521</x:v>
      </x:c>
      <x:c r="E24" s="767">
        <x:f t="shared" si="0"/>
        <x:v>8.4525590328914033E-3</x:v>
      </x:c>
      <x:c r="F24" s="757">
        <x:f t="shared" ref="F24:F26" si="5">IF(F$8=0,0,E24*F$8)</x:f>
        <x:v>1871657.1194226665</x:v>
      </x:c>
      <x:c r="G24" s="763">
        <x:f t="shared" si="1"/>
        <x:v>1974167.7945311524</x:v>
      </x:c>
      <x:c r="H24" s="764">
        <x:f t="shared" ref="H24:H26" si="6">+G24-F24</x:f>
        <x:v>102510.67510848586</x:v>
      </x:c>
      <x:c r="I24" s="763">
        <x:v>0</x:v>
      </x:c>
      <x:c r="J24" s="763">
        <x:f>+'6B - True-Up Interest '!G46</x:f>
        <x:v>12055.255392757936</x:v>
      </x:c>
      <x:c r="K24" s="765">
        <x:f t="shared" ref="K24:K26" si="7">+H24+J24+I24</x:f>
        <x:v>114565.9305012438</x:v>
      </x:c>
    </x:row>
    <x:row r="25" spans="1:11">
      <x:c r="A25" s="746" t="s">
        <x:v>650</x:v>
      </x:c>
      <x:c r="B25" s="766" t="s">
        <x:v>1839</x:v>
      </x:c>
      <x:c r="C25" s="730" t="s">
        <x:v>1840</x:v>
      </x:c>
      <x:c r="D25" s="763">
        <x:v>1220307.3345264087</x:v>
      </x:c>
      <x:c r="E25" s="767">
        <x:f t="shared" si="0"/>
        <x:v>5.2248445202726463E-3</x:v>
      </x:c>
      <x:c r="F25" s="757">
        <x:f t="shared" si="5"/>
        <x:v>1156941.6322549621</x:v>
      </x:c>
      <x:c r="G25" s="763">
        <x:f t="shared" si="1"/>
        <x:v>1220307.3345264087</x:v>
      </x:c>
      <x:c r="H25" s="764">
        <x:f t="shared" si="6"/>
        <x:v>63365.702271446586</x:v>
      </x:c>
      <x:c r="I25" s="763">
        <x:v>0</x:v>
      </x:c>
      <x:c r="J25" s="763">
        <x:f>+'6B - True-Up Interest '!G47</x:f>
        <x:v>7451.8065871221179</x:v>
      </x:c>
      <x:c r="K25" s="765">
        <x:f t="shared" si="7"/>
        <x:v>70817.508858568704</x:v>
      </x:c>
    </x:row>
    <x:row r="26" spans="1:11">
      <x:c r="A26" s="746" t="s">
        <x:v>651</x:v>
      </x:c>
      <x:c r="B26" s="766" t="s">
        <x:v>2159</x:v>
      </x:c>
      <x:c r="C26" s="730" t="s">
        <x:v>1841</x:v>
      </x:c>
      <x:c r="D26" s="763">
        <x:v>827810.87511594035</x:v>
      </x:c>
      <x:c r="E26" s="767">
        <x:f t="shared" si="0"/>
        <x:v>3.5443391941507862E-3</x:v>
      </x:c>
      <x:c r="F26" s="757">
        <x:f t="shared" si="5"/>
        <x:v>784825.95159254002</x:v>
      </x:c>
      <x:c r="G26" s="763">
        <x:f t="shared" si="1"/>
        <x:v>827810.87511594035</x:v>
      </x:c>
      <x:c r="H26" s="764">
        <x:f t="shared" si="6"/>
        <x:v>42984.923523400328</x:v>
      </x:c>
      <x:c r="I26" s="763">
        <x:v>0</x:v>
      </x:c>
      <x:c r="J26" s="763">
        <x:f>+'6B - True-Up Interest '!G48</x:f>
        <x:v>5055.0270063518783</x:v>
      </x:c>
      <x:c r="K26" s="765">
        <x:f t="shared" si="7"/>
        <x:v>48039.950529752205</x:v>
      </x:c>
    </x:row>
    <x:row r="27" spans="1:11" ht="76.5">
      <x:c r="A27" s="746" t="s">
        <x:v>652</x:v>
      </x:c>
      <x:c r="B27" s="1166" t="s">
        <x:v>2160</x:v>
      </x:c>
      <x:c r="C27" s="730" t="s">
        <x:v>1842</x:v>
      </x:c>
      <x:c r="D27" s="763">
        <x:v>724468.55970928958</x:v>
      </x:c>
      <x:c r="E27" s="767">
        <x:f t="shared" si="0"/>
        <x:v>3.1018707150325515E-3</x:v>
      </x:c>
      <x:c r="F27" s="757">
        <x:f t="shared" ref="F27" si="8">IF(F$8=0,0,E27*F$8)</x:f>
        <x:v>686849.79125586688</x:v>
      </x:c>
      <x:c r="G27" s="763">
        <x:f t="shared" ref="G27" si="9">+$E$68*E27</x:f>
        <x:v>724468.55970928958</x:v>
      </x:c>
      <x:c r="H27" s="764">
        <x:f t="shared" ref="H27" si="10">+G27-F27</x:f>
        <x:v>37618.768453422701</x:v>
      </x:c>
      <x:c r="I27" s="763">
        <x:v>0</x:v>
      </x:c>
      <x:c r="J27" s="763">
        <x:f>+'6B - True-Up Interest '!G49</x:f>
        <x:v>4423.9671701225097</x:v>
      </x:c>
      <x:c r="K27" s="765">
        <x:f t="shared" ref="K27" si="11">+H27+J27+I27</x:f>
        <x:v>42042.73562354521</x:v>
      </x:c>
    </x:row>
    <x:row r="28" spans="1:11">
      <x:c r="A28" s="746" t="s">
        <x:v>653</x:v>
      </x:c>
      <x:c r="B28" s="766" t="s">
        <x:v>2154</x:v>
      </x:c>
      <x:c r="C28" s="730"/>
      <x:c r="D28" s="763"/>
      <x:c r="E28" s="767"/>
      <x:c r="F28" s="757"/>
      <x:c r="G28" s="763"/>
      <x:c r="H28" s="764"/>
      <x:c r="I28" s="763">
        <x:v>-195747.40183403969</x:v>
      </x:c>
      <x:c r="J28" s="763">
        <x:f>+'6B - True-Up Interest '!G50</x:f>
        <x:v>-23019.894455683065</x:v>
      </x:c>
      <x:c r="K28" s="765">
        <x:f t="shared" ref="K28:K31" si="12">+H28+J28+I28</x:f>
        <x:v>-218767.29628972276</x:v>
      </x:c>
    </x:row>
    <x:row r="29" spans="1:11">
      <x:c r="A29" s="746" t="s">
        <x:v>654</x:v>
      </x:c>
      <x:c r="B29" s="766" t="s">
        <x:v>1912</x:v>
      </x:c>
      <x:c r="C29" s="730"/>
      <x:c r="D29" s="763"/>
      <x:c r="E29" s="767"/>
      <x:c r="F29" s="757"/>
      <x:c r="G29" s="763"/>
      <x:c r="H29" s="764"/>
      <x:c r="I29" s="763">
        <x:v>-7175.0619479119778</x:v>
      </x:c>
      <x:c r="J29" s="763">
        <x:f>+'6B - True-Up Interest '!G51</x:f>
        <x:v>-843.78728507444862</x:v>
      </x:c>
      <x:c r="K29" s="765">
        <x:f t="shared" si="12"/>
        <x:v>-8018.8492329864266</x:v>
      </x:c>
    </x:row>
    <x:row r="30" spans="1:11">
      <x:c r="A30" s="746" t="s">
        <x:v>655</x:v>
      </x:c>
      <x:c r="B30" s="766" t="s">
        <x:v>2155</x:v>
      </x:c>
      <x:c r="C30" s="730"/>
      <x:c r="D30" s="763"/>
      <x:c r="E30" s="767"/>
      <x:c r="F30" s="757"/>
      <x:c r="G30" s="763"/>
      <x:c r="H30" s="764"/>
      <x:c r="I30" s="763">
        <x:v>-1315045.4156008104</x:v>
      </x:c>
      <x:c r="J30" s="763"/>
      <x:c r="K30" s="765">
        <x:f t="shared" si="12"/>
        <x:v>-1315045.4156008104</x:v>
      </x:c>
    </x:row>
    <x:row r="31" spans="1:11">
      <x:c r="A31" s="746" t="s">
        <x:v>656</x:v>
      </x:c>
      <x:c r="B31" s="798" t="s">
        <x:v>2156</x:v>
      </x:c>
      <x:c r="C31" s="1165"/>
      <x:c r="D31" s="763"/>
      <x:c r="E31" s="767"/>
      <x:c r="F31" s="757"/>
      <x:c r="G31" s="763"/>
      <x:c r="H31" s="764"/>
      <x:c r="I31" s="763">
        <x:v>-108803.79588365555</x:v>
      </x:c>
      <x:c r="J31" s="763">
        <x:f>+'6B - True-Up Interest '!G52</x:f>
        <x:v>-12795.326395917893</x:v>
      </x:c>
      <x:c r="K31" s="765">
        <x:f t="shared" si="12"/>
        <x:v>-121599.12227957344</x:v>
      </x:c>
    </x:row>
    <x:row r="32" spans="1:11" s="1346" customFormat="1">
      <x:c r="A32" s="746" t="s">
        <x:v>657</x:v>
      </x:c>
      <x:c r="B32" s="1391"/>
      <x:c r="C32" s="1565"/>
      <x:c r="D32" s="1343"/>
      <x:c r="E32" s="799"/>
      <x:c r="F32" s="602"/>
      <x:c r="G32" s="1343"/>
      <x:c r="H32" s="1344"/>
      <x:c r="I32" s="1343"/>
      <x:c r="J32" s="1343"/>
      <x:c r="K32" s="1345"/>
    </x:row>
    <x:row r="33" spans="1:12" s="1346" customFormat="1">
      <x:c r="A33" s="746" t="s">
        <x:v>658</x:v>
      </x:c>
      <x:c r="B33" s="1341"/>
      <x:c r="C33" s="1342"/>
      <x:c r="D33" s="1343"/>
      <x:c r="E33" s="799"/>
      <x:c r="F33" s="602"/>
      <x:c r="G33" s="1343"/>
      <x:c r="H33" s="1344"/>
      <x:c r="I33" s="1343"/>
      <x:c r="J33" s="1343"/>
      <x:c r="K33" s="1345"/>
    </x:row>
    <x:row r="34" spans="1:12" s="1346" customFormat="1">
      <x:c r="A34" s="746" t="s">
        <x:v>659</x:v>
      </x:c>
      <x:c r="B34" s="1341"/>
      <x:c r="C34" s="1342"/>
      <x:c r="D34" s="1343"/>
      <x:c r="E34" s="799"/>
      <x:c r="F34" s="602"/>
      <x:c r="G34" s="1343"/>
      <x:c r="H34" s="1344"/>
      <x:c r="I34" s="1343"/>
      <x:c r="J34" s="1343"/>
      <x:c r="K34" s="1345"/>
    </x:row>
    <x:row r="35" spans="1:12" s="1346" customFormat="1">
      <x:c r="A35" s="746" t="s">
        <x:v>660</x:v>
      </x:c>
      <x:c r="B35" s="1341"/>
      <x:c r="C35" s="1342"/>
      <x:c r="D35" s="1343"/>
      <x:c r="E35" s="799"/>
      <x:c r="F35" s="602"/>
      <x:c r="G35" s="1343"/>
      <x:c r="H35" s="1344"/>
      <x:c r="I35" s="1343"/>
      <x:c r="J35" s="1343"/>
      <x:c r="K35" s="1345"/>
    </x:row>
    <x:row r="36" spans="1:12" s="1346" customFormat="1">
      <x:c r="A36" s="746" t="s">
        <x:v>661</x:v>
      </x:c>
      <x:c r="B36" s="1341"/>
      <x:c r="C36" s="1342"/>
      <x:c r="D36" s="1347"/>
      <x:c r="E36" s="799"/>
      <x:c r="F36" s="602"/>
      <x:c r="G36" s="1343"/>
      <x:c r="H36" s="1344"/>
      <x:c r="I36" s="1343"/>
      <x:c r="J36" s="1343"/>
      <x:c r="K36" s="1345"/>
    </x:row>
    <x:row r="37" spans="1:12" s="1346" customFormat="1">
      <x:c r="A37" s="746" t="s">
        <x:v>662</x:v>
      </x:c>
      <x:c r="B37" s="1348"/>
      <x:c r="C37" s="1349"/>
      <x:c r="D37" s="1347"/>
      <x:c r="E37" s="799"/>
      <x:c r="F37" s="795"/>
      <x:c r="G37" s="1343"/>
      <x:c r="H37" s="1344"/>
      <x:c r="I37" s="1343"/>
      <x:c r="J37" s="1343"/>
      <x:c r="K37" s="1345"/>
    </x:row>
    <x:row r="38" spans="1:12" s="1346" customFormat="1" ht="13.5" customHeight="1">
      <x:c r="A38" s="746" t="s">
        <x:v>663</x:v>
      </x:c>
      <x:c r="B38" s="1348"/>
      <x:c r="C38" s="1349"/>
      <x:c r="D38" s="1347"/>
      <x:c r="E38" s="799"/>
      <x:c r="F38" s="795"/>
      <x:c r="G38" s="1347"/>
      <x:c r="H38" s="799"/>
      <x:c r="I38" s="1347"/>
      <x:c r="J38" s="1347"/>
      <x:c r="K38" s="1350"/>
    </x:row>
    <x:row r="39" spans="1:12">
      <x:c r="A39" s="746"/>
      <x:c r="B39" s="769"/>
      <x:c r="C39" s="754"/>
      <x:c r="D39" s="770"/>
      <x:c r="E39" s="771"/>
      <x:c r="F39" s="754"/>
      <x:c r="G39" s="770"/>
      <x:c r="H39" s="755"/>
      <x:c r="I39" s="769"/>
      <x:c r="J39" s="769"/>
      <x:c r="K39" s="769"/>
    </x:row>
    <x:row r="40" spans="1:12">
      <x:c r="A40" s="746">
        <x:v>4</x:v>
      </x:c>
      <x:c r="B40" s="742" t="s">
        <x:v>664</x:v>
      </x:c>
      <x:c r="C40" s="742"/>
      <x:c r="D40" s="524">
        <x:f>SUM(D14:D39)</x:f>
        <x:v>233558592.9478969</x:v>
      </x:c>
      <x:c r="E40" s="587">
        <x:f>SUM(E14:E39)</x:f>
        <x:v>1</x:v>
      </x:c>
      <x:c r="F40" s="524">
        <x:f>SUM(F14:F39)</x:f>
        <x:v>221430824.92999998</x:v>
      </x:c>
      <x:c r="G40" s="524">
        <x:f>SUM(G14:G39)</x:f>
        <x:v>233558592.9478969</x:v>
      </x:c>
      <x:c r="H40" s="524">
        <x:f>SUM(H14:H39)</x:f>
        <x:v>12127768.017896906</x:v>
      </x:c>
      <x:c r="I40" s="587"/>
      <x:c r="J40" s="524">
        <x:f>SUM(J14:J39)</x:f>
        <x:v>1389566.510768001</x:v>
      </x:c>
      <x:c r="K40" s="524">
        <x:f>SUM(K14:K39)</x:f>
        <x:v>11890562.853398491</x:v>
      </x:c>
    </x:row>
    <x:row r="41" spans="1:12">
      <x:c r="A41" s="746"/>
      <x:c r="B41" s="742"/>
      <x:c r="C41" s="742"/>
      <x:c r="D41" s="587"/>
      <x:c r="E41" s="587"/>
      <x:c r="F41" s="587"/>
      <x:c r="G41" s="587"/>
      <x:c r="H41" s="587"/>
      <x:c r="I41" s="587"/>
      <x:c r="J41" s="587"/>
      <x:c r="K41" s="587"/>
    </x:row>
    <x:row r="42" spans="1:12">
      <x:c r="A42" s="746"/>
      <x:c r="B42" s="742"/>
      <x:c r="C42" s="742"/>
      <x:c r="D42" s="587"/>
      <x:c r="E42" s="587"/>
      <x:c r="F42" s="587"/>
      <x:c r="G42" s="587" t="s">
        <x:v>665</x:v>
      </x:c>
      <x:c r="H42" s="587"/>
      <x:c r="I42" s="587"/>
      <x:c r="J42" s="772">
        <x:f>'6B - True-Up Interest '!E26</x:f>
        <x:v>6.9176470588235292E-3</x:v>
      </x:c>
      <x:c r="K42" s="587"/>
    </x:row>
    <x:row r="43" spans="1:12">
      <x:c r="A43" s="746"/>
      <x:c r="B43" s="742"/>
      <x:c r="C43" s="742"/>
      <x:c r="D43" s="587"/>
      <x:c r="E43" s="587"/>
      <x:c r="F43" s="587"/>
      <x:c r="G43" s="587" t="s">
        <x:v>666</x:v>
      </x:c>
      <x:c r="H43" s="587"/>
      <x:c r="I43" s="587"/>
      <x:c r="J43" s="524">
        <x:f>+J40</x:f>
        <x:v>1389566.510768001</x:v>
      </x:c>
      <x:c r="K43" s="587"/>
    </x:row>
    <x:row r="44" spans="1:12">
      <x:c r="A44" s="746"/>
      <x:c r="B44" s="742" t="s">
        <x:v>489</x:v>
      </x:c>
      <x:c r="C44" s="742"/>
      <x:c r="D44" s="742"/>
      <x:c r="E44" s="742"/>
      <x:c r="F44" s="742"/>
      <x:c r="G44" s="742"/>
      <x:c r="H44" s="742"/>
      <x:c r="I44" s="742"/>
      <x:c r="J44" s="742"/>
      <x:c r="K44" s="742"/>
      <x:c r="L44" s="742"/>
    </x:row>
    <x:row r="45" spans="1:12">
      <x:c r="A45" s="746"/>
      <x:c r="B45" s="742" t="s">
        <x:v>780</x:v>
      </x:c>
      <x:c r="C45" s="742"/>
      <x:c r="D45" s="742"/>
      <x:c r="E45" s="742"/>
      <x:c r="F45" s="742"/>
      <x:c r="G45" s="742"/>
      <x:c r="H45" s="742"/>
      <x:c r="I45" s="742"/>
      <x:c r="J45" s="742"/>
      <x:c r="K45" s="742"/>
      <x:c r="L45" s="742"/>
    </x:row>
    <x:row r="46" spans="1:12">
      <x:c r="A46" s="746"/>
      <x:c r="B46" s="742" t="s">
        <x:v>781</x:v>
      </x:c>
      <x:c r="C46" s="742"/>
      <x:c r="D46" s="742"/>
      <x:c r="E46" s="742"/>
      <x:c r="F46" s="742"/>
      <x:c r="G46" s="742"/>
      <x:c r="H46" s="742"/>
      <x:c r="I46" s="742"/>
      <x:c r="J46" s="742"/>
      <x:c r="K46" s="742"/>
      <x:c r="L46" s="742"/>
    </x:row>
    <x:row r="47" spans="1:12">
      <x:c r="A47" s="746"/>
      <x:c r="B47" s="742" t="s">
        <x:v>667</x:v>
      </x:c>
      <x:c r="C47" s="742"/>
      <x:c r="D47" s="742"/>
      <x:c r="E47" s="742"/>
      <x:c r="F47" s="742"/>
      <x:c r="G47" s="742"/>
      <x:c r="H47" s="742"/>
      <x:c r="I47" s="742"/>
      <x:c r="J47" s="742"/>
      <x:c r="K47" s="742"/>
      <x:c r="L47" s="742"/>
    </x:row>
    <x:row r="48" spans="1:12">
      <x:c r="A48" s="746"/>
      <x:c r="B48" s="353" t="s">
        <x:v>668</x:v>
      </x:c>
      <x:c r="C48" s="742"/>
      <x:c r="D48" s="742"/>
      <x:c r="E48" s="742"/>
      <x:c r="F48" s="742"/>
      <x:c r="G48" s="742"/>
      <x:c r="H48" s="742"/>
      <x:c r="I48" s="742"/>
      <x:c r="J48" s="742"/>
      <x:c r="K48" s="742"/>
      <x:c r="L48" s="742"/>
    </x:row>
    <x:row r="49" spans="1:12">
      <x:c r="A49" s="746"/>
      <x:c r="B49" s="353" t="s">
        <x:v>669</x:v>
      </x:c>
      <x:c r="C49" s="742"/>
      <x:c r="D49" s="742"/>
      <x:c r="E49" s="742"/>
      <x:c r="F49" s="742"/>
      <x:c r="G49" s="742"/>
      <x:c r="H49" s="742"/>
      <x:c r="I49" s="742"/>
      <x:c r="J49" s="742"/>
      <x:c r="K49" s="742"/>
      <x:c r="L49" s="742"/>
    </x:row>
    <x:row r="50" spans="1:12">
      <x:c r="A50" s="746"/>
      <x:c r="B50" s="742" t="s">
        <x:v>670</x:v>
      </x:c>
      <x:c r="C50" s="742"/>
      <x:c r="D50" s="742"/>
      <x:c r="E50" s="742"/>
      <x:c r="F50" s="742"/>
      <x:c r="G50" s="742"/>
      <x:c r="H50" s="742"/>
      <x:c r="I50" s="742"/>
      <x:c r="J50" s="742"/>
      <x:c r="K50" s="742"/>
      <x:c r="L50" s="742"/>
    </x:row>
    <x:row r="51" spans="1:12">
      <x:c r="A51" s="746"/>
      <x:c r="B51" s="773" t="s">
        <x:v>2177</x:v>
      </x:c>
      <x:c r="C51" s="742"/>
      <x:c r="D51" s="742"/>
      <x:c r="E51" s="742"/>
      <x:c r="F51" s="742"/>
      <x:c r="G51" s="742"/>
      <x:c r="H51" s="742"/>
      <x:c r="I51" s="742"/>
      <x:c r="J51" s="742"/>
      <x:c r="K51" s="742"/>
      <x:c r="L51" s="742"/>
    </x:row>
    <x:row r="52" spans="1:12">
      <x:c r="A52" s="746"/>
      <x:c r="J52" s="742"/>
      <x:c r="K52" s="742"/>
      <x:c r="L52" s="742"/>
    </x:row>
    <x:row r="53" spans="1:12">
      <x:c r="A53" s="746"/>
      <x:c r="D53" s="774"/>
      <x:c r="E53" s="774"/>
      <x:c r="F53" s="774"/>
      <x:c r="G53" s="774"/>
      <x:c r="H53" s="774"/>
    </x:row>
    <x:row r="54" spans="1:12">
      <x:c r="A54" s="775" t="s">
        <x:v>671</x:v>
      </x:c>
      <x:c r="D54" s="774"/>
      <x:c r="E54" s="774"/>
      <x:c r="F54" s="774"/>
      <x:c r="G54" s="774"/>
      <x:c r="H54" s="774"/>
    </x:row>
    <x:row r="55" spans="1:12">
      <x:c r="A55" s="746"/>
      <x:c r="B55" s="693" t="s">
        <x:v>460</x:v>
      </x:c>
      <x:c r="C55" s="776" t="s">
        <x:v>461</x:v>
      </x:c>
      <x:c r="D55" s="693" t="s">
        <x:v>462</x:v>
      </x:c>
      <x:c r="E55" s="693" t="s">
        <x:v>463</x:v>
      </x:c>
      <x:c r="F55" s="693"/>
    </x:row>
    <x:row r="56" spans="1:12">
      <x:c r="A56" s="746"/>
      <x:c r="B56" s="777" t="str">
        <x:f>+A54</x:f>
        <x:v>Prior Period Adjustments</x:v>
      </x:c>
      <x:c r="C56" s="778" t="s">
        <x:v>106</x:v>
      </x:c>
      <x:c r="D56" s="778" t="s">
        <x:v>166</x:v>
      </x:c>
      <x:c r="E56" s="778" t="s">
        <x:v>42</x:v>
      </x:c>
    </x:row>
    <x:row r="57" spans="1:12">
      <x:c r="A57" s="746"/>
      <x:c r="B57" s="779" t="s">
        <x:v>285</x:v>
      </x:c>
      <x:c r="C57" s="762" t="s">
        <x:v>672</x:v>
      </x:c>
      <x:c r="D57" s="779" t="s">
        <x:v>285</x:v>
      </x:c>
      <x:c r="E57" s="762" t="s">
        <x:v>673</x:v>
      </x:c>
    </x:row>
    <x:row r="58" spans="1:12">
      <x:c r="A58" s="746" t="s">
        <x:v>533</x:v>
      </x:c>
      <x:c r="B58" s="1499" t="s">
        <x:v>1899</x:v>
      </x:c>
      <x:c r="C58" s="1500">
        <x:f>SUM(I28:I33)</x:f>
        <x:v>-1626771.6752664177</x:v>
      </x:c>
      <x:c r="D58" s="1500">
        <x:f>SUM(J28:J31)</x:f>
        <x:v>-36659.008136675409</x:v>
      </x:c>
      <x:c r="E58" s="1500">
        <x:f>+C58+D58</x:f>
        <x:v>-1663430.6834030931</x:v>
      </x:c>
    </x:row>
    <x:row r="59" spans="1:12">
      <x:c r="A59" s="746"/>
      <x:c r="B59" s="693"/>
      <x:c r="E59" s="668"/>
      <x:c r="F59" s="741"/>
    </x:row>
    <x:row r="60" spans="1:12">
      <x:c r="A60" s="746">
        <x:v>6</x:v>
      </x:c>
      <x:c r="B60" s="782" t="s">
        <x:v>925</x:v>
      </x:c>
      <x:c r="C60" s="644"/>
      <x:c r="D60" s="644"/>
      <x:c r="E60" s="644"/>
      <x:c r="F60" s="1150"/>
      <x:c r="H60" s="523"/>
    </x:row>
    <x:row r="61" spans="1:12">
      <x:c r="A61" s="746">
        <x:v>7</x:v>
      </x:c>
      <x:c r="B61" s="782"/>
      <x:c r="C61" s="783" t="s">
        <x:v>163</x:v>
      </x:c>
      <x:c r="D61" s="783" t="s">
        <x:v>164</x:v>
      </x:c>
      <x:c r="E61" s="783" t="s">
        <x:v>165</x:v>
      </x:c>
      <x:c r="F61" s="7"/>
      <x:c r="G61" s="167"/>
      <x:c r="H61" s="523"/>
    </x:row>
    <x:row r="62" spans="1:12" ht="38.25">
      <x:c r="A62" s="746">
        <x:v>8</x:v>
      </x:c>
      <x:c r="B62" s="644"/>
      <x:c r="C62" s="1044" t="s">
        <x:v>1489</x:v>
      </x:c>
      <x:c r="D62" s="784" t="s">
        <x:v>517</x:v>
      </x:c>
      <x:c r="E62" s="1044" t="s">
        <x:v>2188</x:v>
      </x:c>
      <x:c r="F62" s="7"/>
      <x:c r="G62" s="7"/>
      <x:c r="H62" s="167"/>
      <x:c r="I62" s="167"/>
      <x:c r="J62" s="167"/>
    </x:row>
    <x:row r="63" spans="1:12">
      <x:c r="A63" s="746">
        <x:v>9</x:v>
      </x:c>
      <x:c r="B63" s="782" t="s">
        <x:v>515</x:v>
      </x:c>
      <x:c r="C63" s="785">
        <x:v>91278254.140000001</x:v>
      </x:c>
      <x:c r="D63" s="785">
        <x:v>1800010.88</x:v>
      </x:c>
      <x:c r="E63" s="524">
        <x:f>+C63-D63</x:f>
        <x:v>89478243.260000005</x:v>
      </x:c>
      <x:c r="F63" s="7"/>
      <x:c r="G63" s="167"/>
      <x:c r="H63" s="167"/>
      <x:c r="I63" s="167"/>
      <x:c r="J63" s="167"/>
    </x:row>
    <x:row r="64" spans="1:12">
      <x:c r="A64" s="746">
        <x:v>10</x:v>
      </x:c>
      <x:c r="B64" s="782" t="s">
        <x:v>516</x:v>
      </x:c>
      <x:c r="C64" s="785">
        <x:v>144279616.67000002</x:v>
      </x:c>
      <x:c r="D64" s="785">
        <x:v>12327035</x:v>
      </x:c>
      <x:c r="E64" s="524">
        <x:f>+C64-D64</x:f>
        <x:v>131952581.67000002</x:v>
      </x:c>
      <x:c r="F64" s="7"/>
      <x:c r="G64" s="167"/>
      <x:c r="H64" s="167"/>
      <x:c r="I64" s="167"/>
      <x:c r="J64" s="167"/>
    </x:row>
    <x:row r="65" spans="1:10">
      <x:c r="A65" s="746">
        <x:v>11</x:v>
      </x:c>
      <x:c r="B65" s="782"/>
      <x:c r="C65" s="644"/>
      <x:c r="D65" s="644"/>
      <x:c r="E65" s="524">
        <x:f>SUM(E63:E64)</x:f>
        <x:v>221430824.93000001</x:v>
      </x:c>
      <x:c r="F65" s="1150"/>
      <x:c r="G65" s="167"/>
      <x:c r="H65" s="167"/>
      <x:c r="I65" s="167"/>
      <x:c r="J65" s="167"/>
    </x:row>
    <x:row r="66" spans="1:10">
      <x:c r="A66" s="746"/>
      <x:c r="B66" s="782"/>
      <x:c r="C66" s="644"/>
      <x:c r="D66" s="644"/>
      <x:c r="E66" s="524"/>
      <x:c r="F66" s="1150"/>
      <x:c r="G66" s="167"/>
      <x:c r="H66" s="167"/>
      <x:c r="I66" s="167"/>
      <x:c r="J66" s="167"/>
    </x:row>
    <x:row r="67" spans="1:10">
      <x:c r="A67" s="746">
        <x:v>12</x:v>
      </x:c>
      <x:c r="B67" s="782" t="s">
        <x:v>924</x:v>
      </x:c>
      <x:c r="C67" s="644"/>
      <x:c r="D67" s="644"/>
      <x:c r="E67" s="644"/>
      <x:c r="F67" s="1150"/>
      <x:c r="G67" s="167"/>
      <x:c r="H67" s="167"/>
      <x:c r="I67" s="167"/>
      <x:c r="J67" s="167"/>
    </x:row>
    <x:row r="68" spans="1:10">
      <x:c r="A68" s="746">
        <x:v>13</x:v>
      </x:c>
      <x:c r="B68" s="782" t="s">
        <x:v>703</x:v>
      </x:c>
      <x:c r="C68" s="785">
        <x:f>D40</x:f>
        <x:v>233558592.9478969</x:v>
      </x:c>
      <x:c r="D68" s="785"/>
      <x:c r="E68" s="786">
        <x:f>+(C68-D68)</x:f>
        <x:v>233558592.9478969</x:v>
      </x:c>
      <x:c r="G68" s="167"/>
      <x:c r="H68" s="167"/>
      <x:c r="I68" s="167"/>
      <x:c r="J68" s="167"/>
    </x:row>
    <x:row r="69" spans="1:10">
      <x:c r="A69" s="746"/>
      <x:c r="G69" s="167"/>
      <x:c r="H69" s="167"/>
      <x:c r="I69" s="167"/>
      <x:c r="J69" s="167"/>
    </x:row>
    <x:row r="70" spans="1:10">
      <x:c r="A70" s="746"/>
      <x:c r="G70" s="167"/>
      <x:c r="H70" s="167"/>
      <x:c r="I70" s="167"/>
      <x:c r="J70" s="167"/>
    </x:row>
    <x:row r="71" spans="1:10" ht="63" customHeight="1">
      <x:c r="A71" s="780" t="s">
        <x:v>489</x:v>
      </x:c>
      <x:c r="B71" s="740" t="s">
        <x:v>9</x:v>
      </x:c>
      <x:c r="C71" s="1729" t="s">
        <x:v>2190</x:v>
      </x:c>
      <x:c r="D71" s="1729"/>
      <x:c r="E71" s="1729"/>
      <x:c r="F71" s="1729"/>
      <x:c r="G71" s="1729"/>
      <x:c r="H71" s="1729"/>
      <x:c r="I71" s="1729"/>
      <x:c r="J71" s="1729"/>
    </x:row>
    <x:row r="72" spans="1:10" ht="27" customHeight="1">
      <x:c r="A72" s="746"/>
      <x:c r="B72" s="781" t="s">
        <x:v>10</x:v>
      </x:c>
      <x:c r="C72" s="1720" t="s">
        <x:v>2189</x:v>
      </x:c>
      <x:c r="D72" s="1720"/>
      <x:c r="E72" s="1720"/>
      <x:c r="F72" s="1720"/>
      <x:c r="G72" s="1720"/>
      <x:c r="H72" s="1720"/>
      <x:c r="I72" s="1720"/>
      <x:c r="J72" s="1720"/>
    </x:row>
    <x:row r="76" spans="1:10" ht="24" customHeight="1"/>
  </x:sheetData>
  <x:mergeCells count="9">
    <x:mergeCell ref="B12:B13"/>
    <x:mergeCell ref="C12:C13"/>
    <x:mergeCell ref="C71:J71"/>
    <x:mergeCell ref="C72:J72"/>
    <x:mergeCell ref="A1:K1"/>
    <x:mergeCell ref="A2:K2"/>
    <x:mergeCell ref="A3:K3"/>
    <x:mergeCell ref="D6:E6"/>
    <x:mergeCell ref="D7:E7"/>
  </x:mergeCells>
  <x:printOptions horizontalCentered="1"/>
  <x:pageMargins left="0.25" right="0.25" top="0.5" bottom="0.5" header="0.3" footer="0.3"/>
  <x:pageSetup scale="49"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W79"/>
  <x:sheetViews>
    <x:sheetView zoomScaleNormal="100" workbookViewId="0">
      <x:pane xSplit="1" ySplit="3" topLeftCell="B34" activePane="bottomRight" state="frozen"/>
      <x:selection activeCell="M30" sqref="M30"/>
      <x:selection pane="topRight" activeCell="M30" sqref="M30"/>
      <x:selection pane="bottomLeft" activeCell="M30" sqref="M30"/>
      <x:selection pane="bottomRight" activeCell="B52" sqref="B52"/>
    </x:sheetView>
  </x:sheetViews>
  <x:sheetFormatPr defaultColWidth="11.42578125" defaultRowHeight="12.75"/>
  <x:cols>
    <x:col min="1" max="1" width="5.140625" style="66" customWidth="1"/>
    <x:col min="2" max="2" width="44.28515625" style="459" customWidth="1"/>
    <x:col min="3" max="3" width="24.28515625" style="6" customWidth="1"/>
    <x:col min="4" max="4" width="17.140625" style="6" customWidth="1"/>
    <x:col min="5" max="5" width="12.140625" style="6" customWidth="1"/>
    <x:col min="6" max="6" width="10" style="6" customWidth="1"/>
    <x:col min="7" max="7" width="16.5703125" style="6" customWidth="1"/>
    <x:col min="8" max="13" width="10" style="6" customWidth="1"/>
    <x:col min="14" max="14" width="13.7109375" style="6" bestFit="1" customWidth="1"/>
    <x:col min="15" max="16384" width="11.42578125" style="6"/>
  </x:cols>
  <x:sheetData>
    <x:row r="1" spans="1:23" s="1116" customFormat="1" ht="18">
      <x:c r="A1" s="1638" t="str">
        <x:f>'ATT H-3D'!$A$4</x:f>
        <x:v>Delmarva Power &amp; Light Company</x:v>
      </x:c>
      <x:c r="B1" s="1638"/>
      <x:c r="C1" s="1638"/>
      <x:c r="D1" s="1638"/>
      <x:c r="E1" s="1638"/>
      <x:c r="F1" s="1638"/>
      <x:c r="G1" s="1638"/>
      <x:c r="M1" s="1117"/>
    </x:row>
    <x:row r="2" spans="1:23" s="18" customFormat="1" ht="15.75">
      <x:c r="A2" s="1724" t="s">
        <x:v>675</x:v>
      </x:c>
      <x:c r="B2" s="1724"/>
      <x:c r="C2" s="1724"/>
      <x:c r="D2" s="1724"/>
      <x:c r="E2" s="1724"/>
      <x:c r="F2" s="1724"/>
      <x:c r="G2" s="1724"/>
    </x:row>
    <x:row r="3" spans="1:23" s="18" customFormat="1" ht="15.75">
      <x:c r="A3" s="1639" t="s">
        <x:v>680</x:v>
      </x:c>
      <x:c r="B3" s="1639"/>
      <x:c r="C3" s="1639"/>
      <x:c r="D3" s="1639"/>
      <x:c r="E3" s="1639"/>
      <x:c r="F3" s="1639"/>
      <x:c r="G3" s="1639"/>
    </x:row>
    <x:row r="4" spans="1:23">
      <x:c r="E4" s="672"/>
    </x:row>
    <x:row r="6" spans="1:23" ht="15">
      <x:c r="E6" s="139" t="s">
        <x:v>681</x:v>
      </x:c>
      <x:c r="F6" s="139"/>
      <x:c r="G6" s="140"/>
    </x:row>
    <x:row r="7" spans="1:23" ht="25.5" customHeight="1">
      <x:c r="A7" s="141"/>
      <x:c r="B7" s="1167"/>
      <x:c r="C7" s="142" t="s">
        <x:v>682</x:v>
      </x:c>
      <x:c r="D7" s="142"/>
      <x:c r="E7" s="143" t="s">
        <x:v>683</x:v>
      </x:c>
      <x:c r="F7" s="143"/>
      <x:c r="G7" s="143"/>
    </x:row>
    <x:row r="8" spans="1:23" ht="15">
      <x:c r="A8" s="352">
        <x:v>1</x:v>
      </x:c>
      <x:c r="B8" s="1168"/>
      <x:c r="C8" s="6" t="s">
        <x:v>473</x:v>
      </x:c>
      <x:c r="D8" s="145"/>
      <x:c r="E8" s="146">
        <x:v>7.1999999999999998E-3</x:v>
      </x:c>
      <x:c r="F8" s="1043">
        <x:v>2024</x:v>
      </x:c>
      <x:c r="G8" s="148"/>
      <x:c r="P8" s="149"/>
      <x:c r="Q8" s="149"/>
      <x:c r="R8" s="149"/>
      <x:c r="S8" s="139"/>
      <x:c r="T8" s="139"/>
      <x:c r="U8" s="140"/>
      <x:c r="V8" s="139"/>
      <x:c r="W8" s="149"/>
    </x:row>
    <x:row r="9" spans="1:23" ht="15">
      <x:c r="A9" s="352">
        <x:v>2</x:v>
      </x:c>
      <x:c r="B9" s="1168"/>
      <x:c r="C9" s="6" t="s">
        <x:v>474</x:v>
      </x:c>
      <x:c r="D9" s="145"/>
      <x:c r="E9" s="146">
        <x:v>6.7999999999999996E-3</x:v>
      </x:c>
      <x:c r="F9" s="1043">
        <x:v>2024</x:v>
      </x:c>
      <x:c r="G9" s="148"/>
      <x:c r="P9" s="149"/>
      <x:c r="Q9" s="150"/>
      <x:c r="R9" s="150"/>
      <x:c r="S9" s="143"/>
      <x:c r="T9" s="143"/>
      <x:c r="U9" s="143"/>
      <x:c r="V9" s="143"/>
      <x:c r="W9" s="143"/>
    </x:row>
    <x:row r="10" spans="1:23" ht="15">
      <x:c r="A10" s="352">
        <x:v>3</x:v>
      </x:c>
      <x:c r="B10" s="1168"/>
      <x:c r="C10" s="6" t="s">
        <x:v>495</x:v>
      </x:c>
      <x:c r="D10" s="145"/>
      <x:c r="E10" s="146">
        <x:v>7.1999999999999998E-3</x:v>
      </x:c>
      <x:c r="F10" s="1043">
        <x:v>2024</x:v>
      </x:c>
      <x:c r="G10" s="148"/>
      <x:c r="P10" s="149"/>
      <x:c r="Q10" s="150"/>
      <x:c r="R10" s="150"/>
      <x:c r="S10" s="147"/>
      <x:c r="T10" s="147"/>
      <x:c r="U10" s="151"/>
      <x:c r="V10" s="151"/>
      <x:c r="W10" s="151"/>
    </x:row>
    <x:row r="11" spans="1:23" ht="15">
      <x:c r="A11" s="352">
        <x:v>4</x:v>
      </x:c>
      <x:c r="B11" s="1168"/>
      <x:c r="C11" s="6" t="s">
        <x:v>160</x:v>
      </x:c>
      <x:c r="D11" s="145"/>
      <x:c r="E11" s="146">
        <x:v>7.0000000000000001E-3</x:v>
      </x:c>
      <x:c r="F11" s="1043">
        <x:v>2024</x:v>
      </x:c>
      <x:c r="G11" s="148"/>
      <x:c r="P11" s="149"/>
      <x:c r="Q11" s="150"/>
      <x:c r="R11" s="150"/>
      <x:c r="S11" s="147"/>
      <x:c r="T11" s="147"/>
      <x:c r="U11" s="151"/>
      <x:c r="V11" s="151"/>
      <x:c r="W11" s="151"/>
    </x:row>
    <x:row r="12" spans="1:23" ht="15.75" customHeight="1">
      <x:c r="A12" s="352">
        <x:v>5</x:v>
      </x:c>
      <x:c r="B12" s="1168"/>
      <x:c r="C12" s="6" t="s">
        <x:v>161</x:v>
      </x:c>
      <x:c r="D12" s="145"/>
      <x:c r="E12" s="146">
        <x:v>7.1999999999999998E-3</x:v>
      </x:c>
      <x:c r="F12" s="1043">
        <x:v>2024</x:v>
      </x:c>
      <x:c r="G12" s="148"/>
      <x:c r="P12" s="149"/>
      <x:c r="Q12" s="150"/>
      <x:c r="R12" s="150"/>
      <x:c r="S12" s="147"/>
      <x:c r="T12" s="147"/>
      <x:c r="U12" s="151"/>
      <x:c r="V12" s="151"/>
      <x:c r="W12" s="151"/>
    </x:row>
    <x:row r="13" spans="1:23" ht="15">
      <x:c r="A13" s="352">
        <x:v>6</x:v>
      </x:c>
      <x:c r="B13" s="1168"/>
      <x:c r="C13" s="6" t="s">
        <x:v>162</x:v>
      </x:c>
      <x:c r="D13" s="145"/>
      <x:c r="E13" s="146">
        <x:v>7.0000000000000001E-3</x:v>
      </x:c>
      <x:c r="F13" s="1043">
        <x:v>2024</x:v>
      </x:c>
      <x:c r="G13" s="148"/>
      <x:c r="P13" s="149"/>
      <x:c r="Q13" s="150"/>
      <x:c r="R13" s="150"/>
      <x:c r="S13" s="147"/>
      <x:c r="T13" s="147"/>
      <x:c r="U13" s="151"/>
      <x:c r="V13" s="151"/>
      <x:c r="W13" s="151"/>
    </x:row>
    <x:row r="14" spans="1:23" ht="15">
      <x:c r="A14" s="352">
        <x:v>7</x:v>
      </x:c>
      <x:c r="B14" s="1168"/>
      <x:c r="C14" s="6" t="s">
        <x:v>476</x:v>
      </x:c>
      <x:c r="D14" s="145"/>
      <x:c r="E14" s="146">
        <x:v>7.1999999999999998E-3</x:v>
      </x:c>
      <x:c r="F14" s="1043">
        <x:v>2024</x:v>
      </x:c>
      <x:c r="G14" s="148"/>
      <x:c r="P14" s="149"/>
      <x:c r="Q14" s="149"/>
      <x:c r="R14" s="149"/>
      <x:c r="S14" s="149"/>
      <x:c r="T14" s="149"/>
      <x:c r="U14" s="149"/>
      <x:c r="V14" s="149"/>
      <x:c r="W14" s="149"/>
    </x:row>
    <x:row r="15" spans="1:23" ht="15">
      <x:c r="A15" s="352">
        <x:v>8</x:v>
      </x:c>
      <x:c r="B15" s="1168"/>
      <x:c r="C15" s="6" t="s">
        <x:v>496</x:v>
      </x:c>
      <x:c r="D15" s="145"/>
      <x:c r="E15" s="146">
        <x:v>7.1999999999999998E-3</x:v>
      </x:c>
      <x:c r="F15" s="1043">
        <x:v>2024</x:v>
      </x:c>
      <x:c r="G15" s="148"/>
      <x:c r="P15" s="149"/>
      <x:c r="Q15" s="149"/>
      <x:c r="R15" s="149"/>
      <x:c r="S15" s="149"/>
      <x:c r="T15" s="149"/>
      <x:c r="U15" s="149"/>
      <x:c r="V15" s="149"/>
      <x:c r="W15" s="149"/>
    </x:row>
    <x:row r="16" spans="1:23" ht="15">
      <x:c r="A16" s="352">
        <x:v>9</x:v>
      </x:c>
      <x:c r="B16" s="1168"/>
      <x:c r="C16" s="6" t="s">
        <x:v>478</x:v>
      </x:c>
      <x:c r="D16" s="145"/>
      <x:c r="E16" s="146">
        <x:v>7.0000000000000001E-3</x:v>
      </x:c>
      <x:c r="F16" s="1043">
        <x:v>2024</x:v>
      </x:c>
      <x:c r="G16" s="148"/>
      <x:c r="P16" s="149"/>
      <x:c r="Q16" s="149"/>
      <x:c r="R16" s="149"/>
      <x:c r="S16" s="149"/>
      <x:c r="T16" s="149"/>
      <x:c r="U16" s="149"/>
      <x:c r="V16" s="149"/>
      <x:c r="W16" s="149"/>
    </x:row>
    <x:row r="17" spans="1:23" ht="15">
      <x:c r="A17" s="352">
        <x:v>10</x:v>
      </x:c>
      <x:c r="B17" s="1168"/>
      <x:c r="C17" s="6" t="s">
        <x:v>479</x:v>
      </x:c>
      <x:c r="D17" s="145"/>
      <x:c r="E17" s="146">
        <x:v>7.1999999999999998E-3</x:v>
      </x:c>
      <x:c r="F17" s="1043">
        <x:v>2024</x:v>
      </x:c>
      <x:c r="P17" s="149"/>
      <x:c r="Q17" s="149"/>
      <x:c r="R17" s="149"/>
      <x:c r="S17" s="149"/>
      <x:c r="T17" s="149"/>
      <x:c r="U17" s="149"/>
      <x:c r="V17" s="149"/>
      <x:c r="W17" s="149"/>
    </x:row>
    <x:row r="18" spans="1:23" ht="15">
      <x:c r="A18" s="352">
        <x:v>11</x:v>
      </x:c>
      <x:c r="B18" s="1168"/>
      <x:c r="C18" s="6" t="s">
        <x:v>480</x:v>
      </x:c>
      <x:c r="D18" s="145"/>
      <x:c r="E18" s="146">
        <x:v>7.0000000000000001E-3</x:v>
      </x:c>
      <x:c r="F18" s="1043">
        <x:v>2024</x:v>
      </x:c>
      <x:c r="G18" s="148"/>
      <x:c r="P18" s="149"/>
      <x:c r="Q18" s="149"/>
      <x:c r="R18" s="149"/>
      <x:c r="S18" s="149"/>
      <x:c r="T18" s="149"/>
      <x:c r="U18" s="149"/>
      <x:c r="V18" s="149"/>
      <x:c r="W18" s="149"/>
    </x:row>
    <x:row r="19" spans="1:23" ht="15">
      <x:c r="A19" s="352">
        <x:v>12</x:v>
      </x:c>
      <x:c r="B19" s="1168"/>
      <x:c r="C19" s="6" t="s">
        <x:v>684</x:v>
      </x:c>
      <x:c r="D19" s="145"/>
      <x:c r="E19" s="146">
        <x:v>7.1999999999999998E-3</x:v>
      </x:c>
      <x:c r="F19" s="1043">
        <x:v>2024</x:v>
      </x:c>
      <x:c r="P19" s="149"/>
      <x:c r="Q19" s="149"/>
      <x:c r="R19" s="149"/>
      <x:c r="S19" s="149"/>
      <x:c r="T19" s="149"/>
      <x:c r="U19" s="149"/>
      <x:c r="V19" s="149"/>
      <x:c r="W19" s="149"/>
    </x:row>
    <x:row r="20" spans="1:23" ht="15">
      <x:c r="A20" s="352">
        <x:v>13</x:v>
      </x:c>
      <x:c r="B20" s="1168"/>
      <x:c r="C20" s="6" t="s">
        <x:v>473</x:v>
      </x:c>
      <x:c r="D20" s="145"/>
      <x:c r="E20" s="146">
        <x:v>6.7999999999999996E-3</x:v>
      </x:c>
      <x:c r="F20" s="1043">
        <x:v>2025</x:v>
      </x:c>
      <x:c r="G20" s="148"/>
      <x:c r="P20" s="149"/>
      <x:c r="Q20" s="149"/>
      <x:c r="R20" s="149"/>
      <x:c r="S20" s="149"/>
      <x:c r="T20" s="149"/>
      <x:c r="U20" s="149"/>
      <x:c r="V20" s="149"/>
      <x:c r="W20" s="149"/>
    </x:row>
    <x:row r="21" spans="1:23" ht="15">
      <x:c r="A21" s="352">
        <x:v>14</x:v>
      </x:c>
      <x:c r="B21" s="1168"/>
      <x:c r="C21" s="6" t="s">
        <x:v>474</x:v>
      </x:c>
      <x:c r="D21" s="145"/>
      <x:c r="E21" s="146">
        <x:v>6.1999999999999998E-3</x:v>
      </x:c>
      <x:c r="F21" s="1043">
        <x:v>2025</x:v>
      </x:c>
      <x:c r="G21" s="148"/>
      <x:c r="P21" s="149"/>
      <x:c r="Q21" s="149"/>
      <x:c r="R21" s="149"/>
      <x:c r="S21" s="149"/>
      <x:c r="T21" s="149"/>
      <x:c r="U21" s="149"/>
      <x:c r="V21" s="149"/>
      <x:c r="W21" s="149"/>
    </x:row>
    <x:row r="22" spans="1:23" ht="15">
      <x:c r="A22" s="352">
        <x:v>15</x:v>
      </x:c>
      <x:c r="B22" s="1168"/>
      <x:c r="C22" s="6" t="s">
        <x:v>495</x:v>
      </x:c>
      <x:c r="D22" s="145"/>
      <x:c r="E22" s="146">
        <x:v>6.7999999999999996E-3</x:v>
      </x:c>
      <x:c r="F22" s="1043">
        <x:v>2025</x:v>
      </x:c>
      <x:c r="G22" s="148"/>
      <x:c r="P22" s="149"/>
      <x:c r="Q22" s="149"/>
      <x:c r="R22" s="149"/>
      <x:c r="S22" s="149"/>
      <x:c r="T22" s="149"/>
      <x:c r="U22" s="149"/>
      <x:c r="V22" s="149"/>
      <x:c r="W22" s="149"/>
    </x:row>
    <x:row r="23" spans="1:23" ht="15">
      <x:c r="A23" s="352">
        <x:v>16</x:v>
      </x:c>
      <x:c r="B23" s="1168"/>
      <x:c r="C23" s="6" t="s">
        <x:v>160</x:v>
      </x:c>
      <x:c r="D23" s="145"/>
      <x:c r="E23" s="146">
        <x:v>6.1999999999999998E-3</x:v>
      </x:c>
      <x:c r="F23" s="1043">
        <x:v>2025</x:v>
      </x:c>
      <x:c r="G23" s="148"/>
      <x:c r="P23" s="149"/>
      <x:c r="Q23" s="149"/>
      <x:c r="R23" s="149"/>
      <x:c r="S23" s="149"/>
      <x:c r="T23" s="149"/>
      <x:c r="U23" s="149"/>
      <x:c r="V23" s="149"/>
      <x:c r="W23" s="149"/>
    </x:row>
    <x:row r="24" spans="1:23" ht="15">
      <x:c r="A24" s="352">
        <x:v>17</x:v>
      </x:c>
      <x:c r="B24" s="1168"/>
      <x:c r="C24" s="6" t="s">
        <x:v>161</x:v>
      </x:c>
      <x:c r="D24" s="145"/>
      <x:c r="E24" s="146">
        <x:v>6.4000000000000003E-3</x:v>
      </x:c>
      <x:c r="F24" s="1043">
        <x:v>2025</x:v>
      </x:c>
      <x:c r="G24" s="148"/>
      <x:c r="P24" s="149"/>
      <x:c r="Q24" s="149"/>
      <x:c r="R24" s="149"/>
      <x:c r="S24" s="149"/>
      <x:c r="T24" s="149"/>
      <x:c r="U24" s="149"/>
      <x:c r="V24" s="149"/>
      <x:c r="W24" s="149"/>
    </x:row>
    <x:row r="25" spans="1:23" ht="15">
      <x:c r="A25" s="352"/>
      <x:c r="B25" s="1168"/>
      <x:c r="C25" s="152"/>
      <x:c r="D25" s="153"/>
      <x:c r="E25" s="153"/>
      <x:c r="F25" s="153"/>
      <x:c r="G25" s="153"/>
      <x:c r="P25" s="149"/>
      <x:c r="Q25" s="149"/>
      <x:c r="R25" s="149"/>
      <x:c r="S25" s="154"/>
      <x:c r="T25" s="151"/>
      <x:c r="U25" s="149"/>
      <x:c r="V25" s="149"/>
      <x:c r="W25" s="149"/>
    </x:row>
    <x:row r="26" spans="1:23" ht="15">
      <x:c r="A26" s="352">
        <x:v>18</x:v>
      </x:c>
      <x:c r="B26" s="1169" t="s">
        <x:v>685</x:v>
      </x:c>
      <x:c r="C26" s="144"/>
      <x:c r="D26" s="153"/>
      <x:c r="E26" s="354">
        <x:f>AVERAGE(E8:E24)</x:f>
        <x:v>6.9176470588235292E-3</x:v>
      </x:c>
      <x:c r="F26" s="153"/>
      <x:c r="G26" s="153"/>
      <x:c r="P26" s="149"/>
      <x:c r="Q26" s="149"/>
      <x:c r="R26" s="149"/>
      <x:c r="S26" s="154"/>
      <x:c r="T26" s="151"/>
      <x:c r="U26" s="149"/>
      <x:c r="V26" s="149"/>
      <x:c r="W26" s="149"/>
    </x:row>
    <x:row r="27" spans="1:23" ht="15">
      <x:c r="A27" s="692"/>
      <x:c r="B27" s="1168"/>
      <x:c r="C27" s="144"/>
      <x:c r="D27" s="153"/>
      <x:c r="E27" s="153"/>
      <x:c r="F27" s="145"/>
      <x:c r="G27" s="153"/>
      <x:c r="P27" s="149"/>
      <x:c r="Q27" s="149"/>
      <x:c r="R27" s="149"/>
      <x:c r="S27" s="149"/>
      <x:c r="T27" s="149"/>
      <x:c r="U27" s="149"/>
      <x:c r="V27" s="149"/>
      <x:c r="W27" s="149"/>
    </x:row>
    <x:row r="28" spans="1:23" ht="15">
      <x:c r="A28" s="692" t="s">
        <x:v>686</x:v>
      </x:c>
      <x:c r="B28" s="1168"/>
      <x:c r="C28" s="144"/>
      <x:c r="D28" s="144"/>
      <x:c r="E28" s="144"/>
      <x:c r="F28" s="144"/>
      <x:c r="G28" s="144"/>
      <x:c r="P28" s="149"/>
      <x:c r="Q28" s="149"/>
      <x:c r="R28" s="149"/>
      <x:c r="S28" s="149"/>
      <x:c r="T28" s="149"/>
      <x:c r="U28" s="149"/>
      <x:c r="V28" s="149"/>
      <x:c r="W28" s="149"/>
    </x:row>
    <x:row r="29" spans="1:23" ht="15">
      <x:c r="A29" s="1263"/>
      <x:c r="B29" s="1388" t="s">
        <x:v>687</x:v>
      </x:c>
      <x:c r="C29" s="144"/>
      <x:c r="D29" s="144"/>
      <x:c r="E29" s="144"/>
      <x:c r="F29" s="144"/>
      <x:c r="G29" s="144"/>
      <x:c r="P29" s="150"/>
      <x:c r="R29" s="149"/>
      <x:c r="S29" s="149"/>
      <x:c r="T29" s="149"/>
      <x:c r="U29" s="149"/>
      <x:c r="V29" s="149"/>
      <x:c r="W29" s="149"/>
    </x:row>
    <x:row r="30" spans="1:23">
      <x:c r="A30" s="1264"/>
      <x:c r="D30" s="1641"/>
      <x:c r="E30" s="1641"/>
    </x:row>
    <x:row r="31" spans="1:23">
      <x:c r="A31" s="1264">
        <x:v>19</x:v>
      </x:c>
      <x:c r="B31" s="459" t="s">
        <x:v>159</x:v>
      </x:c>
      <x:c r="D31" s="1641"/>
      <x:c r="E31" s="1641"/>
      <x:c r="F31" s="1641"/>
      <x:c r="G31" s="1641"/>
      <x:c r="H31" s="1641"/>
      <x:c r="I31" s="1641"/>
    </x:row>
    <x:row r="32" spans="1:23">
      <x:c r="A32" s="1264">
        <x:v>20</x:v>
      </x:c>
      <x:c r="F32" s="787"/>
    </x:row>
    <x:row r="33" spans="1:14">
      <x:c r="A33" s="692"/>
      <x:c r="B33" s="1170" t="s">
        <x:v>9</x:v>
      </x:c>
      <x:c r="C33" s="788" t="s">
        <x:v>10</x:v>
      </x:c>
      <x:c r="D33" s="788" t="s">
        <x:v>11</x:v>
      </x:c>
      <x:c r="E33" s="788" t="s">
        <x:v>14</x:v>
      </x:c>
      <x:c r="F33" s="788" t="s">
        <x:v>133</x:v>
      </x:c>
      <x:c r="G33" s="789" t="s">
        <x:v>134</x:v>
      </x:c>
      <x:c r="H33" s="464"/>
      <x:c r="I33" s="464"/>
      <x:c r="J33" s="464"/>
      <x:c r="K33" s="464"/>
      <x:c r="L33" s="464"/>
      <x:c r="M33" s="464"/>
      <x:c r="N33" s="464"/>
    </x:row>
    <x:row r="34" spans="1:14" ht="38.25">
      <x:c r="A34" s="1264"/>
      <x:c r="B34" s="1173" t="s">
        <x:v>567</x:v>
      </x:c>
      <x:c r="C34" s="790" t="s">
        <x:v>568</x:v>
      </x:c>
      <x:c r="D34" s="553" t="s">
        <x:v>106</x:v>
      </x:c>
      <x:c r="E34" s="464" t="s">
        <x:v>688</x:v>
      </x:c>
      <x:c r="F34" s="790" t="s">
        <x:v>665</x:v>
      </x:c>
      <x:c r="G34" s="791" t="s">
        <x:v>166</x:v>
      </x:c>
      <x:c r="M34" s="464"/>
      <x:c r="N34" s="464"/>
    </x:row>
    <x:row r="35" spans="1:14" ht="30" customHeight="1">
      <x:c r="A35" s="1264"/>
      <x:c r="B35" s="1172"/>
      <x:c r="C35" s="464"/>
      <x:c r="D35" s="553" t="s">
        <x:v>2094</x:v>
      </x:c>
      <x:c r="E35" s="464"/>
      <x:c r="F35" s="553" t="s">
        <x:v>689</x:v>
      </x:c>
      <x:c r="G35" s="792" t="s">
        <x:v>2093</x:v>
      </x:c>
      <x:c r="H35" s="464"/>
      <x:c r="I35" s="464"/>
      <x:c r="J35" s="464"/>
      <x:c r="K35" s="464"/>
      <x:c r="L35" s="464"/>
      <x:c r="M35" s="464"/>
      <x:c r="N35" s="464"/>
    </x:row>
    <x:row r="36" spans="1:14">
      <x:c r="A36" s="1264">
        <x:v>21</x:v>
      </x:c>
      <x:c r="B36" s="1171" t="s">
        <x:v>42</x:v>
      </x:c>
      <x:c r="C36" s="6" t="s">
        <x:v>590</x:v>
      </x:c>
      <x:c r="D36" s="602">
        <x:f>+'6A - Project True-up'!H14+'6A - Project True-up'!I14</x:f>
        <x:v>11517762.248119056</x:v>
      </x:c>
      <x:c r="E36" s="602">
        <x:v>17</x:v>
      </x:c>
      <x:c r="F36" s="793">
        <x:f>+E26</x:f>
        <x:v>6.9176470588235292E-3</x:v>
      </x:c>
      <x:c r="G36" s="794">
        <x:f>+D36*E36*F36</x:f>
        <x:v>1354488.8403788009</x:v>
      </x:c>
      <x:c r="H36" s="796"/>
      <x:c r="I36" s="796"/>
    </x:row>
    <x:row r="37" spans="1:14">
      <x:c r="A37" s="1264" t="s">
        <x:v>690</x:v>
      </x:c>
      <x:c r="B37" s="1166" t="str">
        <x:f>'6A - Project True-up'!B15</x:f>
        <x:v>Red Lion sub reconfiguration</x:v>
      </x:c>
      <x:c r="C37" s="730" t="str">
        <x:f>'6A - Project True-up'!C15</x:f>
        <x:v xml:space="preserve">B0241.3 </x:v>
      </x:c>
      <x:c r="D37" s="602">
        <x:f>+'6A - Project True-up'!H15+'6A - Project True-up'!I15</x:f>
        <x:v>85109.405278979568</x:v>
      </x:c>
      <x:c r="E37" s="602">
        <x:v>17</x:v>
      </x:c>
      <x:c r="F37" s="793">
        <x:f>+F36</x:f>
        <x:v>6.9176470588235292E-3</x:v>
      </x:c>
      <x:c r="G37" s="794">
        <x:f>+D37*E37*F37</x:f>
        <x:v>10008.866060807997</x:v>
      </x:c>
      <x:c r="H37" s="796"/>
      <x:c r="I37" s="796"/>
      <x:c r="M37" s="685"/>
      <x:c r="N37" s="797"/>
    </x:row>
    <x:row r="38" spans="1:14">
      <x:c r="A38" s="1264" t="s">
        <x:v>691</x:v>
      </x:c>
      <x:c r="B38" s="1166" t="str">
        <x:f>'6A - Project True-up'!B16</x:f>
        <x:v>Red Lion-Keeney</x:v>
      </x:c>
      <x:c r="C38" s="730" t="str">
        <x:f>'6A - Project True-up'!C16</x:f>
        <x:v>B0494.1-4</x:v>
      </x:c>
      <x:c r="D38" s="602">
        <x:f>+'6A - Project True-up'!H16+'6A - Project True-up'!I16</x:f>
        <x:v>17956.36767271912</x:v>
      </x:c>
      <x:c r="E38" s="602">
        <x:v>17</x:v>
      </x:c>
      <x:c r="F38" s="793">
        <x:f t="shared" ref="F38:F52" si="0">+F37</x:f>
        <x:v>6.9176470588235292E-3</x:v>
      </x:c>
      <x:c r="G38" s="794">
        <x:f t="shared" ref="G38:G45" si="1">+D38*E38*F38</x:f>
        <x:v>2111.6688383117685</x:v>
      </x:c>
      <x:c r="H38" s="796"/>
      <x:c r="I38" s="796"/>
      <x:c r="M38" s="685"/>
      <x:c r="N38" s="797"/>
    </x:row>
    <x:row r="39" spans="1:14">
      <x:c r="A39" s="1264" t="s">
        <x:v>692</x:v>
      </x:c>
      <x:c r="B39" s="1166" t="str">
        <x:f>'6A - Project True-up'!B17</x:f>
        <x:v>Red Lion-Keeney</x:v>
      </x:c>
      <x:c r="C39" s="730" t="str">
        <x:f>'6A - Project True-up'!C17</x:f>
        <x:v xml:space="preserve">B0241.1-.2 </x:v>
      </x:c>
      <x:c r="D39" s="602">
        <x:f>+'6A - Project True-up'!H17+'6A - Project True-up'!I17</x:f>
        <x:v>14014.170466127049</x:v>
      </x:c>
      <x:c r="E39" s="602">
        <x:v>17</x:v>
      </x:c>
      <x:c r="F39" s="793">
        <x:f t="shared" si="0"/>
        <x:v>6.9176470588235292E-3</x:v>
      </x:c>
      <x:c r="G39" s="794">
        <x:f t="shared" si="1"/>
        <x:v>1648.066446816541</x:v>
      </x:c>
      <x:c r="H39" s="796"/>
      <x:c r="I39" s="796"/>
      <x:c r="M39" s="685"/>
      <x:c r="N39" s="797"/>
    </x:row>
    <x:row r="40" spans="1:14">
      <x:c r="A40" s="1264" t="s">
        <x:v>705</x:v>
      </x:c>
      <x:c r="B40" s="1166" t="str">
        <x:f>'6A - Project True-up'!B18</x:f>
        <x:v>Mt. Pleasant-Townsend</x:v>
      </x:c>
      <x:c r="C40" s="730" t="str">
        <x:f>'6A - Project True-up'!C18</x:f>
        <x:v>B0567</x:v>
      </x:c>
      <x:c r="D40" s="602">
        <x:f>+'6A - Project True-up'!H18+'6A - Project True-up'!I18</x:f>
        <x:v>38023.369119141367</x:v>
      </x:c>
      <x:c r="E40" s="602">
        <x:v>17</x:v>
      </x:c>
      <x:c r="F40" s="793">
        <x:f t="shared" si="0"/>
        <x:v>6.9176470588235292E-3</x:v>
      </x:c>
      <x:c r="G40" s="794">
        <x:f t="shared" si="1"/>
        <x:v>4471.5482084110245</x:v>
      </x:c>
      <x:c r="H40" s="796"/>
      <x:c r="I40" s="796"/>
      <x:c r="M40" s="685"/>
      <x:c r="N40" s="797"/>
    </x:row>
    <x:row r="41" spans="1:14">
      <x:c r="A41" s="1264" t="s">
        <x:v>706</x:v>
      </x:c>
      <x:c r="B41" s="1166" t="str">
        <x:f>'6A - Project True-up'!B19</x:f>
        <x:v>Oak Hall-Wattsville</x:v>
      </x:c>
      <x:c r="C41" s="730" t="str">
        <x:f>'6A - Project True-up'!C19</x:f>
        <x:v xml:space="preserve">B0483.1-.3 </x:v>
      </x:c>
      <x:c r="D41" s="602">
        <x:f>+'6A - Project True-up'!H19+'6A - Project True-up'!I19</x:f>
        <x:v>50229.143531241454</x:v>
      </x:c>
      <x:c r="E41" s="602">
        <x:v>17</x:v>
      </x:c>
      <x:c r="F41" s="793">
        <x:f t="shared" si="0"/>
        <x:v>6.9176470588235292E-3</x:v>
      </x:c>
      <x:c r="G41" s="794">
        <x:f t="shared" si="1"/>
        <x:v>5906.9472792739953</x:v>
      </x:c>
      <x:c r="H41" s="796"/>
      <x:c r="I41" s="796"/>
      <x:c r="M41" s="685"/>
      <x:c r="N41" s="797"/>
    </x:row>
    <x:row r="42" spans="1:14">
      <x:c r="A42" s="1264" t="s">
        <x:v>707</x:v>
      </x:c>
      <x:c r="B42" s="1166" t="str">
        <x:f>'6A - Project True-up'!B20</x:f>
        <x:v>Cool Springs</x:v>
      </x:c>
      <x:c r="C42" s="730" t="str">
        <x:f>'6A - Project True-up'!C20</x:f>
        <x:v xml:space="preserve">B0320 </x:v>
      </x:c>
      <x:c r="D42" s="602">
        <x:f>+'6A - Project True-up'!H20+'6A - Project True-up'!I20</x:f>
        <x:v>86459.782616642769</x:v>
      </x:c>
      <x:c r="E42" s="602">
        <x:v>17</x:v>
      </x:c>
      <x:c r="F42" s="793">
        <x:f t="shared" si="0"/>
        <x:v>6.9176470588235292E-3</x:v>
      </x:c>
      <x:c r="G42" s="794">
        <x:f t="shared" si="1"/>
        <x:v>10167.670435717189</x:v>
      </x:c>
      <x:c r="H42" s="796"/>
      <x:c r="I42" s="796"/>
      <x:c r="M42" s="685"/>
      <x:c r="N42" s="797"/>
    </x:row>
    <x:row r="43" spans="1:14">
      <x:c r="A43" s="1264" t="s">
        <x:v>708</x:v>
      </x:c>
      <x:c r="B43" s="1166" t="str">
        <x:f>'6A - Project True-up'!B21</x:f>
        <x:v>3rd Indian River</x:v>
      </x:c>
      <x:c r="C43" s="730" t="str">
        <x:f>'6A - Project True-up'!C21</x:f>
        <x:v>BO568</x:v>
      </x:c>
      <x:c r="D43" s="602">
        <x:f>+'6A - Project True-up'!H21+'6A - Project True-up'!I21</x:f>
        <x:v>40644.114179149386</x:v>
      </x:c>
      <x:c r="E43" s="602">
        <x:v>17</x:v>
      </x:c>
      <x:c r="F43" s="793">
        <x:f t="shared" si="0"/>
        <x:v>6.9176470588235292E-3</x:v>
      </x:c>
      <x:c r="G43" s="794">
        <x:f t="shared" si="1"/>
        <x:v>4779.7478274679679</x:v>
      </x:c>
      <x:c r="H43" s="796"/>
      <x:c r="I43" s="796"/>
      <x:c r="M43" s="685"/>
      <x:c r="N43" s="797"/>
    </x:row>
    <x:row r="44" spans="1:14">
      <x:c r="A44" s="1264" t="s">
        <x:v>709</x:v>
      </x:c>
      <x:c r="B44" s="1166" t="str">
        <x:f>'6A - Project True-up'!B22</x:f>
        <x:v xml:space="preserve">Keeney 500kV Sub </x:v>
      </x:c>
      <x:c r="C44" s="730" t="str">
        <x:f>'6A - Project True-up'!C22</x:f>
        <x:v>BO272.1</x:v>
      </x:c>
      <x:c r="D44" s="602">
        <x:f>+'6A - Project True-up'!H22+'6A - Project True-up'!I22</x:f>
        <x:v>1283.3966881829692</x:v>
      </x:c>
      <x:c r="E44" s="602">
        <x:v>17</x:v>
      </x:c>
      <x:c r="F44" s="793">
        <x:f t="shared" si="0"/>
        <x:v>6.9176470588235292E-3</x:v>
      </x:c>
      <x:c r="G44" s="794">
        <x:f t="shared" si="1"/>
        <x:v>150.92745053031717</x:v>
      </x:c>
      <x:c r="H44" s="796"/>
      <x:c r="I44" s="796"/>
      <x:c r="M44" s="685"/>
      <x:c r="N44" s="797"/>
    </x:row>
    <x:row r="45" spans="1:14">
      <x:c r="A45" s="1264" t="s">
        <x:v>710</x:v>
      </x:c>
      <x:c r="B45" s="1166" t="str">
        <x:f>'6A - Project True-up'!B23</x:f>
        <x:v>Keeney - Additional Breakers on 500kV Bus</x:v>
      </x:c>
      <x:c r="C45" s="730" t="str">
        <x:f>'6A - Project True-up'!C23</x:f>
        <x:v xml:space="preserve">BO751 </x:v>
      </x:c>
      <x:c r="D45" s="602">
        <x:f>+'6A - Project True-up'!H23+'6A - Project True-up'!I23</x:f>
        <x:v>29805.950868911925</x:v>
      </x:c>
      <x:c r="E45" s="602">
        <x:v>17</x:v>
      </x:c>
      <x:c r="F45" s="793">
        <x:f t="shared" si="0"/>
        <x:v>6.9176470588235292E-3</x:v>
      </x:c>
      <x:c r="G45" s="794">
        <x:f t="shared" si="1"/>
        <x:v>3505.1798221840422</x:v>
      </x:c>
      <x:c r="H45" s="796"/>
      <x:c r="I45" s="796"/>
      <x:c r="M45" s="685"/>
      <x:c r="N45" s="797"/>
    </x:row>
    <x:row r="46" spans="1:14">
      <x:c r="A46" s="1264" t="s">
        <x:v>711</x:v>
      </x:c>
      <x:c r="B46" s="1166" t="str">
        <x:f>'6A - Project True-up'!B24</x:f>
        <x:v xml:space="preserve">Trappe Tap - Todd </x:v>
      </x:c>
      <x:c r="C46" s="730" t="str">
        <x:f>'6A - Project True-up'!C24</x:f>
        <x:v xml:space="preserve">BO566 </x:v>
      </x:c>
      <x:c r="D46" s="602">
        <x:f>+'6A - Project True-up'!H24+'6A - Project True-up'!I24</x:f>
        <x:v>102510.67510848586</x:v>
      </x:c>
      <x:c r="E46" s="602">
        <x:v>17</x:v>
      </x:c>
      <x:c r="F46" s="793">
        <x:f t="shared" si="0"/>
        <x:v>6.9176470588235292E-3</x:v>
      </x:c>
      <x:c r="G46" s="794">
        <x:f t="shared" ref="G46:G48" si="2">+D46*E46*F46</x:f>
        <x:v>12055.255392757936</x:v>
      </x:c>
      <x:c r="H46" s="796"/>
      <x:c r="I46" s="796"/>
      <x:c r="M46" s="685"/>
      <x:c r="N46" s="797"/>
    </x:row>
    <x:row r="47" spans="1:14">
      <x:c r="A47" s="1264" t="s">
        <x:v>712</x:v>
      </x:c>
      <x:c r="B47" s="1166" t="str">
        <x:f>'6A - Project True-up'!B25</x:f>
        <x:v>Harmony Add 2nd 230/138 Auto Tr</x:v>
      </x:c>
      <x:c r="C47" s="730" t="str">
        <x:f>'6A - Project True-up'!C25</x:f>
        <x:v>BO733</x:v>
      </x:c>
      <x:c r="D47" s="602">
        <x:f>+'6A - Project True-up'!H25+'6A - Project True-up'!I25</x:f>
        <x:v>63365.702271446586</x:v>
      </x:c>
      <x:c r="E47" s="602">
        <x:v>17</x:v>
      </x:c>
      <x:c r="F47" s="793">
        <x:f t="shared" si="0"/>
        <x:v>6.9176470588235292E-3</x:v>
      </x:c>
      <x:c r="G47" s="794">
        <x:f t="shared" si="2"/>
        <x:v>7451.8065871221179</x:v>
      </x:c>
      <x:c r="H47" s="796"/>
      <x:c r="I47" s="796"/>
      <x:c r="M47" s="685"/>
      <x:c r="N47" s="797"/>
    </x:row>
    <x:row r="48" spans="1:14">
      <x:c r="A48" s="1264" t="s">
        <x:v>713</x:v>
      </x:c>
      <x:c r="B48" s="1166" t="str">
        <x:f>'6A - Project True-up'!B26</x:f>
        <x:v>Glasgow - Cecil 138kV Circuit Rebuild</x:v>
      </x:c>
      <x:c r="C48" s="730" t="str">
        <x:f>'6A - Project True-up'!C26</x:f>
        <x:v>B1247</x:v>
      </x:c>
      <x:c r="D48" s="602">
        <x:f>+'6A - Project True-up'!H26+'6A - Project True-up'!I26</x:f>
        <x:v>42984.923523400328</x:v>
      </x:c>
      <x:c r="E48" s="602">
        <x:v>17</x:v>
      </x:c>
      <x:c r="F48" s="793">
        <x:f t="shared" si="0"/>
        <x:v>6.9176470588235292E-3</x:v>
      </x:c>
      <x:c r="G48" s="794">
        <x:f t="shared" si="2"/>
        <x:v>5055.0270063518783</x:v>
      </x:c>
      <x:c r="H48" s="796"/>
      <x:c r="I48" s="796"/>
      <x:c r="M48" s="685"/>
      <x:c r="N48" s="797"/>
    </x:row>
    <x:row r="49" spans="1:14" ht="76.5">
      <x:c r="A49" s="1264" t="s">
        <x:v>714</x:v>
      </x:c>
      <x:c r="B49" s="1166" t="str">
        <x:f>'6A - Project True-up'!B27</x:f>
        <x:v>b2633.10 Interconnect the new
Silver Run 230kV
substation with existing
Red Lion – Cartanza and
Red Lion – Cedar Creek
230kV lines</x:v>
      </x:c>
      <x:c r="C49" s="730" t="str">
        <x:f>'6A - Project True-up'!C27</x:f>
        <x:v>B2633.10</x:v>
      </x:c>
      <x:c r="D49" s="602">
        <x:f>+'6A - Project True-up'!H27+'6A - Project True-up'!I27</x:f>
        <x:v>37618.768453422701</x:v>
      </x:c>
      <x:c r="E49" s="602">
        <x:v>17</x:v>
      </x:c>
      <x:c r="F49" s="793">
        <x:f t="shared" si="0"/>
        <x:v>6.9176470588235292E-3</x:v>
      </x:c>
      <x:c r="G49" s="794">
        <x:f t="shared" ref="G49:G52" si="3">+D49*E49*F49</x:f>
        <x:v>4423.9671701225097</x:v>
      </x:c>
      <x:c r="H49" s="796"/>
      <x:c r="I49" s="796"/>
      <x:c r="M49" s="685"/>
      <x:c r="N49" s="797"/>
    </x:row>
    <x:row r="50" spans="1:14">
      <x:c r="A50" s="1264" t="s">
        <x:v>715</x:v>
      </x:c>
      <x:c r="B50" s="1166" t="str">
        <x:f>'6A - Project True-up'!B28</x:f>
        <x:v>2024 Annual Update Credit</x:v>
      </x:c>
      <x:c r="C50" s="730"/>
      <x:c r="D50" s="602">
        <x:f>+'6A - Project True-up'!H28+'6A - Project True-up'!I28</x:f>
        <x:v>-195747.40183403969</x:v>
      </x:c>
      <x:c r="E50" s="602">
        <x:v>17</x:v>
      </x:c>
      <x:c r="F50" s="793">
        <x:f t="shared" si="0"/>
        <x:v>6.9176470588235292E-3</x:v>
      </x:c>
      <x:c r="G50" s="794">
        <x:f t="shared" si="3"/>
        <x:v>-23019.894455683065</x:v>
      </x:c>
      <x:c r="H50" s="796"/>
      <x:c r="I50" s="796"/>
      <x:c r="M50" s="685"/>
      <x:c r="N50" s="797"/>
    </x:row>
    <x:row r="51" spans="1:14">
      <x:c r="A51" s="1264" t="s">
        <x:v>716</x:v>
      </x:c>
      <x:c r="B51" s="1166" t="str">
        <x:f>'6A - Project True-up'!B29</x:f>
        <x:v>Asset separation costs</x:v>
      </x:c>
      <x:c r="C51" s="730"/>
      <x:c r="D51" s="602">
        <x:f>+'6A - Project True-up'!H29+'6A - Project True-up'!I29</x:f>
        <x:v>-7175.0619479119778</x:v>
      </x:c>
      <x:c r="E51" s="602">
        <x:v>17</x:v>
      </x:c>
      <x:c r="F51" s="793">
        <x:f t="shared" si="0"/>
        <x:v>6.9176470588235292E-3</x:v>
      </x:c>
      <x:c r="G51" s="794">
        <x:f t="shared" si="3"/>
        <x:v>-843.78728507444862</x:v>
      </x:c>
      <x:c r="H51" s="796"/>
      <x:c r="I51" s="796"/>
      <x:c r="M51" s="685"/>
      <x:c r="N51" s="797"/>
    </x:row>
    <x:row r="52" spans="1:14">
      <x:c r="A52" s="1264" t="s">
        <x:v>717</x:v>
      </x:c>
      <x:c r="B52" s="1166" t="str">
        <x:f>'6A - Project True-up'!B31</x:f>
        <x:v>ER21-2965 - 2024 KSQ reclasses</x:v>
      </x:c>
      <x:c r="C52" s="730"/>
      <x:c r="D52" s="602">
        <x:f>'6A - Project True-up'!I31</x:f>
        <x:v>-108803.79588365555</x:v>
      </x:c>
      <x:c r="E52" s="602">
        <x:v>17</x:v>
      </x:c>
      <x:c r="F52" s="793">
        <x:f t="shared" si="0"/>
        <x:v>6.9176470588235292E-3</x:v>
      </x:c>
      <x:c r="G52" s="794">
        <x:f t="shared" si="3"/>
        <x:v>-12795.326395917893</x:v>
      </x:c>
      <x:c r="H52" s="796"/>
      <x:c r="I52" s="796"/>
      <x:c r="M52" s="685"/>
      <x:c r="N52" s="797"/>
    </x:row>
    <x:row r="53" spans="1:14">
      <x:c r="A53" s="1264" t="s">
        <x:v>1123</x:v>
      </x:c>
      <x:c r="B53" s="1389"/>
      <x:c r="C53" s="1342"/>
      <x:c r="D53" s="602"/>
      <x:c r="E53" s="602"/>
      <x:c r="F53" s="793"/>
      <x:c r="G53" s="794"/>
      <x:c r="H53" s="796"/>
      <x:c r="I53" s="796"/>
      <x:c r="M53" s="685"/>
      <x:c r="N53" s="797"/>
    </x:row>
    <x:row r="54" spans="1:14">
      <x:c r="A54" s="1264" t="s">
        <x:v>1147</x:v>
      </x:c>
      <x:c r="B54" s="1389"/>
      <x:c r="C54" s="1342"/>
      <x:c r="D54" s="602"/>
      <x:c r="E54" s="602"/>
      <x:c r="F54" s="793"/>
      <x:c r="G54" s="794"/>
      <x:c r="H54" s="796"/>
      <x:c r="I54" s="796"/>
      <x:c r="M54" s="685"/>
      <x:c r="N54" s="797"/>
    </x:row>
    <x:row r="55" spans="1:14">
      <x:c r="A55" s="1264" t="s">
        <x:v>1148</x:v>
      </x:c>
      <x:c r="B55" s="1389"/>
      <x:c r="C55" s="1342"/>
      <x:c r="D55" s="602"/>
      <x:c r="E55" s="602"/>
      <x:c r="F55" s="793"/>
      <x:c r="G55" s="794"/>
      <x:c r="H55" s="796"/>
      <x:c r="I55" s="796"/>
      <x:c r="M55" s="685"/>
      <x:c r="N55" s="797"/>
    </x:row>
    <x:row r="56" spans="1:14">
      <x:c r="A56" s="1264" t="s">
        <x:v>1149</x:v>
      </x:c>
      <x:c r="B56" s="1389"/>
      <x:c r="C56" s="1342"/>
      <x:c r="D56" s="795"/>
      <x:c r="E56" s="602"/>
      <x:c r="F56" s="793"/>
      <x:c r="G56" s="794"/>
      <x:c r="H56" s="796"/>
      <x:c r="I56" s="796"/>
      <x:c r="M56" s="685"/>
      <x:c r="N56" s="797"/>
    </x:row>
    <x:row r="57" spans="1:14">
      <x:c r="A57" s="1264"/>
      <x:c r="B57" s="1502"/>
      <x:c r="C57" s="1342"/>
      <x:c r="D57" s="795"/>
      <x:c r="E57" s="602"/>
      <x:c r="F57" s="793"/>
      <x:c r="G57" s="794"/>
      <x:c r="H57" s="796"/>
      <x:c r="I57" s="796"/>
      <x:c r="M57" s="685"/>
      <x:c r="N57" s="797"/>
    </x:row>
    <x:row r="58" spans="1:14">
      <x:c r="A58" s="1264"/>
      <x:c r="B58" s="1390"/>
      <x:c r="C58" s="1391"/>
      <x:c r="D58" s="795"/>
      <x:c r="E58" s="602"/>
      <x:c r="F58" s="793"/>
      <x:c r="G58" s="799"/>
      <x:c r="H58" s="796"/>
      <x:c r="I58" s="796"/>
      <x:c r="M58" s="685"/>
      <x:c r="N58" s="797"/>
    </x:row>
    <x:row r="59" spans="1:14">
      <x:c r="A59" s="1264"/>
      <x:c r="B59" s="1392"/>
      <x:c r="C59" s="1328"/>
      <x:c r="D59" s="795"/>
      <x:c r="E59" s="602"/>
      <x:c r="F59" s="793"/>
      <x:c r="G59" s="799"/>
      <x:c r="H59" s="796"/>
      <x:c r="I59" s="796"/>
      <x:c r="M59" s="685"/>
      <x:c r="N59" s="797"/>
    </x:row>
    <x:row r="60" spans="1:14">
      <x:c r="A60" s="1264">
        <x:v>22</x:v>
      </x:c>
      <x:c r="B60" s="1174" t="s">
        <x:v>42</x:v>
      </x:c>
      <x:c r="C60" s="577"/>
      <x:c r="D60" s="800">
        <x:f>SUM(D36:D59)</x:f>
        <x:v>11816041.758231299</x:v>
      </x:c>
      <x:c r="E60" s="801"/>
      <x:c r="F60" s="801"/>
      <x:c r="G60" s="802">
        <x:f>SUM(G36:G59)</x:f>
        <x:v>1389566.510768001</x:v>
      </x:c>
      <x:c r="H60" s="796"/>
      <x:c r="I60" s="796"/>
      <x:c r="M60" s="685"/>
      <x:c r="N60" s="797"/>
    </x:row>
    <x:row r="61" spans="1:14">
      <x:c r="A61" s="1264"/>
      <x:c r="D61" s="787"/>
      <x:c r="E61" s="803"/>
      <x:c r="G61" s="803"/>
      <x:c r="M61" s="685"/>
    </x:row>
    <x:row r="62" spans="1:14">
      <x:c r="A62" s="1264"/>
      <x:c r="D62" s="795"/>
      <x:c r="E62" s="795"/>
      <x:c r="F62" s="795"/>
      <x:c r="G62" s="795"/>
      <x:c r="H62" s="795"/>
      <x:c r="I62" s="795"/>
    </x:row>
    <x:row r="63" spans="1:14">
      <x:c r="A63" s="1264"/>
      <x:c r="D63" s="587"/>
      <x:c r="E63" s="587"/>
      <x:c r="F63" s="587"/>
      <x:c r="G63" s="587"/>
      <x:c r="H63" s="587"/>
      <x:c r="I63" s="587"/>
    </x:row>
    <x:row r="64" spans="1:14">
      <x:c r="A64" s="1264"/>
      <x:c r="D64" s="587"/>
      <x:c r="E64" s="587"/>
      <x:c r="F64" s="587"/>
      <x:c r="G64" s="587"/>
      <x:c r="H64" s="587"/>
      <x:c r="I64" s="587"/>
    </x:row>
    <x:row r="65" spans="1:9">
      <x:c r="A65" s="1264"/>
      <x:c r="D65" s="587"/>
      <x:c r="E65" s="587"/>
      <x:c r="F65" s="587"/>
      <x:c r="G65" s="587"/>
      <x:c r="H65" s="587"/>
      <x:c r="I65" s="587"/>
    </x:row>
    <x:row r="79" spans="1:9" ht="24" customHeight="1"/>
  </x:sheetData>
  <x:mergeCells count="7">
    <x:mergeCell ref="A1:G1"/>
    <x:mergeCell ref="D30:E30"/>
    <x:mergeCell ref="D31:E31"/>
    <x:mergeCell ref="F31:G31"/>
    <x:mergeCell ref="H31:I31"/>
    <x:mergeCell ref="A2:G2"/>
    <x:mergeCell ref="A3:G3"/>
  </x:mergeCells>
  <x:printOptions horizontalCentered="1"/>
  <x:pageMargins left="0.2" right="0.2" top="0.5" bottom="0.5" header="0.3" footer="0.3"/>
  <x:pageSetup scale="70"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3CB215B-DE2B-4A68-899E-310FDAE6115B}" mc:Ignorable="x14ac xr xr2 xr3">
  <x:dimension ref="A1:BY315"/>
  <x:sheetViews>
    <x:sheetView zoomScaleNormal="100" workbookViewId="0">
      <x:pane xSplit="4" ySplit="21" topLeftCell="E22" activePane="bottomRight" state="frozen"/>
      <x:selection activeCell="M30" sqref="M30"/>
      <x:selection pane="topRight" activeCell="M30" sqref="M30"/>
      <x:selection pane="bottomLeft" activeCell="M30" sqref="M30"/>
      <x:selection pane="bottomRight"/>
    </x:sheetView>
  </x:sheetViews>
  <x:sheetFormatPr defaultColWidth="10.85546875" defaultRowHeight="12.75" outlineLevelRow="1"/>
  <x:cols>
    <x:col min="1" max="1" width="6.28515625" style="744" customWidth="1"/>
    <x:col min="2" max="2" width="21.7109375" style="804" customWidth="1"/>
    <x:col min="3" max="3" width="15.5703125" style="804" customWidth="1"/>
    <x:col min="4" max="4" width="10.85546875" style="805"/>
    <x:col min="5" max="7" width="10.85546875" style="804"/>
    <x:col min="8" max="12" width="10.85546875" style="931"/>
    <x:col min="13" max="56" width="10.85546875" style="804"/>
    <x:col min="57" max="57" width="11.42578125" style="804" bestFit="1" customWidth="1"/>
    <x:col min="58" max="58" width="16.28515625" style="804" bestFit="1" customWidth="1"/>
    <x:col min="59" max="59" width="13.7109375" style="804" bestFit="1" customWidth="1"/>
    <x:col min="60" max="60" width="10.85546875" style="804"/>
    <x:col min="61" max="61" width="4.42578125" style="804" bestFit="1" customWidth="1"/>
    <x:col min="62" max="16384" width="10.85546875" style="804"/>
  </x:cols>
  <x:sheetData>
    <x:row r="1" spans="1:16" s="1112" customFormat="1" ht="18">
      <x:c r="A1" s="1267" t="s">
        <x:v>1328</x:v>
      </x:c>
      <x:c r="B1" s="1265"/>
      <x:c r="C1" s="1265"/>
      <x:c r="D1" s="1265"/>
      <x:c r="E1" s="1265"/>
      <x:c r="F1" s="1265"/>
      <x:c r="G1" s="1265"/>
      <x:c r="H1" s="1265"/>
      <x:c r="I1" s="1265"/>
      <x:c r="J1" s="1265"/>
      <x:c r="K1" s="1265"/>
      <x:c r="L1" s="1265"/>
      <x:c r="M1" s="1265"/>
      <x:c r="N1" s="1265"/>
      <x:c r="O1" s="1265"/>
      <x:c r="P1" s="1265"/>
    </x:row>
    <x:row r="2" spans="1:16" ht="15.75">
      <x:c r="A2" s="1268" t="s">
        <x:v>5</x:v>
      </x:c>
      <x:c r="B2" s="1266"/>
      <x:c r="C2" s="1266"/>
      <x:c r="D2" s="1266"/>
      <x:c r="E2" s="1266"/>
      <x:c r="F2" s="1266"/>
      <x:c r="G2" s="1266"/>
      <x:c r="H2" s="1266"/>
      <x:c r="I2" s="1266"/>
      <x:c r="J2" s="1266"/>
      <x:c r="K2" s="1266"/>
      <x:c r="L2" s="1266"/>
      <x:c r="M2" s="1266"/>
      <x:c r="N2" s="1266"/>
      <x:c r="O2" s="1266"/>
      <x:c r="P2" s="1266"/>
    </x:row>
    <x:row r="5" spans="1:16">
      <x:c r="A5" s="744">
        <x:v>1</x:v>
      </x:c>
      <x:c r="D5" s="804"/>
      <x:c r="E5" s="804" t="s">
        <x:v>6</x:v>
      </x:c>
      <x:c r="F5" s="805"/>
      <x:c r="H5" s="804"/>
      <x:c r="I5" s="804"/>
      <x:c r="M5" s="931"/>
      <x:c r="N5" s="931"/>
    </x:row>
    <x:row r="6" spans="1:16">
      <x:c r="D6" s="804"/>
      <x:c r="F6" s="805"/>
      <x:c r="H6" s="804"/>
      <x:c r="I6" s="804"/>
      <x:c r="M6" s="931"/>
      <x:c r="N6" s="931"/>
    </x:row>
    <x:row r="7" spans="1:16">
      <x:c r="A7" s="744">
        <x:v>2</x:v>
      </x:c>
      <x:c r="D7" s="804"/>
      <x:c r="E7" s="364" t="s">
        <x:v>7</x:v>
      </x:c>
      <x:c r="F7" s="805"/>
      <x:c r="H7" s="804"/>
      <x:c r="I7" s="804"/>
      <x:c r="M7" s="931"/>
      <x:c r="N7" s="931"/>
    </x:row>
    <x:row r="8" spans="1:16">
      <x:c r="A8" s="744">
        <x:v>3</x:v>
      </x:c>
      <x:c r="D8" s="804"/>
      <x:c r="E8" s="364"/>
      <x:c r="F8" s="805" t="s">
        <x:v>8</x:v>
      </x:c>
      <x:c r="H8" s="804"/>
      <x:c r="I8" s="804"/>
      <x:c r="M8" s="931"/>
      <x:c r="N8" s="931"/>
    </x:row>
    <x:row r="9" spans="1:16">
      <x:c r="A9" s="744">
        <x:v>4</x:v>
      </x:c>
      <x:c r="D9" s="804"/>
      <x:c r="E9" s="805" t="s">
        <x:v>9</x:v>
      </x:c>
      <x:c r="F9" s="805">
        <x:f>'ATT H-3D'!A315</x:f>
        <x:v>160</x:v>
      </x:c>
      <x:c r="G9" s="744" t="str">
        <x:f>'ATT H-3D'!C315</x:f>
        <x:v>Net Plant Carrying Charge without Depreciation</x:v>
      </x:c>
      <x:c r="H9" s="804"/>
      <x:c r="I9" s="804"/>
      <x:c r="J9" s="806"/>
      <x:c r="K9" s="806"/>
      <x:c r="L9" s="806"/>
      <x:c r="M9" s="806"/>
      <x:c r="N9" s="1056">
        <x:f>+'ATT H-3D'!H315</x:f>
        <x:v>0.11132681012379328</x:v>
      </x:c>
    </x:row>
    <x:row r="10" spans="1:16">
      <x:c r="A10" s="744">
        <x:v>5</x:v>
      </x:c>
      <x:c r="D10" s="804"/>
      <x:c r="E10" s="805" t="s">
        <x:v>10</x:v>
      </x:c>
      <x:c r="F10" s="805">
        <x:f>'ATT H-3D'!A325</x:f>
        <x:v>167</x:v>
      </x:c>
      <x:c r="G10" s="744" t="str">
        <x:f>'ATT H-3D'!C325</x:f>
        <x:v>Net Plant Carrying Charge per 100 Basis Point in ROE without Depreciation</x:v>
      </x:c>
      <x:c r="H10" s="804"/>
      <x:c r="I10" s="804"/>
      <x:c r="J10" s="806"/>
      <x:c r="K10" s="806"/>
      <x:c r="L10" s="806"/>
      <x:c r="M10" s="806"/>
      <x:c r="N10" s="1056">
        <x:f>+'ATT H-3D'!H325</x:f>
        <x:v>0.11734855345829986</x:v>
      </x:c>
    </x:row>
    <x:row r="11" spans="1:16">
      <x:c r="A11" s="744">
        <x:v>6</x:v>
      </x:c>
      <x:c r="D11" s="804"/>
      <x:c r="E11" s="805" t="s">
        <x:v>11</x:v>
      </x:c>
      <x:c r="F11" s="805"/>
      <x:c r="G11" s="804" t="s">
        <x:v>12</x:v>
      </x:c>
      <x:c r="H11" s="804"/>
      <x:c r="I11" s="804"/>
      <x:c r="J11" s="806"/>
      <x:c r="K11" s="806"/>
      <x:c r="L11" s="806"/>
      <x:c r="M11" s="806"/>
      <x:c r="N11" s="1056">
        <x:f>+N10-N9</x:f>
        <x:v>6.0217433345065852E-3</x:v>
      </x:c>
    </x:row>
    <x:row r="12" spans="1:16">
      <x:c r="D12" s="804"/>
      <x:c r="F12" s="805"/>
      <x:c r="H12" s="804"/>
      <x:c r="I12" s="804"/>
      <x:c r="J12" s="806"/>
      <x:c r="K12" s="806"/>
      <x:c r="L12" s="806"/>
      <x:c r="M12" s="806"/>
      <x:c r="N12" s="807"/>
    </x:row>
    <x:row r="13" spans="1:16">
      <x:c r="A13" s="744">
        <x:v>7</x:v>
      </x:c>
      <x:c r="D13" s="804"/>
      <x:c r="E13" s="364" t="s">
        <x:v>13</x:v>
      </x:c>
      <x:c r="F13" s="805"/>
      <x:c r="H13" s="804"/>
      <x:c r="I13" s="804"/>
      <x:c r="J13" s="806"/>
      <x:c r="K13" s="806"/>
      <x:c r="L13" s="806"/>
      <x:c r="M13" s="806"/>
      <x:c r="N13" s="807"/>
    </x:row>
    <x:row r="14" spans="1:16">
      <x:c r="D14" s="804"/>
      <x:c r="E14" s="364"/>
      <x:c r="F14" s="805"/>
      <x:c r="H14" s="804"/>
      <x:c r="I14" s="804"/>
      <x:c r="J14" s="806"/>
      <x:c r="K14" s="806"/>
      <x:c r="L14" s="806"/>
      <x:c r="M14" s="806"/>
      <x:c r="N14" s="807"/>
    </x:row>
    <x:row r="15" spans="1:16">
      <x:c r="A15" s="744">
        <x:v>8</x:v>
      </x:c>
      <x:c r="D15" s="804"/>
      <x:c r="E15" s="805" t="s">
        <x:v>14</x:v>
      </x:c>
      <x:c r="F15" s="805">
        <x:f>'ATT H-3D'!A316</x:f>
        <x:v>161</x:v>
      </x:c>
      <x:c r="G15" s="744" t="str">
        <x:f>'ATT H-3D'!C316</x:f>
        <x:v>Net Plant Carrying Charge without Depreciation, Return, nor Income Taxes</x:v>
      </x:c>
      <x:c r="H15" s="804"/>
      <x:c r="I15" s="804"/>
      <x:c r="J15" s="806"/>
      <x:c r="K15" s="806"/>
      <x:c r="L15" s="806"/>
      <x:c r="M15" s="806"/>
      <x:c r="N15" s="1056">
        <x:f>+'ATT H-3D'!H316</x:f>
        <x:v>3.0042239612648292E-2</x:v>
      </x:c>
    </x:row>
    <x:row r="16" spans="1:16" ht="15.75">
      <x:c r="D16" s="804"/>
      <x:c r="E16" s="934"/>
      <x:c r="F16" s="805"/>
      <x:c r="H16" s="804"/>
      <x:c r="I16" s="804"/>
      <x:c r="M16" s="931"/>
      <x:c r="N16" s="931"/>
    </x:row>
    <x:row r="17" spans="1:61">
      <x:c r="A17" s="744">
        <x:v>9</x:v>
      </x:c>
      <x:c r="D17" s="804"/>
      <x:c r="E17" s="363" t="s">
        <x:v>15</x:v>
      </x:c>
      <x:c r="F17" s="805"/>
      <x:c r="H17" s="804"/>
      <x:c r="I17" s="804"/>
      <x:c r="M17" s="931"/>
      <x:c r="N17" s="931"/>
    </x:row>
    <x:row r="18" spans="1:61">
      <x:c r="A18" s="744">
        <x:v>10</x:v>
      </x:c>
      <x:c r="D18" s="804"/>
      <x:c r="E18" s="363" t="s">
        <x:v>16</x:v>
      </x:c>
      <x:c r="F18" s="805"/>
      <x:c r="H18" s="804"/>
      <x:c r="I18" s="804"/>
      <x:c r="M18" s="931"/>
      <x:c r="N18" s="931"/>
    </x:row>
    <x:row r="19" spans="1:61" ht="39.75" customHeight="1">
      <x:c r="A19" s="744">
        <x:v>11</x:v>
      </x:c>
      <x:c r="D19" s="804"/>
      <x:c r="E19" s="1744" t="s">
        <x:v>17</x:v>
      </x:c>
      <x:c r="F19" s="1744"/>
      <x:c r="G19" s="1744"/>
      <x:c r="H19" s="1744"/>
      <x:c r="I19" s="1744"/>
      <x:c r="J19" s="1744"/>
      <x:c r="K19" s="1744"/>
      <x:c r="L19" s="1744"/>
      <x:c r="M19" s="1744"/>
      <x:c r="N19" s="1744"/>
      <x:c r="O19" s="1744"/>
      <x:c r="P19" s="1744"/>
      <x:c r="Q19" s="1276"/>
      <x:c r="R19" s="1276"/>
      <x:c r="S19" s="1276"/>
      <x:c r="T19" s="1276"/>
      <x:c r="U19" s="1276"/>
      <x:c r="V19" s="1276"/>
      <x:c r="W19" s="1276"/>
      <x:c r="X19" s="1276"/>
      <x:c r="Y19" s="1276"/>
      <x:c r="Z19" s="1276"/>
      <x:c r="AA19" s="1276"/>
      <x:c r="AB19" s="1276"/>
      <x:c r="AC19" s="1276"/>
      <x:c r="AD19" s="1276"/>
      <x:c r="AE19" s="1276"/>
      <x:c r="AF19" s="1276"/>
      <x:c r="AG19" s="1276"/>
      <x:c r="AH19" s="1276"/>
      <x:c r="AI19" s="1276"/>
      <x:c r="AJ19" s="1276"/>
      <x:c r="AK19" s="1276"/>
      <x:c r="AL19" s="1276"/>
      <x:c r="AM19" s="1276"/>
      <x:c r="AN19" s="1276"/>
      <x:c r="AO19" s="1276"/>
      <x:c r="AP19" s="1276"/>
      <x:c r="AQ19" s="1276"/>
      <x:c r="AR19" s="1276"/>
      <x:c r="AS19" s="1276"/>
      <x:c r="AT19" s="1276"/>
      <x:c r="AU19" s="1276"/>
      <x:c r="AV19" s="1276"/>
      <x:c r="AW19" s="1276"/>
      <x:c r="AX19" s="1276"/>
      <x:c r="AY19" s="1276"/>
      <x:c r="AZ19" s="1276"/>
      <x:c r="BA19" s="1276"/>
      <x:c r="BB19" s="1276"/>
      <x:c r="BC19" s="1276"/>
      <x:c r="BD19" s="1276"/>
      <x:c r="BE19" s="1276"/>
      <x:c r="BF19" s="1276"/>
      <x:c r="BG19" s="1276"/>
      <x:c r="BH19" s="1277"/>
      <x:c r="BI19" s="1277"/>
    </x:row>
    <x:row r="20" spans="1:61" ht="13.5" thickBot="1">
      <x:c r="D20" s="804"/>
      <x:c r="E20" s="805"/>
      <x:c r="F20" s="805"/>
      <x:c r="G20" s="744"/>
      <x:c r="H20" s="804"/>
      <x:c r="I20" s="804"/>
      <x:c r="J20" s="932"/>
      <x:c r="K20" s="932"/>
      <x:c r="L20" s="932"/>
      <x:c r="M20" s="932"/>
      <x:c r="N20" s="932"/>
      <x:c r="P20" s="933"/>
    </x:row>
    <x:row r="21" spans="1:61" s="1175" customFormat="1" ht="66.75" customHeight="1">
      <x:c r="C21" s="1176" t="s">
        <x:v>18</x:v>
      </x:c>
      <x:c r="D21" s="1177"/>
      <x:c r="E21" s="1738" t="s">
        <x:v>1789</x:v>
      </x:c>
      <x:c r="F21" s="1739"/>
      <x:c r="G21" s="1739"/>
      <x:c r="H21" s="1740"/>
      <x:c r="I21" s="1738" t="s">
        <x:v>1790</x:v>
      </x:c>
      <x:c r="J21" s="1739"/>
      <x:c r="K21" s="1739"/>
      <x:c r="L21" s="1740"/>
      <x:c r="M21" s="1738" t="s">
        <x:v>1791</x:v>
      </x:c>
      <x:c r="N21" s="1739"/>
      <x:c r="O21" s="1739"/>
      <x:c r="P21" s="1740"/>
      <x:c r="Q21" s="1738" t="s">
        <x:v>1911</x:v>
      </x:c>
      <x:c r="R21" s="1739"/>
      <x:c r="S21" s="1739"/>
      <x:c r="T21" s="1740"/>
      <x:c r="U21" s="1738" t="s">
        <x:v>1792</x:v>
      </x:c>
      <x:c r="V21" s="1739"/>
      <x:c r="W21" s="1739"/>
      <x:c r="X21" s="1740"/>
      <x:c r="Y21" s="1738" t="s">
        <x:v>1793</x:v>
      </x:c>
      <x:c r="Z21" s="1739"/>
      <x:c r="AA21" s="1739"/>
      <x:c r="AB21" s="1740"/>
      <x:c r="AC21" s="1738" t="s">
        <x:v>1794</x:v>
      </x:c>
      <x:c r="AD21" s="1739"/>
      <x:c r="AE21" s="1739"/>
      <x:c r="AF21" s="1740"/>
      <x:c r="AG21" s="1738" t="s">
        <x:v>1795</x:v>
      </x:c>
      <x:c r="AH21" s="1739"/>
      <x:c r="AI21" s="1739"/>
      <x:c r="AJ21" s="1740"/>
      <x:c r="AK21" s="1738" t="s">
        <x:v>1796</x:v>
      </x:c>
      <x:c r="AL21" s="1739"/>
      <x:c r="AM21" s="1739"/>
      <x:c r="AN21" s="1740"/>
      <x:c r="AO21" s="1738" t="s">
        <x:v>1797</x:v>
      </x:c>
      <x:c r="AP21" s="1739"/>
      <x:c r="AQ21" s="1739"/>
      <x:c r="AR21" s="1740"/>
      <x:c r="AS21" s="1738" t="s">
        <x:v>1798</x:v>
      </x:c>
      <x:c r="AT21" s="1739"/>
      <x:c r="AU21" s="1739"/>
      <x:c r="AV21" s="1740"/>
      <x:c r="AW21" s="1738" t="s">
        <x:v>2157</x:v>
      </x:c>
      <x:c r="AX21" s="1739"/>
      <x:c r="AY21" s="1739"/>
      <x:c r="AZ21" s="1740"/>
      <x:c r="BA21" s="1741" t="s">
        <x:v>2158</x:v>
      </x:c>
      <x:c r="BB21" s="1742"/>
      <x:c r="BC21" s="1742"/>
      <x:c r="BD21" s="1743"/>
      <x:c r="BE21" s="1178"/>
      <x:c r="BF21" s="1176"/>
      <x:c r="BG21" s="1177"/>
    </x:row>
    <x:row r="22" spans="1:61" ht="38.25">
      <x:c r="A22" s="744">
        <x:v>12</x:v>
      </x:c>
      <x:c r="B22" s="935" t="s">
        <x:v>19</x:v>
      </x:c>
      <x:c r="C22" s="936" t="s">
        <x:v>20</x:v>
      </x:c>
      <x:c r="D22" s="937" t="s">
        <x:v>21</x:v>
      </x:c>
      <x:c r="E22" s="938" t="s">
        <x:v>1737</x:v>
      </x:c>
      <x:c r="F22" s="805"/>
      <x:c r="G22" s="805"/>
      <x:c r="H22" s="939"/>
      <x:c r="I22" s="938" t="s">
        <x:v>1734</x:v>
      </x:c>
      <x:c r="J22" s="805"/>
      <x:c r="K22" s="805"/>
      <x:c r="L22" s="939"/>
      <x:c r="M22" s="938" t="s">
        <x:v>1734</x:v>
      </x:c>
      <x:c r="N22" s="805"/>
      <x:c r="O22" s="805"/>
      <x:c r="P22" s="939"/>
      <x:c r="Q22" s="940" t="s">
        <x:v>1734</x:v>
      </x:c>
      <x:c r="R22" s="941"/>
      <x:c r="S22" s="941"/>
      <x:c r="T22" s="942"/>
      <x:c r="U22" s="940" t="s">
        <x:v>1734</x:v>
      </x:c>
      <x:c r="V22" s="941"/>
      <x:c r="W22" s="941"/>
      <x:c r="X22" s="942"/>
      <x:c r="Y22" s="940" t="s">
        <x:v>1734</x:v>
      </x:c>
      <x:c r="Z22" s="941"/>
      <x:c r="AA22" s="941"/>
      <x:c r="AB22" s="942"/>
      <x:c r="AC22" s="940" t="s">
        <x:v>1734</x:v>
      </x:c>
      <x:c r="AD22" s="941"/>
      <x:c r="AE22" s="941"/>
      <x:c r="AF22" s="942"/>
      <x:c r="AG22" s="940" t="s">
        <x:v>1737</x:v>
      </x:c>
      <x:c r="AH22" s="941"/>
      <x:c r="AI22" s="941"/>
      <x:c r="AJ22" s="942"/>
      <x:c r="AK22" s="940" t="s">
        <x:v>1737</x:v>
      </x:c>
      <x:c r="AL22" s="941"/>
      <x:c r="AM22" s="941"/>
      <x:c r="AN22" s="942"/>
      <x:c r="AO22" s="940" t="s">
        <x:v>1734</x:v>
      </x:c>
      <x:c r="AP22" s="941"/>
      <x:c r="AQ22" s="941"/>
      <x:c r="AR22" s="942"/>
      <x:c r="AS22" s="940" t="s">
        <x:v>1737</x:v>
      </x:c>
      <x:c r="AT22" s="941"/>
      <x:c r="AU22" s="941"/>
      <x:c r="AV22" s="942"/>
      <x:c r="AW22" s="940" t="s">
        <x:v>1737</x:v>
      </x:c>
      <x:c r="AX22" s="941"/>
      <x:c r="AY22" s="941"/>
      <x:c r="AZ22" s="942"/>
      <x:c r="BA22" s="943" t="s">
        <x:v>1737</x:v>
      </x:c>
      <x:c r="BB22" s="944"/>
      <x:c r="BC22" s="944"/>
      <x:c r="BD22" s="945"/>
      <x:c r="BE22" s="946"/>
      <x:c r="BF22" s="936"/>
      <x:c r="BG22" s="947"/>
    </x:row>
    <x:row r="23" spans="1:61">
      <x:c r="A23" s="744">
        <x:v>13</x:v>
      </x:c>
      <x:c r="B23" s="804" t="s">
        <x:v>22</x:v>
      </x:c>
      <x:c r="C23" s="936" t="s">
        <x:v>23</x:v>
      </x:c>
      <x:c r="D23" s="937"/>
      <x:c r="E23" s="938">
        <x:f>ROUND(31.98,0)</x:f>
        <x:v>32</x:v>
      </x:c>
      <x:c r="F23" s="948"/>
      <x:c r="G23" s="948"/>
      <x:c r="H23" s="949"/>
      <x:c r="I23" s="938">
        <x:f>$E$23</x:f>
        <x:v>32</x:v>
      </x:c>
      <x:c r="J23" s="948"/>
      <x:c r="K23" s="948"/>
      <x:c r="L23" s="949"/>
      <x:c r="M23" s="938">
        <x:f>$E$23</x:f>
        <x:v>32</x:v>
      </x:c>
      <x:c r="N23" s="948"/>
      <x:c r="O23" s="948"/>
      <x:c r="P23" s="937"/>
      <x:c r="Q23" s="938">
        <x:f>$E$23</x:f>
        <x:v>32</x:v>
      </x:c>
      <x:c r="R23" s="948"/>
      <x:c r="S23" s="948"/>
      <x:c r="T23" s="937"/>
      <x:c r="U23" s="938">
        <x:f>$E$23</x:f>
        <x:v>32</x:v>
      </x:c>
      <x:c r="V23" s="948"/>
      <x:c r="W23" s="948"/>
      <x:c r="X23" s="937"/>
      <x:c r="Y23" s="938">
        <x:f>$E$23</x:f>
        <x:v>32</x:v>
      </x:c>
      <x:c r="Z23" s="948"/>
      <x:c r="AA23" s="948"/>
      <x:c r="AB23" s="937"/>
      <x:c r="AC23" s="938">
        <x:f>$E$23</x:f>
        <x:v>32</x:v>
      </x:c>
      <x:c r="AD23" s="948"/>
      <x:c r="AE23" s="948"/>
      <x:c r="AF23" s="937"/>
      <x:c r="AG23" s="938">
        <x:f>$E$23</x:f>
        <x:v>32</x:v>
      </x:c>
      <x:c r="AH23" s="948"/>
      <x:c r="AI23" s="948"/>
      <x:c r="AJ23" s="937"/>
      <x:c r="AK23" s="938">
        <x:f>$E$23</x:f>
        <x:v>32</x:v>
      </x:c>
      <x:c r="AL23" s="948"/>
      <x:c r="AM23" s="948"/>
      <x:c r="AN23" s="937"/>
      <x:c r="AO23" s="938">
        <x:f>$E$23</x:f>
        <x:v>32</x:v>
      </x:c>
      <x:c r="AP23" s="948"/>
      <x:c r="AQ23" s="948"/>
      <x:c r="AR23" s="937"/>
      <x:c r="AS23" s="938">
        <x:f>$E$23</x:f>
        <x:v>32</x:v>
      </x:c>
      <x:c r="AT23" s="948"/>
      <x:c r="AU23" s="948"/>
      <x:c r="AV23" s="937"/>
      <x:c r="AW23" s="938">
        <x:f>$E$23</x:f>
        <x:v>32</x:v>
      </x:c>
      <x:c r="AX23" s="948"/>
      <x:c r="AY23" s="948"/>
      <x:c r="AZ23" s="937"/>
      <x:c r="BA23" s="938">
        <x:f>$E$23</x:f>
        <x:v>32</x:v>
      </x:c>
      <x:c r="BB23" s="951"/>
      <x:c r="BC23" s="951"/>
      <x:c r="BD23" s="952"/>
      <x:c r="BE23" s="946"/>
      <x:c r="BF23" s="936"/>
      <x:c r="BG23" s="947"/>
    </x:row>
    <x:row r="24" spans="1:61" ht="63.75">
      <x:c r="A24" s="744">
        <x:v>14</x:v>
      </x:c>
      <x:c r="B24" s="935" t="s">
        <x:v>24</x:v>
      </x:c>
      <x:c r="C24" s="936" t="s">
        <x:v>25</x:v>
      </x:c>
      <x:c r="D24" s="937" t="s">
        <x:v>21</x:v>
      </x:c>
      <x:c r="E24" s="938" t="s">
        <x:v>1734</x:v>
      </x:c>
      <x:c r="F24" s="948"/>
      <x:c r="G24" s="948"/>
      <x:c r="H24" s="949"/>
      <x:c r="I24" s="938" t="s">
        <x:v>1734</x:v>
      </x:c>
      <x:c r="J24" s="948"/>
      <x:c r="K24" s="948"/>
      <x:c r="L24" s="949"/>
      <x:c r="M24" s="938" t="s">
        <x:v>1734</x:v>
      </x:c>
      <x:c r="N24" s="948"/>
      <x:c r="O24" s="948"/>
      <x:c r="P24" s="937"/>
      <x:c r="Q24" s="938" t="s">
        <x:v>1734</x:v>
      </x:c>
      <x:c r="R24" s="948"/>
      <x:c r="S24" s="948"/>
      <x:c r="T24" s="937"/>
      <x:c r="U24" s="938" t="s">
        <x:v>1734</x:v>
      </x:c>
      <x:c r="V24" s="948"/>
      <x:c r="W24" s="948"/>
      <x:c r="X24" s="937"/>
      <x:c r="Y24" s="938" t="s">
        <x:v>1734</x:v>
      </x:c>
      <x:c r="Z24" s="948"/>
      <x:c r="AA24" s="948"/>
      <x:c r="AB24" s="937"/>
      <x:c r="AC24" s="938" t="s">
        <x:v>1734</x:v>
      </x:c>
      <x:c r="AD24" s="948"/>
      <x:c r="AE24" s="948"/>
      <x:c r="AF24" s="937"/>
      <x:c r="AG24" s="938" t="s">
        <x:v>1734</x:v>
      </x:c>
      <x:c r="AH24" s="948"/>
      <x:c r="AI24" s="948"/>
      <x:c r="AJ24" s="937"/>
      <x:c r="AK24" s="938" t="s">
        <x:v>1734</x:v>
      </x:c>
      <x:c r="AL24" s="948"/>
      <x:c r="AM24" s="948"/>
      <x:c r="AN24" s="937"/>
      <x:c r="AO24" s="938" t="s">
        <x:v>1734</x:v>
      </x:c>
      <x:c r="AP24" s="948"/>
      <x:c r="AQ24" s="948"/>
      <x:c r="AR24" s="937"/>
      <x:c r="AS24" s="938" t="s">
        <x:v>1734</x:v>
      </x:c>
      <x:c r="AT24" s="948"/>
      <x:c r="AU24" s="948"/>
      <x:c r="AV24" s="937"/>
      <x:c r="AW24" s="938" t="s">
        <x:v>1734</x:v>
      </x:c>
      <x:c r="AX24" s="948"/>
      <x:c r="AY24" s="948"/>
      <x:c r="AZ24" s="937"/>
      <x:c r="BA24" s="950" t="s">
        <x:v>1734</x:v>
      </x:c>
      <x:c r="BB24" s="951"/>
      <x:c r="BC24" s="951"/>
      <x:c r="BD24" s="952"/>
      <x:c r="BE24" s="946"/>
      <x:c r="BF24" s="936"/>
      <x:c r="BG24" s="947"/>
    </x:row>
    <x:row r="25" spans="1:61" ht="25.5">
      <x:c r="A25" s="744">
        <x:v>15</x:v>
      </x:c>
      <x:c r="B25" s="935" t="s">
        <x:v>26</x:v>
      </x:c>
      <x:c r="C25" s="936" t="s">
        <x:v>27</x:v>
      </x:c>
      <x:c r="D25" s="937"/>
      <x:c r="E25" s="938">
        <x:v>150</x:v>
      </x:c>
      <x:c r="F25" s="948"/>
      <x:c r="G25" s="948"/>
      <x:c r="H25" s="949"/>
      <x:c r="I25" s="938">
        <x:v>150</x:v>
      </x:c>
      <x:c r="J25" s="948"/>
      <x:c r="K25" s="948"/>
      <x:c r="L25" s="949"/>
      <x:c r="M25" s="938">
        <x:v>150</x:v>
      </x:c>
      <x:c r="N25" s="948"/>
      <x:c r="O25" s="948"/>
      <x:c r="P25" s="937"/>
      <x:c r="Q25" s="938">
        <x:v>150</x:v>
      </x:c>
      <x:c r="R25" s="948"/>
      <x:c r="S25" s="948"/>
      <x:c r="T25" s="937"/>
      <x:c r="U25" s="938">
        <x:v>150</x:v>
      </x:c>
      <x:c r="V25" s="948"/>
      <x:c r="W25" s="948"/>
      <x:c r="X25" s="937"/>
      <x:c r="Y25" s="938">
        <x:v>150</x:v>
      </x:c>
      <x:c r="Z25" s="948"/>
      <x:c r="AA25" s="948"/>
      <x:c r="AB25" s="937"/>
      <x:c r="AC25" s="938">
        <x:v>150</x:v>
      </x:c>
      <x:c r="AD25" s="948"/>
      <x:c r="AE25" s="948"/>
      <x:c r="AF25" s="937"/>
      <x:c r="AG25" s="938">
        <x:v>0</x:v>
      </x:c>
      <x:c r="AH25" s="948"/>
      <x:c r="AI25" s="948"/>
      <x:c r="AJ25" s="937"/>
      <x:c r="AK25" s="938">
        <x:v>0</x:v>
      </x:c>
      <x:c r="AL25" s="948"/>
      <x:c r="AM25" s="948"/>
      <x:c r="AN25" s="937"/>
      <x:c r="AO25" s="938">
        <x:v>150</x:v>
      </x:c>
      <x:c r="AP25" s="948"/>
      <x:c r="AQ25" s="948"/>
      <x:c r="AR25" s="937"/>
      <x:c r="AS25" s="938">
        <x:v>0</x:v>
      </x:c>
      <x:c r="AT25" s="948"/>
      <x:c r="AU25" s="948"/>
      <x:c r="AV25" s="937"/>
      <x:c r="AW25" s="938">
        <x:v>0</x:v>
      </x:c>
      <x:c r="AX25" s="948"/>
      <x:c r="AY25" s="948"/>
      <x:c r="AZ25" s="937"/>
      <x:c r="BA25" s="950">
        <x:v>0</x:v>
      </x:c>
      <x:c r="BB25" s="951"/>
      <x:c r="BC25" s="951"/>
      <x:c r="BD25" s="952"/>
      <x:c r="BE25" s="946"/>
      <x:c r="BF25" s="936"/>
      <x:c r="BG25" s="947"/>
    </x:row>
    <x:row r="26" spans="1:61" ht="51">
      <x:c r="A26" s="744">
        <x:v>16</x:v>
      </x:c>
      <x:c r="B26" s="935" t="s">
        <x:v>28</x:v>
      </x:c>
      <x:c r="C26" s="936" t="s">
        <x:v>29</x:v>
      </x:c>
      <x:c r="D26" s="937"/>
      <x:c r="E26" s="1054">
        <x:f>+$N$9</x:f>
        <x:v>0.11132681012379328</x:v>
      </x:c>
      <x:c r="F26" s="946"/>
      <x:c r="G26" s="953"/>
      <x:c r="H26" s="954"/>
      <x:c r="I26" s="1054">
        <x:f>+$N$9</x:f>
        <x:v>0.11132681012379328</x:v>
      </x:c>
      <x:c r="J26" s="946"/>
      <x:c r="K26" s="953"/>
      <x:c r="L26" s="954"/>
      <x:c r="M26" s="1054">
        <x:f>+$N$9</x:f>
        <x:v>0.11132681012379328</x:v>
      </x:c>
      <x:c r="N26" s="948"/>
      <x:c r="O26" s="948"/>
      <x:c r="P26" s="937"/>
      <x:c r="Q26" s="1054">
        <x:f>+$N$9</x:f>
        <x:v>0.11132681012379328</x:v>
      </x:c>
      <x:c r="R26" s="946"/>
      <x:c r="S26" s="946"/>
      <x:c r="T26" s="947"/>
      <x:c r="U26" s="1054">
        <x:f>+$N$9</x:f>
        <x:v>0.11132681012379328</x:v>
      </x:c>
      <x:c r="V26" s="946"/>
      <x:c r="W26" s="946"/>
      <x:c r="X26" s="947"/>
      <x:c r="Y26" s="1054">
        <x:f>+$N$9</x:f>
        <x:v>0.11132681012379328</x:v>
      </x:c>
      <x:c r="Z26" s="946"/>
      <x:c r="AA26" s="946"/>
      <x:c r="AB26" s="947"/>
      <x:c r="AC26" s="1054">
        <x:f>+$N$9</x:f>
        <x:v>0.11132681012379328</x:v>
      </x:c>
      <x:c r="AD26" s="946"/>
      <x:c r="AE26" s="946"/>
      <x:c r="AF26" s="947"/>
      <x:c r="AG26" s="1054">
        <x:f>+$N$9</x:f>
        <x:v>0.11132681012379328</x:v>
      </x:c>
      <x:c r="AH26" s="946"/>
      <x:c r="AI26" s="946"/>
      <x:c r="AJ26" s="947"/>
      <x:c r="AK26" s="1054">
        <x:f>+$N$9</x:f>
        <x:v>0.11132681012379328</x:v>
      </x:c>
      <x:c r="AL26" s="946"/>
      <x:c r="AM26" s="946"/>
      <x:c r="AN26" s="947"/>
      <x:c r="AO26" s="1054">
        <x:f>+$N$9</x:f>
        <x:v>0.11132681012379328</x:v>
      </x:c>
      <x:c r="AP26" s="946"/>
      <x:c r="AQ26" s="946"/>
      <x:c r="AR26" s="947"/>
      <x:c r="AS26" s="1054">
        <x:f>+$N$9</x:f>
        <x:v>0.11132681012379328</x:v>
      </x:c>
      <x:c r="AT26" s="946"/>
      <x:c r="AU26" s="946"/>
      <x:c r="AV26" s="947"/>
      <x:c r="AW26" s="1054">
        <x:f>+$N$9</x:f>
        <x:v>0.11132681012379328</x:v>
      </x:c>
      <x:c r="AX26" s="946"/>
      <x:c r="AY26" s="946"/>
      <x:c r="AZ26" s="947"/>
      <x:c r="BA26" s="1057">
        <x:f>+$N$9</x:f>
        <x:v>0.11132681012379328</x:v>
      </x:c>
      <x:c r="BB26" s="929"/>
      <x:c r="BC26" s="929"/>
      <x:c r="BD26" s="925"/>
      <x:c r="BE26" s="946"/>
      <x:c r="BF26" s="936"/>
      <x:c r="BG26" s="947"/>
    </x:row>
    <x:row r="27" spans="1:61" ht="38.25">
      <x:c r="A27" s="744">
        <x:v>17</x:v>
      </x:c>
      <x:c r="B27" s="935" t="s">
        <x:v>30</x:v>
      </x:c>
      <x:c r="C27" s="936" t="s">
        <x:v>31</x:v>
      </x:c>
      <x:c r="D27" s="955"/>
      <x:c r="E27" s="1055">
        <x:f>+$N11*E25/100+E26</x:f>
        <x:v>0.12035942512555316</x:v>
      </x:c>
      <x:c r="F27" s="956"/>
      <x:c r="G27" s="956"/>
      <x:c r="H27" s="957"/>
      <x:c r="I27" s="1055">
        <x:f>+$N11*I25/100+I26</x:f>
        <x:v>0.12035942512555316</x:v>
      </x:c>
      <x:c r="J27" s="956"/>
      <x:c r="K27" s="956"/>
      <x:c r="L27" s="957"/>
      <x:c r="M27" s="1055">
        <x:f>+$N11*M25/100+M26</x:f>
        <x:v>0.12035942512555316</x:v>
      </x:c>
      <x:c r="N27" s="946"/>
      <x:c r="O27" s="946"/>
      <x:c r="P27" s="947"/>
      <x:c r="Q27" s="1055">
        <x:f>+$N11*Q25/100+Q26</x:f>
        <x:v>0.12035942512555316</x:v>
      </x:c>
      <x:c r="R27" s="946"/>
      <x:c r="S27" s="946"/>
      <x:c r="T27" s="947"/>
      <x:c r="U27" s="1055">
        <x:f>+$N11*U25/100+U26</x:f>
        <x:v>0.12035942512555316</x:v>
      </x:c>
      <x:c r="V27" s="946"/>
      <x:c r="W27" s="946"/>
      <x:c r="X27" s="947"/>
      <x:c r="Y27" s="1055">
        <x:f>+$N11*Y25/100+Y26</x:f>
        <x:v>0.12035942512555316</x:v>
      </x:c>
      <x:c r="Z27" s="946"/>
      <x:c r="AA27" s="946"/>
      <x:c r="AB27" s="947"/>
      <x:c r="AC27" s="1055">
        <x:f>+$N11*AC25/100+AC26</x:f>
        <x:v>0.12035942512555316</x:v>
      </x:c>
      <x:c r="AD27" s="946"/>
      <x:c r="AE27" s="946"/>
      <x:c r="AF27" s="947"/>
      <x:c r="AG27" s="1055">
        <x:f>+$N11*AG25/100+AG26</x:f>
        <x:v>0.11132681012379328</x:v>
      </x:c>
      <x:c r="AH27" s="946"/>
      <x:c r="AI27" s="946"/>
      <x:c r="AJ27" s="947"/>
      <x:c r="AK27" s="1055">
        <x:f>+$N11*AK25/100+AK26</x:f>
        <x:v>0.11132681012379328</x:v>
      </x:c>
      <x:c r="AL27" s="946"/>
      <x:c r="AM27" s="946"/>
      <x:c r="AN27" s="947"/>
      <x:c r="AO27" s="1055">
        <x:f>+$N11*AO25/100+AO26</x:f>
        <x:v>0.12035942512555316</x:v>
      </x:c>
      <x:c r="AP27" s="946"/>
      <x:c r="AQ27" s="946"/>
      <x:c r="AR27" s="947"/>
      <x:c r="AS27" s="1055">
        <x:f>+$N11*AS25/100+AS26</x:f>
        <x:v>0.11132681012379328</x:v>
      </x:c>
      <x:c r="AT27" s="946"/>
      <x:c r="AU27" s="946"/>
      <x:c r="AV27" s="947"/>
      <x:c r="AW27" s="1055">
        <x:f>+$N11*AW25/100+AW26</x:f>
        <x:v>0.11132681012379328</x:v>
      </x:c>
      <x:c r="AX27" s="946"/>
      <x:c r="AY27" s="946"/>
      <x:c r="AZ27" s="947"/>
      <x:c r="BA27" s="1055">
        <x:f>+$N11*BA25/100+BA26</x:f>
        <x:v>0.11132681012379328</x:v>
      </x:c>
      <x:c r="BB27" s="929"/>
      <x:c r="BC27" s="929"/>
      <x:c r="BD27" s="925"/>
      <x:c r="BE27" s="946"/>
      <x:c r="BF27" s="936"/>
      <x:c r="BG27" s="947"/>
    </x:row>
    <x:row r="28" spans="1:61" ht="26.25">
      <x:c r="A28" s="744">
        <x:v>18</x:v>
      </x:c>
      <x:c r="B28" s="958" t="s">
        <x:v>32</x:v>
      </x:c>
      <x:c r="C28" s="936" t="s">
        <x:v>33</x:v>
      </x:c>
      <x:c r="D28" s="937"/>
      <x:c r="E28" s="959">
        <x:v>14689101</x:v>
      </x:c>
      <x:c r="F28" s="960"/>
      <x:c r="G28" s="960"/>
      <x:c r="H28" s="961"/>
      <x:c r="I28" s="959">
        <x:v>3099104</x:v>
      </x:c>
      <x:c r="J28" s="960"/>
      <x:c r="K28" s="960"/>
      <x:c r="L28" s="961"/>
      <x:c r="M28" s="959">
        <x:v>2418717</x:v>
      </x:c>
      <x:c r="N28" s="962"/>
      <x:c r="O28" s="962"/>
      <x:c r="P28" s="954"/>
      <x:c r="Q28" s="959">
        <x:v>6414723</x:v>
      </x:c>
      <x:c r="R28" s="962"/>
      <x:c r="S28" s="962"/>
      <x:c r="T28" s="954"/>
      <x:c r="U28" s="959">
        <x:f>8379558</x:f>
        <x:v>8379558</x:v>
      </x:c>
      <x:c r="V28" s="962"/>
      <x:c r="W28" s="962"/>
      <x:c r="X28" s="954"/>
      <x:c r="Y28" s="959">
        <x:v>14504530</x:v>
      </x:c>
      <x:c r="Z28" s="962"/>
      <x:c r="AA28" s="962"/>
      <x:c r="AB28" s="954"/>
      <x:c r="AC28" s="959">
        <x:v>6681345</x:v>
      </x:c>
      <x:c r="AD28" s="962"/>
      <x:c r="AE28" s="962"/>
      <x:c r="AF28" s="954"/>
      <x:c r="AG28" s="959">
        <x:v>217662</x:v>
      </x:c>
      <x:c r="AH28" s="962"/>
      <x:c r="AI28" s="962"/>
      <x:c r="AJ28" s="954"/>
      <x:c r="AK28" s="959">
        <x:v>5055041</x:v>
      </x:c>
      <x:c r="AL28" s="962"/>
      <x:c r="AM28" s="962"/>
      <x:c r="AN28" s="954"/>
      <x:c r="AO28" s="959">
        <x:v>16372433</x:v>
      </x:c>
      <x:c r="AP28" s="962"/>
      <x:c r="AQ28" s="962"/>
      <x:c r="AR28" s="954"/>
      <x:c r="AS28" s="959">
        <x:v>10567349</x:v>
      </x:c>
      <x:c r="AT28" s="962"/>
      <x:c r="AU28" s="962"/>
      <x:c r="AV28" s="954"/>
      <x:c r="AW28" s="959">
        <x:v>7246743</x:v>
      </x:c>
      <x:c r="AX28" s="962"/>
      <x:c r="AY28" s="962"/>
      <x:c r="AZ28" s="954"/>
      <x:c r="BA28" s="963">
        <x:v>5454268</x:v>
      </x:c>
      <x:c r="BB28" s="962"/>
      <x:c r="BC28" s="962"/>
      <x:c r="BD28" s="954"/>
      <x:c r="BE28" s="946"/>
      <x:c r="BF28" s="936"/>
      <x:c r="BG28" s="947"/>
    </x:row>
    <x:row r="29" spans="1:61">
      <x:c r="A29" s="744">
        <x:v>19</x:v>
      </x:c>
      <x:c r="B29" s="964" t="s">
        <x:v>34</x:v>
      </x:c>
      <x:c r="C29" s="936" t="s">
        <x:v>1325</x:v>
      </x:c>
      <x:c r="D29" s="937"/>
      <x:c r="E29" s="965">
        <x:f>IF(E28=0,0,E28/E23)</x:f>
        <x:v>459034.40625</x:v>
      </x:c>
      <x:c r="F29" s="962"/>
      <x:c r="G29" s="962"/>
      <x:c r="H29" s="954"/>
      <x:c r="I29" s="965">
        <x:f>IF(I28=0,0,I28/I23)</x:f>
        <x:v>96847</x:v>
      </x:c>
      <x:c r="J29" s="962"/>
      <x:c r="K29" s="962"/>
      <x:c r="L29" s="954"/>
      <x:c r="M29" s="965">
        <x:f>IF(M28=0,0,M28/M23)</x:f>
        <x:v>75584.90625</x:v>
      </x:c>
      <x:c r="N29" s="962"/>
      <x:c r="O29" s="962"/>
      <x:c r="P29" s="954"/>
      <x:c r="Q29" s="965">
        <x:f>+Q28/Q23</x:f>
        <x:v>200460.09375</x:v>
      </x:c>
      <x:c r="R29" s="962"/>
      <x:c r="S29" s="962"/>
      <x:c r="T29" s="954"/>
      <x:c r="U29" s="965">
        <x:f>+U28/U23</x:f>
        <x:v>261861.1875</x:v>
      </x:c>
      <x:c r="V29" s="962"/>
      <x:c r="W29" s="962"/>
      <x:c r="X29" s="954"/>
      <x:c r="Y29" s="965">
        <x:f>+Y28/Y23</x:f>
        <x:v>453266.5625</x:v>
      </x:c>
      <x:c r="Z29" s="962"/>
      <x:c r="AA29" s="962"/>
      <x:c r="AB29" s="954"/>
      <x:c r="AC29" s="965">
        <x:f>+AC28/AC23</x:f>
        <x:v>208792.03125</x:v>
      </x:c>
      <x:c r="AD29" s="962"/>
      <x:c r="AE29" s="962"/>
      <x:c r="AF29" s="954"/>
      <x:c r="AG29" s="965">
        <x:f>+AG28/AG23</x:f>
        <x:v>6801.9375</x:v>
      </x:c>
      <x:c r="AH29" s="962"/>
      <x:c r="AI29" s="962"/>
      <x:c r="AJ29" s="954"/>
      <x:c r="AK29" s="965">
        <x:f>+AK28/AK23</x:f>
        <x:v>157970.03125</x:v>
      </x:c>
      <x:c r="AL29" s="962"/>
      <x:c r="AM29" s="962"/>
      <x:c r="AN29" s="954"/>
      <x:c r="AO29" s="965">
        <x:f>+AO28/AO23</x:f>
        <x:v>511638.53125</x:v>
      </x:c>
      <x:c r="AP29" s="962"/>
      <x:c r="AQ29" s="962"/>
      <x:c r="AR29" s="954"/>
      <x:c r="AS29" s="965">
        <x:f>+AS28/AS23</x:f>
        <x:v>330229.65625</x:v>
      </x:c>
      <x:c r="AT29" s="962"/>
      <x:c r="AU29" s="962"/>
      <x:c r="AV29" s="954"/>
      <x:c r="AW29" s="965">
        <x:f>+AW28/AW23</x:f>
        <x:v>226460.71875</x:v>
      </x:c>
      <x:c r="AX29" s="962"/>
      <x:c r="AY29" s="962"/>
      <x:c r="AZ29" s="954"/>
      <x:c r="BA29" s="965">
        <x:f>+BA28/BA23</x:f>
        <x:v>170445.875</x:v>
      </x:c>
      <x:c r="BB29" s="962"/>
      <x:c r="BC29" s="962"/>
      <x:c r="BD29" s="954"/>
      <x:c r="BE29" s="946"/>
      <x:c r="BF29" s="936"/>
      <x:c r="BG29" s="947"/>
    </x:row>
    <x:row r="30" spans="1:61" ht="25.5">
      <x:c r="A30" s="744">
        <x:f>+A29+1</x:f>
        <x:v>20</x:v>
      </x:c>
      <x:c r="B30" s="935" t="s">
        <x:v>35</x:v>
      </x:c>
      <x:c r="C30" s="1736" t="s">
        <x:v>36</x:v>
      </x:c>
      <x:c r="D30" s="1737"/>
      <x:c r="E30" s="1151">
        <x:v>6</x:v>
      </x:c>
      <x:c r="F30" s="1152"/>
      <x:c r="G30" s="1152"/>
      <x:c r="H30" s="1153"/>
      <x:c r="I30" s="1151">
        <x:v>6</x:v>
      </x:c>
      <x:c r="J30" s="1152"/>
      <x:c r="K30" s="1152"/>
      <x:c r="L30" s="1153"/>
      <x:c r="M30" s="1151">
        <x:v>6</x:v>
      </x:c>
      <x:c r="N30" s="1152"/>
      <x:c r="O30" s="1152"/>
      <x:c r="P30" s="1153"/>
      <x:c r="Q30" s="1151">
        <x:v>6</x:v>
      </x:c>
      <x:c r="R30" s="1152"/>
      <x:c r="S30" s="1152"/>
      <x:c r="T30" s="1153"/>
      <x:c r="U30" s="1151">
        <x:v>12</x:v>
      </x:c>
      <x:c r="V30" s="1152"/>
      <x:c r="W30" s="1152"/>
      <x:c r="X30" s="1153"/>
      <x:c r="Y30" s="1151">
        <x:v>9</x:v>
      </x:c>
      <x:c r="Z30" s="1152"/>
      <x:c r="AA30" s="1152"/>
      <x:c r="AB30" s="1153"/>
      <x:c r="AC30" s="1151">
        <x:v>8</x:v>
      </x:c>
      <x:c r="AD30" s="1152"/>
      <x:c r="AE30" s="1152"/>
      <x:c r="AF30" s="1153"/>
      <x:c r="AG30" s="1151">
        <x:v>6</x:v>
      </x:c>
      <x:c r="AH30" s="1152"/>
      <x:c r="AI30" s="1152"/>
      <x:c r="AJ30" s="1153"/>
      <x:c r="AK30" s="1151">
        <x:v>6</x:v>
      </x:c>
      <x:c r="AL30" s="966"/>
      <x:c r="AM30" s="966"/>
      <x:c r="AN30" s="967"/>
      <x:c r="AO30" s="959">
        <x:v>12</x:v>
      </x:c>
      <x:c r="AP30" s="966"/>
      <x:c r="AQ30" s="966"/>
      <x:c r="AR30" s="967"/>
      <x:c r="AS30" s="959">
        <x:v>4</x:v>
      </x:c>
      <x:c r="AT30" s="966"/>
      <x:c r="AU30" s="966"/>
      <x:c r="AV30" s="967"/>
      <x:c r="AW30" s="959">
        <x:v>5</x:v>
      </x:c>
      <x:c r="AX30" s="966"/>
      <x:c r="AY30" s="966"/>
      <x:c r="AZ30" s="967"/>
      <x:c r="BA30" s="963">
        <x:v>6</x:v>
      </x:c>
      <x:c r="BB30" s="966"/>
      <x:c r="BC30" s="966"/>
      <x:c r="BD30" s="967"/>
      <x:c r="BE30" s="946"/>
      <x:c r="BF30" s="936"/>
      <x:c r="BG30" s="947"/>
    </x:row>
    <x:row r="31" spans="1:61" ht="13.5" thickBot="1">
      <x:c r="C31" s="968"/>
      <x:c r="D31" s="969"/>
      <x:c r="E31" s="970"/>
      <x:c r="F31" s="971"/>
      <x:c r="G31" s="971"/>
      <x:c r="H31" s="972"/>
      <x:c r="I31" s="970"/>
      <x:c r="J31" s="971"/>
      <x:c r="K31" s="971"/>
      <x:c r="L31" s="972"/>
      <x:c r="M31" s="970"/>
      <x:c r="N31" s="971"/>
      <x:c r="O31" s="971"/>
      <x:c r="P31" s="972"/>
      <x:c r="Q31" s="970"/>
      <x:c r="R31" s="971"/>
      <x:c r="S31" s="971"/>
      <x:c r="T31" s="972"/>
      <x:c r="U31" s="970"/>
      <x:c r="V31" s="971"/>
      <x:c r="W31" s="971"/>
      <x:c r="X31" s="972"/>
      <x:c r="Y31" s="970"/>
      <x:c r="Z31" s="971"/>
      <x:c r="AA31" s="971"/>
      <x:c r="AB31" s="972"/>
      <x:c r="AC31" s="970"/>
      <x:c r="AD31" s="971"/>
      <x:c r="AE31" s="971"/>
      <x:c r="AF31" s="972"/>
      <x:c r="AG31" s="970"/>
      <x:c r="AH31" s="971"/>
      <x:c r="AI31" s="971"/>
      <x:c r="AJ31" s="972"/>
      <x:c r="AK31" s="970"/>
      <x:c r="AL31" s="971"/>
      <x:c r="AM31" s="971"/>
      <x:c r="AN31" s="972"/>
      <x:c r="AO31" s="970"/>
      <x:c r="AP31" s="971"/>
      <x:c r="AQ31" s="971"/>
      <x:c r="AR31" s="972"/>
      <x:c r="AS31" s="970"/>
      <x:c r="AT31" s="971"/>
      <x:c r="AU31" s="971"/>
      <x:c r="AV31" s="972"/>
      <x:c r="AW31" s="970"/>
      <x:c r="AX31" s="971"/>
      <x:c r="AY31" s="971"/>
      <x:c r="AZ31" s="972"/>
      <x:c r="BA31" s="970"/>
      <x:c r="BB31" s="971"/>
      <x:c r="BC31" s="971"/>
      <x:c r="BD31" s="972"/>
      <x:c r="BE31" s="973"/>
      <x:c r="BF31" s="968"/>
      <x:c r="BG31" s="974"/>
    </x:row>
    <x:row r="32" spans="1:61">
      <x:c r="C32" s="1113"/>
      <x:c r="D32" s="975" t="s">
        <x:v>37</x:v>
      </x:c>
      <x:c r="E32" s="976" t="s">
        <x:v>38</x:v>
      </x:c>
      <x:c r="F32" s="976" t="s">
        <x:v>39</x:v>
      </x:c>
      <x:c r="G32" s="976" t="s">
        <x:v>40</x:v>
      </x:c>
      <x:c r="H32" s="977" t="s">
        <x:v>41</x:v>
      </x:c>
      <x:c r="I32" s="976" t="s">
        <x:v>38</x:v>
      </x:c>
      <x:c r="J32" s="976" t="s">
        <x:v>39</x:v>
      </x:c>
      <x:c r="K32" s="976" t="s">
        <x:v>40</x:v>
      </x:c>
      <x:c r="L32" s="977" t="s">
        <x:v>41</x:v>
      </x:c>
      <x:c r="M32" s="978" t="s">
        <x:v>38</x:v>
      </x:c>
      <x:c r="N32" s="976" t="s">
        <x:v>39</x:v>
      </x:c>
      <x:c r="O32" s="976" t="s">
        <x:v>40</x:v>
      </x:c>
      <x:c r="P32" s="979" t="s">
        <x:v>41</x:v>
      </x:c>
      <x:c r="Q32" s="978" t="s">
        <x:v>38</x:v>
      </x:c>
      <x:c r="R32" s="976" t="s">
        <x:v>39</x:v>
      </x:c>
      <x:c r="S32" s="976" t="s">
        <x:v>40</x:v>
      </x:c>
      <x:c r="T32" s="979" t="s">
        <x:v>41</x:v>
      </x:c>
      <x:c r="U32" s="978" t="s">
        <x:v>38</x:v>
      </x:c>
      <x:c r="V32" s="976" t="s">
        <x:v>39</x:v>
      </x:c>
      <x:c r="W32" s="976" t="s">
        <x:v>40</x:v>
      </x:c>
      <x:c r="X32" s="979" t="s">
        <x:v>41</x:v>
      </x:c>
      <x:c r="Y32" s="978" t="s">
        <x:v>38</x:v>
      </x:c>
      <x:c r="Z32" s="976" t="s">
        <x:v>39</x:v>
      </x:c>
      <x:c r="AA32" s="976" t="s">
        <x:v>40</x:v>
      </x:c>
      <x:c r="AB32" s="979" t="s">
        <x:v>41</x:v>
      </x:c>
      <x:c r="AC32" s="978" t="s">
        <x:v>38</x:v>
      </x:c>
      <x:c r="AD32" s="976" t="s">
        <x:v>39</x:v>
      </x:c>
      <x:c r="AE32" s="976" t="s">
        <x:v>40</x:v>
      </x:c>
      <x:c r="AF32" s="979" t="s">
        <x:v>41</x:v>
      </x:c>
      <x:c r="AG32" s="978" t="s">
        <x:v>38</x:v>
      </x:c>
      <x:c r="AH32" s="976" t="s">
        <x:v>39</x:v>
      </x:c>
      <x:c r="AI32" s="976" t="s">
        <x:v>40</x:v>
      </x:c>
      <x:c r="AJ32" s="979" t="s">
        <x:v>41</x:v>
      </x:c>
      <x:c r="AK32" s="978" t="s">
        <x:v>38</x:v>
      </x:c>
      <x:c r="AL32" s="976" t="s">
        <x:v>39</x:v>
      </x:c>
      <x:c r="AM32" s="976" t="s">
        <x:v>40</x:v>
      </x:c>
      <x:c r="AN32" s="979" t="s">
        <x:v>41</x:v>
      </x:c>
      <x:c r="AO32" s="978" t="s">
        <x:v>38</x:v>
      </x:c>
      <x:c r="AP32" s="976" t="s">
        <x:v>39</x:v>
      </x:c>
      <x:c r="AQ32" s="976" t="s">
        <x:v>40</x:v>
      </x:c>
      <x:c r="AR32" s="979" t="s">
        <x:v>41</x:v>
      </x:c>
      <x:c r="AS32" s="978" t="s">
        <x:v>38</x:v>
      </x:c>
      <x:c r="AT32" s="976" t="s">
        <x:v>39</x:v>
      </x:c>
      <x:c r="AU32" s="976" t="s">
        <x:v>40</x:v>
      </x:c>
      <x:c r="AV32" s="979" t="s">
        <x:v>41</x:v>
      </x:c>
      <x:c r="AW32" s="978" t="s">
        <x:v>38</x:v>
      </x:c>
      <x:c r="AX32" s="976" t="s">
        <x:v>39</x:v>
      </x:c>
      <x:c r="AY32" s="976" t="s">
        <x:v>40</x:v>
      </x:c>
      <x:c r="AZ32" s="979" t="s">
        <x:v>41</x:v>
      </x:c>
      <x:c r="BA32" s="978" t="s">
        <x:v>38</x:v>
      </x:c>
      <x:c r="BB32" s="976" t="s">
        <x:v>39</x:v>
      </x:c>
      <x:c r="BC32" s="976" t="s">
        <x:v>40</x:v>
      </x:c>
      <x:c r="BD32" s="979" t="s">
        <x:v>41</x:v>
      </x:c>
      <x:c r="BE32" s="975" t="s">
        <x:v>42</x:v>
      </x:c>
      <x:c r="BF32" s="941" t="s">
        <x:v>43</x:v>
      </x:c>
      <x:c r="BG32" s="942" t="s">
        <x:v>44</x:v>
      </x:c>
    </x:row>
    <x:row r="33" spans="1:77" hidden="1" outlineLevel="1"/>
    <x:row r="34" spans="1:77" hidden="1" outlineLevel="1"/>
    <x:row r="35" spans="1:77" hidden="1" outlineLevel="1"/>
    <x:row r="36" spans="1:77" hidden="1" outlineLevel="1"/>
    <x:row r="37" spans="1:77" hidden="1" outlineLevel="1"/>
    <x:row r="38" spans="1:77" hidden="1" outlineLevel="1"/>
    <x:row r="39" spans="1:77" hidden="1" outlineLevel="1"/>
    <x:row r="40" spans="1:77" hidden="1" outlineLevel="1"/>
    <x:row r="41" spans="1:77" hidden="1" outlineLevel="1"/>
    <x:row r="42" spans="1:77" hidden="1" outlineLevel="1"/>
    <x:row r="43" spans="1:77" hidden="1" outlineLevel="1"/>
    <x:row r="44" spans="1:77" hidden="1" outlineLevel="1"/>
    <x:row r="45" spans="1:77" hidden="1" outlineLevel="1"/>
    <x:row r="46" spans="1:77" hidden="1" outlineLevel="1"/>
    <x:row r="47" spans="1:77" hidden="1" outlineLevel="1"/>
    <x:row r="48" spans="1:77" hidden="1" outlineLevel="1"/>
    <x:row r="49" spans="1:77" hidden="1" outlineLevel="1"/>
    <x:row r="50" spans="1:77" hidden="1" outlineLevel="1"/>
    <x:row r="51" spans="1:77" hidden="1" outlineLevel="1"/>
    <x:row r="52" spans="1:77" hidden="1" outlineLevel="1"/>
    <x:row r="53" spans="1:77" hidden="1" outlineLevel="1"/>
    <x:row r="54" spans="1:77" hidden="1" outlineLevel="1"/>
    <x:row r="55" spans="1:77" hidden="1" outlineLevel="1"/>
    <x:row r="56" spans="1:77" hidden="1" outlineLevel="1"/>
    <x:row r="57" spans="1:77" hidden="1" outlineLevel="1"/>
    <x:row r="58" spans="1:77" hidden="1" outlineLevel="1"/>
    <x:row r="59" spans="1:77" hidden="1" outlineLevel="1"/>
    <x:row r="60" spans="1:77" hidden="1" outlineLevel="1"/>
    <x:row r="61" spans="1:77" hidden="1" outlineLevel="1"/>
    <x:row r="62" spans="1:77" hidden="1" outlineLevel="1"/>
    <x:row r="63" spans="1:77" hidden="1" outlineLevel="1"/>
    <x:row r="64" spans="1:77" hidden="1" outlineLevel="1"/>
    <x:row r="65" spans="1:77" hidden="1" outlineLevel="1"/>
    <x:row r="66" spans="1:77" hidden="1" outlineLevel="1"/>
    <x:row r="67" spans="1:77" collapsed="1">
      <x:c r="A67" s="744">
        <x:f t="shared" si="0"/>
        <x:v>55</x:v>
      </x:c>
      <x:c r="C67" s="1114" t="str">
        <x:f t="shared" si="2"/>
        <x:v>Base FCR</x:v>
      </x:c>
      <x:c r="D67" s="980">
        <x:f t="shared" si="1"/>
        <x:v>2025</x:v>
      </x:c>
      <x:c r="E67" s="981">
        <x:f>+G66</x:f>
        <x:v>8105236.0875000041</x:v>
      </x:c>
      <x:c r="F67" s="981">
        <x:f>+E$29</x:f>
        <x:v>459034.40625</x:v>
      </x:c>
      <x:c r="G67" s="981">
        <x:f t="shared" ref="G67:G72" si="5">+E67-F67</x:f>
        <x:v>7646201.6812500041</x:v>
      </x:c>
      <x:c r="H67" s="987">
        <x:f>+E$26*G67+F67</x:f>
        <x:v>1310261.6489867482</x:v>
      </x:c>
      <x:c r="I67" s="981">
        <x:f>+K66</x:f>
        <x:v>1710041.3142857146</x:v>
      </x:c>
      <x:c r="J67" s="981">
        <x:f>+I$29</x:f>
        <x:v>96847</x:v>
      </x:c>
      <x:c r="K67" s="981">
        <x:f t="shared" ref="K67:K72" si="6">+I67-J67</x:f>
        <x:v>1613194.3142857146</x:v>
      </x:c>
      <x:c r="L67" s="954">
        <x:f>+I$26*K67+J67</x:f>
        <x:v>276438.77711926866</x:v>
      </x:c>
      <x:c r="M67" s="985">
        <x:f>+O66</x:f>
        <x:v>1334613.4875</x:v>
      </x:c>
      <x:c r="N67" s="981">
        <x:f>+M$29</x:f>
        <x:v>75584.90625</x:v>
      </x:c>
      <x:c r="O67" s="981">
        <x:f t="shared" ref="O67:O72" si="7">+M67-N67</x:f>
        <x:v>1259028.58125</x:v>
      </x:c>
      <x:c r="P67" s="954">
        <x:f>+M$26*O67+N67</x:f>
        <x:v>215748.54205524758</x:v>
      </x:c>
      <x:c r="Q67" s="985">
        <x:f>+S66</x:f>
        <x:v>3722830.3125000019</x:v>
      </x:c>
      <x:c r="R67" s="981">
        <x:f>+Q$29</x:f>
        <x:v>200460.09375</x:v>
      </x:c>
      <x:c r="S67" s="981">
        <x:f t="shared" ref="S67:S72" si="8">+Q67-R67</x:f>
        <x:v>3522370.2187500019</x:v>
      </x:c>
      <x:c r="T67" s="954">
        <x:f>+Q$26*S67+R67</x:f>
        <x:v>592594.33427848574</x:v>
      </x:c>
      <x:c r="U67" s="985">
        <x:f>+W66</x:f>
        <x:v>4982844.3107142895</x:v>
      </x:c>
      <x:c r="V67" s="981">
        <x:f>+U$29</x:f>
        <x:v>261861.1875</x:v>
      </x:c>
      <x:c r="W67" s="981">
        <x:f t="shared" ref="W67:W72" si="9">+U67-V67</x:f>
        <x:v>4720983.1232142895</x:v>
      </x:c>
      <x:c r="X67" s="954">
        <x:f>+U$26*W67+V67</x:f>
        <x:v>787433.17925570975</x:v>
      </x:c>
      <x:c r="Y67" s="985">
        <x:f>+AA66</x:f>
        <x:v>8521411.3749999907</x:v>
      </x:c>
      <x:c r="Z67" s="981">
        <x:f>+Y$29</x:f>
        <x:v>453266.5625</x:v>
      </x:c>
      <x:c r="AA67" s="981">
        <x:f t="shared" ref="AA67:AA72" si="10">+Y67-Z67</x:f>
        <x:v>8068144.8124999907</x:v>
      </x:c>
      <x:c r="AB67" s="954">
        <x:f>+Y$26*AA67+Z67</x:f>
        <x:v>1351467.3880924541</x:v>
      </x:c>
      <x:c r="AC67" s="985">
        <x:f>+AE66</x:f>
        <x:v>4100277.7946428526</x:v>
      </x:c>
      <x:c r="AD67" s="981">
        <x:f>+AC$29</x:f>
        <x:v>208792.03125</x:v>
      </x:c>
      <x:c r="AE67" s="981">
        <x:f t="shared" ref="AE67:AE72" si="11">+AC67-AD67</x:f>
        <x:v>3891485.7633928526</x:v>
      </x:c>
      <x:c r="AF67" s="954">
        <x:f>+AC$26*AE67+AD67</x:f>
        <x:v>642018.72793068085</x:v>
      </x:c>
      <x:c r="AG67" s="985">
        <x:f>+AI66</x:f>
        <x:v>138759.52500000014</x:v>
      </x:c>
      <x:c r="AH67" s="981">
        <x:f>+AG$29</x:f>
        <x:v>6801.9375</x:v>
      </x:c>
      <x:c r="AI67" s="981">
        <x:f t="shared" ref="AI67:AI72" si="12">+AG67-AH67</x:f>
        <x:v>131957.58750000014</x:v>
      </x:c>
      <x:c r="AJ67" s="954">
        <x:f>+AG$26*AI67+AH67</x:f>
        <x:v>21492.354788006352</x:v>
      </x:c>
      <x:c r="AK67" s="985">
        <x:f>+AM66</x:f>
        <x:v>3222588.6374999979</x:v>
      </x:c>
      <x:c r="AL67" s="981">
        <x:f>+AK$29</x:f>
        <x:v>157970.03125</x:v>
      </x:c>
      <x:c r="AM67" s="981">
        <x:f t="shared" ref="AM67:AM72" si="13">+AK67-AL67</x:f>
        <x:v>3064618.6062499979</x:v>
      </x:c>
      <x:c r="AN67" s="954">
        <x:f>+AK$26*AM67+AL67</x:f>
        <x:v>499144.24492983753</x:v>
      </x:c>
      <x:c r="AO67" s="985">
        <x:f>+AQ66</x:f>
        <x:v>10671317.937499993</x:v>
      </x:c>
      <x:c r="AP67" s="981">
        <x:f>+AO$29</x:f>
        <x:v>511638.53125</x:v>
      </x:c>
      <x:c r="AQ67" s="981">
        <x:f t="shared" ref="AQ67:AQ72" si="14">+AO67-AP67</x:f>
        <x:v>10159679.406249993</x:v>
      </x:c>
      <x:c r="AR67" s="954">
        <x:f>+AO$26*AQ67+AP67</x:f>
        <x:v>1642683.2314282057</x:v>
      </x:c>
      <x:c r="AS67" s="985">
        <x:f>+AU66</x:f>
        <x:v>6988288.5351190511</x:v>
      </x:c>
      <x:c r="AT67" s="981">
        <x:f>+AS$29</x:f>
        <x:v>330229.65625</x:v>
      </x:c>
      <x:c r="AU67" s="981">
        <x:f t="shared" ref="AU67:AU72" si="15">+AS67-AT67</x:f>
        <x:v>6658058.8788690511</x:v>
      </x:c>
      <x:c r="AV67" s="954">
        <x:f>+AS$26*AU67+AT67</x:f>
        <x:v>1071450.112850891</x:v>
      </x:c>
      <x:c r="AW67" s="985">
        <x:f>+AY66</x:f>
        <x:v>4680718.3088333346</x:v>
      </x:c>
      <x:c r="AX67" s="981">
        <x:f>+AW$29</x:f>
        <x:v>226460.71875</x:v>
      </x:c>
      <x:c r="AY67" s="981">
        <x:f t="shared" ref="AY67:AY72" si="16">+AW67-AX67</x:f>
        <x:v>4454257.5900833346</x:v>
      </x:c>
      <x:c r="AZ67" s="954">
        <x:f>+AW$26*AY67+AX67</x:f>
        <x:v>722339.00772367243</x:v>
      </x:c>
      <x:c r="BA67" s="985">
        <x:f>+BC66</x:f>
        <x:v>4775731.0880952375</x:v>
      </x:c>
      <x:c r="BB67" s="981">
        <x:f>+BA$29</x:f>
        <x:v>170445.875</x:v>
      </x:c>
      <x:c r="BC67" s="981">
        <x:f t="shared" ref="BC67:BC72" si="17">+BA67-BB67</x:f>
        <x:v>4605285.2130952375</x:v>
      </x:c>
      <x:c r="BD67" s="954">
        <x:f>+BA$26*BC67+BB67</x:f>
        <x:v>683137.58748416638</x:v>
      </x:c>
      <x:c r="BE67" s="982">
        <x:f t="shared" si="4"/>
        <x:v>9816209.1369233746</x:v>
      </x:c>
      <x:c r="BF67" s="946"/>
      <x:c r="BG67" s="983">
        <x:f>+BE67</x:f>
        <x:v>9816209.1369233746</x:v>
      </x:c>
      <x:c r="BU67" s="986"/>
      <x:c r="BV67" s="986"/>
      <x:c r="BW67" s="986"/>
      <x:c r="BX67" s="986"/>
      <x:c r="BY67" s="986"/>
    </x:row>
    <x:row r="68" spans="1:77">
      <x:c r="A68" s="744">
        <x:f t="shared" si="0"/>
        <x:v>56</x:v>
      </x:c>
      <x:c r="C68" s="1114" t="str">
        <x:f t="shared" si="2"/>
        <x:v>W Increased ROE</x:v>
      </x:c>
      <x:c r="D68" s="980">
        <x:f t="shared" si="1"/>
        <x:v>2025</x:v>
      </x:c>
      <x:c r="E68" s="981">
        <x:f>+E67</x:f>
        <x:v>8105236.0875000041</x:v>
      </x:c>
      <x:c r="F68" s="981">
        <x:f>+F67</x:f>
        <x:v>459034.40625</x:v>
      </x:c>
      <x:c r="G68" s="981">
        <x:f t="shared" si="5"/>
        <x:v>7646201.6812500041</x:v>
      </x:c>
      <x:c r="H68" s="987">
        <x:f>+E$27*G68+F68</x:f>
        <x:v>1379326.8449992887</x:v>
      </x:c>
      <x:c r="I68" s="981">
        <x:f>+I67</x:f>
        <x:v>1710041.3142857146</x:v>
      </x:c>
      <x:c r="J68" s="981">
        <x:f>+J67</x:f>
        <x:v>96847</x:v>
      </x:c>
      <x:c r="K68" s="981">
        <x:f t="shared" si="6"/>
        <x:v>1613194.3142857146</x:v>
      </x:c>
      <x:c r="L68" s="954">
        <x:f>+I$27*K68+J68</x:f>
        <x:v>291010.14028323954</x:v>
      </x:c>
      <x:c r="M68" s="985">
        <x:f>+M67</x:f>
        <x:v>1334613.4875</x:v>
      </x:c>
      <x:c r="N68" s="981">
        <x:f>+N67</x:f>
        <x:v>75584.90625</x:v>
      </x:c>
      <x:c r="O68" s="981">
        <x:f t="shared" si="7"/>
        <x:v>1259028.58125</x:v>
      </x:c>
      <x:c r="P68" s="954">
        <x:f>+M$27*O68+N68</x:f>
        <x:v>227120.86250589081</x:v>
      </x:c>
      <x:c r="Q68" s="985">
        <x:f>+Q67</x:f>
        <x:v>3722830.3125000019</x:v>
      </x:c>
      <x:c r="R68" s="981">
        <x:f>+R67</x:f>
        <x:v>200460.09375</x:v>
      </x:c>
      <x:c r="S68" s="981">
        <x:f t="shared" si="8"/>
        <x:v>3522370.2187500019</x:v>
      </x:c>
      <x:c r="T68" s="954">
        <x:f>+Q$27*S68+R68</x:f>
        <x:v>624410.54835811909</x:v>
      </x:c>
      <x:c r="U68" s="985">
        <x:f>+U67</x:f>
        <x:v>4982844.3107142895</x:v>
      </x:c>
      <x:c r="V68" s="981">
        <x:f>+V67</x:f>
        <x:v>261861.1875</x:v>
      </x:c>
      <x:c r="W68" s="981">
        <x:f t="shared" si="9"/>
        <x:v>4720983.1232142895</x:v>
      </x:c>
      <x:c r="X68" s="954">
        <x:f>+U$27*W68+V68</x:f>
        <x:v>830076.0022375104</x:v>
      </x:c>
      <x:c r="Y68" s="985">
        <x:f>+Y67</x:f>
        <x:v>8521411.3749999907</x:v>
      </x:c>
      <x:c r="Z68" s="981">
        <x:f>+Z67</x:f>
        <x:v>453266.5625</x:v>
      </x:c>
      <x:c r="AA68" s="981">
        <x:f t="shared" si="10"/>
        <x:v>8068144.8124999907</x:v>
      </x:c>
      <x:c r="AB68" s="954">
        <x:f>+Y$27*AA68+Z68</x:f>
        <x:v>1424343.8339622128</x:v>
      </x:c>
      <x:c r="AC68" s="985">
        <x:f>+AC67</x:f>
        <x:v>4100277.7946428526</x:v>
      </x:c>
      <x:c r="AD68" s="981">
        <x:f>+AD67</x:f>
        <x:v>208792.03125</x:v>
      </x:c>
      <x:c r="AE68" s="981">
        <x:f t="shared" si="11"/>
        <x:v>3891485.7633928526</x:v>
      </x:c>
      <x:c r="AF68" s="954">
        <x:f>+AC$27*AE68+AD68</x:f>
        <x:v>677169.02061623812</x:v>
      </x:c>
      <x:c r="AG68" s="985">
        <x:f>+AG67</x:f>
        <x:v>138759.52500000014</x:v>
      </x:c>
      <x:c r="AH68" s="981">
        <x:f>+AH67</x:f>
        <x:v>6801.9375</x:v>
      </x:c>
      <x:c r="AI68" s="981">
        <x:f t="shared" si="12"/>
        <x:v>131957.58750000014</x:v>
      </x:c>
      <x:c r="AJ68" s="954">
        <x:f>+AG$27*AI68+AH68</x:f>
        <x:v>21492.354788006352</x:v>
      </x:c>
      <x:c r="AK68" s="985">
        <x:f>+AK67</x:f>
        <x:v>3222588.6374999979</x:v>
      </x:c>
      <x:c r="AL68" s="981">
        <x:f>+AL67</x:f>
        <x:v>157970.03125</x:v>
      </x:c>
      <x:c r="AM68" s="981">
        <x:f t="shared" si="13"/>
        <x:v>3064618.6062499979</x:v>
      </x:c>
      <x:c r="AN68" s="954">
        <x:f>+AK$27*AM68+AL68</x:f>
        <x:v>499144.24492983753</x:v>
      </x:c>
      <x:c r="AO68" s="985">
        <x:f>+AO67</x:f>
        <x:v>10671317.937499993</x:v>
      </x:c>
      <x:c r="AP68" s="981">
        <x:f>+AP67</x:f>
        <x:v>511638.53125</x:v>
      </x:c>
      <x:c r="AQ68" s="981">
        <x:f t="shared" si="14"/>
        <x:v>10159679.406249993</x:v>
      </x:c>
      <x:c r="AR68" s="954">
        <x:f>+AO$27*AQ68+AP68</x:f>
        <x:v>1734451.7040461702</x:v>
      </x:c>
      <x:c r="AS68" s="985">
        <x:f>+AS67</x:f>
        <x:v>6988288.5351190511</x:v>
      </x:c>
      <x:c r="AT68" s="981">
        <x:f>+AT67</x:f>
        <x:v>330229.65625</x:v>
      </x:c>
      <x:c r="AU68" s="981">
        <x:f t="shared" si="15"/>
        <x:v>6658058.8788690511</x:v>
      </x:c>
      <x:c r="AV68" s="954">
        <x:f>+AS$27*AU68+AT68</x:f>
        <x:v>1071450.112850891</x:v>
      </x:c>
      <x:c r="AW68" s="985">
        <x:f>+AW67</x:f>
        <x:v>4680718.3088333346</x:v>
      </x:c>
      <x:c r="AX68" s="981">
        <x:f>+AX67</x:f>
        <x:v>226460.71875</x:v>
      </x:c>
      <x:c r="AY68" s="981">
        <x:f t="shared" si="16"/>
        <x:v>4454257.5900833346</x:v>
      </x:c>
      <x:c r="AZ68" s="954">
        <x:f>+AW$27*AY68+AX68</x:f>
        <x:v>722339.00772367243</x:v>
      </x:c>
      <x:c r="BA68" s="985">
        <x:f>+BA67</x:f>
        <x:v>4775731.0880952375</x:v>
      </x:c>
      <x:c r="BB68" s="981">
        <x:f>+BB67</x:f>
        <x:v>170445.875</x:v>
      </x:c>
      <x:c r="BC68" s="981">
        <x:f t="shared" si="17"/>
        <x:v>4605285.2130952375</x:v>
      </x:c>
      <x:c r="BD68" s="954">
        <x:f>+BA$27*BC68+BB68</x:f>
        <x:v>683137.58748416638</x:v>
      </x:c>
      <x:c r="BE68" s="982">
        <x:f t="shared" si="4"/>
        <x:v>10185472.264785241</x:v>
      </x:c>
      <x:c r="BF68" s="984">
        <x:f>+BE68</x:f>
        <x:v>10185472.264785241</x:v>
      </x:c>
      <x:c r="BG68" s="947"/>
      <x:c r="BH68" s="988">
        <x:f>BF68-BG67</x:f>
        <x:v>369263.12786186673</x:v>
      </x:c>
      <x:c r="BI68" s="1393"/>
      <x:c r="BU68" s="986"/>
      <x:c r="BV68" s="986"/>
      <x:c r="BW68" s="986"/>
      <x:c r="BX68" s="986"/>
      <x:c r="BY68" s="986"/>
    </x:row>
    <x:row r="69" spans="1:77">
      <x:c r="A69" s="744">
        <x:f t="shared" si="0"/>
        <x:v>57</x:v>
      </x:c>
      <x:c r="C69" s="1114" t="str">
        <x:f t="shared" si="2"/>
        <x:v>Base FCR</x:v>
      </x:c>
      <x:c r="D69" s="980">
        <x:f t="shared" si="1"/>
        <x:v>2026</x:v>
      </x:c>
      <x:c r="E69" s="981">
        <x:f>+G68</x:f>
        <x:v>7646201.6812500041</x:v>
      </x:c>
      <x:c r="F69" s="981">
        <x:f>+E$29</x:f>
        <x:v>459034.40625</x:v>
      </x:c>
      <x:c r="G69" s="981">
        <x:f t="shared" si="5"/>
        <x:v>7187167.2750000041</x:v>
      </x:c>
      <x:c r="H69" s="987">
        <x:f>+E$26*G69+F69</x:f>
        <x:v>1259158.8128018663</x:v>
      </x:c>
      <x:c r="I69" s="981">
        <x:f>+K68</x:f>
        <x:v>1613194.3142857146</x:v>
      </x:c>
      <x:c r="J69" s="981">
        <x:f>+I$29</x:f>
        <x:v>96847</x:v>
      </x:c>
      <x:c r="K69" s="981">
        <x:f t="shared" si="6"/>
        <x:v>1516347.3142857146</x:v>
      </x:c>
      <x:c r="L69" s="954">
        <x:f>+I$26*K69+J69</x:f>
        <x:v>265657.10953920963</x:v>
      </x:c>
      <x:c r="M69" s="985">
        <x:f>+O68</x:f>
        <x:v>1259028.58125</x:v>
      </x:c>
      <x:c r="N69" s="981">
        <x:f>+M$29</x:f>
        <x:v>75584.90625</x:v>
      </x:c>
      <x:c r="O69" s="981">
        <x:f t="shared" si="7"/>
        <x:v>1183443.675</x:v>
      </x:c>
      <x:c r="P69" s="954">
        <x:f>+M$26*O69+N69</x:f>
        <x:v>207333.91554892913</x:v>
      </x:c>
      <x:c r="Q69" s="985">
        <x:f>+S68</x:f>
        <x:v>3522370.2187500019</x:v>
      </x:c>
      <x:c r="R69" s="981">
        <x:f>+Q$29</x:f>
        <x:v>200460.09375</x:v>
      </x:c>
      <x:c r="S69" s="981">
        <x:f t="shared" si="8"/>
        <x:v>3321910.1250000019</x:v>
      </x:c>
      <x:c r="T69" s="954">
        <x:f>+Q$26*S69+R69</x:f>
        <x:v>570277.75148418162</x:v>
      </x:c>
      <x:c r="U69" s="985">
        <x:f>+W68</x:f>
        <x:v>4720983.1232142895</x:v>
      </x:c>
      <x:c r="V69" s="981">
        <x:f>+U$29</x:f>
        <x:v>261861.1875</x:v>
      </x:c>
      <x:c r="W69" s="981">
        <x:f t="shared" si="9"/>
        <x:v>4459121.9357142895</x:v>
      </x:c>
      <x:c r="X69" s="954">
        <x:f>+U$26*W69+V69</x:f>
        <x:v>758281.00855610624</x:v>
      </x:c>
      <x:c r="Y69" s="985">
        <x:f>+AA68</x:f>
        <x:v>8068144.8124999907</x:v>
      </x:c>
      <x:c r="Z69" s="981">
        <x:f>+Y$29</x:f>
        <x:v>453266.5625</x:v>
      </x:c>
      <x:c r="AA69" s="981">
        <x:f t="shared" si="10"/>
        <x:v>7614878.2499999907</x:v>
      </x:c>
      <x:c r="AB69" s="954">
        <x:f>+Y$26*AA69+Z69</x:f>
        <x:v>1301006.6675535522</x:v>
      </x:c>
      <x:c r="AC69" s="985">
        <x:f>+AE68</x:f>
        <x:v>3891485.7633928526</x:v>
      </x:c>
      <x:c r="AD69" s="981">
        <x:f>+AC$29</x:f>
        <x:v>208792.03125</x:v>
      </x:c>
      <x:c r="AE69" s="981">
        <x:f t="shared" si="11"/>
        <x:v>3682693.7321428526</x:v>
      </x:c>
      <x:c r="AF69" s="954">
        <x:f>+AC$26*AE69+AD69</x:f>
        <x:v>618774.57711235096</x:v>
      </x:c>
      <x:c r="AG69" s="985">
        <x:f>+AI68</x:f>
        <x:v>131957.58750000014</x:v>
      </x:c>
      <x:c r="AH69" s="981">
        <x:f>+AG$29</x:f>
        <x:v>6801.9375</x:v>
      </x:c>
      <x:c r="AI69" s="981">
        <x:f t="shared" si="12"/>
        <x:v>125155.65000000014</x:v>
      </x:c>
      <x:c r="AJ69" s="954">
        <x:f>+AG$26*AI69+AH69</x:f>
        <x:v>20735.116783469944</x:v>
      </x:c>
      <x:c r="AK69" s="985">
        <x:f>+AM68</x:f>
        <x:v>3064618.6062499979</x:v>
      </x:c>
      <x:c r="AL69" s="981">
        <x:f>+AK$29</x:f>
        <x:v>157970.03125</x:v>
      </x:c>
      <x:c r="AM69" s="981">
        <x:f t="shared" si="13"/>
        <x:v>2906648.5749999979</x:v>
      </x:c>
      <x:c r="AN69" s="954">
        <x:f>+AK$26*AM69+AL69</x:f>
        <x:v>481557.94525561907</x:v>
      </x:c>
      <x:c r="AO69" s="985">
        <x:f>+AQ68</x:f>
        <x:v>10159679.406249993</x:v>
      </x:c>
      <x:c r="AP69" s="981">
        <x:f>+AO$29</x:f>
        <x:v>511638.53125</x:v>
      </x:c>
      <x:c r="AQ69" s="981">
        <x:f t="shared" si="14"/>
        <x:v>9648040.8749999925</x:v>
      </x:c>
      <x:c r="AR69" s="954">
        <x:f>+AO$26*AQ69+AP69</x:f>
        <x:v>1585724.1458077205</x:v>
      </x:c>
      <x:c r="AS69" s="985">
        <x:f>+AU68</x:f>
        <x:v>6658058.8788690511</x:v>
      </x:c>
      <x:c r="AT69" s="981">
        <x:f>+AS$29</x:f>
        <x:v>330229.65625</x:v>
      </x:c>
      <x:c r="AU69" s="981">
        <x:f t="shared" si="15"/>
        <x:v>6327829.2226190511</x:v>
      </x:c>
      <x:c r="AV69" s="954">
        <x:f>+AS$26*AU69+AT69</x:f>
        <x:v>1034686.6986123015</x:v>
      </x:c>
      <x:c r="AW69" s="985">
        <x:f>+AY68</x:f>
        <x:v>4454257.5900833346</x:v>
      </x:c>
      <x:c r="AX69" s="981">
        <x:f>+AW$29</x:f>
        <x:v>226460.71875</x:v>
      </x:c>
      <x:c r="AY69" s="981">
        <x:f t="shared" si="16"/>
        <x:v>4227796.8713333346</x:v>
      </x:c>
      <x:c r="AZ69" s="954">
        <x:f>+AW$26*AY69+AX69</x:f>
        <x:v>697127.85828689346</x:v>
      </x:c>
      <x:c r="BA69" s="985">
        <x:f>+BC68</x:f>
        <x:v>4605285.2130952375</x:v>
      </x:c>
      <x:c r="BB69" s="981">
        <x:f>+BA$29</x:f>
        <x:v>170445.875</x:v>
      </x:c>
      <x:c r="BC69" s="981">
        <x:f t="shared" si="17"/>
        <x:v>4434839.3380952375</x:v>
      </x:c>
      <x:c r="BD69" s="954">
        <x:f>+BA$26*BC69+BB69</x:f>
        <x:v>664162.3919216576</x:v>
      </x:c>
      <x:c r="BE69" s="982">
        <x:f t="shared" si="4"/>
        <x:v>9464483.9992638584</x:v>
      </x:c>
      <x:c r="BF69" s="946"/>
      <x:c r="BG69" s="983">
        <x:f>+BE69</x:f>
        <x:v>9464483.9992638584</x:v>
      </x:c>
      <x:c r="BU69" s="986"/>
      <x:c r="BV69" s="986"/>
      <x:c r="BW69" s="986"/>
      <x:c r="BX69" s="986"/>
      <x:c r="BY69" s="986"/>
    </x:row>
    <x:row r="70" spans="1:77">
      <x:c r="A70" s="744">
        <x:f t="shared" si="0"/>
        <x:v>58</x:v>
      </x:c>
      <x:c r="C70" s="1114" t="str">
        <x:f t="shared" si="2"/>
        <x:v>W Increased ROE</x:v>
      </x:c>
      <x:c r="D70" s="980">
        <x:f t="shared" si="1"/>
        <x:v>2026</x:v>
      </x:c>
      <x:c r="E70" s="981">
        <x:f>+E69</x:f>
        <x:v>7646201.6812500041</x:v>
      </x:c>
      <x:c r="F70" s="981">
        <x:f>+F69</x:f>
        <x:v>459034.40625</x:v>
      </x:c>
      <x:c r="G70" s="981">
        <x:f t="shared" si="5"/>
        <x:v>7187167.2750000041</x:v>
      </x:c>
      <x:c r="H70" s="987">
        <x:f>+E$27*G70+F70</x:f>
        <x:v>1324077.7277501889</x:v>
      </x:c>
      <x:c r="I70" s="981">
        <x:f>+I69</x:f>
        <x:v>1613194.3142857146</x:v>
      </x:c>
      <x:c r="J70" s="981">
        <x:f>+J69</x:f>
        <x:v>96847</x:v>
      </x:c>
      <x:c r="K70" s="981">
        <x:f t="shared" si="6"/>
        <x:v>1516347.3142857146</x:v>
      </x:c>
      <x:c r="L70" s="954">
        <x:f>+I$27*K70+J70</x:f>
        <x:v>279353.69103810505</x:v>
      </x:c>
      <x:c r="M70" s="985">
        <x:f>+M69</x:f>
        <x:v>1259028.58125</x:v>
      </x:c>
      <x:c r="N70" s="981">
        <x:f>+N69</x:f>
        <x:v>75584.90625</x:v>
      </x:c>
      <x:c r="O70" s="981">
        <x:f t="shared" si="7"/>
        <x:v>1183443.675</x:v>
      </x:c>
      <x:c r="P70" s="954">
        <x:f>+M$27*O70+N70</x:f>
        <x:v>218023.50664147196</x:v>
      </x:c>
      <x:c r="Q70" s="985">
        <x:f>+Q69</x:f>
        <x:v>3522370.2187500019</x:v>
      </x:c>
      <x:c r="R70" s="981">
        <x:f>+R69</x:f>
        <x:v>200460.09375</x:v>
      </x:c>
      <x:c r="S70" s="981">
        <x:f t="shared" si="8"/>
        <x:v>3321910.1250000019</x:v>
      </x:c>
      <x:c r="T70" s="954">
        <x:f>+Q$27*S70+R70</x:f>
        <x:v>600283.28671375464</x:v>
      </x:c>
      <x:c r="U70" s="985">
        <x:f>+U69</x:f>
        <x:v>4720983.1232142895</x:v>
      </x:c>
      <x:c r="V70" s="981">
        <x:f>+V69</x:f>
        <x:v>261861.1875</x:v>
      </x:c>
      <x:c r="W70" s="981">
        <x:f t="shared" si="9"/>
        <x:v>4459121.9357142895</x:v>
      </x:c>
      <x:c r="X70" s="954">
        <x:f>+U$27*W70+V70</x:f>
        <x:v>798558.54024731566</x:v>
      </x:c>
      <x:c r="Y70" s="985">
        <x:f>+Y69</x:f>
        <x:v>8068144.8124999907</x:v>
      </x:c>
      <x:c r="Z70" s="981">
        <x:f>+Z69</x:f>
        <x:v>453266.5625</x:v>
      </x:c>
      <x:c r="AA70" s="981">
        <x:f t="shared" si="10"/>
        <x:v>7614878.2499999907</x:v>
      </x:c>
      <x:c r="AB70" s="954">
        <x:f>+Y$27*AA70+Z70</x:f>
        <x:v>1369788.931071077</x:v>
      </x:c>
      <x:c r="AC70" s="985">
        <x:f>+AC69</x:f>
        <x:v>3891485.7633928526</x:v>
      </x:c>
      <x:c r="AD70" s="981">
        <x:f>+AD69</x:f>
        <x:v>208792.03125</x:v>
      </x:c>
      <x:c r="AE70" s="981">
        <x:f t="shared" si="11"/>
        <x:v>3682693.7321428526</x:v>
      </x:c>
      <x:c r="AF70" s="954">
        <x:f>+AC$27*AE70+AD70</x:f>
        <x:v>652038.9317641916</x:v>
      </x:c>
      <x:c r="AG70" s="985">
        <x:f>+AG69</x:f>
        <x:v>131957.58750000014</x:v>
      </x:c>
      <x:c r="AH70" s="981">
        <x:f>+AH69</x:f>
        <x:v>6801.9375</x:v>
      </x:c>
      <x:c r="AI70" s="981">
        <x:f t="shared" si="12"/>
        <x:v>125155.65000000014</x:v>
      </x:c>
      <x:c r="AJ70" s="954">
        <x:f>+AG$27*AI70+AH70</x:f>
        <x:v>20735.116783469944</x:v>
      </x:c>
      <x:c r="AK70" s="985">
        <x:f>+AK69</x:f>
        <x:v>3064618.6062499979</x:v>
      </x:c>
      <x:c r="AL70" s="981">
        <x:f>+AL69</x:f>
        <x:v>157970.03125</x:v>
      </x:c>
      <x:c r="AM70" s="981">
        <x:f t="shared" si="13"/>
        <x:v>2906648.5749999979</x:v>
      </x:c>
      <x:c r="AN70" s="954">
        <x:f>+AK$27*AM70+AL70</x:f>
        <x:v>481557.94525561907</x:v>
      </x:c>
      <x:c r="AO70" s="985">
        <x:f>+AO69</x:f>
        <x:v>10159679.406249993</x:v>
      </x:c>
      <x:c r="AP70" s="981">
        <x:f>+AP69</x:f>
        <x:v>511638.53125</x:v>
      </x:c>
      <x:c r="AQ70" s="981">
        <x:f t="shared" si="14"/>
        <x:v>9648040.8749999925</x:v>
      </x:c>
      <x:c r="AR70" s="954">
        <x:f>+AO$27*AQ70+AP70</x:f>
        <x:v>1672871.1845528379</x:v>
      </x:c>
      <x:c r="AS70" s="985">
        <x:f>+AS69</x:f>
        <x:v>6658058.8788690511</x:v>
      </x:c>
      <x:c r="AT70" s="981">
        <x:f>+AT69</x:f>
        <x:v>330229.65625</x:v>
      </x:c>
      <x:c r="AU70" s="981">
        <x:f t="shared" si="15"/>
        <x:v>6327829.2226190511</x:v>
      </x:c>
      <x:c r="AV70" s="954">
        <x:f>+AS$27*AU70+AT70</x:f>
        <x:v>1034686.6986123015</x:v>
      </x:c>
      <x:c r="AW70" s="985">
        <x:f>+AW69</x:f>
        <x:v>4454257.5900833346</x:v>
      </x:c>
      <x:c r="AX70" s="981">
        <x:f>+AX69</x:f>
        <x:v>226460.71875</x:v>
      </x:c>
      <x:c r="AY70" s="981">
        <x:f t="shared" si="16"/>
        <x:v>4227796.8713333346</x:v>
      </x:c>
      <x:c r="AZ70" s="954">
        <x:f>+AW$27*AY70+AX70</x:f>
        <x:v>697127.85828689346</x:v>
      </x:c>
      <x:c r="BA70" s="985">
        <x:f>+BA69</x:f>
        <x:v>4605285.2130952375</x:v>
      </x:c>
      <x:c r="BB70" s="981">
        <x:f>+BB69</x:f>
        <x:v>170445.875</x:v>
      </x:c>
      <x:c r="BC70" s="981">
        <x:f t="shared" si="17"/>
        <x:v>4434839.3380952375</x:v>
      </x:c>
      <x:c r="BD70" s="954">
        <x:f>+BA$27*BC70+BB70</x:f>
        <x:v>664162.3919216576</x:v>
      </x:c>
      <x:c r="BE70" s="982">
        <x:f t="shared" si="4"/>
        <x:v>9813265.8106388841</x:v>
      </x:c>
      <x:c r="BF70" s="984">
        <x:f>+BE70</x:f>
        <x:v>9813265.8106388841</x:v>
      </x:c>
      <x:c r="BG70" s="947"/>
      <x:c r="BU70" s="986"/>
      <x:c r="BV70" s="986"/>
      <x:c r="BW70" s="986"/>
      <x:c r="BX70" s="986"/>
      <x:c r="BY70" s="986"/>
    </x:row>
    <x:row r="71" spans="1:77">
      <x:c r="A71" s="744">
        <x:f t="shared" si="0"/>
        <x:v>59</x:v>
      </x:c>
      <x:c r="C71" s="1114" t="str">
        <x:f t="shared" si="2"/>
        <x:v>Base FCR</x:v>
      </x:c>
      <x:c r="D71" s="980">
        <x:f t="shared" si="1"/>
        <x:v>2027</x:v>
      </x:c>
      <x:c r="E71" s="981">
        <x:f>+G70</x:f>
        <x:v>7187167.2750000041</x:v>
      </x:c>
      <x:c r="F71" s="981">
        <x:f>+E$29</x:f>
        <x:v>459034.40625</x:v>
      </x:c>
      <x:c r="G71" s="981">
        <x:f t="shared" si="5"/>
        <x:v>6728132.8687500041</x:v>
      </x:c>
      <x:c r="H71" s="987">
        <x:f>+E$26*G71+F71</x:f>
        <x:v>1208055.9766169842</x:v>
      </x:c>
      <x:c r="I71" s="981">
        <x:f>+K70</x:f>
        <x:v>1516347.3142857146</x:v>
      </x:c>
      <x:c r="J71" s="981">
        <x:f>+I$29</x:f>
        <x:v>96847</x:v>
      </x:c>
      <x:c r="K71" s="981">
        <x:f t="shared" si="6"/>
        <x:v>1419500.3142857146</x:v>
      </x:c>
      <x:c r="L71" s="954">
        <x:f>+I$26*K71+J71</x:f>
        <x:v>254875.44195915063</x:v>
      </x:c>
      <x:c r="M71" s="985">
        <x:f>+O70</x:f>
        <x:v>1183443.675</x:v>
      </x:c>
      <x:c r="N71" s="981">
        <x:f>+M$29</x:f>
        <x:v>75584.90625</x:v>
      </x:c>
      <x:c r="O71" s="981">
        <x:f t="shared" si="7"/>
        <x:v>1107858.76875</x:v>
      </x:c>
      <x:c r="P71" s="954">
        <x:f>+M$26*O71+N71</x:f>
        <x:v>198919.28904261068</x:v>
      </x:c>
      <x:c r="Q71" s="985">
        <x:f>+S70</x:f>
        <x:v>3321910.1250000019</x:v>
      </x:c>
      <x:c r="R71" s="981">
        <x:f>+Q$29</x:f>
        <x:v>200460.09375</x:v>
      </x:c>
      <x:c r="S71" s="981">
        <x:f t="shared" si="8"/>
        <x:v>3121450.0312500019</x:v>
      </x:c>
      <x:c r="T71" s="954">
        <x:f>+Q$26*S71+R71</x:f>
        <x:v>547961.16868987749</x:v>
      </x:c>
      <x:c r="U71" s="985">
        <x:f>+W70</x:f>
        <x:v>4459121.9357142895</x:v>
      </x:c>
      <x:c r="V71" s="981">
        <x:f>+U$29</x:f>
        <x:v>261861.1875</x:v>
      </x:c>
      <x:c r="W71" s="981">
        <x:f t="shared" si="9"/>
        <x:v>4197260.7482142895</x:v>
      </x:c>
      <x:c r="X71" s="954">
        <x:f>+U$26*W71+V71</x:f>
        <x:v>729128.83785650274</x:v>
      </x:c>
      <x:c r="Y71" s="985">
        <x:f>+AA70</x:f>
        <x:v>7614878.2499999907</x:v>
      </x:c>
      <x:c r="Z71" s="981">
        <x:f>+Y$29</x:f>
        <x:v>453266.5625</x:v>
      </x:c>
      <x:c r="AA71" s="981">
        <x:f t="shared" si="10"/>
        <x:v>7161611.6874999907</x:v>
      </x:c>
      <x:c r="AB71" s="954">
        <x:f>+Y$26*AA71+Z71</x:f>
        <x:v>1250545.9470146503</x:v>
      </x:c>
      <x:c r="AC71" s="985">
        <x:f>+AE70</x:f>
        <x:v>3682693.7321428526</x:v>
      </x:c>
      <x:c r="AD71" s="981">
        <x:f>+AC$29</x:f>
        <x:v>208792.03125</x:v>
      </x:c>
      <x:c r="AE71" s="981">
        <x:f t="shared" si="11"/>
        <x:v>3473901.7008928526</x:v>
      </x:c>
      <x:c r="AF71" s="954">
        <x:f>+AC$26*AE71+AD71</x:f>
        <x:v>595530.42629402108</x:v>
      </x:c>
      <x:c r="AG71" s="985">
        <x:f>+AI70</x:f>
        <x:v>125155.65000000014</x:v>
      </x:c>
      <x:c r="AH71" s="981">
        <x:f>+AG$29</x:f>
        <x:v>6801.9375</x:v>
      </x:c>
      <x:c r="AI71" s="981">
        <x:f t="shared" si="12"/>
        <x:v>118353.71250000014</x:v>
      </x:c>
      <x:c r="AJ71" s="954">
        <x:f>+AG$26*AI71+AH71</x:f>
        <x:v>19977.878778933533</x:v>
      </x:c>
      <x:c r="AK71" s="985">
        <x:f>+AM70</x:f>
        <x:v>2906648.5749999979</x:v>
      </x:c>
      <x:c r="AL71" s="981">
        <x:f>+AK$29</x:f>
        <x:v>157970.03125</x:v>
      </x:c>
      <x:c r="AM71" s="981">
        <x:f t="shared" si="13"/>
        <x:v>2748678.5437499979</x:v>
      </x:c>
      <x:c r="AN71" s="954">
        <x:f>+AK$26*AM71+AL71</x:f>
        <x:v>463971.6455814006</x:v>
      </x:c>
      <x:c r="AO71" s="985">
        <x:f>+AQ70</x:f>
        <x:v>9648040.8749999925</x:v>
      </x:c>
      <x:c r="AP71" s="981">
        <x:f>+AO$29</x:f>
        <x:v>511638.53125</x:v>
      </x:c>
      <x:c r="AQ71" s="981">
        <x:f t="shared" si="14"/>
        <x:v>9136402.3437499925</x:v>
      </x:c>
      <x:c r="AR71" s="954">
        <x:f>+AO$26*AQ71+AP71</x:f>
        <x:v>1528765.0601872355</x:v>
      </x:c>
      <x:c r="AS71" s="985">
        <x:f>+AU70</x:f>
        <x:v>6327829.2226190511</x:v>
      </x:c>
      <x:c r="AT71" s="981">
        <x:f>+AS$29</x:f>
        <x:v>330229.65625</x:v>
      </x:c>
      <x:c r="AU71" s="981">
        <x:f t="shared" si="15"/>
        <x:v>5997599.5663690511</x:v>
      </x:c>
      <x:c r="AV71" s="954">
        <x:f>+AS$26*AU71+AT71</x:f>
        <x:v>997923.28437371226</x:v>
      </x:c>
      <x:c r="AW71" s="985">
        <x:f>+AY70</x:f>
        <x:v>4227796.8713333346</x:v>
      </x:c>
      <x:c r="AX71" s="981">
        <x:f>+AW$29</x:f>
        <x:v>226460.71875</x:v>
      </x:c>
      <x:c r="AY71" s="981">
        <x:f t="shared" si="16"/>
        <x:v>4001336.1525833346</x:v>
      </x:c>
      <x:c r="AZ71" s="954">
        <x:f>+AW$26*AY71+AX71</x:f>
        <x:v>671916.70885011437</x:v>
      </x:c>
      <x:c r="BA71" s="985">
        <x:f>+BC70</x:f>
        <x:v>4434839.3380952375</x:v>
      </x:c>
      <x:c r="BB71" s="981">
        <x:f>+BA$29</x:f>
        <x:v>170445.875</x:v>
      </x:c>
      <x:c r="BC71" s="981">
        <x:f t="shared" si="17"/>
        <x:v>4264393.4630952375</x:v>
      </x:c>
      <x:c r="BD71" s="954">
        <x:f>+BA$26*BC71+BB71</x:f>
        <x:v>645187.19635914871</x:v>
      </x:c>
      <x:c r="BE71" s="982">
        <x:f t="shared" si="4"/>
        <x:v>9112758.8616043404</x:v>
      </x:c>
      <x:c r="BF71" s="946"/>
      <x:c r="BG71" s="983">
        <x:f>+BE71</x:f>
        <x:v>9112758.8616043404</x:v>
      </x:c>
      <x:c r="BU71" s="986"/>
      <x:c r="BV71" s="986"/>
      <x:c r="BW71" s="986"/>
      <x:c r="BX71" s="986"/>
      <x:c r="BY71" s="986"/>
    </x:row>
    <x:row r="72" spans="1:77">
      <x:c r="A72" s="744">
        <x:f t="shared" si="0"/>
        <x:v>60</x:v>
      </x:c>
      <x:c r="C72" s="1114" t="str">
        <x:f t="shared" si="2"/>
        <x:v>W Increased ROE</x:v>
      </x:c>
      <x:c r="D72" s="980">
        <x:f t="shared" si="1"/>
        <x:v>2027</x:v>
      </x:c>
      <x:c r="E72" s="981">
        <x:f>+E71</x:f>
        <x:v>7187167.2750000041</x:v>
      </x:c>
      <x:c r="F72" s="981">
        <x:f>+F71</x:f>
        <x:v>459034.40625</x:v>
      </x:c>
      <x:c r="G72" s="981">
        <x:f t="shared" si="5"/>
        <x:v>6728132.8687500041</x:v>
      </x:c>
      <x:c r="H72" s="987">
        <x:f>+E$27*G72+F72</x:f>
        <x:v>1268828.6105010891</x:v>
      </x:c>
      <x:c r="I72" s="981">
        <x:f>+I71</x:f>
        <x:v>1516347.3142857146</x:v>
      </x:c>
      <x:c r="J72" s="981">
        <x:f>+J71</x:f>
        <x:v>96847</x:v>
      </x:c>
      <x:c r="K72" s="981">
        <x:f t="shared" si="6"/>
        <x:v>1419500.3142857146</x:v>
      </x:c>
      <x:c r="L72" s="954">
        <x:f>+I$27*K72+J72</x:f>
        <x:v>267697.24179297069</x:v>
      </x:c>
      <x:c r="M72" s="985">
        <x:f>+M71</x:f>
        <x:v>1183443.675</x:v>
      </x:c>
      <x:c r="N72" s="981">
        <x:f>+N71</x:f>
        <x:v>75584.90625</x:v>
      </x:c>
      <x:c r="O72" s="981">
        <x:f t="shared" si="7"/>
        <x:v>1107858.76875</x:v>
      </x:c>
      <x:c r="P72" s="954">
        <x:f>+M$27*O72+N72</x:f>
        <x:v>208926.15077705315</x:v>
      </x:c>
      <x:c r="Q72" s="985">
        <x:f>+Q71</x:f>
        <x:v>3321910.1250000019</x:v>
      </x:c>
      <x:c r="R72" s="981">
        <x:f>+R71</x:f>
        <x:v>200460.09375</x:v>
      </x:c>
      <x:c r="S72" s="981">
        <x:f t="shared" si="8"/>
        <x:v>3121450.0312500019</x:v>
      </x:c>
      <x:c r="T72" s="954">
        <x:f>+Q$27*S72+R72</x:f>
        <x:v>576156.02506939019</x:v>
      </x:c>
      <x:c r="U72" s="985">
        <x:f>+U71</x:f>
        <x:v>4459121.9357142895</x:v>
      </x:c>
      <x:c r="V72" s="981">
        <x:f>+V71</x:f>
        <x:v>261861.1875</x:v>
      </x:c>
      <x:c r="W72" s="981">
        <x:f t="shared" si="9"/>
        <x:v>4197260.7482142895</x:v>
      </x:c>
      <x:c r="X72" s="954">
        <x:f>+U$27*W72+V72</x:f>
        <x:v>767041.07825712103</x:v>
      </x:c>
      <x:c r="Y72" s="985">
        <x:f>+Y71</x:f>
        <x:v>7614878.2499999907</x:v>
      </x:c>
      <x:c r="Z72" s="981">
        <x:f>+Z71</x:f>
        <x:v>453266.5625</x:v>
      </x:c>
      <x:c r="AA72" s="981">
        <x:f t="shared" si="10"/>
        <x:v>7161611.6874999907</x:v>
      </x:c>
      <x:c r="AB72" s="954">
        <x:f>+Y$27*AA72+Z72</x:f>
        <x:v>1315234.0281799417</x:v>
      </x:c>
      <x:c r="AC72" s="985">
        <x:f>+AC71</x:f>
        <x:v>3682693.7321428526</x:v>
      </x:c>
      <x:c r="AD72" s="981">
        <x:f>+AD71</x:f>
        <x:v>208792.03125</x:v>
      </x:c>
      <x:c r="AE72" s="981">
        <x:f t="shared" si="11"/>
        <x:v>3473901.7008928526</x:v>
      </x:c>
      <x:c r="AF72" s="954">
        <x:f>+AC$27*AE72+AD72</x:f>
        <x:v>626908.84291214508</x:v>
      </x:c>
      <x:c r="AG72" s="985">
        <x:f>+AG71</x:f>
        <x:v>125155.65000000014</x:v>
      </x:c>
      <x:c r="AH72" s="981">
        <x:f>+AH71</x:f>
        <x:v>6801.9375</x:v>
      </x:c>
      <x:c r="AI72" s="981">
        <x:f t="shared" si="12"/>
        <x:v>118353.71250000014</x:v>
      </x:c>
      <x:c r="AJ72" s="954">
        <x:f>+AG$27*AI72+AH72</x:f>
        <x:v>19977.878778933533</x:v>
      </x:c>
      <x:c r="AK72" s="985">
        <x:f>+AK71</x:f>
        <x:v>2906648.5749999979</x:v>
      </x:c>
      <x:c r="AL72" s="981">
        <x:f>+AL71</x:f>
        <x:v>157970.03125</x:v>
      </x:c>
      <x:c r="AM72" s="981">
        <x:f t="shared" si="13"/>
        <x:v>2748678.5437499979</x:v>
      </x:c>
      <x:c r="AN72" s="954">
        <x:f>+AK$27*AM72+AL72</x:f>
        <x:v>463971.6455814006</x:v>
      </x:c>
      <x:c r="AO72" s="985">
        <x:f>+AO71</x:f>
        <x:v>9648040.8749999925</x:v>
      </x:c>
      <x:c r="AP72" s="981">
        <x:f>+AP71</x:f>
        <x:v>511638.53125</x:v>
      </x:c>
      <x:c r="AQ72" s="981">
        <x:f t="shared" si="14"/>
        <x:v>9136402.3437499925</x:v>
      </x:c>
      <x:c r="AR72" s="954">
        <x:f>+AO$27*AQ72+AP72</x:f>
        <x:v>1611290.6650595055</x:v>
      </x:c>
      <x:c r="AS72" s="985">
        <x:f>+AS71</x:f>
        <x:v>6327829.2226190511</x:v>
      </x:c>
      <x:c r="AT72" s="981">
        <x:f>+AT71</x:f>
        <x:v>330229.65625</x:v>
      </x:c>
      <x:c r="AU72" s="981">
        <x:f t="shared" si="15"/>
        <x:v>5997599.5663690511</x:v>
      </x:c>
      <x:c r="AV72" s="954">
        <x:f>+AS$27*AU72+AT72</x:f>
        <x:v>997923.28437371226</x:v>
      </x:c>
      <x:c r="AW72" s="985">
        <x:f>+AW71</x:f>
        <x:v>4227796.8713333346</x:v>
      </x:c>
      <x:c r="AX72" s="981">
        <x:f>+AX71</x:f>
        <x:v>226460.71875</x:v>
      </x:c>
      <x:c r="AY72" s="981">
        <x:f t="shared" si="16"/>
        <x:v>4001336.1525833346</x:v>
      </x:c>
      <x:c r="AZ72" s="954">
        <x:f>+AW$27*AY72+AX72</x:f>
        <x:v>671916.70885011437</x:v>
      </x:c>
      <x:c r="BA72" s="985">
        <x:f>+BA71</x:f>
        <x:v>4434839.3380952375</x:v>
      </x:c>
      <x:c r="BB72" s="981">
        <x:f>+BB71</x:f>
        <x:v>170445.875</x:v>
      </x:c>
      <x:c r="BC72" s="981">
        <x:f t="shared" si="17"/>
        <x:v>4264393.4630952375</x:v>
      </x:c>
      <x:c r="BD72" s="954">
        <x:f>+BA$27*BC72+BB72</x:f>
        <x:v>645187.19635914871</x:v>
      </x:c>
      <x:c r="BE72" s="982">
        <x:f t="shared" si="4"/>
        <x:v>9441059.356492525</x:v>
      </x:c>
      <x:c r="BF72" s="984">
        <x:f>+BE72</x:f>
        <x:v>9441059.356492525</x:v>
      </x:c>
      <x:c r="BG72" s="947"/>
      <x:c r="BU72" s="986"/>
      <x:c r="BV72" s="986"/>
      <x:c r="BW72" s="986"/>
      <x:c r="BX72" s="986"/>
      <x:c r="BY72" s="986"/>
    </x:row>
    <x:row r="73" spans="1:77">
      <x:c r="A73" s="744">
        <x:f t="shared" si="0"/>
        <x:v>61</x:v>
      </x:c>
      <x:c r="C73" s="1114"/>
      <x:c r="D73" s="994" t="s">
        <x:v>1326</x:v>
      </x:c>
      <x:c r="E73" s="995" t="s">
        <x:v>1326</x:v>
      </x:c>
      <x:c r="F73" s="995" t="s">
        <x:v>1326</x:v>
      </x:c>
      <x:c r="G73" s="995" t="s">
        <x:v>1327</x:v>
      </x:c>
      <x:c r="H73" s="996" t="s">
        <x:v>1326</x:v>
      </x:c>
      <x:c r="I73" s="995" t="s">
        <x:v>1326</x:v>
      </x:c>
      <x:c r="J73" s="995" t="s">
        <x:v>1326</x:v>
      </x:c>
      <x:c r="K73" s="995" t="s">
        <x:v>1327</x:v>
      </x:c>
      <x:c r="L73" s="996" t="s">
        <x:v>1326</x:v>
      </x:c>
      <x:c r="M73" s="995" t="s">
        <x:v>1326</x:v>
      </x:c>
      <x:c r="N73" s="995" t="s">
        <x:v>1326</x:v>
      </x:c>
      <x:c r="O73" s="995" t="s">
        <x:v>1327</x:v>
      </x:c>
      <x:c r="P73" s="996" t="s">
        <x:v>1326</x:v>
      </x:c>
      <x:c r="Q73" s="995" t="s">
        <x:v>1326</x:v>
      </x:c>
      <x:c r="R73" s="995" t="s">
        <x:v>1326</x:v>
      </x:c>
      <x:c r="S73" s="995" t="s">
        <x:v>1327</x:v>
      </x:c>
      <x:c r="T73" s="996" t="s">
        <x:v>1326</x:v>
      </x:c>
      <x:c r="U73" s="995" t="s">
        <x:v>1326</x:v>
      </x:c>
      <x:c r="V73" s="995" t="s">
        <x:v>1326</x:v>
      </x:c>
      <x:c r="W73" s="995" t="s">
        <x:v>1327</x:v>
      </x:c>
      <x:c r="X73" s="996" t="s">
        <x:v>1326</x:v>
      </x:c>
      <x:c r="Y73" s="995" t="s">
        <x:v>1326</x:v>
      </x:c>
      <x:c r="Z73" s="995" t="s">
        <x:v>1326</x:v>
      </x:c>
      <x:c r="AA73" s="995" t="s">
        <x:v>1327</x:v>
      </x:c>
      <x:c r="AB73" s="996" t="s">
        <x:v>1326</x:v>
      </x:c>
      <x:c r="AC73" s="995" t="s">
        <x:v>1326</x:v>
      </x:c>
      <x:c r="AD73" s="995" t="s">
        <x:v>1326</x:v>
      </x:c>
      <x:c r="AE73" s="995" t="s">
        <x:v>1327</x:v>
      </x:c>
      <x:c r="AF73" s="996" t="s">
        <x:v>1326</x:v>
      </x:c>
      <x:c r="AG73" s="995" t="s">
        <x:v>1326</x:v>
      </x:c>
      <x:c r="AH73" s="995" t="s">
        <x:v>1326</x:v>
      </x:c>
      <x:c r="AI73" s="995" t="s">
        <x:v>1327</x:v>
      </x:c>
      <x:c r="AJ73" s="996" t="s">
        <x:v>1326</x:v>
      </x:c>
      <x:c r="AK73" s="995" t="s">
        <x:v>1326</x:v>
      </x:c>
      <x:c r="AL73" s="995" t="s">
        <x:v>1326</x:v>
      </x:c>
      <x:c r="AM73" s="995" t="s">
        <x:v>1327</x:v>
      </x:c>
      <x:c r="AN73" s="996" t="s">
        <x:v>1326</x:v>
      </x:c>
      <x:c r="AO73" s="995" t="s">
        <x:v>1326</x:v>
      </x:c>
      <x:c r="AP73" s="995" t="s">
        <x:v>1326</x:v>
      </x:c>
      <x:c r="AQ73" s="995" t="s">
        <x:v>1327</x:v>
      </x:c>
      <x:c r="AR73" s="996" t="s">
        <x:v>1326</x:v>
      </x:c>
      <x:c r="AS73" s="995" t="s">
        <x:v>1326</x:v>
      </x:c>
      <x:c r="AT73" s="995" t="s">
        <x:v>1326</x:v>
      </x:c>
      <x:c r="AU73" s="995" t="s">
        <x:v>1327</x:v>
      </x:c>
      <x:c r="AV73" s="996" t="s">
        <x:v>1326</x:v>
      </x:c>
      <x:c r="AW73" s="995" t="s">
        <x:v>1326</x:v>
      </x:c>
      <x:c r="AX73" s="995" t="s">
        <x:v>1326</x:v>
      </x:c>
      <x:c r="AY73" s="995" t="s">
        <x:v>1327</x:v>
      </x:c>
      <x:c r="AZ73" s="996" t="s">
        <x:v>1326</x:v>
      </x:c>
      <x:c r="BA73" s="995" t="s">
        <x:v>1326</x:v>
      </x:c>
      <x:c r="BB73" s="995" t="s">
        <x:v>1326</x:v>
      </x:c>
      <x:c r="BC73" s="995" t="s">
        <x:v>1327</x:v>
      </x:c>
      <x:c r="BD73" s="996" t="s">
        <x:v>1326</x:v>
      </x:c>
      <x:c r="BE73" s="982"/>
      <x:c r="BF73" s="946"/>
      <x:c r="BG73" s="983">
        <x:f>+BE73</x:f>
        <x:v>0</x:v>
      </x:c>
      <x:c r="BP73" s="804" t="s">
        <x:v>1326</x:v>
      </x:c>
      <x:c r="BQ73" s="804" t="s">
        <x:v>1326</x:v>
      </x:c>
      <x:c r="BR73" s="804" t="s">
        <x:v>1327</x:v>
      </x:c>
      <x:c r="BS73" s="804" t="s">
        <x:v>1326</x:v>
      </x:c>
    </x:row>
    <x:row r="74" spans="1:77" ht="13.5" thickBot="1">
      <x:c r="A74" s="744">
        <x:f t="shared" si="0"/>
        <x:v>62</x:v>
      </x:c>
      <x:c r="C74" s="1115"/>
      <x:c r="D74" s="997" t="s">
        <x:v>1326</x:v>
      </x:c>
      <x:c r="E74" s="998" t="s">
        <x:v>1326</x:v>
      </x:c>
      <x:c r="F74" s="998" t="s">
        <x:v>1327</x:v>
      </x:c>
      <x:c r="G74" s="998" t="s">
        <x:v>1327</x:v>
      </x:c>
      <x:c r="H74" s="999" t="s">
        <x:v>1326</x:v>
      </x:c>
      <x:c r="I74" s="998" t="s">
        <x:v>1326</x:v>
      </x:c>
      <x:c r="J74" s="998" t="s">
        <x:v>1327</x:v>
      </x:c>
      <x:c r="K74" s="998" t="s">
        <x:v>1327</x:v>
      </x:c>
      <x:c r="L74" s="999" t="s">
        <x:v>1326</x:v>
      </x:c>
      <x:c r="M74" s="998" t="s">
        <x:v>1326</x:v>
      </x:c>
      <x:c r="N74" s="998" t="s">
        <x:v>1327</x:v>
      </x:c>
      <x:c r="O74" s="998" t="s">
        <x:v>1327</x:v>
      </x:c>
      <x:c r="P74" s="999" t="s">
        <x:v>1326</x:v>
      </x:c>
      <x:c r="Q74" s="998" t="s">
        <x:v>1326</x:v>
      </x:c>
      <x:c r="R74" s="998" t="s">
        <x:v>1327</x:v>
      </x:c>
      <x:c r="S74" s="998" t="s">
        <x:v>1327</x:v>
      </x:c>
      <x:c r="T74" s="999" t="s">
        <x:v>1326</x:v>
      </x:c>
      <x:c r="U74" s="998" t="s">
        <x:v>1326</x:v>
      </x:c>
      <x:c r="V74" s="998" t="s">
        <x:v>1327</x:v>
      </x:c>
      <x:c r="W74" s="998" t="s">
        <x:v>1327</x:v>
      </x:c>
      <x:c r="X74" s="999" t="s">
        <x:v>1326</x:v>
      </x:c>
      <x:c r="Y74" s="998" t="s">
        <x:v>1326</x:v>
      </x:c>
      <x:c r="Z74" s="998" t="s">
        <x:v>1327</x:v>
      </x:c>
      <x:c r="AA74" s="998" t="s">
        <x:v>1327</x:v>
      </x:c>
      <x:c r="AB74" s="999" t="s">
        <x:v>1326</x:v>
      </x:c>
      <x:c r="AC74" s="998" t="s">
        <x:v>1326</x:v>
      </x:c>
      <x:c r="AD74" s="998" t="s">
        <x:v>1327</x:v>
      </x:c>
      <x:c r="AE74" s="998" t="s">
        <x:v>1327</x:v>
      </x:c>
      <x:c r="AF74" s="999" t="s">
        <x:v>1326</x:v>
      </x:c>
      <x:c r="AG74" s="998" t="s">
        <x:v>1326</x:v>
      </x:c>
      <x:c r="AH74" s="998" t="s">
        <x:v>1327</x:v>
      </x:c>
      <x:c r="AI74" s="998" t="s">
        <x:v>1327</x:v>
      </x:c>
      <x:c r="AJ74" s="999" t="s">
        <x:v>1326</x:v>
      </x:c>
      <x:c r="AK74" s="998" t="s">
        <x:v>1326</x:v>
      </x:c>
      <x:c r="AL74" s="998" t="s">
        <x:v>1327</x:v>
      </x:c>
      <x:c r="AM74" s="998" t="s">
        <x:v>1327</x:v>
      </x:c>
      <x:c r="AN74" s="999" t="s">
        <x:v>1326</x:v>
      </x:c>
      <x:c r="AO74" s="998" t="s">
        <x:v>1326</x:v>
      </x:c>
      <x:c r="AP74" s="998" t="s">
        <x:v>1327</x:v>
      </x:c>
      <x:c r="AQ74" s="998" t="s">
        <x:v>1327</x:v>
      </x:c>
      <x:c r="AR74" s="999" t="s">
        <x:v>1326</x:v>
      </x:c>
      <x:c r="AS74" s="998" t="s">
        <x:v>1326</x:v>
      </x:c>
      <x:c r="AT74" s="998" t="s">
        <x:v>1327</x:v>
      </x:c>
      <x:c r="AU74" s="998" t="s">
        <x:v>1327</x:v>
      </x:c>
      <x:c r="AV74" s="999" t="s">
        <x:v>1326</x:v>
      </x:c>
      <x:c r="AW74" s="998" t="s">
        <x:v>1326</x:v>
      </x:c>
      <x:c r="AX74" s="998" t="s">
        <x:v>1327</x:v>
      </x:c>
      <x:c r="AY74" s="998" t="s">
        <x:v>1327</x:v>
      </x:c>
      <x:c r="AZ74" s="999" t="s">
        <x:v>1326</x:v>
      </x:c>
      <x:c r="BA74" s="998" t="s">
        <x:v>1326</x:v>
      </x:c>
      <x:c r="BB74" s="998" t="s">
        <x:v>1327</x:v>
      </x:c>
      <x:c r="BC74" s="998" t="s">
        <x:v>1327</x:v>
      </x:c>
      <x:c r="BD74" s="999" t="s">
        <x:v>1326</x:v>
      </x:c>
      <x:c r="BE74" s="1000"/>
      <x:c r="BF74" s="1001">
        <x:f>+BE74</x:f>
        <x:v>0</x:v>
      </x:c>
      <x:c r="BG74" s="974"/>
    </x:row>
    <x:row r="75" spans="1:77">
      <x:c r="A75" s="744">
        <x:f>A74+1</x:f>
        <x:v>63</x:v>
      </x:c>
      <x:c r="C75" s="946"/>
      <x:c r="D75" s="948"/>
      <x:c r="E75" s="946"/>
      <x:c r="F75" s="946"/>
      <x:c r="G75" s="946"/>
      <x:c r="H75" s="1002"/>
      <x:c r="I75" s="1002"/>
      <x:c r="J75" s="1002"/>
      <x:c r="K75" s="1002"/>
      <x:c r="L75" s="1002"/>
      <x:c r="M75" s="946"/>
      <x:c r="N75" s="946"/>
      <x:c r="O75" s="946"/>
      <x:c r="P75" s="946"/>
      <x:c r="Q75" s="946"/>
      <x:c r="R75" s="946"/>
      <x:c r="S75" s="946"/>
      <x:c r="T75" s="946"/>
      <x:c r="U75" s="946"/>
      <x:c r="V75" s="946"/>
      <x:c r="W75" s="946"/>
      <x:c r="X75" s="946"/>
      <x:c r="Y75" s="946"/>
      <x:c r="Z75" s="946"/>
      <x:c r="AA75" s="946"/>
      <x:c r="AB75" s="946"/>
      <x:c r="AC75" s="946"/>
      <x:c r="AD75" s="946"/>
      <x:c r="AE75" s="946"/>
      <x:c r="AF75" s="946"/>
      <x:c r="AG75" s="946"/>
      <x:c r="AH75" s="946"/>
      <x:c r="AI75" s="946"/>
      <x:c r="AJ75" s="946"/>
      <x:c r="AK75" s="946"/>
      <x:c r="AL75" s="946"/>
      <x:c r="AM75" s="946"/>
      <x:c r="AN75" s="946"/>
      <x:c r="AO75" s="946"/>
      <x:c r="AP75" s="946"/>
      <x:c r="AQ75" s="946"/>
      <x:c r="AR75" s="946"/>
      <x:c r="AS75" s="946"/>
      <x:c r="AT75" s="946"/>
      <x:c r="AU75" s="946"/>
      <x:c r="AV75" s="946"/>
      <x:c r="AW75" s="946"/>
      <x:c r="AX75" s="946"/>
      <x:c r="AY75" s="946"/>
      <x:c r="AZ75" s="946"/>
      <x:c r="BA75" s="946"/>
      <x:c r="BB75" s="946"/>
      <x:c r="BC75" s="946"/>
      <x:c r="BD75" s="946"/>
      <x:c r="BE75" s="946"/>
      <x:c r="BF75" s="1003">
        <x:f>SUM(BF33:BF72)</x:f>
        <x:v>236905245.94747669</x:v>
      </x:c>
      <x:c r="BG75" s="1003">
        <x:f>SUM(BG33:BG72)</x:f>
        <x:v>228178773.59680873</x:v>
      </x:c>
    </x:row>
    <x:row r="77" spans="1:77">
      <x:c r="BF77" s="1004"/>
    </x:row>
    <x:row r="307" spans="8:12">
      <x:c r="H307" s="1005"/>
      <x:c r="I307" s="1005"/>
      <x:c r="J307" s="1005"/>
      <x:c r="K307" s="1005"/>
      <x:c r="L307" s="1005"/>
    </x:row>
    <x:row r="308" spans="8:12">
      <x:c r="H308" s="1005"/>
      <x:c r="I308" s="1005"/>
      <x:c r="J308" s="1005"/>
      <x:c r="K308" s="1005"/>
      <x:c r="L308" s="1005"/>
    </x:row>
    <x:row r="309" spans="8:12">
      <x:c r="H309" s="1005"/>
      <x:c r="I309" s="1005"/>
      <x:c r="J309" s="1005"/>
      <x:c r="K309" s="1005"/>
      <x:c r="L309" s="1005"/>
    </x:row>
    <x:row r="310" spans="8:12">
      <x:c r="H310" s="1005"/>
      <x:c r="I310" s="1005"/>
      <x:c r="J310" s="1005"/>
      <x:c r="K310" s="1005"/>
      <x:c r="L310" s="1005"/>
    </x:row>
    <x:row r="311" spans="8:12">
      <x:c r="H311" s="1005"/>
      <x:c r="I311" s="1005"/>
      <x:c r="J311" s="1005"/>
      <x:c r="K311" s="1005"/>
      <x:c r="L311" s="1005"/>
    </x:row>
    <x:row r="312" spans="8:12">
      <x:c r="H312" s="1005"/>
      <x:c r="I312" s="1005"/>
      <x:c r="J312" s="1005"/>
      <x:c r="K312" s="1005"/>
      <x:c r="L312" s="1005"/>
    </x:row>
    <x:row r="313" spans="8:12">
      <x:c r="H313" s="1005"/>
      <x:c r="I313" s="1005"/>
      <x:c r="J313" s="1005"/>
      <x:c r="K313" s="1005"/>
      <x:c r="L313" s="1005"/>
    </x:row>
    <x:row r="314" spans="8:12">
      <x:c r="H314" s="1005"/>
      <x:c r="I314" s="1005"/>
      <x:c r="J314" s="1005"/>
      <x:c r="K314" s="1005"/>
      <x:c r="L314" s="1005"/>
    </x:row>
    <x:row r="315" spans="8:12">
      <x:c r="H315" s="1005"/>
      <x:c r="I315" s="1005"/>
      <x:c r="J315" s="1005"/>
      <x:c r="K315" s="1005"/>
      <x:c r="L315" s="1005"/>
    </x:row>
  </x:sheetData>
  <x:mergeCells count="15">
    <x:mergeCell ref="BA21:BD21"/>
    <x:mergeCell ref="E19:P19"/>
    <x:mergeCell ref="AG21:AJ21"/>
    <x:mergeCell ref="AK21:AN21"/>
    <x:mergeCell ref="AO21:AR21"/>
    <x:mergeCell ref="AS21:AV21"/>
    <x:mergeCell ref="AW21:AZ21"/>
    <x:mergeCell ref="C30:D30"/>
    <x:mergeCell ref="Q21:T21"/>
    <x:mergeCell ref="U21:X21"/>
    <x:mergeCell ref="Y21:AB21"/>
    <x:mergeCell ref="AC21:AF21"/>
    <x:mergeCell ref="E21:H21"/>
    <x:mergeCell ref="I21:L21"/>
    <x:mergeCell ref="M21:P21"/>
  </x:mergeCells>
  <x:pageMargins left="0.25" right="0.25" top="0.5" bottom="0.5" header="0.25" footer="0.25"/>
  <x:pageSetup scale="55" fitToWidth="4" fitToHeight="4" orientation="landscape" r:id="rId1"/>
  <x:headerFooter alignWithMargins="0"/>
  <x:colBreaks count="3" manualBreakCount="3">
    <x:brk id="20" max="74" man="1"/>
    <x:brk id="36" max="74" man="1"/>
    <x:brk id="52"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E306"/>
  <x:sheetViews>
    <x:sheetView zoomScaleNormal="100" workbookViewId="0">
      <x:pane ySplit="2" topLeftCell="A3" activePane="bottomLeft" state="frozen"/>
      <x:selection activeCell="M30" sqref="M30"/>
      <x:selection pane="bottomLeft" sqref="A1:E1"/>
    </x:sheetView>
  </x:sheetViews>
  <x:sheetFormatPr defaultColWidth="9.140625" defaultRowHeight="12.75"/>
  <x:cols>
    <x:col min="1" max="1" width="9.140625" style="522"/>
    <x:col min="2" max="2" width="1.42578125" style="167" customWidth="1"/>
    <x:col min="3" max="3" width="2.28515625" style="167" customWidth="1"/>
    <x:col min="4" max="4" width="43.42578125" style="167" customWidth="1"/>
    <x:col min="5" max="5" width="19.7109375" style="167" customWidth="1"/>
    <x:col min="6" max="16384" width="9.140625" style="167"/>
  </x:cols>
  <x:sheetData>
    <x:row r="1" spans="1:5" ht="18">
      <x:c r="A1" s="1638" t="str">
        <x:f>+'ATT H-3D'!$A$4</x:f>
        <x:v>Delmarva Power &amp; Light Company</x:v>
      </x:c>
      <x:c r="B1" s="1638"/>
      <x:c r="C1" s="1638"/>
      <x:c r="D1" s="1638"/>
      <x:c r="E1" s="1638"/>
    </x:row>
    <x:row r="2" spans="1:5" ht="15.75">
      <x:c r="A2" s="1639" t="s">
        <x:v>0</x:v>
      </x:c>
      <x:c r="B2" s="1746"/>
      <x:c r="C2" s="1746"/>
      <x:c r="D2" s="1746"/>
      <x:c r="E2" s="1746"/>
    </x:row>
    <x:row r="3" spans="1:5">
      <x:c r="A3" s="1640"/>
      <x:c r="B3" s="1745"/>
      <x:c r="C3" s="1745"/>
      <x:c r="D3" s="1745"/>
      <x:c r="E3" s="1745"/>
    </x:row>
    <x:row r="4" spans="1:5">
      <x:c r="B4" s="2"/>
      <x:c r="C4" s="183"/>
      <x:c r="D4" s="183"/>
    </x:row>
    <x:row r="5" spans="1:5">
      <x:c r="A5" s="1269"/>
    </x:row>
    <x:row r="6" spans="1:5">
      <x:c r="E6" s="3"/>
    </x:row>
    <x:row r="9" spans="1:5">
      <x:c r="B9" s="1"/>
      <x:c r="C9" s="1"/>
      <x:c r="D9" s="1"/>
      <x:c r="E9" s="1"/>
    </x:row>
    <x:row r="12" spans="1:5">
      <x:c r="A12" s="522" t="s">
        <x:v>1</x:v>
      </x:c>
    </x:row>
    <x:row r="13" spans="1:5">
      <x:c r="C13" s="167" t="s">
        <x:v>2</x:v>
      </x:c>
    </x:row>
    <x:row r="14" spans="1:5">
      <x:c r="A14" s="1193">
        <x:v>101</x:v>
      </x:c>
      <x:c r="B14" s="1">
        <x:v>0</x:v>
      </x:c>
      <x:c r="C14" s="1" t="s">
        <x:v>349</x:v>
      </x:c>
      <x:c r="D14" s="1"/>
      <x:c r="E14" s="808">
        <x:v>0</x:v>
      </x:c>
    </x:row>
    <x:row r="15" spans="1:5">
      <x:c r="E15" s="424"/>
    </x:row>
    <x:row r="16" spans="1:5">
      <x:c r="E16" s="424"/>
    </x:row>
    <x:row r="17" spans="1:5">
      <x:c r="C17" s="167" t="s">
        <x:v>3</x:v>
      </x:c>
      <x:c r="E17" s="424"/>
    </x:row>
    <x:row r="18" spans="1:5">
      <x:c r="A18" s="1193">
        <x:v>112</x:v>
      </x:c>
      <x:c r="C18" s="1" t="s">
        <x:v>368</x:v>
      </x:c>
      <x:c r="D18" s="1"/>
      <x:c r="E18" s="808">
        <x:v>0</x:v>
      </x:c>
    </x:row>
    <x:row r="21" spans="1:5">
      <x:c r="C21" s="167" t="s">
        <x:v>4</x:v>
      </x:c>
    </x:row>
    <x:row r="22" spans="1:5">
      <x:c r="D22" s="519"/>
      <x:c r="E22" s="519"/>
    </x:row>
    <x:row r="23" spans="1:5">
      <x:c r="D23" s="519"/>
      <x:c r="E23" s="519"/>
    </x:row>
    <x:row r="24" spans="1:5">
      <x:c r="D24" s="361"/>
      <x:c r="E24" s="519"/>
    </x:row>
    <x:row r="25" spans="1:5" s="1324" customFormat="1">
      <x:c r="A25" s="1351"/>
    </x:row>
    <x:row r="26" spans="1:5" s="1324" customFormat="1">
      <x:c r="A26" s="1351"/>
    </x:row>
    <x:row r="27" spans="1:5" s="1324" customFormat="1">
      <x:c r="A27" s="1351"/>
    </x:row>
    <x:row r="28" spans="1:5" s="1324" customFormat="1">
      <x:c r="A28" s="1351"/>
    </x:row>
    <x:row r="29" spans="1:5" s="1324" customFormat="1">
      <x:c r="A29" s="1351"/>
    </x:row>
    <x:row r="30" spans="1:5" s="1324" customFormat="1">
      <x:c r="A30" s="1351"/>
    </x:row>
    <x:row r="31" spans="1:5" s="1324" customFormat="1">
      <x:c r="A31" s="1351"/>
    </x:row>
    <x:row r="32" spans="1:5" s="1324" customFormat="1">
      <x:c r="A32" s="1351"/>
    </x:row>
    <x:row r="33" spans="1:1" s="1324" customFormat="1">
      <x:c r="A33" s="1351"/>
    </x:row>
    <x:row r="34" spans="1:1" s="1324" customFormat="1">
      <x:c r="A34" s="1351"/>
    </x:row>
    <x:row r="35" spans="1:1" s="1324" customFormat="1">
      <x:c r="A35" s="1351"/>
    </x:row>
    <x:row r="36" spans="1:1" s="1324" customFormat="1">
      <x:c r="A36" s="1351"/>
    </x:row>
    <x:row r="37" spans="1:1" s="1324" customFormat="1">
      <x:c r="A37" s="1351"/>
    </x:row>
    <x:row r="38" spans="1:1" s="1324" customFormat="1">
      <x:c r="A38" s="1351"/>
    </x:row>
    <x:row r="39" spans="1:1" s="1324" customFormat="1">
      <x:c r="A39" s="1351"/>
    </x:row>
    <x:row r="40" spans="1:1" s="1324" customFormat="1">
      <x:c r="A40" s="1351"/>
    </x:row>
    <x:row r="41" spans="1:1" s="1324" customFormat="1">
      <x:c r="A41" s="1351"/>
    </x:row>
    <x:row r="42" spans="1:1" s="1324" customFormat="1">
      <x:c r="A42" s="1351"/>
    </x:row>
    <x:row r="43" spans="1:1" s="1324" customFormat="1">
      <x:c r="A43" s="1351"/>
    </x:row>
    <x:row r="44" spans="1:1" s="1324" customFormat="1">
      <x:c r="A44" s="1351"/>
    </x:row>
    <x:row r="45" spans="1:1" s="1324" customFormat="1">
      <x:c r="A45" s="1351"/>
    </x:row>
    <x:row r="46" spans="1:1" s="1324" customFormat="1">
      <x:c r="A46" s="1351"/>
    </x:row>
    <x:row r="47" spans="1:1" s="1324" customFormat="1">
      <x:c r="A47" s="1351"/>
    </x:row>
    <x:row r="48" spans="1:1" s="1324" customFormat="1">
      <x:c r="A48" s="1351"/>
    </x:row>
    <x:row r="49" spans="1:1" s="1324" customFormat="1">
      <x:c r="A49" s="1351"/>
    </x:row>
    <x:row r="50" spans="1:1" s="1324" customFormat="1">
      <x:c r="A50" s="1351"/>
    </x:row>
    <x:row r="51" spans="1:1" s="1324" customFormat="1">
      <x:c r="A51" s="1351"/>
    </x:row>
    <x:row r="52" spans="1:1" s="1324" customFormat="1">
      <x:c r="A52" s="1351"/>
    </x:row>
    <x:row r="53" spans="1:1" s="1324" customFormat="1">
      <x:c r="A53" s="1351"/>
    </x:row>
    <x:row r="306" spans="3:3">
      <x:c r="C306" s="6"/>
    </x:row>
  </x:sheetData>
  <x:mergeCells count="3">
    <x:mergeCell ref="A1:E1"/>
    <x:mergeCell ref="A3:E3"/>
    <x:mergeCell ref="A2:E2"/>
  </x:mergeCells>
  <x:printOptions horizontalCentered="1"/>
  <x:pageMargins left="0.45" right="0.45" top="0.5" bottom="0.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dimension ref="A1:R60"/>
  <x:sheetViews>
    <x:sheetView zoomScaleNormal="100" workbookViewId="0">
      <x:pane xSplit="2" ySplit="3" topLeftCell="C4" activePane="bottomRight" state="frozen"/>
      <x:selection activeCell="M30" sqref="M30"/>
      <x:selection pane="topRight" activeCell="M30" sqref="M30"/>
      <x:selection pane="bottomLeft" activeCell="M30" sqref="M30"/>
      <x:selection pane="bottomRight" sqref="A1:M1"/>
    </x:sheetView>
  </x:sheetViews>
  <x:sheetFormatPr defaultColWidth="11.42578125" defaultRowHeight="12.75"/>
  <x:cols>
    <x:col min="1" max="1" width="6.28515625" style="809" customWidth="1"/>
    <x:col min="2" max="2" width="51.85546875" style="810" customWidth="1"/>
    <x:col min="3" max="3" width="23.5703125" style="810" customWidth="1"/>
    <x:col min="4" max="13" width="20.5703125" style="810" customWidth="1"/>
    <x:col min="14" max="16" width="15.140625" style="810" customWidth="1"/>
    <x:col min="17" max="16384" width="11.42578125" style="810"/>
  </x:cols>
  <x:sheetData>
    <x:row r="1" spans="1:17" s="1110" customFormat="1" ht="18">
      <x:c r="A1" s="1747" t="str">
        <x:f>+'ATT H-3D'!$A$4</x:f>
        <x:v>Delmarva Power &amp; Light Company</x:v>
      </x:c>
      <x:c r="B1" s="1747"/>
      <x:c r="C1" s="1747"/>
      <x:c r="D1" s="1747"/>
      <x:c r="E1" s="1747"/>
      <x:c r="F1" s="1747"/>
      <x:c r="G1" s="1747"/>
      <x:c r="H1" s="1747"/>
      <x:c r="I1" s="1747"/>
      <x:c r="J1" s="1747"/>
      <x:c r="K1" s="1747"/>
      <x:c r="L1" s="1747"/>
      <x:c r="M1" s="1747"/>
    </x:row>
    <x:row r="2" spans="1:17" s="1107" customFormat="1" ht="15.75">
      <x:c r="A2" s="1724" t="s">
        <x:v>499</x:v>
      </x:c>
      <x:c r="B2" s="1724"/>
      <x:c r="C2" s="1724"/>
      <x:c r="D2" s="1724"/>
      <x:c r="E2" s="1724"/>
      <x:c r="F2" s="1724"/>
      <x:c r="G2" s="1724"/>
      <x:c r="H2" s="1724"/>
      <x:c r="I2" s="1724"/>
      <x:c r="J2" s="1724"/>
      <x:c r="K2" s="1724"/>
      <x:c r="L2" s="1724"/>
      <x:c r="M2" s="1724"/>
      <x:c r="P2" s="1108"/>
    </x:row>
    <x:row r="3" spans="1:17" s="1107" customFormat="1" ht="15.75">
      <x:c r="A3" s="1748" t="s">
        <x:v>453</x:v>
      </x:c>
      <x:c r="B3" s="1748"/>
      <x:c r="C3" s="1748"/>
      <x:c r="D3" s="1748"/>
      <x:c r="E3" s="1748"/>
      <x:c r="F3" s="1748"/>
      <x:c r="G3" s="1748"/>
      <x:c r="H3" s="1748"/>
      <x:c r="I3" s="1748"/>
      <x:c r="J3" s="1748"/>
      <x:c r="K3" s="1748"/>
      <x:c r="L3" s="1748"/>
      <x:c r="M3" s="1748"/>
      <x:c r="P3" s="1108"/>
    </x:row>
    <x:row r="4" spans="1:17">
      <x:c r="A4" s="812"/>
      <x:c r="D4" s="811"/>
      <x:c r="E4" s="811"/>
      <x:c r="F4" s="811"/>
      <x:c r="G4" s="672"/>
      <x:c r="H4" s="811"/>
      <x:c r="I4" s="811"/>
      <x:c r="J4" s="811"/>
      <x:c r="K4" s="811"/>
      <x:c r="P4" s="811"/>
    </x:row>
    <x:row r="5" spans="1:17">
      <x:c r="A5" s="812"/>
      <x:c r="B5" s="815"/>
      <x:c r="C5" s="815"/>
      <x:c r="D5" s="815"/>
      <x:c r="E5" s="815"/>
      <x:c r="F5" s="815"/>
      <x:c r="G5" s="815"/>
      <x:c r="H5" s="815"/>
      <x:c r="I5" s="815"/>
      <x:c r="J5" s="815"/>
      <x:c r="K5" s="815"/>
      <x:c r="P5" s="811"/>
    </x:row>
    <x:row r="6" spans="1:17" s="818" customFormat="1">
      <x:c r="A6" s="816"/>
      <x:c r="B6" s="817" t="s">
        <x:v>1401</x:v>
      </x:c>
      <x:c r="C6" s="1750" t="s">
        <x:v>1106</x:v>
      </x:c>
      <x:c r="D6" s="1751"/>
      <x:c r="E6" s="1752"/>
      <x:c r="F6" s="1753" t="s">
        <x:v>70</x:v>
      </x:c>
      <x:c r="G6" s="1754"/>
      <x:c r="H6" s="1754"/>
      <x:c r="I6" s="1753" t="s">
        <x:v>1107</x:v>
      </x:c>
      <x:c r="J6" s="1757"/>
      <x:c r="K6" s="1750" t="s">
        <x:v>1108</x:v>
      </x:c>
      <x:c r="L6" s="1754"/>
      <x:c r="M6" s="1758"/>
      <x:c r="P6" s="564"/>
      <x:c r="Q6" s="564"/>
    </x:row>
    <x:row r="7" spans="1:17" s="821" customFormat="1" ht="25.5">
      <x:c r="A7" s="819" t="s">
        <x:v>455</x:v>
      </x:c>
      <x:c r="B7" s="817" t="s">
        <x:v>158</x:v>
      </x:c>
      <x:c r="C7" s="817" t="s">
        <x:v>206</x:v>
      </x:c>
      <x:c r="D7" s="817" t="s">
        <x:v>144</x:v>
      </x:c>
      <x:c r="E7" s="820" t="s">
        <x:v>456</x:v>
      </x:c>
      <x:c r="F7" s="817" t="s">
        <x:v>206</x:v>
      </x:c>
      <x:c r="G7" s="817" t="s">
        <x:v>208</x:v>
      </x:c>
      <x:c r="H7" s="820" t="s">
        <x:v>456</x:v>
      </x:c>
      <x:c r="I7" s="817" t="s">
        <x:v>726</x:v>
      </x:c>
      <x:c r="J7" s="820" t="s">
        <x:v>456</x:v>
      </x:c>
      <x:c r="K7" s="817" t="s">
        <x:v>206</x:v>
      </x:c>
      <x:c r="L7" s="817" t="s">
        <x:v>144</x:v>
      </x:c>
      <x:c r="M7" s="820" t="s">
        <x:v>456</x:v>
      </x:c>
      <x:c r="Q7" s="818"/>
    </x:row>
    <x:row r="8" spans="1:17" s="823" customFormat="1">
      <x:c r="A8" s="816"/>
      <x:c r="B8" s="822" t="s">
        <x:v>460</x:v>
      </x:c>
      <x:c r="C8" s="822" t="s">
        <x:v>461</x:v>
      </x:c>
      <x:c r="D8" s="822" t="s">
        <x:v>462</x:v>
      </x:c>
      <x:c r="E8" s="817" t="s">
        <x:v>463</x:v>
      </x:c>
      <x:c r="F8" s="822" t="s">
        <x:v>464</x:v>
      </x:c>
      <x:c r="G8" s="817" t="s">
        <x:v>465</x:v>
      </x:c>
      <x:c r="H8" s="822" t="s">
        <x:v>466</x:v>
      </x:c>
      <x:c r="I8" s="817" t="s">
        <x:v>467</x:v>
      </x:c>
      <x:c r="J8" s="822" t="s">
        <x:v>468</x:v>
      </x:c>
      <x:c r="K8" s="817" t="s">
        <x:v>469</x:v>
      </x:c>
      <x:c r="L8" s="817" t="s">
        <x:v>470</x:v>
      </x:c>
      <x:c r="M8" s="817" t="s">
        <x:v>494</x:v>
      </x:c>
      <x:c r="Q8" s="818"/>
    </x:row>
    <x:row r="9" spans="1:17" s="823" customFormat="1">
      <x:c r="A9" s="816"/>
      <x:c r="B9" s="824" t="s">
        <x:v>1414</x:v>
      </x:c>
      <x:c r="C9" s="813">
        <x:v>19</x:v>
      </x:c>
      <x:c r="D9" s="813">
        <x:v>23</x:v>
      </x:c>
      <x:c r="E9" s="825">
        <x:v>24</x:v>
      </x:c>
      <x:c r="F9" s="813">
        <x:v>30</x:v>
      </x:c>
      <x:c r="G9" s="813">
        <x:v>31</x:v>
      </x:c>
      <x:c r="H9" s="813">
        <x:v>12</x:v>
      </x:c>
      <x:c r="I9" s="813">
        <x:v>10</x:v>
      </x:c>
      <x:c r="J9" s="813">
        <x:v>11</x:v>
      </x:c>
      <x:c r="K9" s="813"/>
      <x:c r="L9" s="825"/>
      <x:c r="M9" s="813"/>
    </x:row>
    <x:row r="10" spans="1:17" s="1111" customFormat="1" ht="92.25" customHeight="1">
      <x:c r="A10" s="812"/>
      <x:c r="B10" s="822"/>
      <x:c r="C10" s="841" t="s">
        <x:v>1399</x:v>
      </x:c>
      <x:c r="D10" s="841" t="s">
        <x:v>1516</x:v>
      </x:c>
      <x:c r="E10" s="841" t="s">
        <x:v>1517</x:v>
      </x:c>
      <x:c r="F10" s="841" t="s">
        <x:v>1400</x:v>
      </x:c>
      <x:c r="G10" s="841" t="s">
        <x:v>1518</x:v>
      </x:c>
      <x:c r="H10" s="841" t="s">
        <x:v>1517</x:v>
      </x:c>
      <x:c r="I10" s="553" t="s">
        <x:v>1519</x:v>
      </x:c>
      <x:c r="J10" s="841" t="s">
        <x:v>1520</x:v>
      </x:c>
      <x:c r="K10" s="841" t="s">
        <x:v>896</x:v>
      </x:c>
      <x:c r="L10" s="841" t="s">
        <x:v>897</x:v>
      </x:c>
      <x:c r="M10" s="841" t="s">
        <x:v>898</x:v>
      </x:c>
    </x:row>
    <x:row r="11" spans="1:17">
      <x:c r="A11" s="812">
        <x:v>1</x:v>
      </x:c>
      <x:c r="B11" s="827" t="s">
        <x:v>472</x:v>
      </x:c>
      <x:c r="C11" s="828">
        <x:f>+'9A - Gross Plant &amp; ARO'!L11</x:f>
        <x:v>2231457000</x:v>
      </x:c>
      <x:c r="D11" s="828">
        <x:f>+'9A - Gross Plant &amp; ARO'!M11</x:f>
        <x:v>470775879.38</x:v>
      </x:c>
      <x:c r="E11" s="828">
        <x:f>+'9A - Gross Plant &amp; ARO'!N11</x:f>
        <x:v>198619228</x:v>
      </x:c>
      <x:c r="F11" s="829">
        <x:f>+'9A - Gross Plant &amp; ARO'!D51</x:f>
        <x:v>569486572</x:v>
      </x:c>
      <x:c r="G11" s="829">
        <x:f>+'9A - Gross Plant &amp; ARO'!E51</x:f>
        <x:v>113561658.02</x:v>
      </x:c>
      <x:c r="H11" s="829">
        <x:f>+'9A - Gross Plant &amp; ARO'!G51</x:f>
        <x:v>68815636</x:v>
      </x:c>
      <x:c r="I11" s="829">
        <x:f>+'9A - Gross Plant &amp; ARO'!F51</x:f>
        <x:v>55303238</x:v>
      </x:c>
      <x:c r="J11" s="829">
        <x:f>+'9A - Gross Plant &amp; ARO'!H51</x:f>
        <x:v>49465082</x:v>
      </x:c>
      <x:c r="K11" s="828">
        <x:f t="shared" ref="K11:K23" si="0">+C11-F11</x:f>
        <x:v>1661970428</x:v>
      </x:c>
      <x:c r="L11" s="828">
        <x:f>+D11-G11-I11</x:f>
        <x:v>301910983.36000001</x:v>
      </x:c>
      <x:c r="M11" s="828">
        <x:f>+E11-J11-H11</x:f>
        <x:v>80338510</x:v>
      </x:c>
    </x:row>
    <x:row r="12" spans="1:17">
      <x:c r="A12" s="812">
        <x:v>2</x:v>
      </x:c>
      <x:c r="B12" s="827" t="s">
        <x:v>473</x:v>
      </x:c>
      <x:c r="C12" s="828">
        <x:f>+'9A - Gross Plant &amp; ARO'!L12</x:f>
        <x:v>2232083428.084568</x:v>
      </x:c>
      <x:c r="D12" s="828">
        <x:f>+'9A - Gross Plant &amp; ARO'!M12</x:f>
        <x:v>472365044.43782532</x:v>
      </x:c>
      <x:c r="E12" s="828">
        <x:f>+'9A - Gross Plant &amp; ARO'!N12</x:f>
        <x:v>201236948.50229916</x:v>
      </x:c>
      <x:c r="F12" s="829">
        <x:f>+'9A - Gross Plant &amp; ARO'!D52</x:f>
        <x:v>574025378.27999997</x:v>
      </x:c>
      <x:c r="G12" s="829">
        <x:f>+'9A - Gross Plant &amp; ARO'!E52</x:f>
        <x:v>115162070.33000004</x:v>
      </x:c>
      <x:c r="H12" s="829">
        <x:f>+'9A - Gross Plant &amp; ARO'!G52</x:f>
        <x:v>69077279.131072</x:v>
      </x:c>
      <x:c r="I12" s="829">
        <x:f>+'9A - Gross Plant &amp; ARO'!F52</x:f>
        <x:v>56354788.75</x:v>
      </x:c>
      <x:c r="J12" s="829">
        <x:f>+'9A - Gross Plant &amp; ARO'!H52</x:f>
        <x:v>50122073.001295999</x:v>
      </x:c>
      <x:c r="K12" s="828">
        <x:f t="shared" si="0"/>
        <x:v>1658058049.8045681</x:v>
      </x:c>
      <x:c r="L12" s="828">
        <x:f>+D12-G12-I12</x:f>
        <x:v>300848185.35782528</x:v>
      </x:c>
      <x:c r="M12" s="828">
        <x:f t="shared" ref="M12:M23" si="1">+E12-J12-H12</x:f>
        <x:v>82037596.369931147</x:v>
      </x:c>
    </x:row>
    <x:row r="13" spans="1:17">
      <x:c r="A13" s="812">
        <x:v>3</x:v>
      </x:c>
      <x:c r="B13" s="811" t="s">
        <x:v>474</x:v>
      </x:c>
      <x:c r="C13" s="828">
        <x:f>+'9A - Gross Plant &amp; ARO'!L13</x:f>
        <x:v>2242380326.1545677</x:v>
      </x:c>
      <x:c r="D13" s="828">
        <x:f>+'9A - Gross Plant &amp; ARO'!M13</x:f>
        <x:v>379374213.85782528</x:v>
      </x:c>
      <x:c r="E13" s="828">
        <x:f>+'9A - Gross Plant &amp; ARO'!N13</x:f>
        <x:v>202055999.82332316</x:v>
      </x:c>
      <x:c r="F13" s="829">
        <x:f>+'9A - Gross Plant &amp; ARO'!D53</x:f>
        <x:v>577116326.18000007</x:v>
      </x:c>
      <x:c r="G13" s="829">
        <x:f>+'9A - Gross Plant &amp; ARO'!E53</x:f>
        <x:v>165528821.77000004</x:v>
      </x:c>
      <x:c r="H13" s="829">
        <x:f>+'9A - Gross Plant &amp; ARO'!G53</x:f>
        <x:v>69451508.131306008</x:v>
      </x:c>
      <x:c r="I13" s="829">
        <x:f>+'9A - Gross Plant &amp; ARO'!F53</x:f>
        <x:v>2581687.8300000057</x:v>
      </x:c>
      <x:c r="J13" s="829">
        <x:f>+'9A - Gross Plant &amp; ARO'!H53</x:f>
        <x:v>50764160.750869997</x:v>
      </x:c>
      <x:c r="K13" s="828">
        <x:f t="shared" si="0"/>
        <x:v>1665263999.9745677</x:v>
      </x:c>
      <x:c r="L13" s="828">
        <x:f t="shared" ref="L13:L23" si="2">+D13-G13-I13</x:f>
        <x:v>211263704.25782523</x:v>
      </x:c>
      <x:c r="M13" s="828">
        <x:f t="shared" si="1"/>
        <x:v>81840330.941147164</x:v>
      </x:c>
    </x:row>
    <x:row r="14" spans="1:17">
      <x:c r="A14" s="812">
        <x:v>4</x:v>
      </x:c>
      <x:c r="B14" s="811" t="s">
        <x:v>475</x:v>
      </x:c>
      <x:c r="C14" s="828">
        <x:f>+'9A - Gross Plant &amp; ARO'!L14</x:f>
        <x:v>2244381487.3695478</x:v>
      </x:c>
      <x:c r="D14" s="828">
        <x:f>+'9A - Gross Plant &amp; ARO'!M14</x:f>
        <x:v>379476181.8978253</x:v>
      </x:c>
      <x:c r="E14" s="828">
        <x:f>+'9A - Gross Plant &amp; ARO'!N14</x:f>
        <x:v>205398075.23260117</x:v>
      </x:c>
      <x:c r="F14" s="829">
        <x:f>+'9A - Gross Plant &amp; ARO'!D54</x:f>
        <x:v>582867182.91000009</x:v>
      </x:c>
      <x:c r="G14" s="829">
        <x:f>+'9A - Gross Plant &amp; ARO'!E54</x:f>
        <x:v>167025785.91000006</x:v>
      </x:c>
      <x:c r="H14" s="829">
        <x:f>+'9A - Gross Plant &amp; ARO'!G54</x:f>
        <x:v>69662176.300420001</x:v>
      </x:c>
      <x:c r="I14" s="829">
        <x:f>+'9A - Gross Plant &amp; ARO'!F54</x:f>
        <x:v>2581687.8300000057</x:v>
      </x:c>
      <x:c r="J14" s="829">
        <x:f>+'9A - Gross Plant &amp; ARO'!H54</x:f>
        <x:v>51399253.089829996</x:v>
      </x:c>
      <x:c r="K14" s="828">
        <x:f t="shared" si="0"/>
        <x:v>1661514304.4595478</x:v>
      </x:c>
      <x:c r="L14" s="828">
        <x:f t="shared" si="2"/>
        <x:v>209868708.15782523</x:v>
      </x:c>
      <x:c r="M14" s="828">
        <x:f t="shared" si="1"/>
        <x:v>84336645.842351183</x:v>
      </x:c>
    </x:row>
    <x:row r="15" spans="1:17">
      <x:c r="A15" s="812">
        <x:v>5</x:v>
      </x:c>
      <x:c r="B15" s="811" t="s">
        <x:v>160</x:v>
      </x:c>
      <x:c r="C15" s="828">
        <x:f>+'9A - Gross Plant &amp; ARO'!L15</x:f>
        <x:v>2249930029.7758145</x:v>
      </x:c>
      <x:c r="D15" s="828">
        <x:f>+'9A - Gross Plant &amp; ARO'!M15</x:f>
        <x:v>381817098.50320882</x:v>
      </x:c>
      <x:c r="E15" s="828">
        <x:f>+'9A - Gross Plant &amp; ARO'!N15</x:f>
        <x:v>211374726.03129417</x:v>
      </x:c>
      <x:c r="F15" s="829">
        <x:f>+'9A - Gross Plant &amp; ARO'!D55</x:f>
        <x:v>588850871.57229447</x:v>
      </x:c>
      <x:c r="G15" s="829">
        <x:f>+'9A - Gross Plant &amp; ARO'!E55</x:f>
        <x:v>168760736.1347872</x:v>
      </x:c>
      <x:c r="H15" s="829">
        <x:f>+'9A - Gross Plant &amp; ARO'!G55</x:f>
        <x:v>69745483.162040144</x:v>
      </x:c>
      <x:c r="I15" s="829">
        <x:f>+'9A - Gross Plant &amp; ARO'!F55</x:f>
        <x:v>2587640.3893424585</x:v>
      </x:c>
      <x:c r="J15" s="829">
        <x:f>+'9A - Gross Plant &amp; ARO'!H55</x:f>
        <x:v>52033322.849312</x:v>
      </x:c>
      <x:c r="K15" s="828">
        <x:f t="shared" si="0"/>
        <x:v>1661079158.2035201</x:v>
      </x:c>
      <x:c r="L15" s="828">
        <x:f t="shared" si="2"/>
        <x:v>210468721.97907916</x:v>
      </x:c>
      <x:c r="M15" s="828">
        <x:f t="shared" si="1"/>
        <x:v>89595920.019942015</x:v>
      </x:c>
    </x:row>
    <x:row r="16" spans="1:17">
      <x:c r="A16" s="812">
        <x:v>6</x:v>
      </x:c>
      <x:c r="B16" s="811" t="s">
        <x:v>161</x:v>
      </x:c>
      <x:c r="C16" s="828">
        <x:f>+'9A - Gross Plant &amp; ARO'!L16</x:f>
        <x:v>2254705312.4313407</x:v>
      </x:c>
      <x:c r="D16" s="828">
        <x:f>+'9A - Gross Plant &amp; ARO'!M16</x:f>
        <x:v>382521896.3130756</x:v>
      </x:c>
      <x:c r="E16" s="828">
        <x:f>+'9A - Gross Plant &amp; ARO'!N16</x:f>
        <x:v>215949558.12590653</x:v>
      </x:c>
      <x:c r="F16" s="829">
        <x:f>+'9A - Gross Plant &amp; ARO'!D56</x:f>
        <x:v>594144250.89976454</x:v>
      </x:c>
      <x:c r="G16" s="829">
        <x:f>+'9A - Gross Plant &amp; ARO'!E56</x:f>
        <x:v>170498582.8227821</x:v>
      </x:c>
      <x:c r="H16" s="829">
        <x:f>+'9A - Gross Plant &amp; ARO'!G56</x:f>
        <x:v>69835202.500687167</x:v>
      </x:c>
      <x:c r="I16" s="829">
        <x:f>+'9A - Gross Plant &amp; ARO'!F56</x:f>
        <x:v>2610471.3945709681</x:v>
      </x:c>
      <x:c r="J16" s="829">
        <x:f>+'9A - Gross Plant &amp; ARO'!H56</x:f>
        <x:v>52666789.879369996</x:v>
      </x:c>
      <x:c r="K16" s="828">
        <x:f t="shared" si="0"/>
        <x:v>1660561061.5315762</x:v>
      </x:c>
      <x:c r="L16" s="828">
        <x:f t="shared" si="2"/>
        <x:v>209412842.09572253</x:v>
      </x:c>
      <x:c r="M16" s="828">
        <x:f t="shared" si="1"/>
        <x:v>93447565.745849356</x:v>
      </x:c>
    </x:row>
    <x:row r="17" spans="1:15">
      <x:c r="A17" s="812">
        <x:v>7</x:v>
      </x:c>
      <x:c r="B17" s="811" t="s">
        <x:v>162</x:v>
      </x:c>
      <x:c r="C17" s="828">
        <x:f>+'9A - Gross Plant &amp; ARO'!L17</x:f>
        <x:v>2263571021.8838201</x:v>
      </x:c>
      <x:c r="D17" s="828">
        <x:f>+'9A - Gross Plant &amp; ARO'!M17</x:f>
        <x:v>383516070.6158464</x:v>
      </x:c>
      <x:c r="E17" s="828">
        <x:f>+'9A - Gross Plant &amp; ARO'!N17</x:f>
        <x:v>221859692.76900211</x:v>
      </x:c>
      <x:c r="F17" s="829">
        <x:f>+'9A - Gross Plant &amp; ARO'!D57</x:f>
        <x:v>599621603.78751421</x:v>
      </x:c>
      <x:c r="G17" s="829">
        <x:f>+'9A - Gross Plant &amp; ARO'!E57</x:f>
        <x:v>172243620.53754368</x:v>
      </x:c>
      <x:c r="H17" s="829">
        <x:f>+'9A - Gross Plant &amp; ARO'!G57</x:f>
        <x:v>69808626.499763653</x:v>
      </x:c>
      <x:c r="I17" s="829">
        <x:f>+'9A - Gross Plant &amp; ARO'!F57</x:f>
        <x:v>2681550.3213212481</x:v>
      </x:c>
      <x:c r="J17" s="829">
        <x:f>+'9A - Gross Plant &amp; ARO'!H57</x:f>
        <x:v>53298434.717065997</x:v>
      </x:c>
      <x:c r="K17" s="828">
        <x:f t="shared" si="0"/>
        <x:v>1663949418.0963058</x:v>
      </x:c>
      <x:c r="L17" s="828">
        <x:f t="shared" si="2"/>
        <x:v>208590899.75698146</x:v>
      </x:c>
      <x:c r="M17" s="828">
        <x:f t="shared" si="1"/>
        <x:v>98752631.552172467</x:v>
      </x:c>
    </x:row>
    <x:row r="18" spans="1:15">
      <x:c r="A18" s="812">
        <x:v>8</x:v>
      </x:c>
      <x:c r="B18" s="811" t="s">
        <x:v>476</x:v>
      </x:c>
      <x:c r="C18" s="828">
        <x:f>+'9A - Gross Plant &amp; ARO'!L18</x:f>
        <x:v>2275754823.9812341</x:v>
      </x:c>
      <x:c r="D18" s="828">
        <x:f>+'9A - Gross Plant &amp; ARO'!M18</x:f>
        <x:v>384246367.94408518</x:v>
      </x:c>
      <x:c r="E18" s="828">
        <x:f>+'9A - Gross Plant &amp; ARO'!N18</x:f>
        <x:v>223770549.0558708</x:v>
      </x:c>
      <x:c r="F18" s="829">
        <x:f>+'9A - Gross Plant &amp; ARO'!D58</x:f>
        <x:v>604916977.48137319</x:v>
      </x:c>
      <x:c r="G18" s="829">
        <x:f>+'9A - Gross Plant &amp; ARO'!E58</x:f>
        <x:v>173998507.45492926</x:v>
      </x:c>
      <x:c r="H18" s="829">
        <x:f>+'9A - Gross Plant &amp; ARO'!G58</x:f>
        <x:v>69939790.107911855</x:v>
      </x:c>
      <x:c r="I18" s="829">
        <x:f>+'9A - Gross Plant &amp; ARO'!F58</x:f>
        <x:v>2798335.1904699341</x:v>
      </x:c>
      <x:c r="J18" s="829">
        <x:f>+'9A - Gross Plant &amp; ARO'!H58</x:f>
        <x:v>53928860.083561994</x:v>
      </x:c>
      <x:c r="K18" s="828">
        <x:f t="shared" si="0"/>
        <x:v>1670837846.4998608</x:v>
      </x:c>
      <x:c r="L18" s="828">
        <x:f t="shared" si="2"/>
        <x:v>207449525.298686</x:v>
      </x:c>
      <x:c r="M18" s="828">
        <x:f t="shared" si="1"/>
        <x:v>99901898.86439696</x:v>
      </x:c>
    </x:row>
    <x:row r="19" spans="1:15">
      <x:c r="A19" s="812">
        <x:v>9</x:v>
      </x:c>
      <x:c r="B19" s="811" t="s">
        <x:v>477</x:v>
      </x:c>
      <x:c r="C19" s="828">
        <x:f>+'9A - Gross Plant &amp; ARO'!L19</x:f>
        <x:v>2281192281.5533547</x:v>
      </x:c>
      <x:c r="D19" s="828">
        <x:f>+'9A - Gross Plant &amp; ARO'!M19</x:f>
        <x:v>384924481.25266498</x:v>
      </x:c>
      <x:c r="E19" s="828">
        <x:f>+'9A - Gross Plant &amp; ARO'!N19</x:f>
        <x:v>224959980.51952848</x:v>
      </x:c>
      <x:c r="F19" s="829">
        <x:f>+'9A - Gross Plant &amp; ARO'!D59</x:f>
        <x:v>610556241.35464978</x:v>
      </x:c>
      <x:c r="G19" s="829">
        <x:f>+'9A - Gross Plant &amp; ARO'!E59</x:f>
        <x:v>175756689.82645893</x:v>
      </x:c>
      <x:c r="H19" s="829">
        <x:f>+'9A - Gross Plant &amp; ARO'!G59</x:f>
        <x:v>70077334.010388374</x:v>
      </x:c>
      <x:c r="I19" s="829">
        <x:f>+'9A - Gross Plant &amp; ARO'!F59</x:f>
        <x:v>2925525.7372524883</x:v>
      </x:c>
      <x:c r="J19" s="829">
        <x:f>+'9A - Gross Plant &amp; ARO'!H59</x:f>
        <x:v>54559285.450057998</x:v>
      </x:c>
      <x:c r="K19" s="828">
        <x:f t="shared" si="0"/>
        <x:v>1670636040.198705</x:v>
      </x:c>
      <x:c r="L19" s="828">
        <x:f t="shared" si="2"/>
        <x:v>206242265.68895358</x:v>
      </x:c>
      <x:c r="M19" s="828">
        <x:f t="shared" si="1"/>
        <x:v>100323361.05908209</x:v>
      </x:c>
    </x:row>
    <x:row r="20" spans="1:15">
      <x:c r="A20" s="812">
        <x:v>10</x:v>
      </x:c>
      <x:c r="B20" s="811" t="s">
        <x:v>478</x:v>
      </x:c>
      <x:c r="C20" s="828">
        <x:f>+'9A - Gross Plant &amp; ARO'!L20</x:f>
        <x:v>2287435468.4499707</x:v>
      </x:c>
      <x:c r="D20" s="828">
        <x:f>+'9A - Gross Plant &amp; ARO'!M20</x:f>
        <x:v>385843424.01843971</x:v>
      </x:c>
      <x:c r="E20" s="828">
        <x:f>+'9A - Gross Plant &amp; ARO'!N20</x:f>
        <x:v>227524264.86130846</x:v>
      </x:c>
      <x:c r="F20" s="829">
        <x:f>+'9A - Gross Plant &amp; ARO'!D60</x:f>
        <x:v>616223323.08009243</x:v>
      </x:c>
      <x:c r="G20" s="829">
        <x:f>+'9A - Gross Plant &amp; ARO'!E60</x:f>
        <x:v>177518555.91432843</x:v>
      </x:c>
      <x:c r="H20" s="829">
        <x:f>+'9A - Gross Plant &amp; ARO'!G60</x:f>
        <x:v>70088093.130403429</x:v>
      </x:c>
      <x:c r="I20" s="829">
        <x:f>+'9A - Gross Plant &amp; ARO'!F60</x:f>
        <x:v>3069254.4878198653</x:v>
      </x:c>
      <x:c r="J20" s="829">
        <x:f>+'9A - Gross Plant &amp; ARO'!H60</x:f>
        <x:v>55180489.879262</x:v>
      </x:c>
      <x:c r="K20" s="828">
        <x:f t="shared" si="0"/>
        <x:v>1671212145.3698783</x:v>
      </x:c>
      <x:c r="L20" s="828">
        <x:f t="shared" si="2"/>
        <x:v>205255613.6162914</x:v>
      </x:c>
      <x:c r="M20" s="828">
        <x:f t="shared" si="1"/>
        <x:v>102255681.85164303</x:v>
      </x:c>
    </x:row>
    <x:row r="21" spans="1:15">
      <x:c r="A21" s="812">
        <x:v>11</x:v>
      </x:c>
      <x:c r="B21" s="811" t="s">
        <x:v>479</x:v>
      </x:c>
      <x:c r="C21" s="828">
        <x:f>+'9A - Gross Plant &amp; ARO'!L21</x:f>
        <x:v>2292628398.8138847</x:v>
      </x:c>
      <x:c r="D21" s="828">
        <x:f>+'9A - Gross Plant &amp; ARO'!M21</x:f>
        <x:v>386583869.3347469</x:v>
      </x:c>
      <x:c r="E21" s="828">
        <x:f>+'9A - Gross Plant &amp; ARO'!N21</x:f>
        <x:v>228893603.45980415</x:v>
      </x:c>
      <x:c r="F21" s="829">
        <x:f>+'9A - Gross Plant &amp; ARO'!D61</x:f>
        <x:v>622101826.68268824</x:v>
      </x:c>
      <x:c r="G21" s="829">
        <x:f>+'9A - Gross Plant &amp; ARO'!E61</x:f>
        <x:v>179284421.71353954</x:v>
      </x:c>
      <x:c r="H21" s="829">
        <x:f>+'9A - Gross Plant &amp; ARO'!G61</x:f>
        <x:v>70240296.171705216</x:v>
      </x:c>
      <x:c r="I21" s="829">
        <x:f>+'9A - Gross Plant &amp; ARO'!F61</x:f>
        <x:v>3229450.7048452902</x:v>
      </x:c>
      <x:c r="J21" s="829">
        <x:f>+'9A - Gross Plant &amp; ARO'!H61</x:f>
        <x:v>55732868.684119999</x:v>
      </x:c>
      <x:c r="K21" s="828">
        <x:f t="shared" si="0"/>
        <x:v>1670526572.1311965</x:v>
      </x:c>
      <x:c r="L21" s="828">
        <x:f t="shared" si="2"/>
        <x:v>204069996.91636208</x:v>
      </x:c>
      <x:c r="M21" s="828">
        <x:f t="shared" si="1"/>
        <x:v>102920438.60397893</x:v>
      </x:c>
    </x:row>
    <x:row r="22" spans="1:15">
      <x:c r="A22" s="812">
        <x:v>12</x:v>
      </x:c>
      <x:c r="B22" s="811" t="s">
        <x:v>480</x:v>
      </x:c>
      <x:c r="C22" s="828">
        <x:f>+'9A - Gross Plant &amp; ARO'!L22</x:f>
        <x:v>2300159776.3725185</x:v>
      </x:c>
      <x:c r="D22" s="828">
        <x:f>+'9A - Gross Plant &amp; ARO'!M22</x:f>
        <x:v>388753541.95144951</x:v>
      </x:c>
      <x:c r="E22" s="828">
        <x:f>+'9A - Gross Plant &amp; ARO'!N22</x:f>
        <x:v>238975365.77268156</x:v>
      </x:c>
      <x:c r="F22" s="829">
        <x:f>+'9A - Gross Plant &amp; ARO'!D62</x:f>
        <x:v>627902874.89759886</x:v>
      </x:c>
      <x:c r="G22" s="829">
        <x:f>+'9A - Gross Plant &amp; ARO'!E62</x:f>
        <x:v>181046217.74843341</x:v>
      </x:c>
      <x:c r="H22" s="829">
        <x:f>+'9A - Gross Plant &amp; ARO'!G62</x:f>
        <x:v>70388933.081002101</x:v>
      </x:c>
      <x:c r="I22" s="829">
        <x:f>+'9A - Gross Plant &amp; ARO'!F62</x:f>
        <x:v>3476394.0093256943</x:v>
      </x:c>
      <x:c r="J22" s="829">
        <x:f>+'9A - Gross Plant &amp; ARO'!H62</x:f>
        <x:v>56225510.188561998</x:v>
      </x:c>
      <x:c r="K22" s="828">
        <x:f t="shared" si="0"/>
        <x:v>1672256901.4749198</x:v>
      </x:c>
      <x:c r="L22" s="828">
        <x:f t="shared" si="2"/>
        <x:v>204230930.19369042</x:v>
      </x:c>
      <x:c r="M22" s="828">
        <x:f t="shared" si="1"/>
        <x:v>112360922.50311746</x:v>
      </x:c>
    </x:row>
    <x:row r="23" spans="1:15">
      <x:c r="A23" s="812">
        <x:v>13</x:v>
      </x:c>
      <x:c r="B23" s="811" t="s">
        <x:v>481</x:v>
      </x:c>
      <x:c r="C23" s="828">
        <x:f>+'9A - Gross Plant &amp; ARO'!L23</x:f>
        <x:v>2320095327.297183</x:v>
      </x:c>
      <x:c r="D23" s="828">
        <x:f>+'9A - Gross Plant &amp; ARO'!M23</x:f>
        <x:v>392844113.53568155</x:v>
      </x:c>
      <x:c r="E23" s="828">
        <x:f>+'9A - Gross Plant &amp; ARO'!N23</x:f>
        <x:v>248426689.49631014</x:v>
      </x:c>
      <x:c r="F23" s="829">
        <x:f>+'9A - Gross Plant &amp; ARO'!D63</x:f>
        <x:v>631400292.52075946</x:v>
      </x:c>
      <x:c r="G23" s="829">
        <x:f>+'9A - Gross Plant &amp; ARO'!E63</x:f>
        <x:v>182636431.78084639</x:v>
      </x:c>
      <x:c r="H23" s="829">
        <x:f>+'9A - Gross Plant &amp; ARO'!G63</x:f>
        <x:v>70401318.478665918</x:v>
      </x:c>
      <x:c r="I23" s="829">
        <x:f>+'9A - Gross Plant &amp; ARO'!F63</x:f>
        <x:v>3841807.1708584134</x:v>
      </x:c>
      <x:c r="J23" s="829">
        <x:f>+'9A - Gross Plant &amp; ARO'!H63</x:f>
        <x:v>56697809.500585996</x:v>
      </x:c>
      <x:c r="K23" s="828">
        <x:f t="shared" si="0"/>
        <x:v>1688695034.7764235</x:v>
      </x:c>
      <x:c r="L23" s="828">
        <x:f t="shared" si="2"/>
        <x:v>206365874.58397675</x:v>
      </x:c>
      <x:c r="M23" s="828">
        <x:f t="shared" si="1"/>
        <x:v>121327561.51705822</x:v>
      </x:c>
    </x:row>
    <x:row r="24" spans="1:15">
      <x:c r="A24" s="812">
        <x:v>14</x:v>
      </x:c>
      <x:c r="B24" s="583" t="s">
        <x:v>702</x:v>
      </x:c>
      <x:c r="C24" s="830">
        <x:f t="shared" ref="C24:M24" si="3">SUM(C11:C23)/13</x:f>
        <x:v>2267367283.2436771</x:v>
      </x:c>
      <x:c r="D24" s="830">
        <x:f t="shared" si="3"/>
        <x:v>397926321.77251345</x:v>
      </x:c>
      <x:c r="E24" s="830">
        <x:f t="shared" si="3"/>
        <x:v>219157283.20384076</x:v>
      </x:c>
      <x:c r="F24" s="830">
        <x:f t="shared" si="3"/>
        <x:v>599939517.0497489</x:v>
      </x:c>
      <x:c r="G24" s="830">
        <x:f t="shared" si="3"/>
        <x:v>164847853.84335759</x:v>
      </x:c>
      <x:c r="H24" s="830">
        <x:f t="shared" si="3"/>
        <x:v>69810128.97733584</x:v>
      </x:c>
      <x:c r="I24" s="830">
        <x:f t="shared" si="3"/>
        <x:v>11080140.908908181</x:v>
      </x:c>
      <x:c r="J24" s="830">
        <x:f t="shared" si="3"/>
        <x:v>53236456.928761087</x:v>
      </x:c>
      <x:c r="K24" s="830">
        <x:f t="shared" si="3"/>
        <x:v>1667427766.1939282</x:v>
      </x:c>
      <x:c r="L24" s="830">
        <x:f t="shared" si="3"/>
        <x:v>221998327.02024764</x:v>
      </x:c>
      <x:c r="M24" s="830">
        <x:f t="shared" si="3"/>
        <x:v>96110697.297743857</x:v>
      </x:c>
    </x:row>
    <x:row r="25" spans="1:15" ht="12" customHeight="1">
      <x:c r="A25" s="812">
        <x:v>15</x:v>
      </x:c>
      <x:c r="B25" s="583" t="s">
        <x:v>701</x:v>
      </x:c>
      <x:c r="C25" s="602"/>
      <x:c r="D25" s="602">
        <x:f>+'10 - Merger Costs'!G35</x:f>
        <x:v>0</x:v>
      </x:c>
      <x:c r="E25" s="602"/>
      <x:c r="F25" s="602"/>
      <x:c r="G25" s="602">
        <x:f>+'10 - Merger Costs'!C51</x:f>
        <x:v>0</x:v>
      </x:c>
      <x:c r="H25" s="602"/>
      <x:c r="I25" s="602">
        <x:f>+'10 - Merger Costs'!D51</x:f>
        <x:v>0</x:v>
      </x:c>
      <x:c r="J25" s="602"/>
      <x:c r="K25" s="602">
        <x:f>+C25-F25</x:f>
        <x:v>0</x:v>
      </x:c>
      <x:c r="L25" s="602">
        <x:f>+D25-G25-I25</x:f>
        <x:v>0</x:v>
      </x:c>
      <x:c r="M25" s="602">
        <x:f>+E25-J25-H25</x:f>
        <x:v>0</x:v>
      </x:c>
    </x:row>
    <x:row r="26" spans="1:15" ht="13.5" thickBot="1">
      <x:c r="A26" s="812">
        <x:v>16</x:v>
      </x:c>
      <x:c r="B26" s="583" t="s">
        <x:v>698</x:v>
      </x:c>
      <x:c r="C26" s="831">
        <x:f>+C24-C25</x:f>
        <x:v>2267367283.2436771</x:v>
      </x:c>
      <x:c r="D26" s="831">
        <x:f t="shared" ref="D26:M26" si="4">+D24-D25</x:f>
        <x:v>397926321.77251345</x:v>
      </x:c>
      <x:c r="E26" s="831">
        <x:f t="shared" si="4"/>
        <x:v>219157283.20384076</x:v>
      </x:c>
      <x:c r="F26" s="831">
        <x:f t="shared" si="4"/>
        <x:v>599939517.0497489</x:v>
      </x:c>
      <x:c r="G26" s="831">
        <x:f t="shared" si="4"/>
        <x:v>164847853.84335759</x:v>
      </x:c>
      <x:c r="H26" s="831">
        <x:f t="shared" si="4"/>
        <x:v>69810128.97733584</x:v>
      </x:c>
      <x:c r="I26" s="831">
        <x:f t="shared" si="4"/>
        <x:v>11080140.908908181</x:v>
      </x:c>
      <x:c r="J26" s="831">
        <x:f t="shared" si="4"/>
        <x:v>53236456.928761087</x:v>
      </x:c>
      <x:c r="K26" s="831">
        <x:f t="shared" si="4"/>
        <x:v>1667427766.1939282</x:v>
      </x:c>
      <x:c r="L26" s="831">
        <x:f t="shared" si="4"/>
        <x:v>221998327.02024764</x:v>
      </x:c>
      <x:c r="M26" s="831">
        <x:f t="shared" si="4"/>
        <x:v>96110697.297743857</x:v>
      </x:c>
    </x:row>
    <x:row r="27" spans="1:15" ht="13.5" thickTop="1">
      <x:c r="A27" s="812"/>
      <x:c r="B27" s="811"/>
      <x:c r="C27" s="832"/>
      <x:c r="D27" s="833"/>
      <x:c r="E27" s="833"/>
      <x:c r="F27" s="833"/>
      <x:c r="G27" s="832"/>
      <x:c r="H27" s="832"/>
      <x:c r="I27" s="832"/>
      <x:c r="J27" s="832"/>
    </x:row>
    <x:row r="28" spans="1:15">
      <x:c r="A28" s="812"/>
      <x:c r="B28" s="834"/>
      <x:c r="C28" s="1755" t="s">
        <x:v>483</x:v>
      </x:c>
      <x:c r="D28" s="1755"/>
      <x:c r="E28" s="1755"/>
      <x:c r="F28" s="1755"/>
      <x:c r="G28" s="1755"/>
      <x:c r="H28" s="1755"/>
      <x:c r="I28" s="1755"/>
      <x:c r="J28" s="1755"/>
    </x:row>
    <x:row r="29" spans="1:15" ht="41.25" customHeight="1">
      <x:c r="A29" s="854" t="s">
        <x:v>455</x:v>
      </x:c>
      <x:c r="B29" s="822" t="s">
        <x:v>158</x:v>
      </x:c>
      <x:c r="C29" s="822" t="s">
        <x:v>454</x:v>
      </x:c>
      <x:c r="D29" s="822" t="s">
        <x:v>513</x:v>
      </x:c>
      <x:c r="E29" s="815"/>
      <x:c r="F29" s="817" t="s">
        <x:v>510</x:v>
      </x:c>
      <x:c r="G29" s="822"/>
      <x:c r="H29" s="835" t="s">
        <x:v>484</x:v>
      </x:c>
      <x:c r="I29" s="835" t="s">
        <x:v>485</x:v>
      </x:c>
      <x:c r="J29" s="835" t="s">
        <x:v>486</x:v>
      </x:c>
      <x:c r="K29" s="835" t="s">
        <x:v>487</x:v>
      </x:c>
      <x:c r="L29" s="835" t="s">
        <x:v>488</x:v>
      </x:c>
      <x:c r="M29" s="835" t="s">
        <x:v>718</x:v>
      </x:c>
    </x:row>
    <x:row r="30" spans="1:15" s="826" customFormat="1" ht="25.5">
      <x:c r="A30" s="812"/>
      <x:c r="B30" s="822" t="s">
        <x:v>460</x:v>
      </x:c>
      <x:c r="C30" s="817" t="s">
        <x:v>457</x:v>
      </x:c>
      <x:c r="D30" s="817" t="s">
        <x:v>1498</x:v>
      </x:c>
      <x:c r="E30" s="817" t="s">
        <x:v>458</x:v>
      </x:c>
      <x:c r="F30" s="817" t="s">
        <x:v>511</x:v>
      </x:c>
      <x:c r="G30" s="817" t="s">
        <x:v>459</x:v>
      </x:c>
      <x:c r="H30" s="835"/>
      <x:c r="I30" s="835"/>
      <x:c r="J30" s="836"/>
      <x:c r="K30" s="836"/>
      <x:c r="L30" s="836"/>
      <x:c r="M30" s="836"/>
      <x:c r="N30" s="810"/>
      <x:c r="O30" s="810"/>
    </x:row>
    <x:row r="31" spans="1:15" s="826" customFormat="1">
      <x:c r="C31" s="822" t="s">
        <x:v>461</x:v>
      </x:c>
      <x:c r="D31" s="822" t="s">
        <x:v>462</x:v>
      </x:c>
      <x:c r="E31" s="817" t="s">
        <x:v>463</x:v>
      </x:c>
      <x:c r="F31" s="822" t="s">
        <x:v>464</x:v>
      </x:c>
      <x:c r="G31" s="817" t="s">
        <x:v>465</x:v>
      </x:c>
      <x:c r="H31" s="822" t="s">
        <x:v>466</x:v>
      </x:c>
      <x:c r="I31" s="817" t="s">
        <x:v>467</x:v>
      </x:c>
      <x:c r="J31" s="822" t="s">
        <x:v>468</x:v>
      </x:c>
      <x:c r="K31" s="822" t="s">
        <x:v>469</x:v>
      </x:c>
      <x:c r="L31" s="817" t="s">
        <x:v>470</x:v>
      </x:c>
      <x:c r="M31" s="837" t="s">
        <x:v>494</x:v>
      </x:c>
      <x:c r="N31" s="810"/>
      <x:c r="O31" s="810"/>
    </x:row>
    <x:row r="32" spans="1:15" s="826" customFormat="1">
      <x:c r="A32" s="812"/>
      <x:c r="B32" s="838" t="s">
        <x:v>1414</x:v>
      </x:c>
      <x:c r="C32" s="839" t="s">
        <x:v>283</x:v>
      </x:c>
      <x:c r="D32" s="839">
        <x:v>28</x:v>
      </x:c>
      <x:c r="E32" s="839">
        <x:v>50</x:v>
      </x:c>
      <x:c r="F32" s="839">
        <x:v>47</x:v>
      </x:c>
      <x:c r="G32" s="839">
        <x:v>45</x:v>
      </x:c>
      <x:c r="H32" s="840"/>
      <x:c r="I32" s="840" t="s">
        <x:v>286</x:v>
      </x:c>
      <x:c r="J32" s="840"/>
      <x:c r="K32" s="840"/>
      <x:c r="L32" s="840"/>
      <x:c r="M32" s="840"/>
      <x:c r="N32" s="810"/>
      <x:c r="O32" s="810"/>
    </x:row>
    <x:row r="33" spans="1:16" s="1111" customFormat="1" ht="51" customHeight="1">
      <x:c r="A33" s="812"/>
      <x:c r="B33" s="822"/>
      <x:c r="C33" s="841" t="s">
        <x:v>64</x:v>
      </x:c>
      <x:c r="D33" s="841" t="s">
        <x:v>899</x:v>
      </x:c>
      <x:c r="E33" s="841" t="s">
        <x:v>1415</x:v>
      </x:c>
      <x:c r="F33" s="841" t="s">
        <x:v>512</x:v>
      </x:c>
      <x:c r="G33" s="842" t="s">
        <x:v>1402</x:v>
      </x:c>
      <x:c r="H33" s="842" t="s">
        <x:v>1430</x:v>
      </x:c>
      <x:c r="I33" s="840" t="s">
        <x:v>1403</x:v>
      </x:c>
      <x:c r="J33" s="835" t="s">
        <x:v>279</x:v>
      </x:c>
      <x:c r="K33" s="835" t="s">
        <x:v>279</x:v>
      </x:c>
      <x:c r="L33" s="835" t="s">
        <x:v>279</x:v>
      </x:c>
      <x:c r="M33" s="835" t="s">
        <x:v>279</x:v>
      </x:c>
      <x:c r="N33" s="846"/>
      <x:c r="O33" s="846"/>
    </x:row>
    <x:row r="34" spans="1:16">
      <x:c r="A34" s="812">
        <x:v>17</x:v>
      </x:c>
      <x:c r="B34" s="827" t="s">
        <x:v>472</x:v>
      </x:c>
      <x:c r="C34" s="828"/>
      <x:c r="D34" s="829">
        <x:v>5435572</x:v>
      </x:c>
      <x:c r="E34" s="829">
        <x:v>11283319</x:v>
      </x:c>
      <x:c r="F34" s="828"/>
      <x:c r="G34" s="829">
        <x:f>+'5 - Cost Support 1'!G108</x:f>
        <x:v>22033541.22044668</x:v>
      </x:c>
      <x:c r="H34" s="828"/>
      <x:c r="I34" s="828"/>
      <x:c r="J34" s="843"/>
      <x:c r="K34" s="843"/>
      <x:c r="L34" s="843"/>
      <x:c r="M34" s="843"/>
    </x:row>
    <x:row r="35" spans="1:16">
      <x:c r="A35" s="812">
        <x:v>18</x:v>
      </x:c>
      <x:c r="B35" s="827" t="s">
        <x:v>473</x:v>
      </x:c>
      <x:c r="C35" s="828"/>
      <x:c r="D35" s="829">
        <x:v>5435572</x:v>
      </x:c>
      <x:c r="E35" s="829">
        <x:v>10784663.270094799</x:v>
      </x:c>
      <x:c r="F35" s="844"/>
      <x:c r="G35" s="829">
        <x:f>+'5 - Cost Support 1'!H108</x:f>
        <x:v>17143160.071368027</x:v>
      </x:c>
      <x:c r="H35" s="844"/>
      <x:c r="I35" s="828"/>
      <x:c r="J35" s="843"/>
      <x:c r="K35" s="843"/>
      <x:c r="L35" s="843"/>
      <x:c r="M35" s="843"/>
    </x:row>
    <x:row r="36" spans="1:16">
      <x:c r="A36" s="812">
        <x:v>19</x:v>
      </x:c>
      <x:c r="B36" s="811" t="s">
        <x:v>474</x:v>
      </x:c>
      <x:c r="C36" s="828"/>
      <x:c r="D36" s="829">
        <x:v>5435572</x:v>
      </x:c>
      <x:c r="E36" s="829">
        <x:v>11033250.369973158</x:v>
      </x:c>
      <x:c r="F36" s="844"/>
      <x:c r="G36" s="829">
        <x:f>+'5 - Cost Support 1'!I108</x:f>
        <x:v>16970597.224701606</x:v>
      </x:c>
      <x:c r="H36" s="844"/>
      <x:c r="I36" s="828"/>
      <x:c r="J36" s="843"/>
      <x:c r="K36" s="843"/>
      <x:c r="L36" s="843"/>
      <x:c r="M36" s="843"/>
    </x:row>
    <x:row r="37" spans="1:16">
      <x:c r="A37" s="812">
        <x:v>20</x:v>
      </x:c>
      <x:c r="B37" s="811" t="s">
        <x:v>475</x:v>
      </x:c>
      <x:c r="C37" s="828"/>
      <x:c r="D37" s="829">
        <x:v>5435572</x:v>
      </x:c>
      <x:c r="E37" s="829">
        <x:v>11179177.810119212</x:v>
      </x:c>
      <x:c r="F37" s="844"/>
      <x:c r="G37" s="829">
        <x:f>+'5 - Cost Support 1'!J108</x:f>
        <x:v>18376105.730270498</x:v>
      </x:c>
      <x:c r="H37" s="844"/>
      <x:c r="I37" s="828"/>
      <x:c r="J37" s="843"/>
      <x:c r="K37" s="843"/>
      <x:c r="L37" s="843"/>
      <x:c r="M37" s="843"/>
    </x:row>
    <x:row r="38" spans="1:16">
      <x:c r="A38" s="812">
        <x:v>21</x:v>
      </x:c>
      <x:c r="B38" s="811" t="s">
        <x:v>160</x:v>
      </x:c>
      <x:c r="C38" s="828"/>
      <x:c r="D38" s="829">
        <x:v>5435572</x:v>
      </x:c>
      <x:c r="E38" s="829">
        <x:v>11533829.166733917</x:v>
      </x:c>
      <x:c r="F38" s="844"/>
      <x:c r="G38" s="829">
        <x:f>+'5 - Cost Support 1'!K108</x:f>
        <x:v>16641860.322234549</x:v>
      </x:c>
      <x:c r="H38" s="844"/>
      <x:c r="I38" s="828"/>
      <x:c r="J38" s="843"/>
      <x:c r="K38" s="843"/>
      <x:c r="L38" s="843"/>
      <x:c r="M38" s="843"/>
    </x:row>
    <x:row r="39" spans="1:16">
      <x:c r="A39" s="812">
        <x:v>22</x:v>
      </x:c>
      <x:c r="B39" s="811" t="s">
        <x:v>161</x:v>
      </x:c>
      <x:c r="C39" s="828"/>
      <x:c r="D39" s="829">
        <x:v>5435572</x:v>
      </x:c>
      <x:c r="E39" s="829">
        <x:v>12260525.8139497</x:v>
      </x:c>
      <x:c r="F39" s="844"/>
      <x:c r="G39" s="829">
        <x:f>+'5 - Cost Support 1'!L108</x:f>
        <x:v>16456206.840913093</x:v>
      </x:c>
      <x:c r="H39" s="844"/>
      <x:c r="I39" s="828"/>
      <x:c r="J39" s="843"/>
      <x:c r="K39" s="843"/>
      <x:c r="L39" s="843"/>
      <x:c r="M39" s="843"/>
    </x:row>
    <x:row r="40" spans="1:16">
      <x:c r="A40" s="812">
        <x:v>23</x:v>
      </x:c>
      <x:c r="B40" s="811" t="s">
        <x:v>162</x:v>
      </x:c>
      <x:c r="C40" s="828"/>
      <x:c r="D40" s="829">
        <x:v>5435572</x:v>
      </x:c>
      <x:c r="E40" s="829">
        <x:v>12554744.173416588</x:v>
      </x:c>
      <x:c r="F40" s="844"/>
      <x:c r="G40" s="829">
        <x:f>+'5 - Cost Support 1'!M108</x:f>
        <x:v>16292354.856763672</x:v>
      </x:c>
      <x:c r="H40" s="844"/>
      <x:c r="I40" s="828"/>
      <x:c r="J40" s="843"/>
      <x:c r="K40" s="843"/>
      <x:c r="L40" s="843"/>
      <x:c r="M40" s="843"/>
    </x:row>
    <x:row r="41" spans="1:16">
      <x:c r="A41" s="812">
        <x:v>24</x:v>
      </x:c>
      <x:c r="B41" s="811" t="s">
        <x:v>476</x:v>
      </x:c>
      <x:c r="C41" s="828"/>
      <x:c r="D41" s="829">
        <x:v>5435572</x:v>
      </x:c>
      <x:c r="E41" s="829">
        <x:v>12721880.887424957</x:v>
      </x:c>
      <x:c r="F41" s="844"/>
      <x:c r="G41" s="829">
        <x:f>+'5 - Cost Support 1'!N108</x:f>
        <x:v>16145902.961310882</x:v>
      </x:c>
      <x:c r="H41" s="844"/>
      <x:c r="I41" s="828"/>
      <x:c r="J41" s="843"/>
      <x:c r="K41" s="843"/>
      <x:c r="L41" s="843"/>
      <x:c r="M41" s="843"/>
    </x:row>
    <x:row r="42" spans="1:16">
      <x:c r="A42" s="812">
        <x:v>25</x:v>
      </x:c>
      <x:c r="B42" s="811" t="s">
        <x:v>477</x:v>
      </x:c>
      <x:c r="C42" s="828"/>
      <x:c r="D42" s="829">
        <x:v>5435572</x:v>
      </x:c>
      <x:c r="E42" s="829">
        <x:v>12858207.095547829</x:v>
      </x:c>
      <x:c r="F42" s="844"/>
      <x:c r="G42" s="829">
        <x:f>+'5 - Cost Support 1'!O108</x:f>
        <x:v>15960756.258570828</x:v>
      </x:c>
      <x:c r="H42" s="844"/>
      <x:c r="I42" s="828"/>
      <x:c r="J42" s="843"/>
      <x:c r="K42" s="843"/>
      <x:c r="L42" s="843"/>
      <x:c r="M42" s="843"/>
    </x:row>
    <x:row r="43" spans="1:16">
      <x:c r="A43" s="812">
        <x:v>26</x:v>
      </x:c>
      <x:c r="B43" s="811" t="s">
        <x:v>478</x:v>
      </x:c>
      <x:c r="C43" s="828"/>
      <x:c r="D43" s="829">
        <x:v>5435572</x:v>
      </x:c>
      <x:c r="E43" s="829">
        <x:v>13255523.788309202</x:v>
      </x:c>
      <x:c r="F43" s="844"/>
      <x:c r="G43" s="829">
        <x:f>+'5 - Cost Support 1'!P108</x:f>
        <x:v>18230783.602521826</x:v>
      </x:c>
      <x:c r="H43" s="844"/>
      <x:c r="I43" s="828"/>
      <x:c r="J43" s="843"/>
      <x:c r="K43" s="843"/>
      <x:c r="L43" s="843"/>
      <x:c r="M43" s="843"/>
    </x:row>
    <x:row r="44" spans="1:16">
      <x:c r="A44" s="812">
        <x:v>27</x:v>
      </x:c>
      <x:c r="B44" s="811" t="s">
        <x:v>479</x:v>
      </x:c>
      <x:c r="C44" s="828"/>
      <x:c r="D44" s="829">
        <x:v>5435572</x:v>
      </x:c>
      <x:c r="E44" s="829">
        <x:v>13579624.342105331</x:v>
      </x:c>
      <x:c r="F44" s="844"/>
      <x:c r="G44" s="829">
        <x:f>+'5 - Cost Support 1'!Q108</x:f>
        <x:v>15661410.344916623</x:v>
      </x:c>
      <x:c r="H44" s="844"/>
      <x:c r="I44" s="828"/>
      <x:c r="J44" s="843"/>
      <x:c r="K44" s="843"/>
      <x:c r="L44" s="843"/>
      <x:c r="M44" s="843"/>
    </x:row>
    <x:row r="45" spans="1:16">
      <x:c r="A45" s="812">
        <x:v>28</x:v>
      </x:c>
      <x:c r="B45" s="811" t="s">
        <x:v>480</x:v>
      </x:c>
      <x:c r="C45" s="828"/>
      <x:c r="D45" s="829">
        <x:v>5435572</x:v>
      </x:c>
      <x:c r="E45" s="829">
        <x:v>13886608.750734672</x:v>
      </x:c>
      <x:c r="F45" s="844"/>
      <x:c r="G45" s="829">
        <x:f>+'5 - Cost Support 1'!R108</x:f>
        <x:v>15479228.585228305</x:v>
      </x:c>
      <x:c r="H45" s="844"/>
      <x:c r="I45" s="828"/>
      <x:c r="J45" s="843"/>
      <x:c r="K45" s="843"/>
      <x:c r="L45" s="843"/>
      <x:c r="M45" s="843"/>
    </x:row>
    <x:row r="46" spans="1:16">
      <x:c r="A46" s="812">
        <x:v>29</x:v>
      </x:c>
      <x:c r="B46" s="811" t="s">
        <x:v>481</x:v>
      </x:c>
      <x:c r="C46" s="828"/>
      <x:c r="D46" s="829">
        <x:v>5435572</x:v>
      </x:c>
      <x:c r="E46" s="829">
        <x:v>13858156</x:v>
      </x:c>
      <x:c r="F46" s="828"/>
      <x:c r="G46" s="829">
        <x:f>+'5 - Cost Support 1'!S108</x:f>
        <x:v>18460105.970555171</x:v>
      </x:c>
      <x:c r="H46" s="828"/>
      <x:c r="I46" s="828"/>
      <x:c r="J46" s="843"/>
      <x:c r="K46" s="843"/>
      <x:c r="L46" s="843"/>
      <x:c r="M46" s="843"/>
    </x:row>
    <x:row r="47" spans="1:16" ht="13.5" thickBot="1">
      <x:c r="A47" s="812">
        <x:v>30</x:v>
      </x:c>
      <x:c r="B47" s="583" t="s">
        <x:v>2178</x:v>
      </x:c>
      <x:c r="C47" s="831">
        <x:f>SUM(C34:C46)/13</x:f>
        <x:v>0</x:v>
      </x:c>
      <x:c r="D47" s="831">
        <x:f t="shared" ref="D47:I47" si="5">SUM(D34:D46)/13</x:f>
        <x:v>5435572</x:v>
      </x:c>
      <x:c r="E47" s="831">
        <x:f t="shared" si="5"/>
        <x:v>12368423.882185336</x:v>
      </x:c>
      <x:c r="F47" s="831">
        <x:f t="shared" si="5"/>
        <x:v>0</x:v>
      </x:c>
      <x:c r="G47" s="831">
        <x:f t="shared" si="5"/>
        <x:v>17219385.691523209</x:v>
      </x:c>
      <x:c r="H47" s="831">
        <x:f t="shared" si="5"/>
        <x:v>0</x:v>
      </x:c>
      <x:c r="I47" s="831">
        <x:f t="shared" si="5"/>
        <x:v>0</x:v>
      </x:c>
      <x:c r="J47" s="831"/>
      <x:c r="K47" s="831"/>
      <x:c r="L47" s="845"/>
      <x:c r="M47" s="831"/>
      <x:c r="P47" s="826"/>
    </x:row>
    <x:row r="48" spans="1:16" ht="13.5" thickTop="1">
      <x:c r="A48" s="812"/>
      <x:c r="B48" s="811"/>
      <x:c r="D48" s="1275"/>
      <x:c r="E48" s="1275"/>
      <x:c r="F48" s="167"/>
      <x:c r="G48" s="1275"/>
      <x:c r="H48" s="167"/>
      <x:c r="I48" s="833"/>
      <x:c r="K48" s="814"/>
      <x:c r="P48" s="826"/>
    </x:row>
    <x:row r="49" spans="1:18">
      <x:c r="A49" s="847"/>
      <x:c r="B49" s="848"/>
      <x:c r="C49" s="849"/>
      <x:c r="D49" s="849"/>
      <x:c r="E49" s="849"/>
      <x:c r="F49" s="849"/>
      <x:c r="G49" s="849"/>
      <x:c r="M49" s="826"/>
      <x:c r="N49" s="826"/>
      <x:c r="O49" s="826"/>
      <x:c r="P49" s="826"/>
      <x:c r="Q49" s="826"/>
      <x:c r="R49" s="826"/>
    </x:row>
    <x:row r="50" spans="1:18">
      <x:c r="A50" s="812" t="s">
        <x:v>489</x:v>
      </x:c>
    </x:row>
    <x:row r="51" spans="1:18" ht="12.75" customHeight="1">
      <x:c r="A51" s="812" t="s">
        <x:v>9</x:v>
      </x:c>
      <x:c r="B51" s="1756" t="s">
        <x:v>1066</x:v>
      </x:c>
      <x:c r="C51" s="1756"/>
      <x:c r="D51" s="1756"/>
      <x:c r="E51" s="1756"/>
      <x:c r="F51" s="1756"/>
      <x:c r="G51" s="1756"/>
      <x:c r="H51" s="1756"/>
      <x:c r="I51" s="1756"/>
      <x:c r="J51" s="1756"/>
      <x:c r="K51" s="1756"/>
      <x:c r="L51" s="1756"/>
    </x:row>
    <x:row r="52" spans="1:18" ht="12.75" customHeight="1">
      <x:c r="A52" s="812" t="s">
        <x:v>10</x:v>
      </x:c>
      <x:c r="B52" s="1756" t="s">
        <x:v>490</x:v>
      </x:c>
      <x:c r="C52" s="1756"/>
      <x:c r="D52" s="1756"/>
      <x:c r="E52" s="1756"/>
      <x:c r="F52" s="1756"/>
      <x:c r="G52" s="1756"/>
      <x:c r="H52" s="1756"/>
      <x:c r="I52" s="1756"/>
      <x:c r="J52" s="1756"/>
      <x:c r="K52" s="1756"/>
      <x:c r="L52" s="1756"/>
      <x:c r="M52" s="814"/>
    </x:row>
    <x:row r="53" spans="1:18" ht="12.75" customHeight="1">
      <x:c r="A53" s="812" t="s">
        <x:v>11</x:v>
      </x:c>
      <x:c r="B53" s="810" t="s">
        <x:v>491</x:v>
      </x:c>
      <x:c r="C53" s="850"/>
      <x:c r="D53" s="850"/>
      <x:c r="E53" s="850"/>
      <x:c r="F53" s="850"/>
      <x:c r="G53" s="850"/>
      <x:c r="H53" s="850"/>
      <x:c r="I53" s="850"/>
      <x:c r="J53" s="850"/>
      <x:c r="K53" s="850"/>
      <x:c r="L53" s="850"/>
    </x:row>
    <x:row r="54" spans="1:18">
      <x:c r="A54" s="812"/>
      <x:c r="B54" s="851" t="s">
        <x:v>2192</x:v>
      </x:c>
      <x:c r="C54" s="852"/>
      <x:c r="D54" s="852"/>
      <x:c r="E54" s="852"/>
      <x:c r="F54" s="852"/>
      <x:c r="G54" s="852"/>
      <x:c r="H54" s="852"/>
      <x:c r="I54" s="852"/>
      <x:c r="J54" s="852"/>
      <x:c r="K54" s="852"/>
      <x:c r="L54" s="852"/>
    </x:row>
    <x:row r="55" spans="1:18">
      <x:c r="A55" s="812"/>
      <x:c r="B55" s="851" t="s">
        <x:v>2191</x:v>
      </x:c>
      <x:c r="C55" s="852"/>
      <x:c r="D55" s="852"/>
      <x:c r="E55" s="852"/>
      <x:c r="F55" s="852"/>
      <x:c r="G55" s="852"/>
      <x:c r="H55" s="852"/>
      <x:c r="I55" s="852"/>
      <x:c r="J55" s="852"/>
      <x:c r="K55" s="852"/>
      <x:c r="L55" s="852"/>
    </x:row>
    <x:row r="56" spans="1:18" ht="12.75" customHeight="1">
      <x:c r="A56" s="812" t="s">
        <x:v>14</x:v>
      </x:c>
      <x:c r="B56" s="810" t="s">
        <x:v>1505</x:v>
      </x:c>
    </x:row>
    <x:row r="57" spans="1:18" ht="12.75" customHeight="1">
      <x:c r="A57" s="812" t="s">
        <x:v>133</x:v>
      </x:c>
      <x:c r="B57" s="1749" t="s">
        <x:v>1511</x:v>
      </x:c>
      <x:c r="C57" s="1749"/>
      <x:c r="D57" s="1749"/>
      <x:c r="E57" s="1749"/>
      <x:c r="F57" s="1749"/>
      <x:c r="G57" s="1749"/>
      <x:c r="H57" s="1749"/>
      <x:c r="I57" s="1749"/>
      <x:c r="J57" s="1749"/>
      <x:c r="K57" s="1749"/>
      <x:c r="L57" s="1749"/>
    </x:row>
    <x:row r="58" spans="1:18">
      <x:c r="A58" s="812" t="s">
        <x:v>134</x:v>
      </x:c>
      <x:c r="B58" s="810" t="s">
        <x:v>493</x:v>
      </x:c>
    </x:row>
    <x:row r="59" spans="1:18">
      <x:c r="A59" s="812" t="s">
        <x:v>135</x:v>
      </x:c>
      <x:c r="B59" s="810" t="s">
        <x:v>1429</x:v>
      </x:c>
    </x:row>
    <x:row r="60" spans="1:18">
      <x:c r="A60" s="812" t="s">
        <x:v>492</x:v>
      </x:c>
      <x:c r="B60" s="810" t="s">
        <x:v>1067</x:v>
      </x:c>
    </x:row>
  </x:sheetData>
  <x:mergeCells count="11">
    <x:mergeCell ref="A1:M1"/>
    <x:mergeCell ref="A2:M2"/>
    <x:mergeCell ref="A3:M3"/>
    <x:mergeCell ref="B57:L57"/>
    <x:mergeCell ref="C6:E6"/>
    <x:mergeCell ref="F6:H6"/>
    <x:mergeCell ref="C28:J28"/>
    <x:mergeCell ref="B51:L51"/>
    <x:mergeCell ref="B52:L52"/>
    <x:mergeCell ref="I6:J6"/>
    <x:mergeCell ref="K6:M6"/>
  </x:mergeCells>
  <x:printOptions horizontalCentered="1"/>
  <x:pageMargins left="0.25" right="0.25" top="0.5" bottom="0.5" header="0.3" footer="0.3"/>
  <x:pageSetup scale="45" orientation="landscape" r:id="rId2"/>
  <x:ignoredErrors>
    <x:ignoredError sqref="K24:M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dimension ref="A1:P68"/>
  <x:sheetViews>
    <x:sheetView zoomScaleNormal="100" zoomScaleSheetLayoutView="100" workbookViewId="0">
      <x:pane xSplit="2" ySplit="3" topLeftCell="D4" activePane="bottomRight" state="frozen"/>
      <x:selection activeCell="M30" sqref="M30"/>
      <x:selection pane="topRight" activeCell="M30" sqref="M30"/>
      <x:selection pane="bottomLeft" activeCell="M30" sqref="M30"/>
      <x:selection pane="bottomRight" sqref="A1:N1"/>
    </x:sheetView>
  </x:sheetViews>
  <x:sheetFormatPr defaultColWidth="11.42578125" defaultRowHeight="12.75"/>
  <x:cols>
    <x:col min="1" max="1" width="6.28515625" style="809" customWidth="1"/>
    <x:col min="2" max="2" width="29.5703125" style="810" customWidth="1"/>
    <x:col min="3" max="6" width="20.5703125" style="810" customWidth="1"/>
    <x:col min="7" max="7" width="24.7109375" style="810" customWidth="1"/>
    <x:col min="8" max="14" width="20.5703125" style="810" customWidth="1"/>
    <x:col min="15" max="16" width="15.140625" style="810" customWidth="1"/>
    <x:col min="17" max="17" width="20.28515625" style="810" customWidth="1"/>
    <x:col min="18" max="16384" width="11.42578125" style="810"/>
  </x:cols>
  <x:sheetData>
    <x:row r="1" spans="1:16" s="1110" customFormat="1" ht="18">
      <x:c r="A1" s="1747" t="str">
        <x:f>+'ATT H-3D'!$A$4</x:f>
        <x:v>Delmarva Power &amp; Light Company</x:v>
      </x:c>
      <x:c r="B1" s="1747"/>
      <x:c r="C1" s="1747"/>
      <x:c r="D1" s="1747"/>
      <x:c r="E1" s="1747"/>
      <x:c r="F1" s="1747"/>
      <x:c r="G1" s="1747"/>
      <x:c r="H1" s="1747"/>
      <x:c r="I1" s="1747"/>
      <x:c r="J1" s="1747"/>
      <x:c r="K1" s="1747"/>
      <x:c r="L1" s="1747"/>
      <x:c r="M1" s="1747"/>
      <x:c r="N1" s="1747"/>
    </x:row>
    <x:row r="2" spans="1:16" s="1107" customFormat="1" ht="15.75">
      <x:c r="A2" s="1724" t="s">
        <x:v>507</x:v>
      </x:c>
      <x:c r="B2" s="1724"/>
      <x:c r="C2" s="1724"/>
      <x:c r="D2" s="1724"/>
      <x:c r="E2" s="1724"/>
      <x:c r="F2" s="1724"/>
      <x:c r="G2" s="1724"/>
      <x:c r="H2" s="1724"/>
      <x:c r="I2" s="1724"/>
      <x:c r="J2" s="1724"/>
      <x:c r="K2" s="1724"/>
      <x:c r="L2" s="1724"/>
      <x:c r="M2" s="1724"/>
      <x:c r="N2" s="1724"/>
      <x:c r="O2" s="1109"/>
    </x:row>
    <x:row r="3" spans="1:16" s="1107" customFormat="1" ht="15.75">
      <x:c r="A3" s="1748" t="s">
        <x:v>508</x:v>
      </x:c>
      <x:c r="B3" s="1748"/>
      <x:c r="C3" s="1748"/>
      <x:c r="D3" s="1748"/>
      <x:c r="E3" s="1748"/>
      <x:c r="F3" s="1748"/>
      <x:c r="G3" s="1748"/>
      <x:c r="H3" s="1748"/>
      <x:c r="I3" s="1748"/>
      <x:c r="J3" s="1748"/>
      <x:c r="K3" s="1748"/>
      <x:c r="L3" s="1748"/>
      <x:c r="M3" s="1748"/>
      <x:c r="N3" s="1748"/>
    </x:row>
    <x:row r="4" spans="1:16">
      <x:c r="A4" s="812"/>
      <x:c r="C4" s="811"/>
      <x:c r="D4" s="811"/>
      <x:c r="E4" s="853"/>
      <x:c r="F4" s="811"/>
      <x:c r="G4" s="811"/>
      <x:c r="H4" s="811"/>
      <x:c r="I4" s="672"/>
      <x:c r="J4" s="811"/>
      <x:c r="K4" s="811"/>
      <x:c r="L4" s="811"/>
      <x:c r="M4" s="811"/>
      <x:c r="P4" s="564"/>
    </x:row>
    <x:row r="5" spans="1:16" s="1298" customFormat="1" ht="13.5" thickBot="1">
      <x:c r="A5" s="1297"/>
      <x:c r="B5" s="1299"/>
      <x:c r="C5" s="1299"/>
      <x:c r="D5" s="1299"/>
      <x:c r="E5" s="1299"/>
      <x:c r="F5" s="1299"/>
      <x:c r="G5" s="1299"/>
      <x:c r="H5" s="1299"/>
      <x:c r="I5" s="1299"/>
      <x:c r="J5" s="1299"/>
      <x:c r="K5" s="1299"/>
      <x:c r="L5" s="1299"/>
      <x:c r="M5" s="1299"/>
    </x:row>
    <x:row r="6" spans="1:16" ht="13.5" thickBot="1">
      <x:c r="A6" s="812"/>
      <x:c r="B6" s="817" t="s">
        <x:v>743</x:v>
      </x:c>
      <x:c r="C6" s="1759" t="s">
        <x:v>1106</x:v>
      </x:c>
      <x:c r="D6" s="1762"/>
      <x:c r="E6" s="1762"/>
      <x:c r="F6" s="1763"/>
      <x:c r="G6" s="1759" t="s">
        <x:v>1120</x:v>
      </x:c>
      <x:c r="H6" s="1762"/>
      <x:c r="I6" s="1762"/>
      <x:c r="J6" s="1763"/>
      <x:c r="K6" s="1759" t="s">
        <x:v>1121</x:v>
      </x:c>
      <x:c r="L6" s="1762"/>
      <x:c r="M6" s="1762"/>
      <x:c r="N6" s="1763"/>
      <x:c r="P6" s="564"/>
    </x:row>
    <x:row r="7" spans="1:16" s="856" customFormat="1" ht="25.5">
      <x:c r="A7" s="854" t="s">
        <x:v>455</x:v>
      </x:c>
      <x:c r="B7" s="817" t="s">
        <x:v>158</x:v>
      </x:c>
      <x:c r="C7" s="817" t="s">
        <x:v>509</x:v>
      </x:c>
      <x:c r="D7" s="817" t="s">
        <x:v>206</x:v>
      </x:c>
      <x:c r="E7" s="817" t="s">
        <x:v>144</x:v>
      </x:c>
      <x:c r="F7" s="855" t="s">
        <x:v>456</x:v>
      </x:c>
      <x:c r="G7" s="817" t="s">
        <x:v>509</x:v>
      </x:c>
      <x:c r="H7" s="817" t="s">
        <x:v>206</x:v>
      </x:c>
      <x:c r="I7" s="817" t="s">
        <x:v>144</x:v>
      </x:c>
      <x:c r="J7" s="855" t="s">
        <x:v>456</x:v>
      </x:c>
      <x:c r="K7" s="817" t="s">
        <x:v>509</x:v>
      </x:c>
      <x:c r="L7" s="817" t="s">
        <x:v>206</x:v>
      </x:c>
      <x:c r="M7" s="817" t="s">
        <x:v>144</x:v>
      </x:c>
      <x:c r="N7" s="855" t="s">
        <x:v>456</x:v>
      </x:c>
      <x:c r="O7" s="811"/>
    </x:row>
    <x:row r="8" spans="1:16" s="826" customFormat="1">
      <x:c r="A8" s="812"/>
      <x:c r="B8" s="822" t="s">
        <x:v>460</x:v>
      </x:c>
      <x:c r="C8" s="822" t="s">
        <x:v>461</x:v>
      </x:c>
      <x:c r="D8" s="822" t="s">
        <x:v>462</x:v>
      </x:c>
      <x:c r="E8" s="817" t="s">
        <x:v>463</x:v>
      </x:c>
      <x:c r="F8" s="822" t="s">
        <x:v>464</x:v>
      </x:c>
      <x:c r="G8" s="822" t="s">
        <x:v>465</x:v>
      </x:c>
      <x:c r="H8" s="817" t="s">
        <x:v>466</x:v>
      </x:c>
      <x:c r="I8" s="822" t="s">
        <x:v>467</x:v>
      </x:c>
      <x:c r="J8" s="822" t="s">
        <x:v>468</x:v>
      </x:c>
      <x:c r="K8" s="817" t="s">
        <x:v>469</x:v>
      </x:c>
      <x:c r="L8" s="822" t="s">
        <x:v>470</x:v>
      </x:c>
      <x:c r="M8" s="817" t="s">
        <x:v>494</x:v>
      </x:c>
      <x:c r="N8" s="817" t="s">
        <x:v>697</x:v>
      </x:c>
      <x:c r="O8" s="811"/>
    </x:row>
    <x:row r="9" spans="1:16" s="826" customFormat="1">
      <x:c r="A9" s="812"/>
      <x:c r="B9" s="838" t="s">
        <x:v>1414</x:v>
      </x:c>
      <x:c r="C9" s="813"/>
      <x:c r="D9" s="813"/>
      <x:c r="E9" s="813"/>
      <x:c r="F9" s="825"/>
      <x:c r="G9" s="813"/>
      <x:c r="H9" s="813"/>
      <x:c r="I9" s="813"/>
      <x:c r="J9" s="825"/>
      <x:c r="K9" s="813"/>
      <x:c r="L9" s="813"/>
      <x:c r="M9" s="813"/>
      <x:c r="N9" s="825"/>
      <x:c r="O9" s="811"/>
    </x:row>
    <x:row r="10" spans="1:16" s="1111" customFormat="1" ht="103.15" customHeight="1">
      <x:c r="A10" s="812"/>
      <x:c r="B10" s="822"/>
      <x:c r="C10" s="841" t="s">
        <x:v>894</x:v>
      </x:c>
      <x:c r="D10" s="841" t="s">
        <x:v>1428</x:v>
      </x:c>
      <x:c r="E10" s="841" t="s">
        <x:v>1521</x:v>
      </x:c>
      <x:c r="F10" s="841" t="s">
        <x:v>1517</x:v>
      </x:c>
      <x:c r="G10" s="841" t="s">
        <x:v>895</x:v>
      </x:c>
      <x:c r="H10" s="841" t="s">
        <x:v>879</x:v>
      </x:c>
      <x:c r="I10" s="841" t="s">
        <x:v>1501</x:v>
      </x:c>
      <x:c r="J10" s="841" t="s">
        <x:v>471</x:v>
      </x:c>
      <x:c r="K10" s="841" t="s">
        <x:v>880</x:v>
      </x:c>
      <x:c r="L10" s="841" t="s">
        <x:v>881</x:v>
      </x:c>
      <x:c r="M10" s="841" t="s">
        <x:v>882</x:v>
      </x:c>
      <x:c r="N10" s="841" t="s">
        <x:v>883</x:v>
      </x:c>
      <x:c r="O10" s="813"/>
    </x:row>
    <x:row r="11" spans="1:16">
      <x:c r="A11" s="812">
        <x:v>1</x:v>
      </x:c>
      <x:c r="B11" s="827" t="s">
        <x:v>472</x:v>
      </x:c>
      <x:c r="C11" s="828">
        <x:v>6049451047</x:v>
      </x:c>
      <x:c r="D11" s="828">
        <x:v>2231457000</x:v>
      </x:c>
      <x:c r="E11" s="828">
        <x:v>471525818</x:v>
      </x:c>
      <x:c r="F11" s="828">
        <x:v>198619228</x:v>
      </x:c>
      <x:c r="G11" s="828">
        <x:v>5148955.5900000008</x:v>
      </x:c>
      <x:c r="H11" s="828"/>
      <x:c r="I11" s="828">
        <x:v>749938.62</x:v>
      </x:c>
      <x:c r="J11" s="828"/>
      <x:c r="K11" s="828">
        <x:f>+C11-G11</x:f>
        <x:v>6044302091.4099998</x:v>
      </x:c>
      <x:c r="L11" s="828">
        <x:f>+D11-H11</x:f>
        <x:v>2231457000</x:v>
      </x:c>
      <x:c r="M11" s="828">
        <x:f>+E11-I11</x:f>
        <x:v>470775879.38</x:v>
      </x:c>
      <x:c r="N11" s="828">
        <x:f>+F11-J11</x:f>
        <x:v>198619228</x:v>
      </x:c>
      <x:c r="P11" s="811"/>
    </x:row>
    <x:row r="12" spans="1:16">
      <x:c r="A12" s="812">
        <x:v>2</x:v>
      </x:c>
      <x:c r="B12" s="827" t="s">
        <x:v>473</x:v>
      </x:c>
      <x:c r="C12" s="828">
        <x:v>6071726781.5546522</x:v>
      </x:c>
      <x:c r="D12" s="828">
        <x:v>2232083428.084568</x:v>
      </x:c>
      <x:c r="E12" s="828">
        <x:v>473114983.05782533</x:v>
      </x:c>
      <x:c r="F12" s="828">
        <x:v>201236948.50229916</x:v>
      </x:c>
      <x:c r="G12" s="828">
        <x:v>5136354.33</x:v>
      </x:c>
      <x:c r="H12" s="828"/>
      <x:c r="I12" s="828">
        <x:v>749938.62</x:v>
      </x:c>
      <x:c r="J12" s="828"/>
      <x:c r="K12" s="828">
        <x:f t="shared" ref="K12:K23" si="0">+C12-G12</x:f>
        <x:v>6066590427.2246523</x:v>
      </x:c>
      <x:c r="L12" s="828">
        <x:f t="shared" ref="L12:L23" si="1">+D12-H12</x:f>
        <x:v>2232083428.084568</x:v>
      </x:c>
      <x:c r="M12" s="828">
        <x:f t="shared" ref="M12:M23" si="2">+E12-I12</x:f>
        <x:v>472365044.43782532</x:v>
      </x:c>
      <x:c r="N12" s="828">
        <x:f t="shared" ref="N12:N23" si="3">+F12-J12</x:f>
        <x:v>201236948.50229916</x:v>
      </x:c>
      <x:c r="O12" s="811"/>
      <x:c r="P12" s="811"/>
    </x:row>
    <x:row r="13" spans="1:16">
      <x:c r="A13" s="812">
        <x:v>3</x:v>
      </x:c>
      <x:c r="B13" s="811" t="s">
        <x:v>474</x:v>
      </x:c>
      <x:c r="C13" s="828">
        <x:v>6088923765.0846519</x:v>
      </x:c>
      <x:c r="D13" s="828">
        <x:v>2242380326.1545677</x:v>
      </x:c>
      <x:c r="E13" s="828">
        <x:v>379823824.84782529</x:v>
      </x:c>
      <x:c r="F13" s="828">
        <x:v>202055999.82332316</x:v>
      </x:c>
      <x:c r="G13" s="828">
        <x:v>4958165.9899999993</x:v>
      </x:c>
      <x:c r="H13" s="828"/>
      <x:c r="I13" s="828">
        <x:v>449610.99</x:v>
      </x:c>
      <x:c r="J13" s="828"/>
      <x:c r="K13" s="828">
        <x:f t="shared" si="0"/>
        <x:v>6083965599.0946522</x:v>
      </x:c>
      <x:c r="L13" s="828">
        <x:f t="shared" si="1"/>
        <x:v>2242380326.1545677</x:v>
      </x:c>
      <x:c r="M13" s="828">
        <x:f t="shared" si="2"/>
        <x:v>379374213.85782528</x:v>
      </x:c>
      <x:c r="N13" s="828">
        <x:f t="shared" si="3"/>
        <x:v>202055999.82332316</x:v>
      </x:c>
      <x:c r="O13" s="811"/>
      <x:c r="P13" s="811"/>
    </x:row>
    <x:row r="14" spans="1:16">
      <x:c r="A14" s="812">
        <x:v>4</x:v>
      </x:c>
      <x:c r="B14" s="811" t="s">
        <x:v>475</x:v>
      </x:c>
      <x:c r="C14" s="828">
        <x:v>6103507123.0546532</x:v>
      </x:c>
      <x:c r="D14" s="828">
        <x:v>2244381487.3695478</x:v>
      </x:c>
      <x:c r="E14" s="828">
        <x:v>380226120.51782531</x:v>
      </x:c>
      <x:c r="F14" s="828">
        <x:v>205398075.23260117</x:v>
      </x:c>
      <x:c r="G14" s="828">
        <x:v>5119438.5500000007</x:v>
      </x:c>
      <x:c r="H14" s="828"/>
      <x:c r="I14" s="828">
        <x:v>749938.62</x:v>
      </x:c>
      <x:c r="J14" s="828"/>
      <x:c r="K14" s="828">
        <x:f t="shared" si="0"/>
        <x:v>6098387684.504653</x:v>
      </x:c>
      <x:c r="L14" s="828">
        <x:f t="shared" si="1"/>
        <x:v>2244381487.3695478</x:v>
      </x:c>
      <x:c r="M14" s="828">
        <x:f t="shared" si="2"/>
        <x:v>379476181.8978253</x:v>
      </x:c>
      <x:c r="N14" s="828">
        <x:f t="shared" si="3"/>
        <x:v>205398075.23260117</x:v>
      </x:c>
      <x:c r="O14" s="811"/>
      <x:c r="P14" s="811"/>
    </x:row>
    <x:row r="15" spans="1:16">
      <x:c r="A15" s="812">
        <x:v>5</x:v>
      </x:c>
      <x:c r="B15" s="811" t="s">
        <x:v>160</x:v>
      </x:c>
      <x:c r="C15" s="828">
        <x:v>6153641009.1163635</x:v>
      </x:c>
      <x:c r="D15" s="828">
        <x:v>2249930029.7758145</x:v>
      </x:c>
      <x:c r="E15" s="828">
        <x:v>382567037.12320882</x:v>
      </x:c>
      <x:c r="F15" s="828">
        <x:v>211374726.03129417</x:v>
      </x:c>
      <x:c r="G15" s="828">
        <x:v>5119438.5500000007</x:v>
      </x:c>
      <x:c r="H15" s="828"/>
      <x:c r="I15" s="828">
        <x:v>749938.62</x:v>
      </x:c>
      <x:c r="J15" s="828"/>
      <x:c r="K15" s="828">
        <x:f t="shared" si="0"/>
        <x:v>6148521570.5663633</x:v>
      </x:c>
      <x:c r="L15" s="828">
        <x:f t="shared" si="1"/>
        <x:v>2249930029.7758145</x:v>
      </x:c>
      <x:c r="M15" s="828">
        <x:f t="shared" si="2"/>
        <x:v>381817098.50320882</x:v>
      </x:c>
      <x:c r="N15" s="828">
        <x:f t="shared" si="3"/>
        <x:v>211374726.03129417</x:v>
      </x:c>
      <x:c r="O15" s="811"/>
      <x:c r="P15" s="811"/>
    </x:row>
    <x:row r="16" spans="1:16">
      <x:c r="A16" s="812">
        <x:v>6</x:v>
      </x:c>
      <x:c r="B16" s="811" t="s">
        <x:v>161</x:v>
      </x:c>
      <x:c r="C16" s="828">
        <x:v>6181943925.1106939</x:v>
      </x:c>
      <x:c r="D16" s="828">
        <x:v>2254705312.4313407</x:v>
      </x:c>
      <x:c r="E16" s="828">
        <x:v>383271834.93307561</x:v>
      </x:c>
      <x:c r="F16" s="828">
        <x:v>215949558.12590653</x:v>
      </x:c>
      <x:c r="G16" s="828">
        <x:v>5119438.5500000007</x:v>
      </x:c>
      <x:c r="H16" s="828"/>
      <x:c r="I16" s="828">
        <x:v>749938.62</x:v>
      </x:c>
      <x:c r="J16" s="828"/>
      <x:c r="K16" s="828">
        <x:f t="shared" si="0"/>
        <x:v>6176824486.5606937</x:v>
      </x:c>
      <x:c r="L16" s="828">
        <x:f t="shared" si="1"/>
        <x:v>2254705312.4313407</x:v>
      </x:c>
      <x:c r="M16" s="828">
        <x:f t="shared" si="2"/>
        <x:v>382521896.3130756</x:v>
      </x:c>
      <x:c r="N16" s="828">
        <x:f t="shared" si="3"/>
        <x:v>215949558.12590653</x:v>
      </x:c>
      <x:c r="O16" s="811"/>
      <x:c r="P16" s="811"/>
    </x:row>
    <x:row r="17" spans="1:16">
      <x:c r="A17" s="812">
        <x:v>7</x:v>
      </x:c>
      <x:c r="B17" s="811" t="s">
        <x:v>162</x:v>
      </x:c>
      <x:c r="C17" s="828">
        <x:v>6216767467.3166857</x:v>
      </x:c>
      <x:c r="D17" s="828">
        <x:v>2263571021.8838201</x:v>
      </x:c>
      <x:c r="E17" s="828">
        <x:v>384266009.2358464</x:v>
      </x:c>
      <x:c r="F17" s="828">
        <x:v>221859692.76900211</x:v>
      </x:c>
      <x:c r="G17" s="828">
        <x:v>5119438.5500000007</x:v>
      </x:c>
      <x:c r="H17" s="828"/>
      <x:c r="I17" s="828">
        <x:v>749938.62</x:v>
      </x:c>
      <x:c r="J17" s="828"/>
      <x:c r="K17" s="828">
        <x:f t="shared" si="0"/>
        <x:v>6211648028.7666855</x:v>
      </x:c>
      <x:c r="L17" s="828">
        <x:f t="shared" si="1"/>
        <x:v>2263571021.8838201</x:v>
      </x:c>
      <x:c r="M17" s="828">
        <x:f t="shared" si="2"/>
        <x:v>383516070.6158464</x:v>
      </x:c>
      <x:c r="N17" s="828">
        <x:f t="shared" si="3"/>
        <x:v>221859692.76900211</x:v>
      </x:c>
      <x:c r="O17" s="811"/>
      <x:c r="P17" s="811"/>
    </x:row>
    <x:row r="18" spans="1:16">
      <x:c r="A18" s="812">
        <x:v>8</x:v>
      </x:c>
      <x:c r="B18" s="811" t="s">
        <x:v>476</x:v>
      </x:c>
      <x:c r="C18" s="828">
        <x:v>6249674507.9230871</x:v>
      </x:c>
      <x:c r="D18" s="828">
        <x:v>2275754823.9812341</x:v>
      </x:c>
      <x:c r="E18" s="828">
        <x:v>384996306.56408519</x:v>
      </x:c>
      <x:c r="F18" s="828">
        <x:v>223770549.0558708</x:v>
      </x:c>
      <x:c r="G18" s="828">
        <x:v>5119438.5500000007</x:v>
      </x:c>
      <x:c r="H18" s="828"/>
      <x:c r="I18" s="828">
        <x:v>749938.62</x:v>
      </x:c>
      <x:c r="J18" s="828"/>
      <x:c r="K18" s="828">
        <x:f t="shared" si="0"/>
        <x:v>6244555069.3730869</x:v>
      </x:c>
      <x:c r="L18" s="828">
        <x:f t="shared" si="1"/>
        <x:v>2275754823.9812341</x:v>
      </x:c>
      <x:c r="M18" s="828">
        <x:f t="shared" si="2"/>
        <x:v>384246367.94408518</x:v>
      </x:c>
      <x:c r="N18" s="828">
        <x:f t="shared" si="3"/>
        <x:v>223770549.0558708</x:v>
      </x:c>
      <x:c r="O18" s="811"/>
      <x:c r="P18" s="811"/>
    </x:row>
    <x:row r="19" spans="1:16">
      <x:c r="A19" s="812">
        <x:v>9</x:v>
      </x:c>
      <x:c r="B19" s="811" t="s">
        <x:v>477</x:v>
      </x:c>
      <x:c r="C19" s="828">
        <x:v>6274947449.1201248</x:v>
      </x:c>
      <x:c r="D19" s="828">
        <x:v>2281192281.5533547</x:v>
      </x:c>
      <x:c r="E19" s="828">
        <x:v>385674419.87266499</x:v>
      </x:c>
      <x:c r="F19" s="828">
        <x:v>224959980.51952848</x:v>
      </x:c>
      <x:c r="G19" s="828">
        <x:v>5119438.5500000007</x:v>
      </x:c>
      <x:c r="H19" s="828"/>
      <x:c r="I19" s="828">
        <x:v>749938.62</x:v>
      </x:c>
      <x:c r="J19" s="828"/>
      <x:c r="K19" s="828">
        <x:f t="shared" si="0"/>
        <x:v>6269828010.5701246</x:v>
      </x:c>
      <x:c r="L19" s="828">
        <x:f t="shared" si="1"/>
        <x:v>2281192281.5533547</x:v>
      </x:c>
      <x:c r="M19" s="828">
        <x:f t="shared" si="2"/>
        <x:v>384924481.25266498</x:v>
      </x:c>
      <x:c r="N19" s="828">
        <x:f t="shared" si="3"/>
        <x:v>224959980.51952848</x:v>
      </x:c>
      <x:c r="O19" s="811"/>
      <x:c r="P19" s="811"/>
    </x:row>
    <x:row r="20" spans="1:16">
      <x:c r="A20" s="812">
        <x:v>10</x:v>
      </x:c>
      <x:c r="B20" s="811" t="s">
        <x:v>478</x:v>
      </x:c>
      <x:c r="C20" s="828">
        <x:v>6300485560.6373472</x:v>
      </x:c>
      <x:c r="D20" s="828">
        <x:v>2287435468.4499707</x:v>
      </x:c>
      <x:c r="E20" s="828">
        <x:v>386593362.63843971</x:v>
      </x:c>
      <x:c r="F20" s="828">
        <x:v>227524264.86130846</x:v>
      </x:c>
      <x:c r="G20" s="828">
        <x:v>5119438.5500000007</x:v>
      </x:c>
      <x:c r="H20" s="828"/>
      <x:c r="I20" s="828">
        <x:v>749938.62</x:v>
      </x:c>
      <x:c r="J20" s="828"/>
      <x:c r="K20" s="828">
        <x:f t="shared" si="0"/>
        <x:v>6295366122.087347</x:v>
      </x:c>
      <x:c r="L20" s="828">
        <x:f t="shared" si="1"/>
        <x:v>2287435468.4499707</x:v>
      </x:c>
      <x:c r="M20" s="828">
        <x:f t="shared" si="2"/>
        <x:v>385843424.01843971</x:v>
      </x:c>
      <x:c r="N20" s="828">
        <x:f t="shared" si="3"/>
        <x:v>227524264.86130846</x:v>
      </x:c>
      <x:c r="O20" s="811"/>
      <x:c r="P20" s="811"/>
    </x:row>
    <x:row r="21" spans="1:16">
      <x:c r="A21" s="812">
        <x:v>11</x:v>
      </x:c>
      <x:c r="B21" s="811" t="s">
        <x:v>479</x:v>
      </x:c>
      <x:c r="C21" s="828">
        <x:v>6323480084.1058741</x:v>
      </x:c>
      <x:c r="D21" s="828">
        <x:v>2292628398.8138847</x:v>
      </x:c>
      <x:c r="E21" s="828">
        <x:v>387333807.9547469</x:v>
      </x:c>
      <x:c r="F21" s="828">
        <x:v>228893603.45980415</x:v>
      </x:c>
      <x:c r="G21" s="828">
        <x:v>5119438.5500000007</x:v>
      </x:c>
      <x:c r="H21" s="828"/>
      <x:c r="I21" s="828">
        <x:v>749938.62</x:v>
      </x:c>
      <x:c r="J21" s="828"/>
      <x:c r="K21" s="828">
        <x:f t="shared" si="0"/>
        <x:v>6318360645.5558739</x:v>
      </x:c>
      <x:c r="L21" s="828">
        <x:f t="shared" si="1"/>
        <x:v>2292628398.8138847</x:v>
      </x:c>
      <x:c r="M21" s="828">
        <x:f t="shared" si="2"/>
        <x:v>386583869.3347469</x:v>
      </x:c>
      <x:c r="N21" s="828">
        <x:f t="shared" si="3"/>
        <x:v>228893603.45980415</x:v>
      </x:c>
      <x:c r="O21" s="811"/>
      <x:c r="P21" s="811"/>
    </x:row>
    <x:row r="22" spans="1:16">
      <x:c r="A22" s="812">
        <x:v>12</x:v>
      </x:c>
      <x:c r="B22" s="811" t="s">
        <x:v>480</x:v>
      </x:c>
      <x:c r="C22" s="828">
        <x:v>6347578316.8911304</x:v>
      </x:c>
      <x:c r="D22" s="828">
        <x:v>2300159776.3725185</x:v>
      </x:c>
      <x:c r="E22" s="828">
        <x:v>389503480.57144952</x:v>
      </x:c>
      <x:c r="F22" s="828">
        <x:v>238975365.77268156</x:v>
      </x:c>
      <x:c r="G22" s="828">
        <x:v>5119438.5500000007</x:v>
      </x:c>
      <x:c r="H22" s="828"/>
      <x:c r="I22" s="828">
        <x:v>749938.62</x:v>
      </x:c>
      <x:c r="J22" s="828"/>
      <x:c r="K22" s="828">
        <x:f t="shared" si="0"/>
        <x:v>6342458878.3411303</x:v>
      </x:c>
      <x:c r="L22" s="828">
        <x:f t="shared" si="1"/>
        <x:v>2300159776.3725185</x:v>
      </x:c>
      <x:c r="M22" s="828">
        <x:f t="shared" si="2"/>
        <x:v>388753541.95144951</x:v>
      </x:c>
      <x:c r="N22" s="828">
        <x:f t="shared" si="3"/>
        <x:v>238975365.77268156</x:v>
      </x:c>
      <x:c r="O22" s="811"/>
      <x:c r="P22" s="811"/>
    </x:row>
    <x:row r="23" spans="1:16">
      <x:c r="A23" s="812">
        <x:v>13</x:v>
      </x:c>
      <x:c r="B23" s="811" t="s">
        <x:v>481</x:v>
      </x:c>
      <x:c r="C23" s="828">
        <x:v>6378772197.4676085</x:v>
      </x:c>
      <x:c r="D23" s="828">
        <x:v>2320095327.297183</x:v>
      </x:c>
      <x:c r="E23" s="828">
        <x:v>393594052.15568155</x:v>
      </x:c>
      <x:c r="F23" s="828">
        <x:v>248426689.49631014</x:v>
      </x:c>
      <x:c r="G23" s="828">
        <x:v>5119438.5500000007</x:v>
      </x:c>
      <x:c r="H23" s="828"/>
      <x:c r="I23" s="828">
        <x:v>749938.62</x:v>
      </x:c>
      <x:c r="J23" s="828"/>
      <x:c r="K23" s="828">
        <x:f t="shared" si="0"/>
        <x:v>6373652758.9176083</x:v>
      </x:c>
      <x:c r="L23" s="828">
        <x:f t="shared" si="1"/>
        <x:v>2320095327.297183</x:v>
      </x:c>
      <x:c r="M23" s="828">
        <x:f t="shared" si="2"/>
        <x:v>392844113.53568155</x:v>
      </x:c>
      <x:c r="N23" s="828">
        <x:f t="shared" si="3"/>
        <x:v>248426689.49631014</x:v>
      </x:c>
      <x:c r="O23" s="811"/>
      <x:c r="P23" s="811"/>
    </x:row>
    <x:row r="24" spans="1:16" ht="13.5" thickBot="1">
      <x:c r="A24" s="812">
        <x:v>14</x:v>
      </x:c>
      <x:c r="B24" s="583" t="s">
        <x:v>482</x:v>
      </x:c>
      <x:c r="C24" s="831">
        <x:f t="shared" ref="C24:J24" si="4">SUM(C11:C23)/13</x:f>
        <x:v>6210838402.6448364</x:v>
      </x:c>
      <x:c r="D24" s="831">
        <x:f t="shared" si="4"/>
        <x:v>2267367283.2436771</x:v>
      </x:c>
      <x:c r="E24" s="831">
        <x:f t="shared" si="4"/>
        <x:v>398653158.26712883</x:v>
      </x:c>
      <x:c r="F24" s="831">
        <x:f t="shared" si="4"/>
        <x:v>219157283.20384076</x:v>
      </x:c>
      <x:c r="G24" s="831">
        <x:f t="shared" si="4"/>
        <x:v>5110604.7238461524</x:v>
      </x:c>
      <x:c r="H24" s="831">
        <x:f t="shared" si="4"/>
        <x:v>0</x:v>
      </x:c>
      <x:c r="I24" s="831">
        <x:f t="shared" si="4"/>
        <x:v>726836.49461538461</x:v>
      </x:c>
      <x:c r="J24" s="831">
        <x:f t="shared" si="4"/>
        <x:v>0</x:v>
      </x:c>
      <x:c r="K24" s="831">
        <x:f t="shared" ref="K24:N24" si="5">SUM(K11:K23)/13</x:f>
        <x:v>6205727797.920989</x:v>
      </x:c>
      <x:c r="L24" s="831">
        <x:f t="shared" si="5"/>
        <x:v>2267367283.2436771</x:v>
      </x:c>
      <x:c r="M24" s="831">
        <x:f t="shared" si="5"/>
        <x:v>397926321.77251345</x:v>
      </x:c>
      <x:c r="N24" s="831">
        <x:f t="shared" si="5"/>
        <x:v>219157283.20384076</x:v>
      </x:c>
      <x:c r="O24" s="811"/>
    </x:row>
    <x:row r="25" spans="1:16" ht="14.25" thickTop="1" thickBot="1">
      <x:c r="A25" s="812"/>
      <x:c r="B25" s="811"/>
      <x:c r="C25" s="832"/>
      <x:c r="D25" s="832"/>
      <x:c r="E25" s="833"/>
      <x:c r="F25" s="833"/>
      <x:c r="G25" s="811"/>
      <x:c r="H25" s="811"/>
      <x:c r="I25" s="832"/>
      <x:c r="J25" s="832"/>
      <x:c r="K25" s="832"/>
      <x:c r="L25" s="832"/>
    </x:row>
    <x:row r="26" spans="1:16" s="818" customFormat="1" ht="15" thickBot="1">
      <x:c r="A26" s="816"/>
      <x:c r="B26" s="815"/>
      <x:c r="C26" s="1759" t="s">
        <x:v>1122</x:v>
      </x:c>
      <x:c r="D26" s="1762"/>
      <x:c r="E26" s="1762"/>
      <x:c r="F26" s="1762"/>
      <x:c r="G26" s="1764"/>
      <x:c r="H26" s="1761"/>
      <x:c r="I26" s="1759" t="s">
        <x:v>1120</x:v>
      </x:c>
      <x:c r="J26" s="1764"/>
      <x:c r="K26" s="1764"/>
      <x:c r="L26" s="1764"/>
      <x:c r="M26" s="1764"/>
      <x:c r="N26" s="1761"/>
    </x:row>
    <x:row r="27" spans="1:16" s="856" customFormat="1" ht="25.5">
      <x:c r="A27" s="854" t="s">
        <x:v>455</x:v>
      </x:c>
      <x:c r="B27" s="817" t="s">
        <x:v>158</x:v>
      </x:c>
      <x:c r="C27" s="817" t="s">
        <x:v>509</x:v>
      </x:c>
      <x:c r="D27" s="817" t="s">
        <x:v>206</x:v>
      </x:c>
      <x:c r="E27" s="817" t="s">
        <x:v>727</x:v>
      </x:c>
      <x:c r="F27" s="855" t="s">
        <x:v>728</x:v>
      </x:c>
      <x:c r="G27" s="855" t="s">
        <x:v>729</x:v>
      </x:c>
      <x:c r="H27" s="855" t="s">
        <x:v>730</x:v>
      </x:c>
      <x:c r="I27" s="817" t="s">
        <x:v>509</x:v>
      </x:c>
      <x:c r="J27" s="817" t="s">
        <x:v>206</x:v>
      </x:c>
      <x:c r="K27" s="817" t="s">
        <x:v>727</x:v>
      </x:c>
      <x:c r="L27" s="855" t="s">
        <x:v>728</x:v>
      </x:c>
      <x:c r="M27" s="855" t="s">
        <x:v>729</x:v>
      </x:c>
      <x:c r="N27" s="855" t="s">
        <x:v>730</x:v>
      </x:c>
    </x:row>
    <x:row r="28" spans="1:16" s="826" customFormat="1">
      <x:c r="A28" s="812"/>
      <x:c r="B28" s="822" t="s">
        <x:v>460</x:v>
      </x:c>
      <x:c r="C28" s="822" t="s">
        <x:v>461</x:v>
      </x:c>
      <x:c r="D28" s="822" t="s">
        <x:v>462</x:v>
      </x:c>
      <x:c r="E28" s="817" t="s">
        <x:v>463</x:v>
      </x:c>
      <x:c r="F28" s="822" t="s">
        <x:v>464</x:v>
      </x:c>
      <x:c r="G28" s="822" t="s">
        <x:v>465</x:v>
      </x:c>
      <x:c r="H28" s="817" t="s">
        <x:v>466</x:v>
      </x:c>
      <x:c r="I28" s="822" t="s">
        <x:v>467</x:v>
      </x:c>
      <x:c r="J28" s="822" t="s">
        <x:v>468</x:v>
      </x:c>
      <x:c r="K28" s="817" t="s">
        <x:v>469</x:v>
      </x:c>
      <x:c r="L28" s="822" t="s">
        <x:v>470</x:v>
      </x:c>
      <x:c r="M28" s="817" t="s">
        <x:v>494</x:v>
      </x:c>
      <x:c r="N28" s="817" t="s">
        <x:v>697</x:v>
      </x:c>
      <x:c r="O28" s="811"/>
    </x:row>
    <x:row r="29" spans="1:16" s="826" customFormat="1">
      <x:c r="A29" s="812"/>
      <x:c r="B29" s="838" t="s">
        <x:v>1414</x:v>
      </x:c>
      <x:c r="C29" s="857"/>
      <x:c r="D29" s="813"/>
      <x:c r="E29" s="813"/>
      <x:c r="G29" s="825"/>
      <x:c r="H29" s="825"/>
      <x:c r="I29" s="813"/>
      <x:c r="J29" s="813"/>
      <x:c r="K29" s="813"/>
      <x:c r="L29" s="825"/>
    </x:row>
    <x:row r="30" spans="1:16" s="1111" customFormat="1" ht="102">
      <x:c r="A30" s="812"/>
      <x:c r="B30" s="822"/>
      <x:c r="C30" s="841" t="s">
        <x:v>885</x:v>
      </x:c>
      <x:c r="D30" s="841" t="s">
        <x:v>884</x:v>
      </x:c>
      <x:c r="E30" s="841" t="s">
        <x:v>1522</x:v>
      </x:c>
      <x:c r="F30" s="553" t="s">
        <x:v>1523</x:v>
      </x:c>
      <x:c r="G30" s="841" t="s">
        <x:v>1524</x:v>
      </x:c>
      <x:c r="H30" s="841" t="s">
        <x:v>1524</x:v>
      </x:c>
      <x:c r="I30" s="841" t="s">
        <x:v>885</x:v>
      </x:c>
      <x:c r="J30" s="841" t="s">
        <x:v>884</x:v>
      </x:c>
      <x:c r="K30" s="841" t="s">
        <x:v>886</x:v>
      </x:c>
      <x:c r="L30" s="1181" t="s">
        <x:v>887</x:v>
      </x:c>
      <x:c r="M30" s="841" t="s">
        <x:v>471</x:v>
      </x:c>
      <x:c r="N30" s="841" t="s">
        <x:v>471</x:v>
      </x:c>
    </x:row>
    <x:row r="31" spans="1:16">
      <x:c r="A31" s="812">
        <x:v>15</x:v>
      </x:c>
      <x:c r="B31" s="827" t="s">
        <x:v>472</x:v>
      </x:c>
      <x:c r="C31" s="828">
        <x:v>1553688048</x:v>
      </x:c>
      <x:c r="D31" s="828">
        <x:v>569486572</x:v>
      </x:c>
      <x:c r="E31" s="828">
        <x:v>114099246</x:v>
      </x:c>
      <x:c r="F31" s="828">
        <x:v>55303238</x:v>
      </x:c>
      <x:c r="G31" s="828">
        <x:v>68815636</x:v>
      </x:c>
      <x:c r="H31" s="828">
        <x:v>49465082</x:v>
      </x:c>
      <x:c r="I31" s="828">
        <x:v>1892365.2000000002</x:v>
      </x:c>
      <x:c r="J31" s="828"/>
      <x:c r="K31" s="828">
        <x:v>537587.98</x:v>
      </x:c>
      <x:c r="L31" s="828">
        <x:v>0</x:v>
      </x:c>
      <x:c r="M31" s="828">
        <x:v>0</x:v>
      </x:c>
      <x:c r="N31" s="828">
        <x:v>0</x:v>
      </x:c>
      <x:c r="P31" s="811"/>
    </x:row>
    <x:row r="32" spans="1:16">
      <x:c r="A32" s="812">
        <x:v>16</x:v>
      </x:c>
      <x:c r="B32" s="827" t="s">
        <x:v>473</x:v>
      </x:c>
      <x:c r="C32" s="828">
        <x:v>1566973774.8499999</x:v>
      </x:c>
      <x:c r="D32" s="828">
        <x:v>574025378.27999997</x:v>
      </x:c>
      <x:c r="E32" s="828">
        <x:v>115708843.31000005</x:v>
      </x:c>
      <x:c r="F32" s="828">
        <x:v>56354788.75</x:v>
      </x:c>
      <x:c r="G32" s="828">
        <x:v>69077279.131072</x:v>
      </x:c>
      <x:c r="H32" s="828">
        <x:v>50122073.001295999</x:v>
      </x:c>
      <x:c r="I32" s="828">
        <x:v>1903298.1199999999</x:v>
      </x:c>
      <x:c r="J32" s="828"/>
      <x:c r="K32" s="828">
        <x:v>546772.98</x:v>
      </x:c>
      <x:c r="L32" s="828">
        <x:v>0</x:v>
      </x:c>
      <x:c r="M32" s="828">
        <x:v>0</x:v>
      </x:c>
      <x:c r="N32" s="828">
        <x:v>0</x:v>
      </x:c>
      <x:c r="P32" s="811"/>
    </x:row>
    <x:row r="33" spans="1:16">
      <x:c r="A33" s="812">
        <x:v>17</x:v>
      </x:c>
      <x:c r="B33" s="811" t="s">
        <x:v>474</x:v>
      </x:c>
      <x:c r="C33" s="828">
        <x:v>1627857097.1700001</x:v>
      </x:c>
      <x:c r="D33" s="828">
        <x:v>577116326.18000007</x:v>
      </x:c>
      <x:c r="E33" s="828">
        <x:v>166084779.76000005</x:v>
      </x:c>
      <x:c r="F33" s="828">
        <x:v>2581687.8300000057</x:v>
      </x:c>
      <x:c r="G33" s="828">
        <x:v>69451508.131306008</x:v>
      </x:c>
      <x:c r="H33" s="828">
        <x:v>50764160.750869997</x:v>
      </x:c>
      <x:c r="I33" s="828">
        <x:v>1922508.9600000002</x:v>
      </x:c>
      <x:c r="J33" s="828"/>
      <x:c r="K33" s="828">
        <x:v>555957.99</x:v>
      </x:c>
      <x:c r="L33" s="828">
        <x:v>0</x:v>
      </x:c>
      <x:c r="M33" s="828">
        <x:v>0</x:v>
      </x:c>
      <x:c r="N33" s="828">
        <x:v>0</x:v>
      </x:c>
      <x:c r="P33" s="811"/>
    </x:row>
    <x:row r="34" spans="1:16">
      <x:c r="A34" s="812">
        <x:v>18</x:v>
      </x:c>
      <x:c r="B34" s="811" t="s">
        <x:v>475</x:v>
      </x:c>
      <x:c r="C34" s="828">
        <x:v>1634884898.4299998</x:v>
      </x:c>
      <x:c r="D34" s="828">
        <x:v>582867182.91000009</x:v>
      </x:c>
      <x:c r="E34" s="828">
        <x:v>167590928.91000006</x:v>
      </x:c>
      <x:c r="F34" s="828">
        <x:v>2581687.8300000057</x:v>
      </x:c>
      <x:c r="G34" s="828">
        <x:v>69662176.300420001</x:v>
      </x:c>
      <x:c r="H34" s="828">
        <x:v>51399253.089829996</x:v>
      </x:c>
      <x:c r="I34" s="828">
        <x:v>1933450.72</x:v>
      </x:c>
      <x:c r="J34" s="828"/>
      <x:c r="K34" s="828">
        <x:v>565143</x:v>
      </x:c>
      <x:c r="L34" s="828">
        <x:v>0</x:v>
      </x:c>
      <x:c r="M34" s="828">
        <x:v>0</x:v>
      </x:c>
      <x:c r="N34" s="828">
        <x:v>0</x:v>
      </x:c>
      <x:c r="P34" s="811"/>
    </x:row>
    <x:row r="35" spans="1:16">
      <x:c r="A35" s="812">
        <x:v>19</x:v>
      </x:c>
      <x:c r="B35" s="811" t="s">
        <x:v>160</x:v>
      </x:c>
      <x:c r="C35" s="828">
        <x:v>1651489536.1555362</x:v>
      </x:c>
      <x:c r="D35" s="828">
        <x:v>588850871.57229447</x:v>
      </x:c>
      <x:c r="E35" s="828">
        <x:v>169325879.1347872</x:v>
      </x:c>
      <x:c r="F35" s="828">
        <x:v>2587640.3893424585</x:v>
      </x:c>
      <x:c r="G35" s="828">
        <x:v>69745483.162040144</x:v>
      </x:c>
      <x:c r="H35" s="828">
        <x:v>52033322.849312</x:v>
      </x:c>
      <x:c r="I35" s="828">
        <x:v>1933450.72</x:v>
      </x:c>
      <x:c r="J35" s="828"/>
      <x:c r="K35" s="828">
        <x:v>565143</x:v>
      </x:c>
      <x:c r="L35" s="828">
        <x:v>0</x:v>
      </x:c>
      <x:c r="M35" s="828">
        <x:v>0</x:v>
      </x:c>
      <x:c r="N35" s="828">
        <x:v>0</x:v>
      </x:c>
      <x:c r="P35" s="811"/>
    </x:row>
    <x:row r="36" spans="1:16" ht="13.5" customHeight="1">
      <x:c r="A36" s="812">
        <x:v>20</x:v>
      </x:c>
      <x:c r="B36" s="811" t="s">
        <x:v>161</x:v>
      </x:c>
      <x:c r="C36" s="828">
        <x:v>1666316789.6682525</x:v>
      </x:c>
      <x:c r="D36" s="828">
        <x:v>594144250.89976454</x:v>
      </x:c>
      <x:c r="E36" s="828">
        <x:v>171063725.8227821</x:v>
      </x:c>
      <x:c r="F36" s="828">
        <x:v>2610471.3945709681</x:v>
      </x:c>
      <x:c r="G36" s="828">
        <x:v>69835202.500687167</x:v>
      </x:c>
      <x:c r="H36" s="828">
        <x:v>52666789.879369996</x:v>
      </x:c>
      <x:c r="I36" s="828">
        <x:v>1933450.72</x:v>
      </x:c>
      <x:c r="J36" s="828"/>
      <x:c r="K36" s="828">
        <x:v>565143</x:v>
      </x:c>
      <x:c r="L36" s="828">
        <x:v>0</x:v>
      </x:c>
      <x:c r="M36" s="828">
        <x:v>0</x:v>
      </x:c>
      <x:c r="N36" s="828">
        <x:v>0</x:v>
      </x:c>
      <x:c r="P36" s="811"/>
    </x:row>
    <x:row r="37" spans="1:16">
      <x:c r="A37" s="812">
        <x:v>21</x:v>
      </x:c>
      <x:c r="B37" s="811" t="s">
        <x:v>162</x:v>
      </x:c>
      <x:c r="C37" s="828">
        <x:v>1680770656.4794505</x:v>
      </x:c>
      <x:c r="D37" s="828">
        <x:v>599621603.78751421</x:v>
      </x:c>
      <x:c r="E37" s="828">
        <x:v>172808763.53754368</x:v>
      </x:c>
      <x:c r="F37" s="828">
        <x:v>2681550.3213212481</x:v>
      </x:c>
      <x:c r="G37" s="828">
        <x:v>69808626.499763653</x:v>
      </x:c>
      <x:c r="H37" s="828">
        <x:v>53298434.717065997</x:v>
      </x:c>
      <x:c r="I37" s="828">
        <x:v>1933450.72</x:v>
      </x:c>
      <x:c r="J37" s="828"/>
      <x:c r="K37" s="828">
        <x:v>565143</x:v>
      </x:c>
      <x:c r="L37" s="828">
        <x:v>0</x:v>
      </x:c>
      <x:c r="M37" s="828">
        <x:v>0</x:v>
      </x:c>
      <x:c r="N37" s="828">
        <x:v>0</x:v>
      </x:c>
      <x:c r="P37" s="811"/>
    </x:row>
    <x:row r="38" spans="1:16">
      <x:c r="A38" s="812">
        <x:v>22</x:v>
      </x:c>
      <x:c r="B38" s="811" t="s">
        <x:v>476</x:v>
      </x:c>
      <x:c r="C38" s="828">
        <x:v>1695871667.6076171</x:v>
      </x:c>
      <x:c r="D38" s="828">
        <x:v>604916977.48137319</x:v>
      </x:c>
      <x:c r="E38" s="828">
        <x:v>174563650.45492926</x:v>
      </x:c>
      <x:c r="F38" s="828">
        <x:v>2798335.1904699341</x:v>
      </x:c>
      <x:c r="G38" s="828">
        <x:v>69939790.107911855</x:v>
      </x:c>
      <x:c r="H38" s="828">
        <x:v>53928860.083561994</x:v>
      </x:c>
      <x:c r="I38" s="828">
        <x:v>1933450.72</x:v>
      </x:c>
      <x:c r="J38" s="828"/>
      <x:c r="K38" s="828">
        <x:v>565143</x:v>
      </x:c>
      <x:c r="L38" s="828">
        <x:v>0</x:v>
      </x:c>
      <x:c r="M38" s="828">
        <x:v>0</x:v>
      </x:c>
      <x:c r="N38" s="828">
        <x:v>0</x:v>
      </x:c>
      <x:c r="P38" s="811"/>
    </x:row>
    <x:row r="39" spans="1:16">
      <x:c r="A39" s="812">
        <x:v>23</x:v>
      </x:c>
      <x:c r="B39" s="811" t="s">
        <x:v>477</x:v>
      </x:c>
      <x:c r="C39" s="828">
        <x:v>1711193103.8704741</x:v>
      </x:c>
      <x:c r="D39" s="828">
        <x:v>610556241.35464978</x:v>
      </x:c>
      <x:c r="E39" s="828">
        <x:v>176321832.82645893</x:v>
      </x:c>
      <x:c r="F39" s="828">
        <x:v>2925525.7372524883</x:v>
      </x:c>
      <x:c r="G39" s="828">
        <x:v>70077334.010388374</x:v>
      </x:c>
      <x:c r="H39" s="828">
        <x:v>54559285.450057998</x:v>
      </x:c>
      <x:c r="I39" s="828">
        <x:v>1933450.72</x:v>
      </x:c>
      <x:c r="J39" s="828"/>
      <x:c r="K39" s="828">
        <x:v>565143</x:v>
      </x:c>
      <x:c r="L39" s="828">
        <x:v>0</x:v>
      </x:c>
      <x:c r="M39" s="828">
        <x:v>0</x:v>
      </x:c>
      <x:c r="N39" s="828">
        <x:v>0</x:v>
      </x:c>
      <x:c r="P39" s="811"/>
    </x:row>
    <x:row r="40" spans="1:16">
      <x:c r="A40" s="812">
        <x:v>24</x:v>
      </x:c>
      <x:c r="B40" s="811" t="s">
        <x:v>478</x:v>
      </x:c>
      <x:c r="C40" s="828">
        <x:v>1726330486.0776384</x:v>
      </x:c>
      <x:c r="D40" s="828">
        <x:v>616223323.08009243</x:v>
      </x:c>
      <x:c r="E40" s="828">
        <x:v>178083698.91432843</x:v>
      </x:c>
      <x:c r="F40" s="828">
        <x:v>3069254.4878198653</x:v>
      </x:c>
      <x:c r="G40" s="828">
        <x:v>70088093.130403429</x:v>
      </x:c>
      <x:c r="H40" s="828">
        <x:v>55180489.879262</x:v>
      </x:c>
      <x:c r="I40" s="828">
        <x:v>1933450.72</x:v>
      </x:c>
      <x:c r="J40" s="828"/>
      <x:c r="K40" s="828">
        <x:v>565143</x:v>
      </x:c>
      <x:c r="L40" s="828">
        <x:v>0</x:v>
      </x:c>
      <x:c r="M40" s="828">
        <x:v>0</x:v>
      </x:c>
      <x:c r="N40" s="828">
        <x:v>0</x:v>
      </x:c>
      <x:c r="P40" s="811"/>
    </x:row>
    <x:row r="41" spans="1:16">
      <x:c r="A41" s="812">
        <x:v>25</x:v>
      </x:c>
      <x:c r="B41" s="811" t="s">
        <x:v>479</x:v>
      </x:c>
      <x:c r="C41" s="828">
        <x:v>1742200412.181006</x:v>
      </x:c>
      <x:c r="D41" s="828">
        <x:v>622101826.68268824</x:v>
      </x:c>
      <x:c r="E41" s="828">
        <x:v>179849564.71353954</x:v>
      </x:c>
      <x:c r="F41" s="828">
        <x:v>3229450.7048452902</x:v>
      </x:c>
      <x:c r="G41" s="828">
        <x:v>70240296.171705216</x:v>
      </x:c>
      <x:c r="H41" s="828">
        <x:v>55732868.684119999</x:v>
      </x:c>
      <x:c r="I41" s="828">
        <x:v>1933450.72</x:v>
      </x:c>
      <x:c r="J41" s="828"/>
      <x:c r="K41" s="828">
        <x:v>565143</x:v>
      </x:c>
      <x:c r="L41" s="828">
        <x:v>0</x:v>
      </x:c>
      <x:c r="M41" s="828">
        <x:v>0</x:v>
      </x:c>
      <x:c r="N41" s="828">
        <x:v>0</x:v>
      </x:c>
      <x:c r="P41" s="811"/>
    </x:row>
    <x:row r="42" spans="1:16">
      <x:c r="A42" s="812">
        <x:v>26</x:v>
      </x:c>
      <x:c r="B42" s="811" t="s">
        <x:v>480</x:v>
      </x:c>
      <x:c r="C42" s="828">
        <x:v>1758061540.4086435</x:v>
      </x:c>
      <x:c r="D42" s="828">
        <x:v>627902874.89759886</x:v>
      </x:c>
      <x:c r="E42" s="828">
        <x:v>181611360.74843341</x:v>
      </x:c>
      <x:c r="F42" s="828">
        <x:v>3476394.0093256943</x:v>
      </x:c>
      <x:c r="G42" s="828">
        <x:v>70388933.081002101</x:v>
      </x:c>
      <x:c r="H42" s="828">
        <x:v>56225510.188561998</x:v>
      </x:c>
      <x:c r="I42" s="828">
        <x:v>1933450.72</x:v>
      </x:c>
      <x:c r="J42" s="828"/>
      <x:c r="K42" s="828">
        <x:v>565143</x:v>
      </x:c>
      <x:c r="L42" s="828">
        <x:v>0</x:v>
      </x:c>
      <x:c r="M42" s="828">
        <x:v>0</x:v>
      </x:c>
      <x:c r="N42" s="828">
        <x:v>0</x:v>
      </x:c>
      <x:c r="P42" s="811"/>
    </x:row>
    <x:row r="43" spans="1:16">
      <x:c r="A43" s="812">
        <x:v>27</x:v>
      </x:c>
      <x:c r="B43" s="811" t="s">
        <x:v>481</x:v>
      </x:c>
      <x:c r="C43" s="828">
        <x:v>1769699176.5155566</x:v>
      </x:c>
      <x:c r="D43" s="828">
        <x:v>631400292.52075946</x:v>
      </x:c>
      <x:c r="E43" s="828">
        <x:v>183201574.78084639</x:v>
      </x:c>
      <x:c r="F43" s="828">
        <x:v>3841807.1708584134</x:v>
      </x:c>
      <x:c r="G43" s="828">
        <x:v>70401318.478665918</x:v>
      </x:c>
      <x:c r="H43" s="828">
        <x:v>56697809.500585996</x:v>
      </x:c>
      <x:c r="I43" s="828">
        <x:v>1933450.72</x:v>
      </x:c>
      <x:c r="J43" s="828"/>
      <x:c r="K43" s="828">
        <x:v>565143</x:v>
      </x:c>
      <x:c r="L43" s="828">
        <x:v>0</x:v>
      </x:c>
      <x:c r="M43" s="828">
        <x:v>0</x:v>
      </x:c>
      <x:c r="N43" s="828">
        <x:v>0</x:v>
      </x:c>
      <x:c r="P43" s="811"/>
    </x:row>
    <x:row r="44" spans="1:16" ht="13.5" thickBot="1">
      <x:c r="A44" s="812">
        <x:v>28</x:v>
      </x:c>
      <x:c r="B44" s="583" t="s">
        <x:v>482</x:v>
      </x:c>
      <x:c r="C44" s="831">
        <x:f t="shared" ref="C44:L44" si="6">SUM(C31:C43)/13</x:f>
        <x:v>1675795168.2626288</x:v>
      </x:c>
      <x:c r="D44" s="831">
        <x:f t="shared" si="6"/>
        <x:v>599939517.0497489</x:v>
      </x:c>
      <x:c r="E44" s="831">
        <x:f t="shared" si="6"/>
        <x:v>165408757.60874224</x:v>
      </x:c>
      <x:c r="F44" s="831">
        <x:f t="shared" si="6"/>
        <x:v>11080140.908908181</x:v>
      </x:c>
      <x:c r="G44" s="831">
        <x:f t="shared" si="6"/>
        <x:v>69810128.97733584</x:v>
      </x:c>
      <x:c r="H44" s="831">
        <x:f t="shared" si="6"/>
        <x:v>53236456.928761087</x:v>
      </x:c>
      <x:c r="I44" s="831">
        <x:f t="shared" si="6"/>
        <x:v>1927129.1907692305</x:v>
      </x:c>
      <x:c r="J44" s="831">
        <x:f t="shared" si="6"/>
        <x:v>0</x:v>
      </x:c>
      <x:c r="K44" s="831">
        <x:f t="shared" si="6"/>
        <x:v>560903.7653846154</x:v>
      </x:c>
      <x:c r="L44" s="831">
        <x:f t="shared" si="6"/>
        <x:v>0</x:v>
      </x:c>
      <x:c r="M44" s="831">
        <x:f t="shared" ref="M44:N44" si="7">SUM(M31:M43)/13</x:f>
        <x:v>0</x:v>
      </x:c>
      <x:c r="N44" s="831">
        <x:f t="shared" si="7"/>
        <x:v>0</x:v>
      </x:c>
    </x:row>
    <x:row r="45" spans="1:16" s="1298" customFormat="1" ht="14.25" thickTop="1" thickBot="1">
      <x:c r="A45" s="1297"/>
    </x:row>
    <x:row r="46" spans="1:16" s="818" customFormat="1" ht="15" thickBot="1">
      <x:c r="A46" s="858"/>
      <x:c r="C46" s="1759" t="s">
        <x:v>784</x:v>
      </x:c>
      <x:c r="D46" s="1760"/>
      <x:c r="E46" s="1760"/>
      <x:c r="F46" s="1760"/>
      <x:c r="G46" s="1760"/>
      <x:c r="H46" s="1761"/>
    </x:row>
    <x:row r="47" spans="1:16" ht="25.5">
      <x:c r="A47" s="819" t="s">
        <x:v>455</x:v>
      </x:c>
      <x:c r="B47" s="817" t="s">
        <x:v>158</x:v>
      </x:c>
      <x:c r="C47" s="817" t="s">
        <x:v>509</x:v>
      </x:c>
      <x:c r="D47" s="817" t="s">
        <x:v>206</x:v>
      </x:c>
      <x:c r="E47" s="817" t="s">
        <x:v>147</x:v>
      </x:c>
      <x:c r="F47" s="817" t="s">
        <x:v>337</x:v>
      </x:c>
      <x:c r="G47" s="820" t="s">
        <x:v>731</x:v>
      </x:c>
      <x:c r="H47" s="820" t="s">
        <x:v>732</x:v>
      </x:c>
    </x:row>
    <x:row r="48" spans="1:16">
      <x:c r="A48" s="816"/>
      <x:c r="B48" s="822" t="s">
        <x:v>460</x:v>
      </x:c>
      <x:c r="C48" s="822" t="s">
        <x:v>461</x:v>
      </x:c>
      <x:c r="D48" s="822" t="s">
        <x:v>462</x:v>
      </x:c>
      <x:c r="E48" s="817" t="s">
        <x:v>463</x:v>
      </x:c>
      <x:c r="F48" s="822" t="s">
        <x:v>464</x:v>
      </x:c>
      <x:c r="G48" s="822" t="s">
        <x:v>465</x:v>
      </x:c>
      <x:c r="H48" s="817" t="s">
        <x:v>466</x:v>
      </x:c>
    </x:row>
    <x:row r="49" spans="1:8">
      <x:c r="A49" s="816"/>
      <x:c r="B49" s="824" t="s">
        <x:v>1414</x:v>
      </x:c>
      <x:c r="C49" s="813">
        <x:v>9</x:v>
      </x:c>
      <x:c r="D49" s="813">
        <x:v>30</x:v>
      </x:c>
      <x:c r="E49" s="813">
        <x:v>31</x:v>
      </x:c>
      <x:c r="F49" s="813">
        <x:v>32</x:v>
      </x:c>
      <x:c r="G49" s="813">
        <x:v>12</x:v>
      </x:c>
      <x:c r="H49" s="813">
        <x:v>11</x:v>
      </x:c>
    </x:row>
    <x:row r="50" spans="1:8" s="846" customFormat="1">
      <x:c r="A50" s="816"/>
      <x:c r="B50" s="822"/>
      <x:c r="C50" s="841" t="s">
        <x:v>888</x:v>
      </x:c>
      <x:c r="D50" s="841" t="s">
        <x:v>889</x:v>
      </x:c>
      <x:c r="E50" s="841" t="s">
        <x:v>890</x:v>
      </x:c>
      <x:c r="F50" s="841" t="s">
        <x:v>891</x:v>
      </x:c>
      <x:c r="G50" s="841" t="s">
        <x:v>893</x:v>
      </x:c>
      <x:c r="H50" s="841" t="s">
        <x:v>892</x:v>
      </x:c>
    </x:row>
    <x:row r="51" spans="1:8">
      <x:c r="A51" s="816">
        <x:v>29</x:v>
      </x:c>
      <x:c r="B51" s="827" t="s">
        <x:v>472</x:v>
      </x:c>
      <x:c r="C51" s="828">
        <x:f t="shared" ref="C51:C63" si="8">+C31-I31</x:f>
        <x:v>1551795682.8</x:v>
      </x:c>
      <x:c r="D51" s="828">
        <x:f t="shared" ref="D51:D63" si="9">+D31-J31</x:f>
        <x:v>569486572</x:v>
      </x:c>
      <x:c r="E51" s="828">
        <x:f t="shared" ref="E51:E63" si="10">+E31-K31</x:f>
        <x:v>113561658.02</x:v>
      </x:c>
      <x:c r="F51" s="828">
        <x:f t="shared" ref="F51:F63" si="11">+F31-L31</x:f>
        <x:v>55303238</x:v>
      </x:c>
      <x:c r="G51" s="828">
        <x:f t="shared" ref="G51:H62" si="12">+G31-M31</x:f>
        <x:v>68815636</x:v>
      </x:c>
      <x:c r="H51" s="828">
        <x:f t="shared" si="12"/>
        <x:v>49465082</x:v>
      </x:c>
    </x:row>
    <x:row r="52" spans="1:8">
      <x:c r="A52" s="816">
        <x:v>30</x:v>
      </x:c>
      <x:c r="B52" s="827" t="s">
        <x:v>473</x:v>
      </x:c>
      <x:c r="C52" s="828">
        <x:f t="shared" si="8"/>
        <x:v>1565070476.73</x:v>
      </x:c>
      <x:c r="D52" s="828">
        <x:f t="shared" si="9"/>
        <x:v>574025378.27999997</x:v>
      </x:c>
      <x:c r="E52" s="828">
        <x:f t="shared" si="10"/>
        <x:v>115162070.33000004</x:v>
      </x:c>
      <x:c r="F52" s="828">
        <x:f t="shared" si="11"/>
        <x:v>56354788.75</x:v>
      </x:c>
      <x:c r="G52" s="828">
        <x:f t="shared" si="12"/>
        <x:v>69077279.131072</x:v>
      </x:c>
      <x:c r="H52" s="828">
        <x:f t="shared" si="12"/>
        <x:v>50122073.001295999</x:v>
      </x:c>
    </x:row>
    <x:row r="53" spans="1:8">
      <x:c r="A53" s="816">
        <x:v>31</x:v>
      </x:c>
      <x:c r="B53" s="811" t="s">
        <x:v>474</x:v>
      </x:c>
      <x:c r="C53" s="828">
        <x:f t="shared" si="8"/>
        <x:v>1625934588.21</x:v>
      </x:c>
      <x:c r="D53" s="828">
        <x:f t="shared" si="9"/>
        <x:v>577116326.18000007</x:v>
      </x:c>
      <x:c r="E53" s="828">
        <x:f t="shared" si="10"/>
        <x:v>165528821.77000004</x:v>
      </x:c>
      <x:c r="F53" s="828">
        <x:f t="shared" si="11"/>
        <x:v>2581687.8300000057</x:v>
      </x:c>
      <x:c r="G53" s="828">
        <x:f t="shared" si="12"/>
        <x:v>69451508.131306008</x:v>
      </x:c>
      <x:c r="H53" s="828">
        <x:f t="shared" si="12"/>
        <x:v>50764160.750869997</x:v>
      </x:c>
    </x:row>
    <x:row r="54" spans="1:8">
      <x:c r="A54" s="816">
        <x:v>32</x:v>
      </x:c>
      <x:c r="B54" s="811" t="s">
        <x:v>475</x:v>
      </x:c>
      <x:c r="C54" s="828">
        <x:f t="shared" si="8"/>
        <x:v>1632951447.7099998</x:v>
      </x:c>
      <x:c r="D54" s="828">
        <x:f t="shared" si="9"/>
        <x:v>582867182.91000009</x:v>
      </x:c>
      <x:c r="E54" s="828">
        <x:f t="shared" si="10"/>
        <x:v>167025785.91000006</x:v>
      </x:c>
      <x:c r="F54" s="828">
        <x:f t="shared" si="11"/>
        <x:v>2581687.8300000057</x:v>
      </x:c>
      <x:c r="G54" s="828">
        <x:f t="shared" si="12"/>
        <x:v>69662176.300420001</x:v>
      </x:c>
      <x:c r="H54" s="828">
        <x:f t="shared" si="12"/>
        <x:v>51399253.089829996</x:v>
      </x:c>
    </x:row>
    <x:row r="55" spans="1:8">
      <x:c r="A55" s="816">
        <x:v>33</x:v>
      </x:c>
      <x:c r="B55" s="811" t="s">
        <x:v>160</x:v>
      </x:c>
      <x:c r="C55" s="828">
        <x:f t="shared" si="8"/>
        <x:v>1649556085.4355361</x:v>
      </x:c>
      <x:c r="D55" s="828">
        <x:f t="shared" si="9"/>
        <x:v>588850871.57229447</x:v>
      </x:c>
      <x:c r="E55" s="828">
        <x:f t="shared" si="10"/>
        <x:v>168760736.1347872</x:v>
      </x:c>
      <x:c r="F55" s="828">
        <x:f t="shared" si="11"/>
        <x:v>2587640.3893424585</x:v>
      </x:c>
      <x:c r="G55" s="828">
        <x:f t="shared" si="12"/>
        <x:v>69745483.162040144</x:v>
      </x:c>
      <x:c r="H55" s="828">
        <x:f t="shared" si="12"/>
        <x:v>52033322.849312</x:v>
      </x:c>
    </x:row>
    <x:row r="56" spans="1:8">
      <x:c r="A56" s="816">
        <x:v>34</x:v>
      </x:c>
      <x:c r="B56" s="811" t="s">
        <x:v>161</x:v>
      </x:c>
      <x:c r="C56" s="828">
        <x:f t="shared" si="8"/>
        <x:v>1664383338.9482524</x:v>
      </x:c>
      <x:c r="D56" s="828">
        <x:f t="shared" si="9"/>
        <x:v>594144250.89976454</x:v>
      </x:c>
      <x:c r="E56" s="828">
        <x:f t="shared" si="10"/>
        <x:v>170498582.8227821</x:v>
      </x:c>
      <x:c r="F56" s="828">
        <x:f t="shared" si="11"/>
        <x:v>2610471.3945709681</x:v>
      </x:c>
      <x:c r="G56" s="828">
        <x:f t="shared" si="12"/>
        <x:v>69835202.500687167</x:v>
      </x:c>
      <x:c r="H56" s="828">
        <x:f t="shared" si="12"/>
        <x:v>52666789.879369996</x:v>
      </x:c>
    </x:row>
    <x:row r="57" spans="1:8">
      <x:c r="A57" s="816">
        <x:v>35</x:v>
      </x:c>
      <x:c r="B57" s="811" t="s">
        <x:v>162</x:v>
      </x:c>
      <x:c r="C57" s="828">
        <x:f t="shared" si="8"/>
        <x:v>1678837205.7594504</x:v>
      </x:c>
      <x:c r="D57" s="828">
        <x:f t="shared" si="9"/>
        <x:v>599621603.78751421</x:v>
      </x:c>
      <x:c r="E57" s="828">
        <x:f t="shared" si="10"/>
        <x:v>172243620.53754368</x:v>
      </x:c>
      <x:c r="F57" s="828">
        <x:f t="shared" si="11"/>
        <x:v>2681550.3213212481</x:v>
      </x:c>
      <x:c r="G57" s="828">
        <x:f t="shared" si="12"/>
        <x:v>69808626.499763653</x:v>
      </x:c>
      <x:c r="H57" s="828">
        <x:f t="shared" si="12"/>
        <x:v>53298434.717065997</x:v>
      </x:c>
    </x:row>
    <x:row r="58" spans="1:8">
      <x:c r="A58" s="816">
        <x:v>36</x:v>
      </x:c>
      <x:c r="B58" s="811" t="s">
        <x:v>476</x:v>
      </x:c>
      <x:c r="C58" s="828">
        <x:f t="shared" si="8"/>
        <x:v>1693938216.8876171</x:v>
      </x:c>
      <x:c r="D58" s="828">
        <x:f t="shared" si="9"/>
        <x:v>604916977.48137319</x:v>
      </x:c>
      <x:c r="E58" s="828">
        <x:f>+E38-K38</x:f>
        <x:v>173998507.45492926</x:v>
      </x:c>
      <x:c r="F58" s="828">
        <x:f t="shared" si="11"/>
        <x:v>2798335.1904699341</x:v>
      </x:c>
      <x:c r="G58" s="828">
        <x:f t="shared" si="12"/>
        <x:v>69939790.107911855</x:v>
      </x:c>
      <x:c r="H58" s="828">
        <x:f t="shared" si="12"/>
        <x:v>53928860.083561994</x:v>
      </x:c>
    </x:row>
    <x:row r="59" spans="1:8">
      <x:c r="A59" s="816">
        <x:v>37</x:v>
      </x:c>
      <x:c r="B59" s="811" t="s">
        <x:v>477</x:v>
      </x:c>
      <x:c r="C59" s="828">
        <x:f t="shared" si="8"/>
        <x:v>1709259653.1504741</x:v>
      </x:c>
      <x:c r="D59" s="828">
        <x:f t="shared" si="9"/>
        <x:v>610556241.35464978</x:v>
      </x:c>
      <x:c r="E59" s="828">
        <x:f>+E39-K39</x:f>
        <x:v>175756689.82645893</x:v>
      </x:c>
      <x:c r="F59" s="828">
        <x:f t="shared" si="11"/>
        <x:v>2925525.7372524883</x:v>
      </x:c>
      <x:c r="G59" s="828">
        <x:f t="shared" si="12"/>
        <x:v>70077334.010388374</x:v>
      </x:c>
      <x:c r="H59" s="828">
        <x:f t="shared" si="12"/>
        <x:v>54559285.450057998</x:v>
      </x:c>
    </x:row>
    <x:row r="60" spans="1:8">
      <x:c r="A60" s="816">
        <x:v>38</x:v>
      </x:c>
      <x:c r="B60" s="811" t="s">
        <x:v>478</x:v>
      </x:c>
      <x:c r="C60" s="828">
        <x:f t="shared" si="8"/>
        <x:v>1724397035.3576384</x:v>
      </x:c>
      <x:c r="D60" s="828">
        <x:f t="shared" si="9"/>
        <x:v>616223323.08009243</x:v>
      </x:c>
      <x:c r="E60" s="828">
        <x:f>+E40-K40</x:f>
        <x:v>177518555.91432843</x:v>
      </x:c>
      <x:c r="F60" s="828">
        <x:f t="shared" si="11"/>
        <x:v>3069254.4878198653</x:v>
      </x:c>
      <x:c r="G60" s="828">
        <x:f t="shared" si="12"/>
        <x:v>70088093.130403429</x:v>
      </x:c>
      <x:c r="H60" s="828">
        <x:f t="shared" si="12"/>
        <x:v>55180489.879262</x:v>
      </x:c>
    </x:row>
    <x:row r="61" spans="1:8">
      <x:c r="A61" s="816">
        <x:v>39</x:v>
      </x:c>
      <x:c r="B61" s="811" t="s">
        <x:v>479</x:v>
      </x:c>
      <x:c r="C61" s="828">
        <x:f t="shared" si="8"/>
        <x:v>1740266961.4610059</x:v>
      </x:c>
      <x:c r="D61" s="828">
        <x:f t="shared" si="9"/>
        <x:v>622101826.68268824</x:v>
      </x:c>
      <x:c r="E61" s="828">
        <x:f t="shared" si="10"/>
        <x:v>179284421.71353954</x:v>
      </x:c>
      <x:c r="F61" s="828">
        <x:f t="shared" si="11"/>
        <x:v>3229450.7048452902</x:v>
      </x:c>
      <x:c r="G61" s="828">
        <x:f t="shared" si="12"/>
        <x:v>70240296.171705216</x:v>
      </x:c>
      <x:c r="H61" s="828">
        <x:f t="shared" si="12"/>
        <x:v>55732868.684119999</x:v>
      </x:c>
    </x:row>
    <x:row r="62" spans="1:8">
      <x:c r="A62" s="816">
        <x:v>40</x:v>
      </x:c>
      <x:c r="B62" s="811" t="s">
        <x:v>480</x:v>
      </x:c>
      <x:c r="C62" s="828">
        <x:f t="shared" si="8"/>
        <x:v>1756128089.6886435</x:v>
      </x:c>
      <x:c r="D62" s="828">
        <x:f t="shared" si="9"/>
        <x:v>627902874.89759886</x:v>
      </x:c>
      <x:c r="E62" s="828">
        <x:f t="shared" si="10"/>
        <x:v>181046217.74843341</x:v>
      </x:c>
      <x:c r="F62" s="828">
        <x:f t="shared" si="11"/>
        <x:v>3476394.0093256943</x:v>
      </x:c>
      <x:c r="G62" s="828">
        <x:f t="shared" si="12"/>
        <x:v>70388933.081002101</x:v>
      </x:c>
      <x:c r="H62" s="828">
        <x:f t="shared" si="12"/>
        <x:v>56225510.188561998</x:v>
      </x:c>
    </x:row>
    <x:row r="63" spans="1:8">
      <x:c r="A63" s="816">
        <x:v>41</x:v>
      </x:c>
      <x:c r="B63" s="811" t="s">
        <x:v>481</x:v>
      </x:c>
      <x:c r="C63" s="828">
        <x:f t="shared" si="8"/>
        <x:v>1767765725.7955565</x:v>
      </x:c>
      <x:c r="D63" s="828">
        <x:f t="shared" si="9"/>
        <x:v>631400292.52075946</x:v>
      </x:c>
      <x:c r="E63" s="828">
        <x:f t="shared" si="10"/>
        <x:v>182636431.78084639</x:v>
      </x:c>
      <x:c r="F63" s="828">
        <x:f t="shared" si="11"/>
        <x:v>3841807.1708584134</x:v>
      </x:c>
      <x:c r="G63" s="828">
        <x:f t="shared" ref="G63" si="13">+G43-M43</x:f>
        <x:v>70401318.478665918</x:v>
      </x:c>
      <x:c r="H63" s="828">
        <x:f t="shared" ref="H63" si="14">+H43-N43</x:f>
        <x:v>56697809.500585996</x:v>
      </x:c>
    </x:row>
    <x:row r="64" spans="1:8" ht="13.5" thickBot="1">
      <x:c r="A64" s="816">
        <x:v>42</x:v>
      </x:c>
      <x:c r="B64" s="583" t="s">
        <x:v>482</x:v>
      </x:c>
      <x:c r="C64" s="831">
        <x:f t="shared" ref="C64:F64" si="15">SUM(C51:C63)/13</x:f>
        <x:v>1673868039.0718596</x:v>
      </x:c>
      <x:c r="D64" s="831">
        <x:f t="shared" si="15"/>
        <x:v>599939517.0497489</x:v>
      </x:c>
      <x:c r="E64" s="831">
        <x:f t="shared" si="15"/>
        <x:v>164847853.84335759</x:v>
      </x:c>
      <x:c r="F64" s="831">
        <x:f t="shared" si="15"/>
        <x:v>11080140.908908181</x:v>
      </x:c>
      <x:c r="G64" s="831">
        <x:f t="shared" ref="G64:H64" si="16">SUM(G51:G63)/13</x:f>
        <x:v>69810128.97733584</x:v>
      </x:c>
      <x:c r="H64" s="831">
        <x:f t="shared" si="16"/>
        <x:v>53236456.928761087</x:v>
      </x:c>
    </x:row>
    <x:row r="65" spans="1:8" ht="13.5" thickTop="1">
      <x:c r="A65" s="816"/>
      <x:c r="B65" s="583"/>
      <x:c r="C65" s="602"/>
      <x:c r="D65" s="602"/>
      <x:c r="E65" s="602"/>
      <x:c r="F65" s="602"/>
      <x:c r="G65" s="602"/>
      <x:c r="H65" s="602"/>
    </x:row>
    <x:row r="67" spans="1:8">
      <x:c r="A67" s="812" t="s">
        <x:v>609</x:v>
      </x:c>
    </x:row>
    <x:row r="68" spans="1:8">
      <x:c r="A68" s="812" t="s">
        <x:v>9</x:v>
      </x:c>
      <x:c r="B68" s="810" t="s">
        <x:v>1067</x:v>
      </x:c>
    </x:row>
  </x:sheetData>
  <x:mergeCells count="9">
    <x:mergeCell ref="A1:N1"/>
    <x:mergeCell ref="A2:N2"/>
    <x:mergeCell ref="A3:N3"/>
    <x:mergeCell ref="C46:H46"/>
    <x:mergeCell ref="G6:J6"/>
    <x:mergeCell ref="K6:N6"/>
    <x:mergeCell ref="C6:F6"/>
    <x:mergeCell ref="C26:H26"/>
    <x:mergeCell ref="I26:N26"/>
  </x:mergeCells>
  <x:pageMargins left="0.25" right="0.25" top="0.75" bottom="0.75" header="0.3" footer="0.3"/>
  <x:pageSetup scale="45"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G98"/>
  <x:sheetViews>
    <x:sheetView zoomScaleNormal="100" workbookViewId="0">
      <x:pane ySplit="2" topLeftCell="A3" activePane="bottomLeft" state="frozen"/>
      <x:selection activeCell="M30" sqref="M30"/>
      <x:selection pane="bottomLeft" sqref="A1:G1"/>
    </x:sheetView>
  </x:sheetViews>
  <x:sheetFormatPr defaultColWidth="9.140625" defaultRowHeight="12.75"/>
  <x:cols>
    <x:col min="1" max="1" width="6.140625" style="742" customWidth="1"/>
    <x:col min="2" max="2" width="79.7109375" style="742" customWidth="1"/>
    <x:col min="3" max="3" width="15" style="742" customWidth="1"/>
    <x:col min="4" max="4" width="17.7109375" style="742" bestFit="1" customWidth="1"/>
    <x:col min="5" max="6" width="15" style="742" customWidth="1"/>
    <x:col min="7" max="7" width="14.140625" style="742" bestFit="1" customWidth="1"/>
    <x:col min="8" max="16384" width="9.140625" style="742"/>
  </x:cols>
  <x:sheetData>
    <x:row r="1" spans="1:7" ht="18">
      <x:c r="A1" s="1638" t="str">
        <x:f>+'ATT H-3D'!$A$4</x:f>
        <x:v>Delmarva Power &amp; Light Company</x:v>
      </x:c>
      <x:c r="B1" s="1638"/>
      <x:c r="C1" s="1638"/>
      <x:c r="D1" s="1638"/>
      <x:c r="E1" s="1638"/>
      <x:c r="F1" s="1638"/>
      <x:c r="G1" s="1638"/>
    </x:row>
    <x:row r="2" spans="1:7" ht="15.75">
      <x:c r="A2" s="1766" t="s">
        <x:v>506</x:v>
      </x:c>
      <x:c r="B2" s="1766"/>
      <x:c r="C2" s="1766"/>
      <x:c r="D2" s="1766"/>
      <x:c r="E2" s="1766"/>
      <x:c r="F2" s="1766"/>
      <x:c r="G2" s="1766"/>
    </x:row>
    <x:row r="3" spans="1:7" ht="15.75">
      <x:c r="A3" s="1433"/>
      <x:c r="B3" s="1433"/>
      <x:c r="C3" s="1433"/>
      <x:c r="D3" s="1433"/>
      <x:c r="E3" s="1433"/>
      <x:c r="F3" s="1433"/>
      <x:c r="G3" s="1433"/>
    </x:row>
    <x:row r="4" spans="1:7">
      <x:c r="A4" s="1765"/>
      <x:c r="B4" s="1765"/>
      <x:c r="C4" s="1765"/>
      <x:c r="D4" s="1765"/>
      <x:c r="E4" s="1765"/>
    </x:row>
    <x:row r="5" spans="1:7" ht="16.5" customHeight="1">
      <x:c r="B5" s="875" t="s">
        <x:v>460</x:v>
      </x:c>
      <x:c r="C5" s="875" t="s">
        <x:v>461</x:v>
      </x:c>
      <x:c r="D5" s="875" t="s">
        <x:v>462</x:v>
      </x:c>
      <x:c r="E5" s="875" t="s">
        <x:v>463</x:v>
      </x:c>
      <x:c r="F5" s="875" t="s">
        <x:v>500</x:v>
      </x:c>
      <x:c r="G5" s="875" t="s">
        <x:v>501</x:v>
      </x:c>
    </x:row>
    <x:row r="6" spans="1:7" ht="16.5" customHeight="1">
      <x:c r="B6" s="859" t="s">
        <x:v>502</x:v>
      </x:c>
    </x:row>
    <x:row r="7" spans="1:7" ht="16.5" customHeight="1">
      <x:c r="B7" s="827" t="s">
        <x:v>503</x:v>
      </x:c>
      <x:c r="C7" s="862" t="s">
        <x:v>42</x:v>
      </x:c>
      <x:c r="D7" s="862" t="s">
        <x:v>700</x:v>
      </x:c>
      <x:c r="E7" s="1270"/>
      <x:c r="F7" s="1270"/>
      <x:c r="G7" s="861" t="s">
        <x:v>42</x:v>
      </x:c>
    </x:row>
    <x:row r="8" spans="1:7" ht="16.5" customHeight="1">
      <x:c r="A8" s="861">
        <x:v>1</x:v>
      </x:c>
      <x:c r="B8" s="862" t="s">
        <x:v>699</x:v>
      </x:c>
      <x:c r="C8" s="863">
        <x:v>0</x:v>
      </x:c>
      <x:c r="D8" s="864">
        <x:v>1</x:v>
      </x:c>
      <x:c r="E8" s="768"/>
      <x:c r="F8" s="768"/>
      <x:c r="G8" s="865">
        <x:f>+C8*D8</x:f>
        <x:v>0</x:v>
      </x:c>
    </x:row>
    <x:row r="9" spans="1:7" ht="16.5" customHeight="1">
      <x:c r="A9" s="861">
        <x:v>2</x:v>
      </x:c>
      <x:c r="B9" s="862" t="s">
        <x:v>514</x:v>
      </x:c>
      <x:c r="C9" s="866">
        <x:v>0</x:v>
      </x:c>
      <x:c r="D9" s="864">
        <x:f>+'ATT H-3D'!H24</x:f>
        <x:v>0.14582932326077899</x:v>
      </x:c>
      <x:c r="E9" s="768"/>
      <x:c r="F9" s="768"/>
      <x:c r="G9" s="865">
        <x:f>+C9*D9</x:f>
        <x:v>0</x:v>
      </x:c>
    </x:row>
    <x:row r="10" spans="1:7" ht="16.5" customHeight="1">
      <x:c r="A10" s="861">
        <x:v>3</x:v>
      </x:c>
      <x:c r="B10" s="862"/>
      <x:c r="C10" s="867"/>
      <x:c r="D10" s="768"/>
      <x:c r="E10" s="768"/>
      <x:c r="F10" s="768"/>
      <x:c r="G10" s="865">
        <x:f t="shared" ref="G10" si="0">+C10*D10</x:f>
        <x:v>0</x:v>
      </x:c>
    </x:row>
    <x:row r="11" spans="1:7" ht="16.5" customHeight="1">
      <x:c r="A11" s="861">
        <x:v>4</x:v>
      </x:c>
      <x:c r="B11" s="827" t="s">
        <x:v>42</x:v>
      </x:c>
      <x:c r="C11" s="865">
        <x:f>SUM(C8:C10)</x:f>
        <x:v>0</x:v>
      </x:c>
      <x:c r="D11" s="865"/>
      <x:c r="E11" s="865"/>
      <x:c r="F11" s="865"/>
      <x:c r="G11" s="865">
        <x:f>SUM(G8:G10)</x:f>
        <x:v>0</x:v>
      </x:c>
    </x:row>
    <x:row r="12" spans="1:7" ht="16.5" customHeight="1">
      <x:c r="B12" s="877"/>
      <x:c r="C12" s="877"/>
      <x:c r="D12" s="877"/>
      <x:c r="E12" s="877"/>
      <x:c r="F12" s="877"/>
      <x:c r="G12" s="877"/>
    </x:row>
    <x:row r="13" spans="1:7" ht="16.5" customHeight="1">
      <x:c r="B13" s="859" t="s">
        <x:v>734</x:v>
      </x:c>
      <x:c r="C13" s="877"/>
      <x:c r="D13" s="877"/>
      <x:c r="E13" s="877"/>
      <x:c r="F13" s="877"/>
      <x:c r="G13" s="877"/>
    </x:row>
    <x:row r="14" spans="1:7" ht="16.5" customHeight="1">
      <x:c r="A14" s="861">
        <x:v>5</x:v>
      </x:c>
      <x:c r="B14" s="827" t="s">
        <x:v>503</x:v>
      </x:c>
      <x:c r="C14" s="860" t="s">
        <x:v>42</x:v>
      </x:c>
      <x:c r="D14" s="860" t="s">
        <x:v>700</x:v>
      </x:c>
      <x:c r="E14" s="868"/>
      <x:c r="F14" s="868"/>
      <x:c r="G14" s="861" t="s">
        <x:v>42</x:v>
      </x:c>
    </x:row>
    <x:row r="15" spans="1:7" ht="16.5" customHeight="1">
      <x:c r="A15" s="861">
        <x:v>6</x:v>
      </x:c>
      <x:c r="B15" s="862" t="s">
        <x:v>735</x:v>
      </x:c>
      <x:c r="C15" s="866">
        <x:f>+C82</x:f>
        <x:v>0</x:v>
      </x:c>
      <x:c r="D15" s="864">
        <x:f>+'ATT H-3D'!H24</x:f>
        <x:v>0.14582932326077899</x:v>
      </x:c>
      <x:c r="E15" s="868"/>
      <x:c r="F15" s="868"/>
      <x:c r="G15" s="869">
        <x:f>+C15*D15</x:f>
        <x:v>0</x:v>
      </x:c>
    </x:row>
    <x:row r="16" spans="1:7" ht="16.5" customHeight="1">
      <x:c r="A16" s="861">
        <x:v>7</x:v>
      </x:c>
      <x:c r="B16" s="862" t="s">
        <x:v>736</x:v>
      </x:c>
      <x:c r="C16" s="866">
        <x:f>+D82</x:f>
        <x:v>0</x:v>
      </x:c>
      <x:c r="D16" s="864">
        <x:f>+'ATT H-3D'!H24</x:f>
        <x:v>0.14582932326077899</x:v>
      </x:c>
      <x:c r="E16" s="868"/>
      <x:c r="F16" s="868"/>
      <x:c r="G16" s="869">
        <x:f>+C16*D16</x:f>
        <x:v>0</x:v>
      </x:c>
    </x:row>
    <x:row r="17" spans="1:7" ht="16.5" customHeight="1">
      <x:c r="A17" s="861">
        <x:v>8</x:v>
      </x:c>
      <x:c r="B17" s="862"/>
      <x:c r="C17" s="870"/>
      <x:c r="D17" s="868"/>
      <x:c r="E17" s="868"/>
      <x:c r="F17" s="868"/>
      <x:c r="G17" s="869">
        <x:f t="shared" ref="G17" si="1">+C17*D17</x:f>
        <x:v>0</x:v>
      </x:c>
    </x:row>
    <x:row r="18" spans="1:7" ht="16.5" customHeight="1">
      <x:c r="A18" s="861">
        <x:v>9</x:v>
      </x:c>
      <x:c r="B18" s="827" t="s">
        <x:v>42</x:v>
      </x:c>
      <x:c r="C18" s="865">
        <x:f>SUM(C15:C17)</x:f>
        <x:v>0</x:v>
      </x:c>
      <x:c r="D18" s="869"/>
      <x:c r="E18" s="869"/>
      <x:c r="F18" s="869"/>
      <x:c r="G18" s="869">
        <x:f>SUM(G15:G17)</x:f>
        <x:v>0</x:v>
      </x:c>
    </x:row>
    <x:row r="19" spans="1:7" ht="16.5" customHeight="1">
      <x:c r="A19" s="861"/>
      <x:c r="B19" s="827"/>
      <x:c r="C19" s="865"/>
      <x:c r="D19" s="865"/>
      <x:c r="E19" s="865"/>
      <x:c r="F19" s="865"/>
      <x:c r="G19" s="865"/>
    </x:row>
    <x:row r="20" spans="1:7" ht="16.5" customHeight="1">
      <x:c r="A20" s="861"/>
      <x:c r="B20" s="859" t="s">
        <x:v>786</x:v>
      </x:c>
      <x:c r="C20" s="871" t="s">
        <x:v>207</x:v>
      </x:c>
      <x:c r="D20" s="871" t="s">
        <x:v>726</x:v>
      </x:c>
    </x:row>
    <x:row r="21" spans="1:7" ht="16.5" customHeight="1">
      <x:c r="B21" s="859" t="s">
        <x:v>498</x:v>
      </x:c>
      <x:c r="C21" s="827"/>
      <x:c r="D21" s="827"/>
      <x:c r="E21" s="827"/>
      <x:c r="F21" s="827"/>
      <x:c r="G21" s="861" t="s">
        <x:v>42</x:v>
      </x:c>
    </x:row>
    <x:row r="22" spans="1:7" ht="16.5" customHeight="1">
      <x:c r="A22" s="861">
        <x:v>10</x:v>
      </x:c>
      <x:c r="B22" s="827" t="s">
        <x:v>472</x:v>
      </x:c>
      <x:c r="C22" s="866">
        <x:v>0</x:v>
      </x:c>
      <x:c r="D22" s="866">
        <x:v>0</x:v>
      </x:c>
      <x:c r="E22" s="872"/>
      <x:c r="F22" s="872"/>
      <x:c r="G22" s="865">
        <x:f t="shared" ref="G22:G34" si="2">SUM(C22:F22)</x:f>
        <x:v>0</x:v>
      </x:c>
    </x:row>
    <x:row r="23" spans="1:7" ht="16.5" customHeight="1">
      <x:c r="A23" s="861">
        <x:v>11</x:v>
      </x:c>
      <x:c r="B23" s="827" t="s">
        <x:v>473</x:v>
      </x:c>
      <x:c r="C23" s="866">
        <x:v>0</x:v>
      </x:c>
      <x:c r="D23" s="866">
        <x:v>0</x:v>
      </x:c>
      <x:c r="E23" s="872"/>
      <x:c r="F23" s="872"/>
      <x:c r="G23" s="865">
        <x:f t="shared" si="2"/>
        <x:v>0</x:v>
      </x:c>
    </x:row>
    <x:row r="24" spans="1:7" ht="16.5" customHeight="1">
      <x:c r="A24" s="861">
        <x:v>12</x:v>
      </x:c>
      <x:c r="B24" s="827" t="s">
        <x:v>474</x:v>
      </x:c>
      <x:c r="C24" s="866">
        <x:v>0</x:v>
      </x:c>
      <x:c r="D24" s="866">
        <x:v>0</x:v>
      </x:c>
      <x:c r="E24" s="872"/>
      <x:c r="F24" s="872"/>
      <x:c r="G24" s="865">
        <x:f t="shared" si="2"/>
        <x:v>0</x:v>
      </x:c>
    </x:row>
    <x:row r="25" spans="1:7" ht="16.5" customHeight="1">
      <x:c r="A25" s="861">
        <x:v>13</x:v>
      </x:c>
      <x:c r="B25" s="827" t="s">
        <x:v>475</x:v>
      </x:c>
      <x:c r="C25" s="866">
        <x:v>0</x:v>
      </x:c>
      <x:c r="D25" s="866">
        <x:v>0</x:v>
      </x:c>
      <x:c r="E25" s="872"/>
      <x:c r="F25" s="872"/>
      <x:c r="G25" s="865">
        <x:f t="shared" si="2"/>
        <x:v>0</x:v>
      </x:c>
    </x:row>
    <x:row r="26" spans="1:7" ht="16.5" customHeight="1">
      <x:c r="A26" s="861">
        <x:v>14</x:v>
      </x:c>
      <x:c r="B26" s="827" t="s">
        <x:v>160</x:v>
      </x:c>
      <x:c r="C26" s="866">
        <x:v>0</x:v>
      </x:c>
      <x:c r="D26" s="866">
        <x:v>0</x:v>
      </x:c>
      <x:c r="E26" s="872"/>
      <x:c r="F26" s="872"/>
      <x:c r="G26" s="865">
        <x:f t="shared" si="2"/>
        <x:v>0</x:v>
      </x:c>
    </x:row>
    <x:row r="27" spans="1:7" ht="16.5" customHeight="1">
      <x:c r="A27" s="861">
        <x:v>15</x:v>
      </x:c>
      <x:c r="B27" s="827" t="s">
        <x:v>161</x:v>
      </x:c>
      <x:c r="C27" s="866">
        <x:v>0</x:v>
      </x:c>
      <x:c r="D27" s="866">
        <x:v>0</x:v>
      </x:c>
      <x:c r="E27" s="872"/>
      <x:c r="F27" s="872"/>
      <x:c r="G27" s="865">
        <x:f t="shared" si="2"/>
        <x:v>0</x:v>
      </x:c>
    </x:row>
    <x:row r="28" spans="1:7" ht="16.5" customHeight="1">
      <x:c r="A28" s="861">
        <x:v>16</x:v>
      </x:c>
      <x:c r="B28" s="827" t="s">
        <x:v>162</x:v>
      </x:c>
      <x:c r="C28" s="866">
        <x:v>0</x:v>
      </x:c>
      <x:c r="D28" s="866">
        <x:v>0</x:v>
      </x:c>
      <x:c r="E28" s="872"/>
      <x:c r="F28" s="872"/>
      <x:c r="G28" s="865">
        <x:f t="shared" si="2"/>
        <x:v>0</x:v>
      </x:c>
    </x:row>
    <x:row r="29" spans="1:7" ht="16.5" customHeight="1">
      <x:c r="A29" s="861">
        <x:v>17</x:v>
      </x:c>
      <x:c r="B29" s="827" t="s">
        <x:v>476</x:v>
      </x:c>
      <x:c r="C29" s="866">
        <x:v>0</x:v>
      </x:c>
      <x:c r="D29" s="866">
        <x:v>0</x:v>
      </x:c>
      <x:c r="E29" s="872"/>
      <x:c r="F29" s="872"/>
      <x:c r="G29" s="865">
        <x:f t="shared" si="2"/>
        <x:v>0</x:v>
      </x:c>
    </x:row>
    <x:row r="30" spans="1:7" ht="16.5" customHeight="1">
      <x:c r="A30" s="861">
        <x:v>18</x:v>
      </x:c>
      <x:c r="B30" s="827" t="s">
        <x:v>477</x:v>
      </x:c>
      <x:c r="C30" s="866">
        <x:v>0</x:v>
      </x:c>
      <x:c r="D30" s="866">
        <x:v>0</x:v>
      </x:c>
      <x:c r="E30" s="872"/>
      <x:c r="F30" s="872"/>
      <x:c r="G30" s="865">
        <x:f t="shared" si="2"/>
        <x:v>0</x:v>
      </x:c>
    </x:row>
    <x:row r="31" spans="1:7" ht="16.5" customHeight="1">
      <x:c r="A31" s="861">
        <x:v>19</x:v>
      </x:c>
      <x:c r="B31" s="827" t="s">
        <x:v>478</x:v>
      </x:c>
      <x:c r="C31" s="866">
        <x:v>0</x:v>
      </x:c>
      <x:c r="D31" s="866">
        <x:v>0</x:v>
      </x:c>
      <x:c r="E31" s="872"/>
      <x:c r="F31" s="872"/>
      <x:c r="G31" s="865">
        <x:f t="shared" si="2"/>
        <x:v>0</x:v>
      </x:c>
    </x:row>
    <x:row r="32" spans="1:7" ht="16.5" customHeight="1">
      <x:c r="A32" s="861">
        <x:v>20</x:v>
      </x:c>
      <x:c r="B32" s="827" t="s">
        <x:v>479</x:v>
      </x:c>
      <x:c r="C32" s="866">
        <x:v>0</x:v>
      </x:c>
      <x:c r="D32" s="866">
        <x:v>0</x:v>
      </x:c>
      <x:c r="E32" s="872"/>
      <x:c r="F32" s="872"/>
      <x:c r="G32" s="865">
        <x:f t="shared" si="2"/>
        <x:v>0</x:v>
      </x:c>
    </x:row>
    <x:row r="33" spans="1:7" ht="16.5" customHeight="1">
      <x:c r="A33" s="861">
        <x:v>21</x:v>
      </x:c>
      <x:c r="B33" s="827" t="s">
        <x:v>480</x:v>
      </x:c>
      <x:c r="C33" s="866">
        <x:v>0</x:v>
      </x:c>
      <x:c r="D33" s="866">
        <x:v>0</x:v>
      </x:c>
      <x:c r="E33" s="872"/>
      <x:c r="F33" s="872"/>
      <x:c r="G33" s="865">
        <x:f t="shared" si="2"/>
        <x:v>0</x:v>
      </x:c>
    </x:row>
    <x:row r="34" spans="1:7" ht="16.5" customHeight="1">
      <x:c r="A34" s="861">
        <x:v>22</x:v>
      </x:c>
      <x:c r="B34" s="827" t="s">
        <x:v>481</x:v>
      </x:c>
      <x:c r="C34" s="866">
        <x:v>0</x:v>
      </x:c>
      <x:c r="D34" s="866">
        <x:v>0</x:v>
      </x:c>
      <x:c r="E34" s="872"/>
      <x:c r="F34" s="872"/>
      <x:c r="G34" s="865">
        <x:f t="shared" si="2"/>
        <x:v>0</x:v>
      </x:c>
    </x:row>
    <x:row r="35" spans="1:7" ht="16.5" customHeight="1">
      <x:c r="A35" s="861">
        <x:v>23</x:v>
      </x:c>
      <x:c r="B35" s="827" t="s">
        <x:v>497</x:v>
      </x:c>
      <x:c r="C35" s="873">
        <x:f>AVERAGE(C22:C34)</x:f>
        <x:v>0</x:v>
      </x:c>
      <x:c r="D35" s="873">
        <x:f>AVERAGE(D22:D34)</x:f>
        <x:v>0</x:v>
      </x:c>
      <x:c r="E35" s="873"/>
      <x:c r="F35" s="873"/>
      <x:c r="G35" s="873">
        <x:f>AVERAGE(G22:G34)</x:f>
        <x:v>0</x:v>
      </x:c>
    </x:row>
    <x:row r="36" spans="1:7" ht="16.5" customHeight="1">
      <x:c r="A36" s="861"/>
      <x:c r="B36" s="827"/>
      <x:c r="C36" s="873"/>
      <x:c r="D36" s="873"/>
      <x:c r="E36" s="873"/>
    </x:row>
    <x:row r="37" spans="1:7" ht="16.5" customHeight="1">
      <x:c r="B37" s="859" t="s">
        <x:v>70</x:v>
      </x:c>
      <x:c r="C37" s="871" t="s">
        <x:v>207</x:v>
      </x:c>
      <x:c r="D37" s="871" t="s">
        <x:v>726</x:v>
      </x:c>
      <x:c r="E37" s="827"/>
      <x:c r="F37" s="827"/>
      <x:c r="G37" s="861" t="s">
        <x:v>42</x:v>
      </x:c>
    </x:row>
    <x:row r="38" spans="1:7" ht="16.5" customHeight="1">
      <x:c r="A38" s="861">
        <x:v>24</x:v>
      </x:c>
      <x:c r="B38" s="827" t="s">
        <x:v>472</x:v>
      </x:c>
      <x:c r="C38" s="866">
        <x:v>0</x:v>
      </x:c>
      <x:c r="D38" s="874">
        <x:v>0</x:v>
      </x:c>
      <x:c r="E38" s="872"/>
      <x:c r="F38" s="872"/>
      <x:c r="G38" s="865">
        <x:f t="shared" ref="G38:G50" si="3">SUM(C38:F38)</x:f>
        <x:v>0</x:v>
      </x:c>
    </x:row>
    <x:row r="39" spans="1:7" ht="16.5" customHeight="1">
      <x:c r="A39" s="861">
        <x:v>25</x:v>
      </x:c>
      <x:c r="B39" s="827" t="s">
        <x:v>473</x:v>
      </x:c>
      <x:c r="C39" s="866">
        <x:v>0</x:v>
      </x:c>
      <x:c r="D39" s="866">
        <x:v>0</x:v>
      </x:c>
      <x:c r="E39" s="872"/>
      <x:c r="F39" s="872"/>
      <x:c r="G39" s="865">
        <x:f t="shared" si="3"/>
        <x:v>0</x:v>
      </x:c>
    </x:row>
    <x:row r="40" spans="1:7" ht="16.5" customHeight="1">
      <x:c r="A40" s="861">
        <x:v>26</x:v>
      </x:c>
      <x:c r="B40" s="827" t="s">
        <x:v>474</x:v>
      </x:c>
      <x:c r="C40" s="866">
        <x:v>0</x:v>
      </x:c>
      <x:c r="D40" s="866">
        <x:v>0</x:v>
      </x:c>
      <x:c r="E40" s="872"/>
      <x:c r="F40" s="872"/>
      <x:c r="G40" s="865">
        <x:f t="shared" si="3"/>
        <x:v>0</x:v>
      </x:c>
    </x:row>
    <x:row r="41" spans="1:7" ht="16.5" customHeight="1">
      <x:c r="A41" s="861">
        <x:v>27</x:v>
      </x:c>
      <x:c r="B41" s="827" t="s">
        <x:v>475</x:v>
      </x:c>
      <x:c r="C41" s="866">
        <x:v>0</x:v>
      </x:c>
      <x:c r="D41" s="866">
        <x:v>0</x:v>
      </x:c>
      <x:c r="E41" s="872"/>
      <x:c r="F41" s="872"/>
      <x:c r="G41" s="865">
        <x:f t="shared" si="3"/>
        <x:v>0</x:v>
      </x:c>
    </x:row>
    <x:row r="42" spans="1:7" ht="16.5" customHeight="1">
      <x:c r="A42" s="861">
        <x:v>28</x:v>
      </x:c>
      <x:c r="B42" s="827" t="s">
        <x:v>160</x:v>
      </x:c>
      <x:c r="C42" s="866">
        <x:v>0</x:v>
      </x:c>
      <x:c r="D42" s="866">
        <x:v>0</x:v>
      </x:c>
      <x:c r="E42" s="872"/>
      <x:c r="F42" s="872"/>
      <x:c r="G42" s="865">
        <x:f t="shared" si="3"/>
        <x:v>0</x:v>
      </x:c>
    </x:row>
    <x:row r="43" spans="1:7" ht="16.5" customHeight="1">
      <x:c r="A43" s="861">
        <x:v>29</x:v>
      </x:c>
      <x:c r="B43" s="827" t="s">
        <x:v>161</x:v>
      </x:c>
      <x:c r="C43" s="866">
        <x:v>0</x:v>
      </x:c>
      <x:c r="D43" s="866">
        <x:v>0</x:v>
      </x:c>
      <x:c r="E43" s="872"/>
      <x:c r="F43" s="872"/>
      <x:c r="G43" s="865">
        <x:f t="shared" si="3"/>
        <x:v>0</x:v>
      </x:c>
    </x:row>
    <x:row r="44" spans="1:7" ht="16.5" customHeight="1">
      <x:c r="A44" s="861">
        <x:v>30</x:v>
      </x:c>
      <x:c r="B44" s="827" t="s">
        <x:v>162</x:v>
      </x:c>
      <x:c r="C44" s="866">
        <x:v>0</x:v>
      </x:c>
      <x:c r="D44" s="866">
        <x:v>0</x:v>
      </x:c>
      <x:c r="E44" s="872"/>
      <x:c r="F44" s="872"/>
      <x:c r="G44" s="865">
        <x:f t="shared" si="3"/>
        <x:v>0</x:v>
      </x:c>
    </x:row>
    <x:row r="45" spans="1:7" ht="16.5" customHeight="1">
      <x:c r="A45" s="861">
        <x:v>31</x:v>
      </x:c>
      <x:c r="B45" s="827" t="s">
        <x:v>476</x:v>
      </x:c>
      <x:c r="C45" s="866">
        <x:v>0</x:v>
      </x:c>
      <x:c r="D45" s="866">
        <x:v>0</x:v>
      </x:c>
      <x:c r="E45" s="872"/>
      <x:c r="F45" s="872"/>
      <x:c r="G45" s="865">
        <x:f t="shared" si="3"/>
        <x:v>0</x:v>
      </x:c>
    </x:row>
    <x:row r="46" spans="1:7" ht="16.5" customHeight="1">
      <x:c r="A46" s="861">
        <x:v>32</x:v>
      </x:c>
      <x:c r="B46" s="827" t="s">
        <x:v>477</x:v>
      </x:c>
      <x:c r="C46" s="866">
        <x:v>0</x:v>
      </x:c>
      <x:c r="D46" s="866">
        <x:v>0</x:v>
      </x:c>
      <x:c r="E46" s="872"/>
      <x:c r="F46" s="872"/>
      <x:c r="G46" s="865">
        <x:f t="shared" si="3"/>
        <x:v>0</x:v>
      </x:c>
    </x:row>
    <x:row r="47" spans="1:7" ht="16.5" customHeight="1">
      <x:c r="A47" s="861">
        <x:v>33</x:v>
      </x:c>
      <x:c r="B47" s="827" t="s">
        <x:v>478</x:v>
      </x:c>
      <x:c r="C47" s="866">
        <x:v>0</x:v>
      </x:c>
      <x:c r="D47" s="866">
        <x:v>0</x:v>
      </x:c>
      <x:c r="E47" s="872"/>
      <x:c r="F47" s="872"/>
      <x:c r="G47" s="865">
        <x:f t="shared" si="3"/>
        <x:v>0</x:v>
      </x:c>
    </x:row>
    <x:row r="48" spans="1:7" ht="16.5" customHeight="1">
      <x:c r="A48" s="861">
        <x:v>34</x:v>
      </x:c>
      <x:c r="B48" s="827" t="s">
        <x:v>479</x:v>
      </x:c>
      <x:c r="C48" s="866">
        <x:v>0</x:v>
      </x:c>
      <x:c r="D48" s="866">
        <x:v>0</x:v>
      </x:c>
      <x:c r="E48" s="872"/>
      <x:c r="F48" s="872"/>
      <x:c r="G48" s="865">
        <x:f t="shared" si="3"/>
        <x:v>0</x:v>
      </x:c>
    </x:row>
    <x:row r="49" spans="1:7" ht="16.5" customHeight="1">
      <x:c r="A49" s="861">
        <x:v>35</x:v>
      </x:c>
      <x:c r="B49" s="827" t="s">
        <x:v>480</x:v>
      </x:c>
      <x:c r="C49" s="866">
        <x:v>0</x:v>
      </x:c>
      <x:c r="D49" s="866">
        <x:v>0</x:v>
      </x:c>
      <x:c r="E49" s="872"/>
      <x:c r="F49" s="872"/>
      <x:c r="G49" s="865">
        <x:f t="shared" si="3"/>
        <x:v>0</x:v>
      </x:c>
    </x:row>
    <x:row r="50" spans="1:7" ht="16.5" customHeight="1">
      <x:c r="A50" s="861">
        <x:v>36</x:v>
      </x:c>
      <x:c r="B50" s="827" t="s">
        <x:v>481</x:v>
      </x:c>
      <x:c r="C50" s="866">
        <x:v>0</x:v>
      </x:c>
      <x:c r="D50" s="874">
        <x:v>0</x:v>
      </x:c>
      <x:c r="E50" s="872"/>
      <x:c r="F50" s="872"/>
      <x:c r="G50" s="865">
        <x:f t="shared" si="3"/>
        <x:v>0</x:v>
      </x:c>
    </x:row>
    <x:row r="51" spans="1:7" ht="16.5" customHeight="1">
      <x:c r="A51" s="861">
        <x:v>37</x:v>
      </x:c>
      <x:c r="B51" s="827" t="s">
        <x:v>497</x:v>
      </x:c>
      <x:c r="C51" s="873">
        <x:f>AVERAGE(C38:C50)</x:f>
        <x:v>0</x:v>
      </x:c>
      <x:c r="D51" s="873">
        <x:f>AVERAGE(D38:D50)</x:f>
        <x:v>0</x:v>
      </x:c>
      <x:c r="E51" s="873"/>
      <x:c r="F51" s="873"/>
      <x:c r="G51" s="873">
        <x:f>AVERAGE(G38:G50)</x:f>
        <x:v>0</x:v>
      </x:c>
    </x:row>
    <x:row r="53" spans="1:7" ht="16.5" customHeight="1">
      <x:c r="B53" s="859" t="s">
        <x:v>504</x:v>
      </x:c>
      <x:c r="C53" s="871" t="s">
        <x:v>207</x:v>
      </x:c>
      <x:c r="D53" s="871" t="s">
        <x:v>726</x:v>
      </x:c>
      <x:c r="E53" s="827"/>
      <x:c r="F53" s="827"/>
      <x:c r="G53" s="861" t="s">
        <x:v>42</x:v>
      </x:c>
    </x:row>
    <x:row r="54" spans="1:7" ht="16.5" customHeight="1">
      <x:c r="A54" s="861">
        <x:v>38</x:v>
      </x:c>
      <x:c r="B54" s="827" t="s">
        <x:v>472</x:v>
      </x:c>
      <x:c r="C54" s="873">
        <x:f t="shared" ref="C54:F66" si="4">C22-C38</x:f>
        <x:v>0</x:v>
      </x:c>
      <x:c r="D54" s="873">
        <x:f t="shared" si="4"/>
        <x:v>0</x:v>
      </x:c>
      <x:c r="E54" s="873">
        <x:f t="shared" si="4"/>
        <x:v>0</x:v>
      </x:c>
      <x:c r="F54" s="873">
        <x:f t="shared" si="4"/>
        <x:v>0</x:v>
      </x:c>
      <x:c r="G54" s="865">
        <x:f t="shared" ref="G54:G66" si="5">SUM(C54:F54)</x:f>
        <x:v>0</x:v>
      </x:c>
    </x:row>
    <x:row r="55" spans="1:7" ht="16.5" customHeight="1">
      <x:c r="A55" s="861">
        <x:v>39</x:v>
      </x:c>
      <x:c r="B55" s="827" t="s">
        <x:v>473</x:v>
      </x:c>
      <x:c r="C55" s="873">
        <x:f t="shared" si="4"/>
        <x:v>0</x:v>
      </x:c>
      <x:c r="D55" s="873">
        <x:f t="shared" si="4"/>
        <x:v>0</x:v>
      </x:c>
      <x:c r="E55" s="873">
        <x:f t="shared" si="4"/>
        <x:v>0</x:v>
      </x:c>
      <x:c r="F55" s="873">
        <x:f t="shared" si="4"/>
        <x:v>0</x:v>
      </x:c>
      <x:c r="G55" s="865">
        <x:f t="shared" si="5"/>
        <x:v>0</x:v>
      </x:c>
    </x:row>
    <x:row r="56" spans="1:7" ht="16.5" customHeight="1">
      <x:c r="A56" s="861">
        <x:v>40</x:v>
      </x:c>
      <x:c r="B56" s="827" t="s">
        <x:v>474</x:v>
      </x:c>
      <x:c r="C56" s="873">
        <x:f t="shared" si="4"/>
        <x:v>0</x:v>
      </x:c>
      <x:c r="D56" s="873">
        <x:f t="shared" si="4"/>
        <x:v>0</x:v>
      </x:c>
      <x:c r="E56" s="873">
        <x:f t="shared" si="4"/>
        <x:v>0</x:v>
      </x:c>
      <x:c r="F56" s="873">
        <x:f t="shared" si="4"/>
        <x:v>0</x:v>
      </x:c>
      <x:c r="G56" s="865">
        <x:f t="shared" si="5"/>
        <x:v>0</x:v>
      </x:c>
    </x:row>
    <x:row r="57" spans="1:7" ht="16.5" customHeight="1">
      <x:c r="A57" s="861">
        <x:v>41</x:v>
      </x:c>
      <x:c r="B57" s="827" t="s">
        <x:v>475</x:v>
      </x:c>
      <x:c r="C57" s="873">
        <x:f t="shared" si="4"/>
        <x:v>0</x:v>
      </x:c>
      <x:c r="D57" s="873">
        <x:f t="shared" si="4"/>
        <x:v>0</x:v>
      </x:c>
      <x:c r="E57" s="873">
        <x:f t="shared" si="4"/>
        <x:v>0</x:v>
      </x:c>
      <x:c r="F57" s="873">
        <x:f t="shared" si="4"/>
        <x:v>0</x:v>
      </x:c>
      <x:c r="G57" s="865">
        <x:f t="shared" si="5"/>
        <x:v>0</x:v>
      </x:c>
    </x:row>
    <x:row r="58" spans="1:7" ht="16.5" customHeight="1">
      <x:c r="A58" s="861">
        <x:v>42</x:v>
      </x:c>
      <x:c r="B58" s="827" t="s">
        <x:v>160</x:v>
      </x:c>
      <x:c r="C58" s="873">
        <x:f t="shared" si="4"/>
        <x:v>0</x:v>
      </x:c>
      <x:c r="D58" s="873">
        <x:f t="shared" si="4"/>
        <x:v>0</x:v>
      </x:c>
      <x:c r="E58" s="873">
        <x:f t="shared" si="4"/>
        <x:v>0</x:v>
      </x:c>
      <x:c r="F58" s="873">
        <x:f t="shared" si="4"/>
        <x:v>0</x:v>
      </x:c>
      <x:c r="G58" s="865">
        <x:f t="shared" si="5"/>
        <x:v>0</x:v>
      </x:c>
    </x:row>
    <x:row r="59" spans="1:7" ht="16.5" customHeight="1">
      <x:c r="A59" s="861">
        <x:v>43</x:v>
      </x:c>
      <x:c r="B59" s="827" t="s">
        <x:v>161</x:v>
      </x:c>
      <x:c r="C59" s="873">
        <x:f t="shared" si="4"/>
        <x:v>0</x:v>
      </x:c>
      <x:c r="D59" s="873">
        <x:f t="shared" si="4"/>
        <x:v>0</x:v>
      </x:c>
      <x:c r="E59" s="873">
        <x:f t="shared" si="4"/>
        <x:v>0</x:v>
      </x:c>
      <x:c r="F59" s="873">
        <x:f t="shared" si="4"/>
        <x:v>0</x:v>
      </x:c>
      <x:c r="G59" s="865">
        <x:f t="shared" si="5"/>
        <x:v>0</x:v>
      </x:c>
    </x:row>
    <x:row r="60" spans="1:7" ht="16.5" customHeight="1">
      <x:c r="A60" s="861">
        <x:v>44</x:v>
      </x:c>
      <x:c r="B60" s="827" t="s">
        <x:v>162</x:v>
      </x:c>
      <x:c r="C60" s="873">
        <x:f t="shared" si="4"/>
        <x:v>0</x:v>
      </x:c>
      <x:c r="D60" s="873">
        <x:f t="shared" si="4"/>
        <x:v>0</x:v>
      </x:c>
      <x:c r="E60" s="873">
        <x:f t="shared" si="4"/>
        <x:v>0</x:v>
      </x:c>
      <x:c r="F60" s="873">
        <x:f t="shared" si="4"/>
        <x:v>0</x:v>
      </x:c>
      <x:c r="G60" s="865">
        <x:f t="shared" si="5"/>
        <x:v>0</x:v>
      </x:c>
    </x:row>
    <x:row r="61" spans="1:7" ht="16.5" customHeight="1">
      <x:c r="A61" s="861">
        <x:v>45</x:v>
      </x:c>
      <x:c r="B61" s="827" t="s">
        <x:v>476</x:v>
      </x:c>
      <x:c r="C61" s="873">
        <x:f t="shared" si="4"/>
        <x:v>0</x:v>
      </x:c>
      <x:c r="D61" s="873">
        <x:f t="shared" si="4"/>
        <x:v>0</x:v>
      </x:c>
      <x:c r="E61" s="873">
        <x:f t="shared" si="4"/>
        <x:v>0</x:v>
      </x:c>
      <x:c r="F61" s="873">
        <x:f t="shared" si="4"/>
        <x:v>0</x:v>
      </x:c>
      <x:c r="G61" s="865">
        <x:f t="shared" si="5"/>
        <x:v>0</x:v>
      </x:c>
    </x:row>
    <x:row r="62" spans="1:7" ht="16.5" customHeight="1">
      <x:c r="A62" s="861">
        <x:v>46</x:v>
      </x:c>
      <x:c r="B62" s="827" t="s">
        <x:v>477</x:v>
      </x:c>
      <x:c r="C62" s="873">
        <x:f t="shared" si="4"/>
        <x:v>0</x:v>
      </x:c>
      <x:c r="D62" s="873">
        <x:f t="shared" si="4"/>
        <x:v>0</x:v>
      </x:c>
      <x:c r="E62" s="873">
        <x:f t="shared" si="4"/>
        <x:v>0</x:v>
      </x:c>
      <x:c r="F62" s="873">
        <x:f t="shared" si="4"/>
        <x:v>0</x:v>
      </x:c>
      <x:c r="G62" s="865">
        <x:f t="shared" si="5"/>
        <x:v>0</x:v>
      </x:c>
    </x:row>
    <x:row r="63" spans="1:7" ht="16.5" customHeight="1">
      <x:c r="A63" s="861">
        <x:v>47</x:v>
      </x:c>
      <x:c r="B63" s="827" t="s">
        <x:v>478</x:v>
      </x:c>
      <x:c r="C63" s="873">
        <x:f t="shared" si="4"/>
        <x:v>0</x:v>
      </x:c>
      <x:c r="D63" s="873">
        <x:f t="shared" si="4"/>
        <x:v>0</x:v>
      </x:c>
      <x:c r="E63" s="873">
        <x:f t="shared" si="4"/>
        <x:v>0</x:v>
      </x:c>
      <x:c r="F63" s="873">
        <x:f t="shared" si="4"/>
        <x:v>0</x:v>
      </x:c>
      <x:c r="G63" s="865">
        <x:f t="shared" si="5"/>
        <x:v>0</x:v>
      </x:c>
    </x:row>
    <x:row r="64" spans="1:7" ht="16.5" customHeight="1">
      <x:c r="A64" s="861">
        <x:v>48</x:v>
      </x:c>
      <x:c r="B64" s="827" t="s">
        <x:v>479</x:v>
      </x:c>
      <x:c r="C64" s="873">
        <x:f t="shared" si="4"/>
        <x:v>0</x:v>
      </x:c>
      <x:c r="D64" s="873">
        <x:f t="shared" si="4"/>
        <x:v>0</x:v>
      </x:c>
      <x:c r="E64" s="873">
        <x:f t="shared" si="4"/>
        <x:v>0</x:v>
      </x:c>
      <x:c r="F64" s="873">
        <x:f t="shared" si="4"/>
        <x:v>0</x:v>
      </x:c>
      <x:c r="G64" s="865">
        <x:f t="shared" si="5"/>
        <x:v>0</x:v>
      </x:c>
    </x:row>
    <x:row r="65" spans="1:7" ht="16.5" customHeight="1">
      <x:c r="A65" s="861">
        <x:v>49</x:v>
      </x:c>
      <x:c r="B65" s="827" t="s">
        <x:v>480</x:v>
      </x:c>
      <x:c r="C65" s="873">
        <x:f t="shared" si="4"/>
        <x:v>0</x:v>
      </x:c>
      <x:c r="D65" s="873">
        <x:f t="shared" si="4"/>
        <x:v>0</x:v>
      </x:c>
      <x:c r="E65" s="873">
        <x:f t="shared" si="4"/>
        <x:v>0</x:v>
      </x:c>
      <x:c r="F65" s="873">
        <x:f t="shared" si="4"/>
        <x:v>0</x:v>
      </x:c>
      <x:c r="G65" s="865">
        <x:f t="shared" si="5"/>
        <x:v>0</x:v>
      </x:c>
    </x:row>
    <x:row r="66" spans="1:7" ht="16.5" customHeight="1">
      <x:c r="A66" s="861">
        <x:v>50</x:v>
      </x:c>
      <x:c r="B66" s="827" t="s">
        <x:v>481</x:v>
      </x:c>
      <x:c r="C66" s="873">
        <x:f t="shared" si="4"/>
        <x:v>0</x:v>
      </x:c>
      <x:c r="D66" s="873">
        <x:f t="shared" si="4"/>
        <x:v>0</x:v>
      </x:c>
      <x:c r="E66" s="873">
        <x:f t="shared" si="4"/>
        <x:v>0</x:v>
      </x:c>
      <x:c r="F66" s="873">
        <x:f t="shared" si="4"/>
        <x:v>0</x:v>
      </x:c>
      <x:c r="G66" s="865">
        <x:f t="shared" si="5"/>
        <x:v>0</x:v>
      </x:c>
    </x:row>
    <x:row r="67" spans="1:7" ht="16.5" customHeight="1">
      <x:c r="A67" s="861">
        <x:v>51</x:v>
      </x:c>
      <x:c r="B67" s="827" t="s">
        <x:v>497</x:v>
      </x:c>
      <x:c r="C67" s="873">
        <x:f>AVERAGE(C54:C66)</x:f>
        <x:v>0</x:v>
      </x:c>
      <x:c r="D67" s="873">
        <x:f t="shared" ref="D67:F67" si="6">AVERAGE(D54:D66)</x:f>
        <x:v>0</x:v>
      </x:c>
      <x:c r="E67" s="873">
        <x:f t="shared" si="6"/>
        <x:v>0</x:v>
      </x:c>
      <x:c r="F67" s="873">
        <x:f t="shared" si="6"/>
        <x:v>0</x:v>
      </x:c>
      <x:c r="G67" s="873">
        <x:f>AVERAGE(G54:G66)</x:f>
        <x:v>0</x:v>
      </x:c>
    </x:row>
    <x:row r="68" spans="1:7" ht="16.5" customHeight="1"/>
    <x:row r="69" spans="1:7" ht="16.5" customHeight="1">
      <x:c r="B69" s="859" t="s">
        <x:v>505</x:v>
      </x:c>
      <x:c r="C69" s="871" t="s">
        <x:v>207</x:v>
      </x:c>
      <x:c r="D69" s="871" t="s">
        <x:v>726</x:v>
      </x:c>
      <x:c r="G69" s="861" t="s">
        <x:v>42</x:v>
      </x:c>
    </x:row>
    <x:row r="70" spans="1:7" ht="16.5" customHeight="1">
      <x:c r="A70" s="861">
        <x:v>52</x:v>
      </x:c>
      <x:c r="B70" s="827" t="s">
        <x:v>473</x:v>
      </x:c>
      <x:c r="C70" s="873">
        <x:f>C39-C38</x:f>
        <x:v>0</x:v>
      </x:c>
      <x:c r="D70" s="873">
        <x:f>D39-D38</x:f>
        <x:v>0</x:v>
      </x:c>
      <x:c r="G70" s="865">
        <x:f t="shared" ref="G70:G82" si="7">SUM(C70:F70)</x:f>
        <x:v>0</x:v>
      </x:c>
    </x:row>
    <x:row r="71" spans="1:7" ht="16.5" customHeight="1">
      <x:c r="A71" s="861">
        <x:v>53</x:v>
      </x:c>
      <x:c r="B71" s="827" t="s">
        <x:v>474</x:v>
      </x:c>
      <x:c r="C71" s="873">
        <x:f>C40-C39</x:f>
        <x:v>0</x:v>
      </x:c>
      <x:c r="D71" s="873">
        <x:f>D40-D39</x:f>
        <x:v>0</x:v>
      </x:c>
      <x:c r="G71" s="865">
        <x:f t="shared" si="7"/>
        <x:v>0</x:v>
      </x:c>
    </x:row>
    <x:row r="72" spans="1:7" ht="16.5" customHeight="1">
      <x:c r="A72" s="861">
        <x:v>54</x:v>
      </x:c>
      <x:c r="B72" s="827" t="s">
        <x:v>475</x:v>
      </x:c>
      <x:c r="C72" s="873">
        <x:f t="shared" ref="C72:D81" si="8">C41-C40</x:f>
        <x:v>0</x:v>
      </x:c>
      <x:c r="D72" s="873">
        <x:f t="shared" si="8"/>
        <x:v>0</x:v>
      </x:c>
      <x:c r="G72" s="865">
        <x:f t="shared" si="7"/>
        <x:v>0</x:v>
      </x:c>
    </x:row>
    <x:row r="73" spans="1:7" ht="16.5" customHeight="1">
      <x:c r="A73" s="861">
        <x:v>55</x:v>
      </x:c>
      <x:c r="B73" s="827" t="s">
        <x:v>160</x:v>
      </x:c>
      <x:c r="C73" s="873">
        <x:v>0</x:v>
      </x:c>
      <x:c r="D73" s="873">
        <x:v>0</x:v>
      </x:c>
      <x:c r="G73" s="865">
        <x:f t="shared" si="7"/>
        <x:v>0</x:v>
      </x:c>
    </x:row>
    <x:row r="74" spans="1:7" ht="16.5" customHeight="1">
      <x:c r="A74" s="861">
        <x:v>56</x:v>
      </x:c>
      <x:c r="B74" s="827" t="s">
        <x:v>161</x:v>
      </x:c>
      <x:c r="C74" s="873">
        <x:f t="shared" si="8"/>
        <x:v>0</x:v>
      </x:c>
      <x:c r="D74" s="873">
        <x:f t="shared" si="8"/>
        <x:v>0</x:v>
      </x:c>
      <x:c r="G74" s="865">
        <x:f t="shared" si="7"/>
        <x:v>0</x:v>
      </x:c>
    </x:row>
    <x:row r="75" spans="1:7" ht="16.5" customHeight="1">
      <x:c r="A75" s="861">
        <x:v>57</x:v>
      </x:c>
      <x:c r="B75" s="827" t="s">
        <x:v>162</x:v>
      </x:c>
      <x:c r="C75" s="873">
        <x:f t="shared" si="8"/>
        <x:v>0</x:v>
      </x:c>
      <x:c r="D75" s="873">
        <x:f t="shared" si="8"/>
        <x:v>0</x:v>
      </x:c>
      <x:c r="G75" s="865">
        <x:f t="shared" si="7"/>
        <x:v>0</x:v>
      </x:c>
    </x:row>
    <x:row r="76" spans="1:7" ht="16.5" customHeight="1">
      <x:c r="A76" s="861">
        <x:v>58</x:v>
      </x:c>
      <x:c r="B76" s="827" t="s">
        <x:v>476</x:v>
      </x:c>
      <x:c r="C76" s="873">
        <x:f t="shared" si="8"/>
        <x:v>0</x:v>
      </x:c>
      <x:c r="D76" s="873">
        <x:f t="shared" si="8"/>
        <x:v>0</x:v>
      </x:c>
      <x:c r="G76" s="865">
        <x:f t="shared" si="7"/>
        <x:v>0</x:v>
      </x:c>
    </x:row>
    <x:row r="77" spans="1:7" ht="16.5" customHeight="1">
      <x:c r="A77" s="861">
        <x:v>59</x:v>
      </x:c>
      <x:c r="B77" s="827" t="s">
        <x:v>477</x:v>
      </x:c>
      <x:c r="C77" s="873">
        <x:f t="shared" si="8"/>
        <x:v>0</x:v>
      </x:c>
      <x:c r="D77" s="873">
        <x:f t="shared" si="8"/>
        <x:v>0</x:v>
      </x:c>
      <x:c r="G77" s="865">
        <x:f t="shared" si="7"/>
        <x:v>0</x:v>
      </x:c>
    </x:row>
    <x:row r="78" spans="1:7" ht="16.5" customHeight="1">
      <x:c r="A78" s="861">
        <x:v>60</x:v>
      </x:c>
      <x:c r="B78" s="827" t="s">
        <x:v>478</x:v>
      </x:c>
      <x:c r="C78" s="873">
        <x:f t="shared" si="8"/>
        <x:v>0</x:v>
      </x:c>
      <x:c r="D78" s="873">
        <x:f t="shared" si="8"/>
        <x:v>0</x:v>
      </x:c>
      <x:c r="G78" s="865">
        <x:f t="shared" si="7"/>
        <x:v>0</x:v>
      </x:c>
    </x:row>
    <x:row r="79" spans="1:7" ht="16.5" customHeight="1">
      <x:c r="A79" s="861">
        <x:v>61</x:v>
      </x:c>
      <x:c r="B79" s="827" t="s">
        <x:v>479</x:v>
      </x:c>
      <x:c r="C79" s="873">
        <x:f t="shared" si="8"/>
        <x:v>0</x:v>
      </x:c>
      <x:c r="D79" s="873">
        <x:f t="shared" si="8"/>
        <x:v>0</x:v>
      </x:c>
      <x:c r="G79" s="865">
        <x:f t="shared" si="7"/>
        <x:v>0</x:v>
      </x:c>
    </x:row>
    <x:row r="80" spans="1:7" ht="16.5" customHeight="1">
      <x:c r="A80" s="861">
        <x:v>62</x:v>
      </x:c>
      <x:c r="B80" s="827" t="s">
        <x:v>480</x:v>
      </x:c>
      <x:c r="C80" s="873">
        <x:f t="shared" si="8"/>
        <x:v>0</x:v>
      </x:c>
      <x:c r="D80" s="873">
        <x:f t="shared" si="8"/>
        <x:v>0</x:v>
      </x:c>
      <x:c r="G80" s="865">
        <x:f t="shared" si="7"/>
        <x:v>0</x:v>
      </x:c>
    </x:row>
    <x:row r="81" spans="1:7" ht="16.5" customHeight="1">
      <x:c r="A81" s="861">
        <x:v>63</x:v>
      </x:c>
      <x:c r="B81" s="827" t="s">
        <x:v>481</x:v>
      </x:c>
      <x:c r="C81" s="873">
        <x:f t="shared" si="8"/>
        <x:v>0</x:v>
      </x:c>
      <x:c r="D81" s="873">
        <x:f t="shared" si="8"/>
        <x:v>0</x:v>
      </x:c>
      <x:c r="G81" s="865">
        <x:f t="shared" si="7"/>
        <x:v>0</x:v>
      </x:c>
    </x:row>
    <x:row r="82" spans="1:7" ht="16.5" customHeight="1">
      <x:c r="A82" s="861">
        <x:v>64</x:v>
      </x:c>
      <x:c r="B82" s="827" t="s">
        <x:v>42</x:v>
      </x:c>
      <x:c r="C82" s="873">
        <x:f>SUM(C70:C81)</x:f>
        <x:v>0</x:v>
      </x:c>
      <x:c r="D82" s="873">
        <x:f>SUM(D70:D81)</x:f>
        <x:v>0</x:v>
      </x:c>
      <x:c r="G82" s="865">
        <x:f t="shared" si="7"/>
        <x:v>0</x:v>
      </x:c>
    </x:row>
    <x:row r="83" spans="1:7" ht="16.5" customHeight="1">
      <x:c r="G83" s="873"/>
    </x:row>
    <x:row r="84" spans="1:7" ht="16.5" customHeight="1">
      <x:c r="B84" s="859" t="s">
        <x:v>739</x:v>
      </x:c>
      <x:c r="C84" s="827"/>
    </x:row>
    <x:row r="85" spans="1:7" ht="16.5" customHeight="1">
      <x:c r="A85" s="861">
        <x:v>65</x:v>
      </x:c>
      <x:c r="B85" s="827" t="s">
        <x:v>472</x:v>
      </x:c>
      <x:c r="C85" s="866">
        <x:v>0</x:v>
      </x:c>
    </x:row>
    <x:row r="86" spans="1:7" ht="16.5" customHeight="1">
      <x:c r="A86" s="861">
        <x:v>66</x:v>
      </x:c>
      <x:c r="B86" s="827" t="s">
        <x:v>473</x:v>
      </x:c>
      <x:c r="C86" s="866">
        <x:v>0</x:v>
      </x:c>
    </x:row>
    <x:row r="87" spans="1:7" ht="16.5" customHeight="1">
      <x:c r="A87" s="861">
        <x:v>67</x:v>
      </x:c>
      <x:c r="B87" s="827" t="s">
        <x:v>474</x:v>
      </x:c>
      <x:c r="C87" s="866">
        <x:v>0</x:v>
      </x:c>
    </x:row>
    <x:row r="88" spans="1:7" ht="16.5" customHeight="1">
      <x:c r="A88" s="861">
        <x:v>68</x:v>
      </x:c>
      <x:c r="B88" s="827" t="s">
        <x:v>475</x:v>
      </x:c>
      <x:c r="C88" s="866">
        <x:v>0</x:v>
      </x:c>
    </x:row>
    <x:row r="89" spans="1:7" ht="16.5" customHeight="1">
      <x:c r="A89" s="861">
        <x:v>69</x:v>
      </x:c>
      <x:c r="B89" s="827" t="s">
        <x:v>160</x:v>
      </x:c>
      <x:c r="C89" s="866">
        <x:v>0</x:v>
      </x:c>
    </x:row>
    <x:row r="90" spans="1:7" ht="16.5" customHeight="1">
      <x:c r="A90" s="861">
        <x:v>70</x:v>
      </x:c>
      <x:c r="B90" s="827" t="s">
        <x:v>161</x:v>
      </x:c>
      <x:c r="C90" s="866">
        <x:v>0</x:v>
      </x:c>
    </x:row>
    <x:row r="91" spans="1:7" ht="16.5" customHeight="1">
      <x:c r="A91" s="861">
        <x:v>71</x:v>
      </x:c>
      <x:c r="B91" s="827" t="s">
        <x:v>162</x:v>
      </x:c>
      <x:c r="C91" s="866">
        <x:v>0</x:v>
      </x:c>
    </x:row>
    <x:row r="92" spans="1:7" ht="16.5" customHeight="1">
      <x:c r="A92" s="861">
        <x:v>72</x:v>
      </x:c>
      <x:c r="B92" s="827" t="s">
        <x:v>476</x:v>
      </x:c>
      <x:c r="C92" s="866">
        <x:v>0</x:v>
      </x:c>
    </x:row>
    <x:row r="93" spans="1:7" ht="16.5" customHeight="1">
      <x:c r="A93" s="861">
        <x:v>73</x:v>
      </x:c>
      <x:c r="B93" s="827" t="s">
        <x:v>477</x:v>
      </x:c>
      <x:c r="C93" s="866">
        <x:v>0</x:v>
      </x:c>
    </x:row>
    <x:row r="94" spans="1:7" ht="16.5" customHeight="1">
      <x:c r="A94" s="861">
        <x:v>74</x:v>
      </x:c>
      <x:c r="B94" s="827" t="s">
        <x:v>478</x:v>
      </x:c>
      <x:c r="C94" s="866">
        <x:v>0</x:v>
      </x:c>
    </x:row>
    <x:row r="95" spans="1:7" ht="16.5" customHeight="1">
      <x:c r="A95" s="861">
        <x:v>75</x:v>
      </x:c>
      <x:c r="B95" s="827" t="s">
        <x:v>479</x:v>
      </x:c>
      <x:c r="C95" s="866">
        <x:v>0</x:v>
      </x:c>
    </x:row>
    <x:row r="96" spans="1:7" ht="16.5" customHeight="1">
      <x:c r="A96" s="861">
        <x:v>76</x:v>
      </x:c>
      <x:c r="B96" s="827" t="s">
        <x:v>480</x:v>
      </x:c>
      <x:c r="C96" s="866">
        <x:v>0</x:v>
      </x:c>
    </x:row>
    <x:row r="97" spans="1:3" ht="16.5" customHeight="1">
      <x:c r="A97" s="861">
        <x:v>77</x:v>
      </x:c>
      <x:c r="B97" s="827" t="s">
        <x:v>481</x:v>
      </x:c>
      <x:c r="C97" s="866">
        <x:v>0</x:v>
      </x:c>
    </x:row>
    <x:row r="98" spans="1:3" ht="16.5" customHeight="1">
      <x:c r="A98" s="861">
        <x:v>78</x:v>
      </x:c>
      <x:c r="B98" s="827" t="s">
        <x:v>497</x:v>
      </x:c>
      <x:c r="C98" s="873">
        <x:f>AVERAGE(C85:C97)</x:f>
        <x:v>0</x:v>
      </x:c>
    </x:row>
  </x:sheetData>
  <x:mergeCells count="3">
    <x:mergeCell ref="A4:E4"/>
    <x:mergeCell ref="A1:G1"/>
    <x:mergeCell ref="A2:G2"/>
  </x:mergeCells>
  <x:printOptions horizontalCentered="1"/>
  <x:pageMargins left="0.2" right="0.2" top="0.5" bottom="0.5" header="0.3" footer="0.3"/>
  <x:pageSetup scale="44"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K40"/>
  <x:sheetViews>
    <x:sheetView zoomScaleNormal="100" workbookViewId="0">
      <x:pane xSplit="1" ySplit="9" topLeftCell="B10" activePane="bottomRight" state="frozen"/>
      <x:selection activeCell="M30" sqref="M30"/>
      <x:selection pane="topRight" activeCell="M30" sqref="M30"/>
      <x:selection pane="bottomLeft" activeCell="M30" sqref="M30"/>
      <x:selection pane="bottomRight" sqref="A1:G1"/>
    </x:sheetView>
  </x:sheetViews>
  <x:sheetFormatPr defaultColWidth="11.42578125" defaultRowHeight="12.75"/>
  <x:cols>
    <x:col min="1" max="1" width="5.28515625" style="7" customWidth="1"/>
    <x:col min="2" max="2" width="46.5703125" style="7" customWidth="1"/>
    <x:col min="3" max="3" width="2.140625" style="7" customWidth="1"/>
    <x:col min="4" max="4" width="8.28515625" style="7" customWidth="1"/>
    <x:col min="5" max="5" width="21.85546875" style="7" customWidth="1"/>
    <x:col min="6" max="6" width="18" style="7" customWidth="1"/>
    <x:col min="7" max="7" width="19" style="7" customWidth="1"/>
    <x:col min="8" max="8" width="2.7109375" style="7" customWidth="1"/>
    <x:col min="9" max="9" width="15" style="1070" bestFit="1" customWidth="1"/>
    <x:col min="10" max="10" width="12.42578125" style="1070" bestFit="1" customWidth="1"/>
    <x:col min="11" max="11" width="15" style="1070" bestFit="1" customWidth="1"/>
    <x:col min="12" max="16384" width="11.42578125" style="7"/>
  </x:cols>
  <x:sheetData>
    <x:row r="1" spans="1:8" ht="18">
      <x:c r="A1" s="1638" t="str">
        <x:f>+'ATT H-3D'!$A$4</x:f>
        <x:v>Delmarva Power &amp; Light Company</x:v>
      </x:c>
      <x:c r="B1" s="1638"/>
      <x:c r="C1" s="1638"/>
      <x:c r="D1" s="1638"/>
      <x:c r="E1" s="1638"/>
      <x:c r="F1" s="1638"/>
      <x:c r="G1" s="1638"/>
      <x:c r="H1" s="1291"/>
    </x:row>
    <x:row r="2" spans="1:8" ht="15.75">
      <x:c r="A2" s="1639" t="s">
        <x:v>978</x:v>
      </x:c>
      <x:c r="B2" s="1639"/>
      <x:c r="C2" s="1639"/>
      <x:c r="D2" s="1639"/>
      <x:c r="E2" s="1639"/>
      <x:c r="F2" s="1639"/>
      <x:c r="G2" s="1639"/>
      <x:c r="H2" s="39"/>
    </x:row>
    <x:row r="3" spans="1:8">
      <x:c r="A3" s="6"/>
      <x:c r="B3" s="6"/>
      <x:c r="C3" s="6"/>
      <x:c r="D3" s="6"/>
      <x:c r="E3" s="6"/>
      <x:c r="F3" s="6"/>
      <x:c r="G3" s="6"/>
      <x:c r="H3" s="6"/>
    </x:row>
    <x:row r="4" spans="1:8">
      <x:c r="A4" s="6"/>
      <x:c r="B4" s="454"/>
      <x:c r="C4" s="6"/>
      <x:c r="D4" s="6"/>
      <x:c r="E4" s="6"/>
      <x:c r="F4" s="6"/>
      <x:c r="G4" s="6"/>
      <x:c r="H4" s="6"/>
    </x:row>
    <x:row r="5" spans="1:8" ht="16.5" customHeight="1">
      <x:c r="A5" s="6"/>
      <x:c r="B5" s="6"/>
      <x:c r="C5" s="6"/>
      <x:c r="D5" s="6"/>
      <x:c r="E5" s="822" t="s">
        <x:v>460</x:v>
      </x:c>
      <x:c r="F5" s="822" t="s">
        <x:v>461</x:v>
      </x:c>
      <x:c r="G5" s="822" t="s">
        <x:v>462</x:v>
      </x:c>
      <x:c r="H5" s="822"/>
    </x:row>
    <x:row r="6" spans="1:8" ht="16.5" customHeight="1">
      <x:c r="A6" s="6"/>
      <x:c r="B6" s="6"/>
      <x:c r="C6" s="6"/>
      <x:c r="D6" s="6"/>
      <x:c r="E6" s="822"/>
      <x:c r="F6" s="822"/>
      <x:c r="G6" s="822"/>
      <x:c r="H6" s="822"/>
    </x:row>
    <x:row r="7" spans="1:8" ht="16.5" customHeight="1">
      <x:c r="A7" s="6"/>
      <x:c r="B7" s="6"/>
      <x:c r="C7" s="6"/>
      <x:c r="D7" s="6"/>
      <x:c r="E7" s="553" t="s">
        <x:v>979</x:v>
      </x:c>
      <x:c r="F7" s="6"/>
      <x:c r="G7" s="6"/>
      <x:c r="H7" s="6"/>
    </x:row>
    <x:row r="8" spans="1:8" ht="16.5" customHeight="1">
      <x:c r="A8" s="6"/>
      <x:c r="B8" s="6"/>
      <x:c r="C8" s="6"/>
      <x:c r="D8" s="6"/>
      <x:c r="E8" s="878"/>
      <x:c r="F8" s="577"/>
      <x:c r="G8" s="577"/>
      <x:c r="H8" s="6"/>
    </x:row>
    <x:row r="9" spans="1:8" ht="16.5" customHeight="1">
      <x:c r="A9" s="6"/>
      <x:c r="B9" s="879"/>
      <x:c r="C9" s="880"/>
      <x:c r="D9" s="881"/>
      <x:c r="E9" s="882" t="s">
        <x:v>42</x:v>
      </x:c>
      <x:c r="F9" s="882" t="s">
        <x:v>980</x:v>
      </x:c>
      <x:c r="G9" s="882" t="s">
        <x:v>981</x:v>
      </x:c>
      <x:c r="H9" s="1295"/>
    </x:row>
    <x:row r="10" spans="1:8" ht="16.5" customHeight="1">
      <x:c r="A10" s="464">
        <x:v>1</x:v>
      </x:c>
      <x:c r="B10" s="883" t="s">
        <x:v>982</x:v>
      </x:c>
      <x:c r="C10" s="6"/>
      <x:c r="D10" s="884">
        <x:v>560</x:v>
      </x:c>
      <x:c r="E10" s="1029">
        <x:v>9027227.1099999994</x:v>
      </x:c>
      <x:c r="F10" s="885"/>
      <x:c r="G10" s="886">
        <x:f>E10-F10</x:f>
        <x:v>9027227.1099999994</x:v>
      </x:c>
      <x:c r="H10" s="886"/>
    </x:row>
    <x:row r="11" spans="1:8" ht="16.5" customHeight="1">
      <x:c r="A11" s="464">
        <x:f>A10+1</x:f>
        <x:v>2</x:v>
      </x:c>
      <x:c r="B11" s="883" t="s">
        <x:v>983</x:v>
      </x:c>
      <x:c r="C11" s="6"/>
      <x:c r="D11" s="884">
        <x:v>561.1</x:v>
      </x:c>
      <x:c r="E11" s="1030">
        <x:v>0</x:v>
      </x:c>
      <x:c r="F11" s="885"/>
      <x:c r="G11" s="893">
        <x:f t="shared" ref="G11:G34" si="0">E11-F11</x:f>
        <x:v>0</x:v>
      </x:c>
      <x:c r="H11" s="893"/>
    </x:row>
    <x:row r="12" spans="1:8" ht="16.5" customHeight="1">
      <x:c r="A12" s="464">
        <x:f t="shared" ref="A12:A35" si="1">A11+1</x:f>
        <x:v>3</x:v>
      </x:c>
      <x:c r="B12" s="883" t="s">
        <x:v>984</x:v>
      </x:c>
      <x:c r="C12" s="6"/>
      <x:c r="D12" s="884">
        <x:v>561.20000000000005</x:v>
      </x:c>
      <x:c r="E12" s="1030">
        <x:v>214632.48</x:v>
      </x:c>
      <x:c r="F12" s="218"/>
      <x:c r="G12" s="893">
        <x:f t="shared" si="0"/>
        <x:v>214632.48</x:v>
      </x:c>
      <x:c r="H12" s="893"/>
    </x:row>
    <x:row r="13" spans="1:8" ht="16.5" customHeight="1">
      <x:c r="A13" s="464">
        <x:f t="shared" si="1"/>
        <x:v>4</x:v>
      </x:c>
      <x:c r="B13" s="883" t="s">
        <x:v>985</x:v>
      </x:c>
      <x:c r="C13" s="6"/>
      <x:c r="D13" s="884">
        <x:v>561.29999999999995</x:v>
      </x:c>
      <x:c r="E13" s="1030"/>
      <x:c r="F13" s="218"/>
      <x:c r="G13" s="893">
        <x:f t="shared" si="0"/>
        <x:v>0</x:v>
      </x:c>
      <x:c r="H13" s="893"/>
    </x:row>
    <x:row r="14" spans="1:8" ht="16.5" customHeight="1">
      <x:c r="A14" s="464">
        <x:f t="shared" si="1"/>
        <x:v>5</x:v>
      </x:c>
      <x:c r="B14" s="883" t="s">
        <x:v>986</x:v>
      </x:c>
      <x:c r="C14" s="6"/>
      <x:c r="D14" s="884">
        <x:v>561.4</x:v>
      </x:c>
      <x:c r="E14" s="1030">
        <x:v>-2544.0100000000002</x:v>
      </x:c>
      <x:c r="F14" s="218"/>
      <x:c r="G14" s="893">
        <x:f t="shared" si="0"/>
        <x:v>-2544.0100000000002</x:v>
      </x:c>
      <x:c r="H14" s="893"/>
    </x:row>
    <x:row r="15" spans="1:8" ht="16.5" customHeight="1">
      <x:c r="A15" s="464">
        <x:f t="shared" si="1"/>
        <x:v>6</x:v>
      </x:c>
      <x:c r="B15" s="883" t="s">
        <x:v>987</x:v>
      </x:c>
      <x:c r="C15" s="6"/>
      <x:c r="D15" s="884">
        <x:v>561.5</x:v>
      </x:c>
      <x:c r="E15" s="1030"/>
      <x:c r="F15" s="218"/>
      <x:c r="G15" s="893">
        <x:f t="shared" si="0"/>
        <x:v>0</x:v>
      </x:c>
      <x:c r="H15" s="893"/>
    </x:row>
    <x:row r="16" spans="1:8" ht="16.5" customHeight="1">
      <x:c r="A16" s="464">
        <x:f t="shared" si="1"/>
        <x:v>7</x:v>
      </x:c>
      <x:c r="B16" s="883" t="s">
        <x:v>988</x:v>
      </x:c>
      <x:c r="C16" s="6"/>
      <x:c r="D16" s="884">
        <x:v>561.6</x:v>
      </x:c>
      <x:c r="E16" s="1030"/>
      <x:c r="F16" s="218"/>
      <x:c r="G16" s="893">
        <x:f t="shared" si="0"/>
        <x:v>0</x:v>
      </x:c>
      <x:c r="H16" s="893"/>
    </x:row>
    <x:row r="17" spans="1:8" ht="16.5" customHeight="1">
      <x:c r="A17" s="464">
        <x:f t="shared" si="1"/>
        <x:v>8</x:v>
      </x:c>
      <x:c r="B17" s="883" t="s">
        <x:v>989</x:v>
      </x:c>
      <x:c r="C17" s="6"/>
      <x:c r="D17" s="887">
        <x:v>561.70000000000005</x:v>
      </x:c>
      <x:c r="E17" s="1030"/>
      <x:c r="F17" s="218"/>
      <x:c r="G17" s="893">
        <x:f t="shared" si="0"/>
        <x:v>0</x:v>
      </x:c>
      <x:c r="H17" s="893"/>
    </x:row>
    <x:row r="18" spans="1:8" ht="16.5" customHeight="1">
      <x:c r="A18" s="464">
        <x:f t="shared" si="1"/>
        <x:v>9</x:v>
      </x:c>
      <x:c r="B18" s="883" t="s">
        <x:v>990</x:v>
      </x:c>
      <x:c r="C18" s="6"/>
      <x:c r="D18" s="884">
        <x:v>561.79999999999995</x:v>
      </x:c>
      <x:c r="E18" s="1030">
        <x:v>-2576</x:v>
      </x:c>
      <x:c r="F18" s="218"/>
      <x:c r="G18" s="893">
        <x:f t="shared" si="0"/>
        <x:v>-2576</x:v>
      </x:c>
      <x:c r="H18" s="893"/>
    </x:row>
    <x:row r="19" spans="1:8" ht="16.5" customHeight="1">
      <x:c r="A19" s="464">
        <x:f t="shared" si="1"/>
        <x:v>10</x:v>
      </x:c>
      <x:c r="B19" s="883" t="s">
        <x:v>991</x:v>
      </x:c>
      <x:c r="C19" s="6"/>
      <x:c r="D19" s="884">
        <x:v>562</x:v>
      </x:c>
      <x:c r="E19" s="1030"/>
      <x:c r="F19" s="218"/>
      <x:c r="G19" s="893">
        <x:f t="shared" si="0"/>
        <x:v>0</x:v>
      </x:c>
      <x:c r="H19" s="893"/>
    </x:row>
    <x:row r="20" spans="1:8" ht="16.5" customHeight="1">
      <x:c r="A20" s="464">
        <x:f t="shared" si="1"/>
        <x:v>11</x:v>
      </x:c>
      <x:c r="B20" s="883" t="s">
        <x:v>992</x:v>
      </x:c>
      <x:c r="C20" s="6"/>
      <x:c r="D20" s="884">
        <x:v>563</x:v>
      </x:c>
      <x:c r="E20" s="1030">
        <x:v>0</x:v>
      </x:c>
      <x:c r="F20" s="218"/>
      <x:c r="G20" s="893">
        <x:f t="shared" si="0"/>
        <x:v>0</x:v>
      </x:c>
      <x:c r="H20" s="893"/>
    </x:row>
    <x:row r="21" spans="1:8" ht="16.5" customHeight="1">
      <x:c r="A21" s="464">
        <x:f t="shared" si="1"/>
        <x:v>12</x:v>
      </x:c>
      <x:c r="B21" s="883" t="s">
        <x:v>993</x:v>
      </x:c>
      <x:c r="C21" s="6"/>
      <x:c r="D21" s="884">
        <x:v>564</x:v>
      </x:c>
      <x:c r="E21" s="1030"/>
      <x:c r="F21" s="218"/>
      <x:c r="G21" s="893">
        <x:f t="shared" si="0"/>
        <x:v>0</x:v>
      </x:c>
      <x:c r="H21" s="893"/>
    </x:row>
    <x:row r="22" spans="1:8" ht="16.5" customHeight="1">
      <x:c r="A22" s="464">
        <x:f t="shared" si="1"/>
        <x:v>13</x:v>
      </x:c>
      <x:c r="B22" s="883" t="s">
        <x:v>994</x:v>
      </x:c>
      <x:c r="C22" s="6"/>
      <x:c r="D22" s="884">
        <x:v>565</x:v>
      </x:c>
      <x:c r="E22" s="1030"/>
      <x:c r="F22" s="218"/>
      <x:c r="G22" s="893">
        <x:f t="shared" si="0"/>
        <x:v>0</x:v>
      </x:c>
      <x:c r="H22" s="893"/>
    </x:row>
    <x:row r="23" spans="1:8" ht="16.5" customHeight="1">
      <x:c r="A23" s="464">
        <x:f t="shared" si="1"/>
        <x:v>14</x:v>
      </x:c>
      <x:c r="B23" s="883" t="s">
        <x:v>995</x:v>
      </x:c>
      <x:c r="C23" s="6"/>
      <x:c r="D23" s="884">
        <x:v>566</x:v>
      </x:c>
      <x:c r="E23" s="1030">
        <x:f>4717895.14+1</x:f>
        <x:v>4717896.1399999997</x:v>
      </x:c>
      <x:c r="F23" s="218">
        <x:f>'5 - Cost Support 1'!$Q$230</x:f>
        <x:v>72965</x:v>
      </x:c>
      <x:c r="G23" s="893">
        <x:f>E23-F23</x:f>
        <x:v>4644931.1399999997</x:v>
      </x:c>
      <x:c r="H23" s="893"/>
    </x:row>
    <x:row r="24" spans="1:8" ht="16.5" customHeight="1">
      <x:c r="A24" s="464">
        <x:f t="shared" si="1"/>
        <x:v>15</x:v>
      </x:c>
      <x:c r="B24" s="883" t="s">
        <x:v>938</x:v>
      </x:c>
      <x:c r="C24" s="6"/>
      <x:c r="D24" s="884">
        <x:v>567</x:v>
      </x:c>
      <x:c r="E24" s="1030">
        <x:v>0</x:v>
      </x:c>
      <x:c r="F24" s="218"/>
      <x:c r="G24" s="893">
        <x:f t="shared" si="0"/>
        <x:v>0</x:v>
      </x:c>
      <x:c r="H24" s="893"/>
    </x:row>
    <x:row r="25" spans="1:8" ht="16.5" customHeight="1">
      <x:c r="A25" s="464">
        <x:f t="shared" si="1"/>
        <x:v>16</x:v>
      </x:c>
      <x:c r="B25" s="883" t="s">
        <x:v>996</x:v>
      </x:c>
      <x:c r="C25" s="6"/>
      <x:c r="D25" s="884">
        <x:v>568</x:v>
      </x:c>
      <x:c r="E25" s="1030">
        <x:v>0</x:v>
      </x:c>
      <x:c r="F25" s="218"/>
      <x:c r="G25" s="893">
        <x:f t="shared" si="0"/>
        <x:v>0</x:v>
      </x:c>
      <x:c r="H25" s="893"/>
    </x:row>
    <x:row r="26" spans="1:8" ht="16.5" customHeight="1">
      <x:c r="A26" s="464">
        <x:f t="shared" si="1"/>
        <x:v>17</x:v>
      </x:c>
      <x:c r="B26" s="883" t="s">
        <x:v>997</x:v>
      </x:c>
      <x:c r="C26" s="6"/>
      <x:c r="D26" s="884">
        <x:v>569</x:v>
      </x:c>
      <x:c r="E26" s="1030">
        <x:v>657416.03999999992</x:v>
      </x:c>
      <x:c r="F26" s="218"/>
      <x:c r="G26" s="893">
        <x:f t="shared" si="0"/>
        <x:v>657416.03999999992</x:v>
      </x:c>
      <x:c r="H26" s="893"/>
    </x:row>
    <x:row r="27" spans="1:8" ht="16.5" customHeight="1">
      <x:c r="A27" s="464">
        <x:f t="shared" si="1"/>
        <x:v>18</x:v>
      </x:c>
      <x:c r="B27" s="883" t="s">
        <x:v>998</x:v>
      </x:c>
      <x:c r="C27" s="6"/>
      <x:c r="D27" s="884">
        <x:v>569.1</x:v>
      </x:c>
      <x:c r="E27" s="1030"/>
      <x:c r="F27" s="218"/>
      <x:c r="G27" s="893">
        <x:f t="shared" si="0"/>
        <x:v>0</x:v>
      </x:c>
      <x:c r="H27" s="893"/>
    </x:row>
    <x:row r="28" spans="1:8" ht="16.5" customHeight="1">
      <x:c r="A28" s="464">
        <x:f t="shared" si="1"/>
        <x:v>19</x:v>
      </x:c>
      <x:c r="B28" s="883" t="s">
        <x:v>999</x:v>
      </x:c>
      <x:c r="C28" s="6"/>
      <x:c r="D28" s="884">
        <x:v>569.20000000000005</x:v>
      </x:c>
      <x:c r="E28" s="1030"/>
      <x:c r="F28" s="218"/>
      <x:c r="G28" s="893">
        <x:f t="shared" si="0"/>
        <x:v>0</x:v>
      </x:c>
      <x:c r="H28" s="893"/>
    </x:row>
    <x:row r="29" spans="1:8" ht="16.5" customHeight="1">
      <x:c r="A29" s="464">
        <x:f t="shared" si="1"/>
        <x:v>20</x:v>
      </x:c>
      <x:c r="B29" s="883" t="s">
        <x:v>1000</x:v>
      </x:c>
      <x:c r="C29" s="6"/>
      <x:c r="D29" s="884">
        <x:v>569.29999999999995</x:v>
      </x:c>
      <x:c r="E29" s="1030"/>
      <x:c r="F29" s="218"/>
      <x:c r="G29" s="893">
        <x:f t="shared" si="0"/>
        <x:v>0</x:v>
      </x:c>
      <x:c r="H29" s="893"/>
    </x:row>
    <x:row r="30" spans="1:8" ht="16.5" customHeight="1">
      <x:c r="A30" s="464">
        <x:f t="shared" si="1"/>
        <x:v>21</x:v>
      </x:c>
      <x:c r="B30" s="883" t="s">
        <x:v>1001</x:v>
      </x:c>
      <x:c r="C30" s="6"/>
      <x:c r="D30" s="884">
        <x:v>569.4</x:v>
      </x:c>
      <x:c r="E30" s="1030"/>
      <x:c r="F30" s="218"/>
      <x:c r="G30" s="893">
        <x:f t="shared" si="0"/>
        <x:v>0</x:v>
      </x:c>
      <x:c r="H30" s="893"/>
    </x:row>
    <x:row r="31" spans="1:8" ht="16.5" customHeight="1">
      <x:c r="A31" s="464">
        <x:f t="shared" si="1"/>
        <x:v>22</x:v>
      </x:c>
      <x:c r="B31" s="883" t="s">
        <x:v>1002</x:v>
      </x:c>
      <x:c r="C31" s="6"/>
      <x:c r="D31" s="884">
        <x:v>570</x:v>
      </x:c>
      <x:c r="E31" s="1030">
        <x:v>5737925</x:v>
      </x:c>
      <x:c r="F31" s="218"/>
      <x:c r="G31" s="893">
        <x:f t="shared" si="0"/>
        <x:v>5737925</x:v>
      </x:c>
      <x:c r="H31" s="893"/>
    </x:row>
    <x:row r="32" spans="1:8" ht="16.5" customHeight="1">
      <x:c r="A32" s="464">
        <x:f t="shared" si="1"/>
        <x:v>23</x:v>
      </x:c>
      <x:c r="B32" s="883" t="s">
        <x:v>1003</x:v>
      </x:c>
      <x:c r="C32" s="6"/>
      <x:c r="D32" s="884">
        <x:v>571</x:v>
      </x:c>
      <x:c r="E32" s="1030">
        <x:v>3962115</x:v>
      </x:c>
      <x:c r="F32" s="218"/>
      <x:c r="G32" s="893">
        <x:f t="shared" si="0"/>
        <x:v>3962115</x:v>
      </x:c>
      <x:c r="H32" s="893"/>
    </x:row>
    <x:row r="33" spans="1:8" ht="16.5" customHeight="1">
      <x:c r="A33" s="464">
        <x:f t="shared" si="1"/>
        <x:v>24</x:v>
      </x:c>
      <x:c r="B33" s="883" t="s">
        <x:v>1004</x:v>
      </x:c>
      <x:c r="C33" s="6"/>
      <x:c r="D33" s="884">
        <x:v>572</x:v>
      </x:c>
      <x:c r="E33" s="1030"/>
      <x:c r="F33" s="218"/>
      <x:c r="G33" s="893">
        <x:f t="shared" si="0"/>
        <x:v>0</x:v>
      </x:c>
      <x:c r="H33" s="893"/>
    </x:row>
    <x:row r="34" spans="1:8" ht="16.5" customHeight="1">
      <x:c r="A34" s="464">
        <x:f t="shared" si="1"/>
        <x:v>25</x:v>
      </x:c>
      <x:c r="B34" s="888" t="s">
        <x:v>1005</x:v>
      </x:c>
      <x:c r="C34" s="6"/>
      <x:c r="D34" s="884">
        <x:v>573</x:v>
      </x:c>
      <x:c r="E34" s="1294">
        <x:v>367652.67</x:v>
      </x:c>
      <x:c r="F34" s="1385"/>
      <x:c r="G34" s="1386">
        <x:f t="shared" si="0"/>
        <x:v>367652.67</x:v>
      </x:c>
      <x:c r="H34" s="886"/>
    </x:row>
    <x:row r="35" spans="1:8" ht="16.5" customHeight="1">
      <x:c r="A35" s="464">
        <x:f t="shared" si="1"/>
        <x:v>26</x:v>
      </x:c>
      <x:c r="B35" s="454" t="s">
        <x:v>1146</x:v>
      </x:c>
      <x:c r="C35" s="6"/>
      <x:c r="D35" s="464"/>
      <x:c r="E35" s="890">
        <x:f>SUM(E10:E34)</x:f>
        <x:v>24679744.43</x:v>
      </x:c>
      <x:c r="F35" s="890">
        <x:f>SUM(F10:F34)</x:f>
        <x:v>72965</x:v>
      </x:c>
      <x:c r="G35" s="890">
        <x:f>SUM(G10:G34)</x:f>
        <x:v>24606779.43</x:v>
      </x:c>
      <x:c r="H35" s="1296"/>
    </x:row>
    <x:row r="36" spans="1:8" ht="16.5" customHeight="1">
      <x:c r="A36" s="464"/>
      <x:c r="B36" s="6"/>
      <x:c r="C36" s="6"/>
      <x:c r="D36" s="6"/>
      <x:c r="E36" s="6"/>
      <x:c r="F36" s="6"/>
      <x:c r="G36" s="6"/>
      <x:c r="H36" s="6"/>
    </x:row>
    <x:row r="37" spans="1:8" ht="16.5" customHeight="1">
      <x:c r="A37" s="464">
        <x:f>A35+1</x:f>
        <x:v>27</x:v>
      </x:c>
      <x:c r="B37" s="358" t="s">
        <x:v>1006</x:v>
      </x:c>
      <x:c r="C37" s="6"/>
      <x:c r="D37" s="6"/>
      <x:c r="E37" s="6"/>
      <x:c r="F37" s="358" t="s">
        <x:v>42</x:v>
      </x:c>
      <x:c r="G37" s="889">
        <x:f>+G35</x:f>
        <x:v>24606779.43</x:v>
      </x:c>
      <x:c r="H37" s="889"/>
    </x:row>
    <x:row r="38" spans="1:8">
      <x:c r="A38" s="464"/>
      <x:c r="B38" s="6"/>
      <x:c r="C38" s="6"/>
      <x:c r="D38" s="6"/>
      <x:c r="E38" s="6"/>
      <x:c r="F38" s="6"/>
      <x:c r="G38" s="892"/>
      <x:c r="H38" s="892"/>
    </x:row>
    <x:row r="39" spans="1:8">
      <x:c r="A39" s="6"/>
      <x:c r="B39" s="6"/>
      <x:c r="C39" s="6"/>
      <x:c r="D39" s="6"/>
      <x:c r="E39" s="6"/>
      <x:c r="F39" s="6"/>
      <x:c r="G39" s="6"/>
      <x:c r="H39" s="6"/>
    </x:row>
    <x:row r="40" spans="1:8">
      <x:c r="A40" s="6"/>
      <x:c r="B40" s="6"/>
      <x:c r="C40" s="6"/>
      <x:c r="D40" s="6"/>
      <x:c r="E40" s="6"/>
      <x:c r="F40" s="6"/>
      <x:c r="G40" s="61"/>
      <x:c r="H40" s="61"/>
    </x:row>
  </x:sheetData>
  <x:mergeCells count="2">
    <x:mergeCell ref="A1:G1"/>
    <x:mergeCell ref="A2:G2"/>
  </x:mergeCells>
  <x:printOptions horizontalCentered="1"/>
  <x:pageMargins left="0.25" right="0.25" top="0.5" bottom="0.5" header="0.3" footer="0.3"/>
  <x:pageSetup scale="84" orientation="portrait" r:id="rId1"/>
  <x:ignoredErrors>
    <x:ignoredError sqref="F13:G13 F21:G22 F33:G33 F10:G10 F11:G11 F12:G12 F15:G17 F14:G14 F19:G19 F18:G18 E24:G24 F23:G23 F27:G30 F25:G25 F26:G26 F31:G31 F32:G32 E35:G35 F34:G34 F20:G20"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J44"/>
  <x:sheetViews>
    <x:sheetView zoomScaleNormal="100" workbookViewId="0">
      <x:pane xSplit="4" ySplit="9" topLeftCell="E10" activePane="bottomRight" state="frozen"/>
      <x:selection activeCell="M30" sqref="M30"/>
      <x:selection pane="topRight" activeCell="M30" sqref="M30"/>
      <x:selection pane="bottomLeft" activeCell="M30" sqref="M30"/>
      <x:selection pane="bottomRight" sqref="A1:J1"/>
    </x:sheetView>
  </x:sheetViews>
  <x:sheetFormatPr defaultColWidth="11.42578125" defaultRowHeight="12.75"/>
  <x:cols>
    <x:col min="1" max="1" width="5.28515625" style="7" customWidth="1"/>
    <x:col min="2" max="2" width="46.5703125" style="7" customWidth="1"/>
    <x:col min="3" max="3" width="2.140625" style="7" customWidth="1"/>
    <x:col min="4" max="4" width="9.7109375" style="7" customWidth="1"/>
    <x:col min="5" max="5" width="21.85546875" style="7" customWidth="1"/>
    <x:col min="6" max="6" width="2.85546875" style="7" customWidth="1"/>
    <x:col min="7" max="7" width="19" style="7" customWidth="1"/>
    <x:col min="8" max="8" width="22.5703125" style="7" customWidth="1"/>
    <x:col min="9" max="9" width="18" style="7" customWidth="1"/>
    <x:col min="10" max="10" width="22.7109375" style="7" customWidth="1"/>
    <x:col min="11" max="16384" width="11.42578125" style="7"/>
  </x:cols>
  <x:sheetData>
    <x:row r="1" spans="1:10" ht="18">
      <x:c r="A1" s="1638" t="str">
        <x:f>+'ATT H-3D'!$A$4</x:f>
        <x:v>Delmarva Power &amp; Light Company</x:v>
      </x:c>
      <x:c r="B1" s="1638"/>
      <x:c r="C1" s="1638"/>
      <x:c r="D1" s="1638"/>
      <x:c r="E1" s="1638"/>
      <x:c r="F1" s="1638"/>
      <x:c r="G1" s="1638"/>
      <x:c r="H1" s="1638"/>
      <x:c r="I1" s="1638"/>
      <x:c r="J1" s="1638"/>
    </x:row>
    <x:row r="2" spans="1:10" ht="15.75">
      <x:c r="A2" s="1639" t="s">
        <x:v>1007</x:v>
      </x:c>
      <x:c r="B2" s="1639"/>
      <x:c r="C2" s="1639"/>
      <x:c r="D2" s="1639"/>
      <x:c r="E2" s="1639"/>
      <x:c r="F2" s="1639"/>
      <x:c r="G2" s="1639"/>
      <x:c r="H2" s="1639"/>
      <x:c r="I2" s="1639"/>
      <x:c r="J2" s="1639"/>
    </x:row>
    <x:row r="3" spans="1:10">
      <x:c r="A3" s="6"/>
      <x:c r="B3" s="6"/>
      <x:c r="C3" s="6"/>
      <x:c r="D3" s="6"/>
      <x:c r="E3" s="6"/>
      <x:c r="F3" s="6"/>
      <x:c r="G3" s="6"/>
      <x:c r="H3" s="6"/>
      <x:c r="I3" s="6"/>
      <x:c r="J3" s="6"/>
    </x:row>
    <x:row r="4" spans="1:10">
      <x:c r="A4" s="6"/>
      <x:c r="B4" s="6"/>
      <x:c r="C4" s="6"/>
      <x:c r="D4" s="6"/>
      <x:c r="E4" s="6"/>
      <x:c r="F4" s="6"/>
      <x:c r="G4" s="6"/>
      <x:c r="H4" s="6"/>
      <x:c r="I4" s="6"/>
      <x:c r="J4" s="6"/>
    </x:row>
    <x:row r="5" spans="1:10" ht="15" customHeight="1">
      <x:c r="A5" s="6"/>
      <x:c r="B5" s="6"/>
      <x:c r="C5" s="6"/>
      <x:c r="D5" s="6"/>
      <x:c r="E5" s="822" t="s">
        <x:v>460</x:v>
      </x:c>
      <x:c r="F5" s="6"/>
      <x:c r="G5" s="822" t="s">
        <x:v>461</x:v>
      </x:c>
      <x:c r="H5" s="822" t="s">
        <x:v>462</x:v>
      </x:c>
      <x:c r="I5" s="817" t="s">
        <x:v>463</x:v>
      </x:c>
      <x:c r="J5" s="822" t="s">
        <x:v>464</x:v>
      </x:c>
    </x:row>
    <x:row r="6" spans="1:10" ht="15" customHeight="1">
      <x:c r="A6" s="6"/>
      <x:c r="B6" s="6"/>
      <x:c r="C6" s="6"/>
      <x:c r="D6" s="6"/>
      <x:c r="E6" s="822"/>
      <x:c r="F6" s="6"/>
      <x:c r="G6" s="822"/>
      <x:c r="H6" s="822"/>
      <x:c r="I6" s="817"/>
      <x:c r="J6" s="822"/>
    </x:row>
    <x:row r="7" spans="1:10" ht="15" customHeight="1">
      <x:c r="A7" s="6"/>
      <x:c r="B7" s="6"/>
      <x:c r="C7" s="6"/>
      <x:c r="D7" s="6"/>
      <x:c r="E7" s="553" t="s">
        <x:v>2087</x:v>
      </x:c>
      <x:c r="F7" s="6"/>
      <x:c r="G7" s="6"/>
      <x:c r="H7" s="6"/>
      <x:c r="I7" s="6"/>
      <x:c r="J7" s="6"/>
    </x:row>
    <x:row r="8" spans="1:10" ht="15" customHeight="1">
      <x:c r="A8" s="6"/>
      <x:c r="B8" s="6"/>
      <x:c r="C8" s="6"/>
      <x:c r="D8" s="6"/>
      <x:c r="E8" s="878"/>
      <x:c r="F8" s="577"/>
      <x:c r="G8" s="577"/>
      <x:c r="H8" s="577"/>
      <x:c r="I8" s="577"/>
      <x:c r="J8" s="577"/>
    </x:row>
    <x:row r="9" spans="1:10" ht="15" customHeight="1">
      <x:c r="A9" s="6"/>
      <x:c r="B9" s="879"/>
      <x:c r="C9" s="880"/>
      <x:c r="D9" s="881"/>
      <x:c r="E9" s="882" t="s">
        <x:v>42</x:v>
      </x:c>
      <x:c r="F9" s="882"/>
      <x:c r="G9" s="882" t="s">
        <x:v>1009</x:v>
      </x:c>
      <x:c r="H9" s="882" t="s">
        <x:v>1499</x:v>
      </x:c>
      <x:c r="I9" s="882" t="s">
        <x:v>980</x:v>
      </x:c>
      <x:c r="J9" s="882" t="s">
        <x:v>981</x:v>
      </x:c>
    </x:row>
    <x:row r="10" spans="1:10" ht="15" customHeight="1">
      <x:c r="A10" s="464">
        <x:v>1</x:v>
      </x:c>
      <x:c r="B10" s="883" t="s">
        <x:v>1010</x:v>
      </x:c>
      <x:c r="C10" s="6"/>
      <x:c r="D10" s="884">
        <x:v>920</x:v>
      </x:c>
      <x:c r="E10" s="1371">
        <x:v>3501101.5809999998</x:v>
      </x:c>
      <x:c r="F10" s="1372"/>
      <x:c r="G10" s="1373">
        <x:f>E10</x:f>
        <x:v>3501101.5809999998</x:v>
      </x:c>
      <x:c r="H10" s="1370"/>
      <x:c r="I10" s="1370"/>
      <x:c r="J10" s="1374"/>
    </x:row>
    <x:row r="11" spans="1:10" ht="15" customHeight="1">
      <x:c r="A11" s="464">
        <x:f>A10+1</x:f>
        <x:v>2</x:v>
      </x:c>
      <x:c r="B11" s="883" t="s">
        <x:v>1011</x:v>
      </x:c>
      <x:c r="C11" s="6"/>
      <x:c r="D11" s="884">
        <x:v>921</x:v>
      </x:c>
      <x:c r="E11" s="1379">
        <x:v>7057205.8119999999</x:v>
      </x:c>
      <x:c r="F11" s="1375"/>
      <x:c r="G11" s="1373">
        <x:f>E11</x:f>
        <x:v>7057205.8119999999</x:v>
      </x:c>
      <x:c r="H11" s="876"/>
      <x:c r="I11" s="1376"/>
      <x:c r="J11" s="1377"/>
    </x:row>
    <x:row r="12" spans="1:10" ht="15" customHeight="1">
      <x:c r="A12" s="464">
        <x:f t="shared" ref="A12:A23" si="0">A11+1</x:f>
        <x:v>3</x:v>
      </x:c>
      <x:c r="B12" s="883" t="s">
        <x:v>1012</x:v>
      </x:c>
      <x:c r="C12" s="6"/>
      <x:c r="D12" s="884">
        <x:v>922</x:v>
      </x:c>
      <x:c r="E12" s="1379">
        <x:v>0</x:v>
      </x:c>
      <x:c r="F12" s="1375"/>
      <x:c r="G12" s="1373">
        <x:f>E12</x:f>
        <x:v>0</x:v>
      </x:c>
      <x:c r="H12" s="876"/>
      <x:c r="I12" s="1376"/>
      <x:c r="J12" s="1377"/>
    </x:row>
    <x:row r="13" spans="1:10" ht="15" customHeight="1">
      <x:c r="A13" s="464">
        <x:f t="shared" si="0"/>
        <x:v>4</x:v>
      </x:c>
      <x:c r="B13" s="883" t="s">
        <x:v>1013</x:v>
      </x:c>
      <x:c r="C13" s="6"/>
      <x:c r="D13" s="884">
        <x:v>923</x:v>
      </x:c>
      <x:c r="E13" s="1379">
        <x:v>79595105.158999994</x:v>
      </x:c>
      <x:c r="F13" s="1375"/>
      <x:c r="G13" s="1373">
        <x:f>E13-I13</x:f>
        <x:v>78764547.874308988</x:v>
      </x:c>
      <x:c r="H13" s="1376"/>
      <x:c r="I13" s="863">
        <x:f>'5 - Cost Support 1'!H229+'5 - Cost Support 1'!I229+'5 - Cost Support 1'!J229+'5 - Cost Support 1'!K229+'5 - Cost Support 1'!L229+'5 - Cost Support 1'!N229+'5 - Cost Support 1'!O229+'5 - Cost Support 1'!P229</x:f>
        <x:v>830557.28469099989</x:v>
      </x:c>
      <x:c r="J13" s="1377"/>
    </x:row>
    <x:row r="14" spans="1:10" ht="15" customHeight="1">
      <x:c r="A14" s="464">
        <x:f t="shared" si="0"/>
        <x:v>5</x:v>
      </x:c>
      <x:c r="B14" s="883" t="s">
        <x:v>939</x:v>
      </x:c>
      <x:c r="C14" s="6"/>
      <x:c r="D14" s="884">
        <x:v>924</x:v>
      </x:c>
      <x:c r="E14" s="1379">
        <x:v>686015.6540000001</x:v>
      </x:c>
      <x:c r="F14" s="1375"/>
      <x:c r="G14" s="1373"/>
      <x:c r="H14" s="1373">
        <x:f>E14</x:f>
        <x:v>686015.6540000001</x:v>
      </x:c>
      <x:c r="I14" s="1376"/>
      <x:c r="J14" s="1378"/>
    </x:row>
    <x:row r="15" spans="1:10" ht="15" customHeight="1">
      <x:c r="A15" s="464">
        <x:f t="shared" si="0"/>
        <x:v>6</x:v>
      </x:c>
      <x:c r="B15" s="883" t="s">
        <x:v>1014</x:v>
      </x:c>
      <x:c r="C15" s="6"/>
      <x:c r="D15" s="884">
        <x:v>925</x:v>
      </x:c>
      <x:c r="E15" s="1379">
        <x:v>424525.09500000009</x:v>
      </x:c>
      <x:c r="F15" s="1375"/>
      <x:c r="G15" s="1373">
        <x:f>E15</x:f>
        <x:v>424525.09500000009</x:v>
      </x:c>
      <x:c r="H15" s="876"/>
      <x:c r="I15" s="1376"/>
      <x:c r="J15" s="1378"/>
    </x:row>
    <x:row r="16" spans="1:10" ht="15" customHeight="1">
      <x:c r="A16" s="464">
        <x:f t="shared" si="0"/>
        <x:v>7</x:v>
      </x:c>
      <x:c r="B16" s="883" t="s">
        <x:v>1015</x:v>
      </x:c>
      <x:c r="C16" s="6"/>
      <x:c r="D16" s="887">
        <x:v>926</x:v>
      </x:c>
      <x:c r="E16" s="1379">
        <x:v>9141477.5460000001</x:v>
      </x:c>
      <x:c r="F16" s="1375"/>
      <x:c r="G16" s="1373">
        <x:f>E16</x:f>
        <x:v>9141477.5460000001</x:v>
      </x:c>
      <x:c r="H16" s="876"/>
      <x:c r="I16" s="1376"/>
      <x:c r="J16" s="1378"/>
    </x:row>
    <x:row r="17" spans="1:10" ht="15" customHeight="1">
      <x:c r="A17" s="464">
        <x:f t="shared" si="0"/>
        <x:v>8</x:v>
      </x:c>
      <x:c r="B17" s="883" t="s">
        <x:v>1016</x:v>
      </x:c>
      <x:c r="C17" s="6"/>
      <x:c r="D17" s="884">
        <x:v>927</x:v>
      </x:c>
      <x:c r="E17" s="1379">
        <x:v>0</x:v>
      </x:c>
      <x:c r="F17" s="1375"/>
      <x:c r="G17" s="1373">
        <x:f>E17</x:f>
        <x:v>0</x:v>
      </x:c>
      <x:c r="H17" s="876"/>
      <x:c r="I17" s="1376"/>
      <x:c r="J17" s="1378"/>
    </x:row>
    <x:row r="18" spans="1:10" ht="15" customHeight="1">
      <x:c r="A18" s="464">
        <x:f t="shared" si="0"/>
        <x:v>9</x:v>
      </x:c>
      <x:c r="B18" s="883" t="s">
        <x:v>1017</x:v>
      </x:c>
      <x:c r="C18" s="6"/>
      <x:c r="D18" s="884">
        <x:v>928</x:v>
      </x:c>
      <x:c r="E18" s="1379">
        <x:v>1394524.5000000002</x:v>
      </x:c>
      <x:c r="F18" s="1375"/>
      <x:c r="G18" s="1373"/>
      <x:c r="H18" s="876"/>
      <x:c r="I18" s="863">
        <x:f>E18-J18</x:f>
        <x:v>1128480.6100000003</x:v>
      </x:c>
      <x:c r="J18" s="1371">
        <x:v>266043.89</x:v>
      </x:c>
    </x:row>
    <x:row r="19" spans="1:10" ht="15" customHeight="1">
      <x:c r="A19" s="464">
        <x:f t="shared" si="0"/>
        <x:v>10</x:v>
      </x:c>
      <x:c r="B19" s="883" t="s">
        <x:v>1018</x:v>
      </x:c>
      <x:c r="C19" s="6"/>
      <x:c r="D19" s="884">
        <x:v>929</x:v>
      </x:c>
      <x:c r="E19" s="1379">
        <x:v>0</x:v>
      </x:c>
      <x:c r="F19" s="1375"/>
      <x:c r="G19" s="1373"/>
      <x:c r="H19" s="1376"/>
      <x:c r="I19" s="1376"/>
      <x:c r="J19" s="1378"/>
    </x:row>
    <x:row r="20" spans="1:10" ht="15" customHeight="1">
      <x:c r="A20" s="464">
        <x:f t="shared" si="0"/>
        <x:v>11</x:v>
      </x:c>
      <x:c r="B20" s="883" t="s">
        <x:v>1019</x:v>
      </x:c>
      <x:c r="C20" s="6"/>
      <x:c r="D20" s="884">
        <x:v>930.1</x:v>
      </x:c>
      <x:c r="E20" s="1379">
        <x:v>836691.13800000004</x:v>
      </x:c>
      <x:c r="F20" s="1375"/>
      <x:c r="G20" s="1373"/>
      <x:c r="H20" s="876"/>
      <x:c r="I20" s="863">
        <x:f>E20</x:f>
        <x:v>836691.13800000004</x:v>
      </x:c>
      <x:c r="J20" s="1377"/>
    </x:row>
    <x:row r="21" spans="1:10" ht="15" customHeight="1">
      <x:c r="A21" s="464">
        <x:f t="shared" si="0"/>
        <x:v>12</x:v>
      </x:c>
      <x:c r="B21" s="883" t="s">
        <x:v>1020</x:v>
      </x:c>
      <x:c r="C21" s="6"/>
      <x:c r="D21" s="884">
        <x:v>930.2</x:v>
      </x:c>
      <x:c r="E21" s="1379">
        <x:f>7138829.342+1</x:f>
        <x:v>7138830.3420000002</x:v>
      </x:c>
      <x:c r="F21" s="1375"/>
      <x:c r="G21" s="1373">
        <x:f>E21-I21</x:f>
        <x:v>628955.34200000018</x:v>
      </x:c>
      <x:c r="H21" s="876"/>
      <x:c r="I21" s="863">
        <x:f>'5 - Cost Support 1'!M229+'ATT H-3D'!$H$162</x:f>
        <x:v>6509875</x:v>
      </x:c>
      <x:c r="J21" s="1377"/>
    </x:row>
    <x:row r="22" spans="1:10" ht="15" customHeight="1">
      <x:c r="A22" s="464">
        <x:f t="shared" si="0"/>
        <x:v>13</x:v>
      </x:c>
      <x:c r="B22" s="883" t="s">
        <x:v>938</x:v>
      </x:c>
      <x:c r="C22" s="6"/>
      <x:c r="D22" s="884">
        <x:v>931</x:v>
      </x:c>
      <x:c r="E22" s="1379">
        <x:v>0</x:v>
      </x:c>
      <x:c r="F22" s="1375"/>
      <x:c r="G22" s="1373">
        <x:v>0</x:v>
      </x:c>
      <x:c r="H22" s="876"/>
      <x:c r="I22" s="1376"/>
      <x:c r="J22" s="1377"/>
    </x:row>
    <x:row r="23" spans="1:10" ht="15" customHeight="1">
      <x:c r="A23" s="464">
        <x:f t="shared" si="0"/>
        <x:v>14</x:v>
      </x:c>
      <x:c r="B23" s="883" t="s">
        <x:v>1021</x:v>
      </x:c>
      <x:c r="C23" s="6"/>
      <x:c r="D23" s="884">
        <x:v>935</x:v>
      </x:c>
      <x:c r="E23" s="1379">
        <x:v>468432.77500000002</x:v>
      </x:c>
      <x:c r="F23" s="1375"/>
      <x:c r="G23" s="1379">
        <x:f>E23</x:f>
        <x:v>468432.77500000002</x:v>
      </x:c>
      <x:c r="H23" s="1380"/>
      <x:c r="I23" s="1376"/>
      <x:c r="J23" s="1381"/>
    </x:row>
    <x:row r="24" spans="1:10" ht="15" customHeight="1">
      <x:c r="A24" s="464" t="s">
        <x:v>2088</x:v>
      </x:c>
      <x:c r="B24" s="883" t="s">
        <x:v>998</x:v>
      </x:c>
      <x:c r="C24" s="6"/>
      <x:c r="D24" s="884">
        <x:v>935.1</x:v>
      </x:c>
      <x:c r="E24" s="1379"/>
      <x:c r="F24" s="1375"/>
      <x:c r="G24" s="1371"/>
      <x:c r="H24" s="1380"/>
      <x:c r="I24" s="1370"/>
      <x:c r="J24" s="1381"/>
    </x:row>
    <x:row r="25" spans="1:10" ht="15" customHeight="1">
      <x:c r="A25" s="464" t="s">
        <x:v>2089</x:v>
      </x:c>
      <x:c r="B25" s="883" t="s">
        <x:v>999</x:v>
      </x:c>
      <x:c r="C25" s="6"/>
      <x:c r="D25" s="884">
        <x:v>935.2</x:v>
      </x:c>
      <x:c r="E25" s="1379"/>
      <x:c r="F25" s="1375"/>
      <x:c r="G25" s="1371"/>
      <x:c r="H25" s="1380"/>
      <x:c r="I25" s="1370"/>
      <x:c r="J25" s="1381"/>
    </x:row>
    <x:row r="26" spans="1:10" ht="15" customHeight="1">
      <x:c r="A26" s="464" t="s">
        <x:v>2090</x:v>
      </x:c>
      <x:c r="B26" s="883" t="s">
        <x:v>2092</x:v>
      </x:c>
      <x:c r="C26" s="6"/>
      <x:c r="D26" s="884">
        <x:v>935.3</x:v>
      </x:c>
      <x:c r="E26" s="1379"/>
      <x:c r="F26" s="1375"/>
      <x:c r="G26" s="1371"/>
      <x:c r="H26" s="1380"/>
      <x:c r="I26" s="1370"/>
      <x:c r="J26" s="1381"/>
    </x:row>
    <x:row r="27" spans="1:10" ht="15" customHeight="1">
      <x:c r="A27" s="464">
        <x:f>A23+1</x:f>
        <x:v>15</x:v>
      </x:c>
      <x:c r="B27" s="454" t="s">
        <x:v>2091</x:v>
      </x:c>
      <x:c r="C27" s="6"/>
      <x:c r="D27" s="464"/>
      <x:c r="E27" s="1382">
        <x:f>SUM(E10:E26)</x:f>
        <x:v>110243909.602</x:v>
      </x:c>
      <x:c r="F27" s="1383"/>
      <x:c r="G27" s="1382">
        <x:f>SUM(G10:G26)</x:f>
        <x:v>99986246.025308996</x:v>
      </x:c>
      <x:c r="H27" s="1382">
        <x:f>SUM(H10:H26)</x:f>
        <x:v>686015.6540000001</x:v>
      </x:c>
      <x:c r="I27" s="1382">
        <x:f>SUM(I10:I26)</x:f>
        <x:v>9305604.032691</x:v>
      </x:c>
      <x:c r="J27" s="1382">
        <x:f>SUM(J10:J26)</x:f>
        <x:v>266043.89</x:v>
      </x:c>
    </x:row>
    <x:row r="28" spans="1:10" ht="15" customHeight="1">
      <x:c r="A28" s="464"/>
      <x:c r="B28" s="6"/>
      <x:c r="C28" s="6"/>
      <x:c r="D28" s="6"/>
      <x:c r="E28" s="6"/>
      <x:c r="F28" s="6"/>
      <x:c r="G28" s="6"/>
      <x:c r="H28" s="6"/>
      <x:c r="I28" s="6"/>
      <x:c r="J28" s="6"/>
    </x:row>
    <x:row r="29" spans="1:10" ht="15" customHeight="1">
      <x:c r="A29" s="464">
        <x:f>A27+1</x:f>
        <x:v>16</x:v>
      </x:c>
      <x:c r="B29" s="6"/>
      <x:c r="C29" s="6"/>
      <x:c r="D29" s="6"/>
      <x:c r="E29" s="358" t="s">
        <x:v>960</x:v>
      </x:c>
      <x:c r="F29" s="6"/>
      <x:c r="G29" s="891">
        <x:f>+'ATT H-3D'!H24</x:f>
        <x:v>0.14582932326077899</x:v>
      </x:c>
      <x:c r="H29" s="906">
        <x:f>+'ATT H-3D'!H45</x:f>
        <x:v>0.36691024632926028</x:v>
      </x:c>
      <x:c r="I29" s="891">
        <x:v>0</x:v>
      </x:c>
      <x:c r="J29" s="891">
        <x:v>1</x:v>
      </x:c>
    </x:row>
    <x:row r="30" spans="1:10" ht="15" customHeight="1">
      <x:c r="A30" s="464">
        <x:f t="shared" ref="A30:A31" si="1">A29+1</x:f>
        <x:v>17</x:v>
      </x:c>
      <x:c r="B30" s="6"/>
      <x:c r="C30" s="6"/>
      <x:c r="D30" s="6"/>
      <x:c r="E30" s="358" t="s">
        <x:v>1512</x:v>
      </x:c>
      <x:c r="F30" s="6"/>
      <x:c r="G30" s="876">
        <x:f>G27*G29</x:f>
        <x:v>14580926.593256565</x:v>
      </x:c>
      <x:c r="H30" s="876">
        <x:f t="shared" ref="H30:J30" si="2">H27*H29</x:f>
        <x:v>251706.17259486864</x:v>
      </x:c>
      <x:c r="I30" s="876">
        <x:f t="shared" si="2"/>
        <x:v>0</x:v>
      </x:c>
      <x:c r="J30" s="876">
        <x:f t="shared" si="2"/>
        <x:v>266043.89</x:v>
      </x:c>
    </x:row>
    <x:row r="31" spans="1:10" ht="15" customHeight="1">
      <x:c r="A31" s="464">
        <x:f t="shared" si="1"/>
        <x:v>18</x:v>
      </x:c>
      <x:c r="B31" s="6"/>
      <x:c r="C31" s="6"/>
      <x:c r="D31" s="6"/>
      <x:c r="E31" s="6"/>
      <x:c r="F31" s="6"/>
      <x:c r="G31" s="1369"/>
      <x:c r="H31" s="1369"/>
      <x:c r="I31" s="358" t="s">
        <x:v>1513</x:v>
      </x:c>
      <x:c r="J31" s="1368">
        <x:f>SUM(G30:J30)</x:f>
        <x:v>15098676.655851435</x:v>
      </x:c>
    </x:row>
    <x:row r="32" spans="1:10" ht="15" customHeight="1">
      <x:c r="A32" s="6"/>
      <x:c r="B32" s="6"/>
      <x:c r="C32" s="6"/>
      <x:c r="D32" s="6"/>
      <x:c r="E32" s="6"/>
      <x:c r="F32" s="6"/>
      <x:c r="G32" s="6"/>
      <x:c r="H32" s="6"/>
      <x:c r="I32" s="6"/>
      <x:c r="J32" s="1369"/>
    </x:row>
    <x:row r="33" spans="1:10" ht="15" customHeight="1">
      <x:c r="A33" s="6" t="s">
        <x:v>1514</x:v>
      </x:c>
      <x:c r="B33" s="6"/>
      <x:c r="C33" s="6"/>
      <x:c r="D33" s="6"/>
      <x:c r="E33" s="6"/>
      <x:c r="F33" s="6"/>
      <x:c r="G33" s="6"/>
      <x:c r="H33" s="6"/>
      <x:c r="I33" s="6" t="s">
        <x:v>1487</x:v>
      </x:c>
      <x:c r="J33" s="1370">
        <x:f>+'ATT H-3D'!H166+'ATT H-3D'!H171+'ATT H-3D'!H177</x:f>
        <x:v>15098676.655851435</x:v>
      </x:c>
    </x:row>
    <x:row r="34" spans="1:10" ht="15" customHeight="1">
      <x:c r="A34" s="6" t="s">
        <x:v>1515</x:v>
      </x:c>
      <x:c r="B34" s="6"/>
      <x:c r="C34" s="6"/>
      <x:c r="D34" s="6"/>
      <x:c r="E34" s="6"/>
      <x:c r="F34" s="6"/>
      <x:c r="G34" s="889"/>
      <x:c r="H34" s="6"/>
      <x:c r="I34" s="6" t="s">
        <x:v>225</x:v>
      </x:c>
      <x:c r="J34" s="1384">
        <x:f>J31-J33</x:f>
        <x:v>0</x:v>
      </x:c>
    </x:row>
    <x:row r="35" spans="1:10">
      <x:c r="A35" s="6"/>
      <x:c r="B35" s="6"/>
      <x:c r="C35" s="6"/>
      <x:c r="D35" s="6"/>
      <x:c r="E35" s="6"/>
      <x:c r="F35" s="6"/>
      <x:c r="G35" s="889"/>
      <x:c r="H35" s="6"/>
      <x:c r="I35" s="6"/>
      <x:c r="J35" s="6"/>
    </x:row>
    <x:row r="36" spans="1:10">
      <x:c r="G36" s="894"/>
    </x:row>
    <x:row r="37" spans="1:10">
      <x:c r="G37" s="894"/>
      <x:c r="H37" s="386"/>
      <x:c r="J37" s="1007"/>
    </x:row>
    <x:row r="38" spans="1:10">
      <x:c r="G38" s="894"/>
      <x:c r="H38" s="386"/>
    </x:row>
    <x:row r="39" spans="1:10">
      <x:c r="G39" s="1032"/>
    </x:row>
    <x:row r="40" spans="1:10">
      <x:c r="G40" s="894"/>
      <x:c r="H40" s="1031"/>
      <x:c r="J40" s="1007"/>
    </x:row>
    <x:row r="41" spans="1:10">
      <x:c r="G41" s="894"/>
    </x:row>
    <x:row r="42" spans="1:10">
      <x:c r="G42" s="894"/>
    </x:row>
    <x:row r="43" spans="1:10">
      <x:c r="G43" s="894"/>
    </x:row>
    <x:row r="44" spans="1:10">
      <x:c r="G44" s="894"/>
    </x:row>
  </x:sheetData>
  <x:mergeCells count="2">
    <x:mergeCell ref="A1:J1"/>
    <x:mergeCell ref="A2:J2"/>
  </x:mergeCells>
  <x:printOptions horizontalCentered="1"/>
  <x:pageMargins left="0.25" right="0.25" top="0.5" bottom="0.5" header="0.3" footer="0.3"/>
  <x:pageSetup scale="60" orientation="portrait" r:id="rId1"/>
  <x:ignoredErrors>
    <x:ignoredError sqref="G12:J17 H10:J11 G18:I18 G19:J2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dimension ref="A1:G89"/>
  <x:sheetViews>
    <x:sheetView zoomScaleNormal="100" zoomScaleSheetLayoutView="80" workbookViewId="0">
      <x:pane xSplit="2" ySplit="2" topLeftCell="C3" activePane="bottomRight" state="frozen"/>
      <x:selection activeCell="M30" sqref="M30"/>
      <x:selection pane="topRight" activeCell="M30" sqref="M30"/>
      <x:selection pane="bottomLeft" activeCell="M30" sqref="M30"/>
      <x:selection pane="bottomRight" sqref="A1:E1"/>
    </x:sheetView>
  </x:sheetViews>
  <x:sheetFormatPr defaultColWidth="9.140625" defaultRowHeight="12.75"/>
  <x:cols>
    <x:col min="1" max="1" width="2.140625" style="7" customWidth="1"/>
    <x:col min="2" max="2" width="14.7109375" style="7" customWidth="1"/>
    <x:col min="3" max="3" width="62.5703125" style="7" customWidth="1"/>
    <x:col min="4" max="4" width="18" style="7" bestFit="1" customWidth="1"/>
    <x:col min="5" max="5" width="2.5703125" style="7" customWidth="1"/>
    <x:col min="6" max="6" width="16.140625" style="7" customWidth="1"/>
    <x:col min="7" max="16384" width="9.140625" style="7"/>
  </x:cols>
  <x:sheetData>
    <x:row r="1" spans="1:7" ht="18">
      <x:c r="A1" s="1638" t="str">
        <x:f>+'ATT H-3D'!$A$4</x:f>
        <x:v>Delmarva Power &amp; Light Company</x:v>
      </x:c>
      <x:c r="B1" s="1638"/>
      <x:c r="C1" s="1638"/>
      <x:c r="D1" s="1638"/>
      <x:c r="E1" s="1638"/>
      <x:c r="G1" s="454"/>
    </x:row>
    <x:row r="2" spans="1:7" ht="15.75">
      <x:c r="A2" s="1598" t="s">
        <x:v>1022</x:v>
      </x:c>
      <x:c r="B2" s="1598"/>
      <x:c r="C2" s="1598"/>
      <x:c r="D2" s="1598"/>
      <x:c r="E2" s="1598"/>
    </x:row>
    <x:row r="3" spans="1:7" ht="8.1" customHeight="1">
      <x:c r="B3" s="167"/>
      <x:c r="C3" s="167"/>
      <x:c r="D3" s="167"/>
    </x:row>
    <x:row r="4" spans="1:7" ht="8.1" customHeight="1">
      <x:c r="B4" s="167"/>
      <x:c r="C4" s="167"/>
      <x:c r="D4" s="167"/>
    </x:row>
    <x:row r="5" spans="1:7">
      <x:c r="B5" s="895" t="s">
        <x:v>163</x:v>
      </x:c>
      <x:c r="C5" s="895" t="s">
        <x:v>164</x:v>
      </x:c>
      <x:c r="D5" s="896" t="s">
        <x:v>1023</x:v>
      </x:c>
      <x:c r="E5" s="897"/>
    </x:row>
    <x:row r="6" spans="1:7" ht="8.1" customHeight="1">
      <x:c r="B6" s="167"/>
      <x:c r="C6" s="898"/>
      <x:c r="D6" s="899"/>
      <x:c r="E6" s="897"/>
    </x:row>
    <x:row r="7" spans="1:7" ht="8.1" customHeight="1">
      <x:c r="B7" s="167"/>
      <x:c r="C7" s="898"/>
      <x:c r="D7" s="899" t="s">
        <x:v>1024</x:v>
      </x:c>
      <x:c r="E7" s="897"/>
    </x:row>
    <x:row r="8" spans="1:7">
      <x:c r="B8" s="895" t="s">
        <x:v>1025</x:v>
      </x:c>
      <x:c r="C8" s="895" t="s">
        <x:v>1026</x:v>
      </x:c>
      <x:c r="D8" s="899" t="s">
        <x:v>1027</x:v>
      </x:c>
      <x:c r="E8" s="897"/>
    </x:row>
    <x:row r="9" spans="1:7" ht="8.1" customHeight="1">
      <x:c r="B9" s="167"/>
      <x:c r="C9" s="898"/>
      <x:c r="D9" s="899"/>
      <x:c r="E9" s="897"/>
    </x:row>
    <x:row r="10" spans="1:7">
      <x:c r="B10" s="900"/>
      <x:c r="C10" s="901" t="s">
        <x:v>1028</x:v>
      </x:c>
      <x:c r="D10" s="902"/>
      <x:c r="E10" s="897"/>
    </x:row>
    <x:row r="11" spans="1:7" ht="16.5" customHeight="1">
      <x:c r="B11" s="903">
        <x:v>350.2</x:v>
      </x:c>
      <x:c r="C11" s="903" t="s">
        <x:v>1029</x:v>
      </x:c>
      <x:c r="D11" s="1038">
        <x:v>8.6999999999999994E-3</x:v>
      </x:c>
      <x:c r="E11" s="897"/>
    </x:row>
    <x:row r="12" spans="1:7" ht="16.5" customHeight="1">
      <x:c r="B12" s="903">
        <x:v>352</x:v>
      </x:c>
      <x:c r="C12" s="903" t="s">
        <x:v>1030</x:v>
      </x:c>
      <x:c r="D12" s="1038">
        <x:v>1.66E-2</x:v>
      </x:c>
      <x:c r="E12" s="897"/>
      <x:c r="F12" s="1023"/>
    </x:row>
    <x:row r="13" spans="1:7" ht="16.5" customHeight="1">
      <x:c r="B13" s="903">
        <x:v>353</x:v>
      </x:c>
      <x:c r="C13" s="903" t="s">
        <x:v>1031</x:v>
      </x:c>
      <x:c r="D13" s="1038">
        <x:v>3.1800000000000002E-2</x:v>
      </x:c>
      <x:c r="E13" s="897"/>
      <x:c r="F13" s="1023"/>
    </x:row>
    <x:row r="14" spans="1:7" ht="16.5" customHeight="1">
      <x:c r="B14" s="903">
        <x:v>354</x:v>
      </x:c>
      <x:c r="C14" s="903" t="s">
        <x:v>1032</x:v>
      </x:c>
      <x:c r="D14" s="1038">
        <x:v>1.21E-2</x:v>
      </x:c>
      <x:c r="E14" s="897"/>
      <x:c r="F14" s="1023"/>
    </x:row>
    <x:row r="15" spans="1:7" ht="16.5" customHeight="1">
      <x:c r="B15" s="903">
        <x:v>355</x:v>
      </x:c>
      <x:c r="C15" s="903" t="s">
        <x:v>1033</x:v>
      </x:c>
      <x:c r="D15" s="1038">
        <x:v>3.7699999999999997E-2</x:v>
      </x:c>
      <x:c r="E15" s="897"/>
      <x:c r="F15" s="1023"/>
    </x:row>
    <x:row r="16" spans="1:7" ht="16.5" customHeight="1">
      <x:c r="B16" s="903">
        <x:v>356</x:v>
      </x:c>
      <x:c r="C16" s="903" t="s">
        <x:v>1034</x:v>
      </x:c>
      <x:c r="D16" s="1038">
        <x:v>3.1800000000000002E-2</x:v>
      </x:c>
      <x:c r="E16" s="897"/>
      <x:c r="F16" s="1023"/>
    </x:row>
    <x:row r="17" spans="2:6" ht="16.5" customHeight="1">
      <x:c r="B17" s="903">
        <x:v>357</x:v>
      </x:c>
      <x:c r="C17" s="903" t="s">
        <x:v>1035</x:v>
      </x:c>
      <x:c r="D17" s="1038">
        <x:v>1.26E-2</x:v>
      </x:c>
      <x:c r="E17" s="897"/>
      <x:c r="F17" s="1023"/>
    </x:row>
    <x:row r="18" spans="2:6" ht="16.5" customHeight="1">
      <x:c r="B18" s="903">
        <x:v>358</x:v>
      </x:c>
      <x:c r="C18" s="903" t="s">
        <x:v>1036</x:v>
      </x:c>
      <x:c r="D18" s="1038">
        <x:v>1.7100000000000001E-2</x:v>
      </x:c>
      <x:c r="E18" s="897"/>
      <x:c r="F18" s="1023"/>
    </x:row>
    <x:row r="19" spans="2:6" ht="16.5" customHeight="1">
      <x:c r="B19" s="903">
        <x:v>359</x:v>
      </x:c>
      <x:c r="C19" s="903" t="s">
        <x:v>1037</x:v>
      </x:c>
      <x:c r="D19" s="1038">
        <x:v>5.4000000000000003E-3</x:v>
      </x:c>
      <x:c r="E19" s="897"/>
      <x:c r="F19" s="1023"/>
    </x:row>
    <x:row r="20" spans="2:6" ht="8.1" customHeight="1">
      <x:c r="B20" s="167"/>
      <x:c r="C20" s="898"/>
      <x:c r="D20" s="899"/>
      <x:c r="E20" s="897"/>
    </x:row>
    <x:row r="21" spans="2:6">
      <x:c r="B21" s="900"/>
      <x:c r="C21" s="901" t="s">
        <x:v>1038</x:v>
      </x:c>
      <x:c r="D21" s="902"/>
      <x:c r="E21" s="897"/>
      <x:c r="F21" s="902"/>
    </x:row>
    <x:row r="22" spans="2:6" ht="16.5" customHeight="1">
      <x:c r="B22" s="903" t="s">
        <x:v>1338</x:v>
      </x:c>
      <x:c r="C22" s="903" t="s">
        <x:v>1030</x:v>
      </x:c>
      <x:c r="D22" s="910">
        <x:v>1.01E-2</x:v>
      </x:c>
      <x:c r="E22" s="897"/>
      <x:c r="F22" s="1023"/>
    </x:row>
    <x:row r="23" spans="2:6" ht="16.5" customHeight="1">
      <x:c r="B23" s="903" t="s">
        <x:v>1339</x:v>
      </x:c>
      <x:c r="C23" s="903" t="s">
        <x:v>1030</x:v>
      </x:c>
      <x:c r="D23" s="910">
        <x:v>3.4299999999999997E-2</x:v>
      </x:c>
      <x:c r="E23" s="897"/>
      <x:c r="F23" s="1023"/>
    </x:row>
    <x:row r="24" spans="2:6" ht="16.5" customHeight="1">
      <x:c r="B24" s="904" t="s">
        <x:v>1877</x:v>
      </x:c>
      <x:c r="C24" s="904" t="s">
        <x:v>1030</x:v>
      </x:c>
      <x:c r="D24" s="1040">
        <x:v>5.6500000000000002E-2</x:v>
      </x:c>
      <x:c r="E24" s="6"/>
    </x:row>
    <x:row r="25" spans="2:6" ht="16.5" customHeight="1">
      <x:c r="B25" s="903" t="s">
        <x:v>1341</x:v>
      </x:c>
      <x:c r="C25" s="903" t="s">
        <x:v>1030</x:v>
      </x:c>
      <x:c r="D25" s="910">
        <x:v>5.7799999999999997E-2</x:v>
      </x:c>
      <x:c r="E25" s="897"/>
      <x:c r="F25" s="1024"/>
    </x:row>
    <x:row r="26" spans="2:6" ht="16.5" customHeight="1">
      <x:c r="B26" s="903" t="s">
        <x:v>1342</x:v>
      </x:c>
      <x:c r="C26" s="903" t="s">
        <x:v>1030</x:v>
      </x:c>
      <x:c r="D26" s="910">
        <x:v>0.1014</x:v>
      </x:c>
      <x:c r="E26" s="897"/>
      <x:c r="F26" s="1023"/>
    </x:row>
    <x:row r="27" spans="2:6" ht="16.5" customHeight="1">
      <x:c r="B27" s="903" t="s">
        <x:v>1340</x:v>
      </x:c>
      <x:c r="C27" s="903" t="s">
        <x:v>1030</x:v>
      </x:c>
      <x:c r="D27" s="910">
        <x:v>0.21490000000000001</x:v>
      </x:c>
      <x:c r="E27" s="897"/>
      <x:c r="F27" s="1023"/>
    </x:row>
    <x:row r="28" spans="2:6" ht="16.5" customHeight="1">
      <x:c r="B28" s="903">
        <x:v>392</x:v>
      </x:c>
      <x:c r="C28" s="903" t="s">
        <x:v>1425</x:v>
      </x:c>
      <x:c r="D28" s="910"/>
      <x:c r="E28" s="897"/>
    </x:row>
    <x:row r="29" spans="2:6" ht="16.5" customHeight="1">
      <x:c r="B29" s="903" t="s">
        <x:v>1488</x:v>
      </x:c>
      <x:c r="C29" s="903" t="s">
        <x:v>1425</x:v>
      </x:c>
      <x:c r="D29" s="910">
        <x:v>8.3400000000000002E-2</x:v>
      </x:c>
      <x:c r="E29" s="897"/>
    </x:row>
    <x:row r="30" spans="2:6" ht="16.5" customHeight="1">
      <x:c r="B30" s="903" t="s">
        <x:v>1878</x:v>
      </x:c>
      <x:c r="C30" s="903" t="s">
        <x:v>1425</x:v>
      </x:c>
      <x:c r="D30" s="910">
        <x:v>6.8000000000000005E-2</x:v>
      </x:c>
      <x:c r="E30" s="897"/>
    </x:row>
    <x:row r="31" spans="2:6" ht="16.5" customHeight="1">
      <x:c r="B31" s="903" t="s">
        <x:v>1879</x:v>
      </x:c>
      <x:c r="C31" s="903" t="s">
        <x:v>1425</x:v>
      </x:c>
      <x:c r="D31" s="910">
        <x:v>6.0999999999999999E-2</x:v>
      </x:c>
      <x:c r="E31" s="897"/>
    </x:row>
    <x:row r="32" spans="2:6" ht="16.5" customHeight="1">
      <x:c r="B32" s="903" t="s">
        <x:v>1880</x:v>
      </x:c>
      <x:c r="C32" s="903" t="s">
        <x:v>1425</x:v>
      </x:c>
      <x:c r="D32" s="910">
        <x:v>4.5699999999999998E-2</x:v>
      </x:c>
      <x:c r="E32" s="897"/>
    </x:row>
    <x:row r="33" spans="2:6" ht="16.5" customHeight="1">
      <x:c r="B33" s="903" t="s">
        <x:v>1343</x:v>
      </x:c>
      <x:c r="C33" s="903" t="s">
        <x:v>1039</x:v>
      </x:c>
      <x:c r="D33" s="910">
        <x:v>0.19739999999999999</x:v>
      </x:c>
      <x:c r="E33" s="897"/>
      <x:c r="F33" s="1023"/>
    </x:row>
    <x:row r="34" spans="2:6" ht="16.5" customHeight="1">
      <x:c r="B34" s="903" t="s">
        <x:v>1346</x:v>
      </x:c>
      <x:c r="C34" s="903" t="s">
        <x:v>1039</x:v>
      </x:c>
      <x:c r="D34" s="910"/>
      <x:c r="E34" s="897"/>
      <x:c r="F34" s="1039"/>
    </x:row>
    <x:row r="35" spans="2:6" ht="16.5" customHeight="1">
      <x:c r="B35" s="903" t="s">
        <x:v>1344</x:v>
      </x:c>
      <x:c r="C35" s="903" t="s">
        <x:v>1040</x:v>
      </x:c>
      <x:c r="D35" s="910">
        <x:v>6.3200000000000006E-2</x:v>
      </x:c>
      <x:c r="E35" s="897"/>
      <x:c r="F35" s="1023"/>
    </x:row>
    <x:row r="36" spans="2:6" ht="16.5" customHeight="1">
      <x:c r="B36" s="903" t="s">
        <x:v>1345</x:v>
      </x:c>
      <x:c r="C36" s="903" t="s">
        <x:v>1040</x:v>
      </x:c>
      <x:c r="D36" s="910">
        <x:v>7.1900000000000006E-2</x:v>
      </x:c>
      <x:c r="E36" s="897"/>
      <x:c r="F36" s="1023"/>
    </x:row>
    <x:row r="37" spans="2:6" ht="16.5" customHeight="1">
      <x:c r="B37" s="903" t="s">
        <x:v>1347</x:v>
      </x:c>
      <x:c r="C37" s="903" t="s">
        <x:v>1041</x:v>
      </x:c>
      <x:c r="D37" s="910">
        <x:v>0.15459999999999999</x:v>
      </x:c>
      <x:c r="E37" s="897"/>
      <x:c r="F37" s="1023"/>
    </x:row>
    <x:row r="38" spans="2:6" ht="16.5" customHeight="1">
      <x:c r="B38" s="903" t="s">
        <x:v>1348</x:v>
      </x:c>
      <x:c r="C38" s="903" t="s">
        <x:v>1043</x:v>
      </x:c>
      <x:c r="D38" s="910">
        <x:v>4.1300000000000003E-2</x:v>
      </x:c>
      <x:c r="E38" s="897"/>
      <x:c r="F38" s="1023"/>
    </x:row>
    <x:row r="39" spans="2:6" ht="16.5" customHeight="1">
      <x:c r="B39" s="903" t="s">
        <x:v>1349</x:v>
      </x:c>
      <x:c r="C39" s="903" t="s">
        <x:v>1043</x:v>
      </x:c>
      <x:c r="D39" s="910">
        <x:v>6.8900000000000003E-2</x:v>
      </x:c>
      <x:c r="E39" s="897"/>
      <x:c r="F39" s="1024"/>
    </x:row>
    <x:row r="40" spans="2:6" ht="16.5" customHeight="1">
      <x:c r="B40" s="903" t="s">
        <x:v>1352</x:v>
      </x:c>
      <x:c r="C40" s="903" t="s">
        <x:v>1043</x:v>
      </x:c>
      <x:c r="D40" s="910">
        <x:v>6.9800000000000001E-2</x:v>
      </x:c>
      <x:c r="E40" s="897"/>
      <x:c r="F40" s="1024"/>
    </x:row>
    <x:row r="41" spans="2:6" ht="16.5" customHeight="1">
      <x:c r="B41" s="903" t="s">
        <x:v>1350</x:v>
      </x:c>
      <x:c r="C41" s="903" t="s">
        <x:v>1043</x:v>
      </x:c>
      <x:c r="D41" s="910">
        <x:v>3.32E-2</x:v>
      </x:c>
      <x:c r="E41" s="897"/>
      <x:c r="F41" s="1023"/>
    </x:row>
    <x:row r="42" spans="2:6" ht="16.5" customHeight="1">
      <x:c r="B42" s="903" t="s">
        <x:v>1351</x:v>
      </x:c>
      <x:c r="C42" s="903" t="s">
        <x:v>1043</x:v>
      </x:c>
      <x:c r="D42" s="910">
        <x:v>7.9000000000000001E-2</x:v>
      </x:c>
      <x:c r="E42" s="897"/>
      <x:c r="F42" s="1023"/>
    </x:row>
    <x:row r="43" spans="2:6" ht="16.5" customHeight="1">
      <x:c r="B43" s="903" t="s">
        <x:v>1353</x:v>
      </x:c>
      <x:c r="C43" s="903" t="s">
        <x:v>1043</x:v>
      </x:c>
      <x:c r="D43" s="910">
        <x:v>8.4400000000000003E-2</x:v>
      </x:c>
      <x:c r="E43" s="897"/>
      <x:c r="F43" s="1023"/>
    </x:row>
    <x:row r="44" spans="2:6" ht="16.5" customHeight="1">
      <x:c r="B44" s="903" t="s">
        <x:v>1354</x:v>
      </x:c>
      <x:c r="C44" s="903" t="s">
        <x:v>1044</x:v>
      </x:c>
      <x:c r="D44" s="910">
        <x:v>5.74E-2</x:v>
      </x:c>
      <x:c r="E44" s="897"/>
      <x:c r="F44" s="1023"/>
    </x:row>
    <x:row r="45" spans="2:6" ht="16.5" customHeight="1">
      <x:c r="B45" s="903" t="s">
        <x:v>1355</x:v>
      </x:c>
      <x:c r="C45" s="903" t="s">
        <x:v>1044</x:v>
      </x:c>
      <x:c r="D45" s="910">
        <x:v>8.1600000000000006E-2</x:v>
      </x:c>
      <x:c r="E45" s="897"/>
      <x:c r="F45" s="1023"/>
    </x:row>
    <x:row r="46" spans="2:6" ht="8.1" customHeight="1">
      <x:c r="B46" s="167"/>
      <x:c r="C46" s="898"/>
      <x:c r="D46" s="899"/>
      <x:c r="E46" s="897"/>
    </x:row>
    <x:row r="47" spans="2:6">
      <x:c r="B47" s="903"/>
      <x:c r="C47" s="901" t="s">
        <x:v>1045</x:v>
      </x:c>
      <x:c r="D47" s="902"/>
      <x:c r="E47" s="897"/>
      <x:c r="F47" s="1025"/>
    </x:row>
    <x:row r="48" spans="2:6" ht="16.5" customHeight="1">
      <x:c r="B48" s="903">
        <x:v>302</x:v>
      </x:c>
      <x:c r="C48" s="903" t="s">
        <x:v>1046</x:v>
      </x:c>
      <x:c r="E48" s="897"/>
    </x:row>
    <x:row r="49" spans="2:7" ht="16.5" customHeight="1">
      <x:c r="B49" s="903">
        <x:v>303</x:v>
      </x:c>
      <x:c r="C49" s="903" t="s">
        <x:v>1047</x:v>
      </x:c>
      <x:c r="E49" s="897"/>
    </x:row>
    <x:row r="50" spans="2:7" ht="16.5" customHeight="1">
      <x:c r="B50" s="904">
        <x:v>303.10000000000002</x:v>
      </x:c>
      <x:c r="C50" s="904" t="s">
        <x:v>1069</x:v>
      </x:c>
      <x:c r="D50" s="909">
        <x:f>1/2</x:f>
        <x:v>0.5</x:v>
      </x:c>
      <x:c r="E50" s="897"/>
      <x:c r="F50" s="1026"/>
    </x:row>
    <x:row r="51" spans="2:7" ht="16.5" customHeight="1">
      <x:c r="B51" s="904">
        <x:v>303.2</x:v>
      </x:c>
      <x:c r="C51" s="904" t="s">
        <x:v>1048</x:v>
      </x:c>
      <x:c r="D51" s="909">
        <x:v>0.33333333333333331</x:v>
      </x:c>
      <x:c r="E51" s="897"/>
      <x:c r="F51" s="1026"/>
    </x:row>
    <x:row r="52" spans="2:7" ht="16.5" customHeight="1">
      <x:c r="B52" s="904">
        <x:v>303.3</x:v>
      </x:c>
      <x:c r="C52" s="904" t="s">
        <x:v>1049</x:v>
      </x:c>
      <x:c r="D52" s="909">
        <x:v>0.25</x:v>
      </x:c>
      <x:c r="E52" s="207"/>
      <x:c r="F52" s="1026"/>
      <x:c r="G52" s="207"/>
    </x:row>
    <x:row r="53" spans="2:7" ht="16.5" customHeight="1">
      <x:c r="B53" s="904">
        <x:v>303.39999999999998</x:v>
      </x:c>
      <x:c r="C53" s="904" t="s">
        <x:v>1050</x:v>
      </x:c>
      <x:c r="D53" s="909">
        <x:v>0.2</x:v>
      </x:c>
      <x:c r="F53" s="1026"/>
    </x:row>
    <x:row r="54" spans="2:7" ht="16.5" customHeight="1">
      <x:c r="B54" s="904">
        <x:v>303.5</x:v>
      </x:c>
      <x:c r="C54" s="904" t="s">
        <x:v>1051</x:v>
      </x:c>
      <x:c r="D54" s="909">
        <x:v>0.14285714285714285</x:v>
      </x:c>
      <x:c r="F54" s="1026"/>
    </x:row>
    <x:row r="55" spans="2:7" ht="16.5" customHeight="1">
      <x:c r="B55" s="904">
        <x:v>303.60000000000002</x:v>
      </x:c>
      <x:c r="C55" s="904" t="s">
        <x:v>1052</x:v>
      </x:c>
      <x:c r="D55" s="909">
        <x:v>0.1</x:v>
      </x:c>
      <x:c r="E55" s="897"/>
      <x:c r="F55" s="1026"/>
    </x:row>
    <x:row r="56" spans="2:7" ht="16.5" customHeight="1">
      <x:c r="B56" s="904">
        <x:v>303.7</x:v>
      </x:c>
      <x:c r="C56" s="904" t="s">
        <x:v>1053</x:v>
      </x:c>
      <x:c r="D56" s="909">
        <x:v>8.3333333333333329E-2</x:v>
      </x:c>
      <x:c r="E56" s="897"/>
      <x:c r="F56" s="1026"/>
    </x:row>
    <x:row r="57" spans="2:7" ht="16.5" customHeight="1">
      <x:c r="B57" s="904">
        <x:v>303.8</x:v>
      </x:c>
      <x:c r="C57" s="904" t="s">
        <x:v>1054</x:v>
      </x:c>
      <x:c r="D57" s="909">
        <x:v>6.6666666666666666E-2</x:v>
      </x:c>
      <x:c r="E57" s="207"/>
      <x:c r="F57" s="1026"/>
      <x:c r="G57" s="207"/>
    </x:row>
    <x:row r="58" spans="2:7" ht="8.1" customHeight="1">
      <x:c r="B58" s="167"/>
      <x:c r="C58" s="898"/>
      <x:c r="D58" s="899"/>
      <x:c r="E58" s="897"/>
    </x:row>
    <x:row r="59" spans="2:7" ht="16.5" customHeight="1">
      <x:c r="B59" s="903"/>
      <x:c r="C59" s="901" t="s">
        <x:v>1378</x:v>
      </x:c>
      <x:c r="D59" s="167"/>
      <x:c r="E59" s="897"/>
    </x:row>
    <x:row r="60" spans="2:7" ht="16.5" customHeight="1">
      <x:c r="B60" s="903">
        <x:v>390.3</x:v>
      </x:c>
      <x:c r="C60" s="903" t="s">
        <x:v>1030</x:v>
      </x:c>
      <x:c r="D60" s="899">
        <x:v>8.0000000000000002E-3</x:v>
      </x:c>
      <x:c r="E60" s="897"/>
      <x:c r="F60" s="1023"/>
    </x:row>
    <x:row r="61" spans="2:7" ht="16.5" customHeight="1">
      <x:c r="B61" s="903" t="s">
        <x:v>1356</x:v>
      </x:c>
      <x:c r="C61" s="903" t="s">
        <x:v>1030</x:v>
      </x:c>
      <x:c r="D61" s="899">
        <x:v>7.3000000000000001E-3</x:v>
      </x:c>
      <x:c r="E61" s="897"/>
      <x:c r="F61" s="1023"/>
    </x:row>
    <x:row r="62" spans="2:7" ht="16.5" customHeight="1">
      <x:c r="B62" s="903" t="s">
        <x:v>1357</x:v>
      </x:c>
      <x:c r="C62" s="903" t="s">
        <x:v>1030</x:v>
      </x:c>
      <x:c r="D62" s="899">
        <x:v>-8.9999999999999998E-4</x:v>
      </x:c>
      <x:c r="E62" s="897"/>
      <x:c r="F62" s="1023"/>
    </x:row>
    <x:row r="63" spans="2:7" ht="16.5" customHeight="1">
      <x:c r="B63" s="903">
        <x:v>391.1</x:v>
      </x:c>
      <x:c r="C63" s="903" t="s">
        <x:v>1030</x:v>
      </x:c>
      <x:c r="D63" s="899">
        <x:v>5.3800000000000001E-2</x:v>
      </x:c>
      <x:c r="E63" s="897"/>
      <x:c r="F63" s="1023"/>
    </x:row>
    <x:row r="64" spans="2:7" ht="16.5" customHeight="1">
      <x:c r="B64" s="903">
        <x:v>391.2</x:v>
      </x:c>
      <x:c r="C64" s="903" t="s">
        <x:v>1030</x:v>
      </x:c>
      <x:c r="D64" s="899">
        <x:v>0.36449999999999999</x:v>
      </x:c>
      <x:c r="E64" s="897"/>
    </x:row>
    <x:row r="65" spans="2:6" ht="16.5" customHeight="1">
      <x:c r="B65" s="903">
        <x:v>391.3</x:v>
      </x:c>
      <x:c r="C65" s="903" t="s">
        <x:v>1030</x:v>
      </x:c>
      <x:c r="D65" s="899"/>
      <x:c r="E65" s="897"/>
    </x:row>
    <x:row r="66" spans="2:6" ht="16.5" customHeight="1">
      <x:c r="B66" s="903">
        <x:v>392</x:v>
      </x:c>
      <x:c r="C66" s="903" t="s">
        <x:v>1425</x:v>
      </x:c>
      <x:c r="D66" s="899"/>
      <x:c r="E66" s="897"/>
    </x:row>
    <x:row r="67" spans="2:6" ht="16.5" customHeight="1">
      <x:c r="B67" s="903">
        <x:v>393</x:v>
      </x:c>
      <x:c r="C67" s="903" t="s">
        <x:v>1039</x:v>
      </x:c>
      <x:c r="D67" s="899">
        <x:v>6.2700000000000006E-2</x:v>
      </x:c>
      <x:c r="E67" s="897"/>
    </x:row>
    <x:row r="68" spans="2:6" ht="16.5" customHeight="1">
      <x:c r="B68" s="903">
        <x:v>394</x:v>
      </x:c>
      <x:c r="C68" s="903" t="s">
        <x:v>1040</x:v>
      </x:c>
      <x:c r="D68" s="899">
        <x:v>6.5600000000000006E-2</x:v>
      </x:c>
      <x:c r="E68" s="897"/>
    </x:row>
    <x:row r="69" spans="2:6" ht="16.5" customHeight="1">
      <x:c r="B69" s="903">
        <x:v>395</x:v>
      </x:c>
      <x:c r="C69" s="903" t="s">
        <x:v>1041</x:v>
      </x:c>
      <x:c r="D69" s="899"/>
      <x:c r="E69" s="897"/>
    </x:row>
    <x:row r="70" spans="2:6" ht="16.5" customHeight="1">
      <x:c r="B70" s="903">
        <x:v>396</x:v>
      </x:c>
      <x:c r="C70" s="903" t="s">
        <x:v>1042</x:v>
      </x:c>
      <x:c r="D70" s="899"/>
      <x:c r="E70" s="897"/>
    </x:row>
    <x:row r="71" spans="2:6" ht="16.5" customHeight="1">
      <x:c r="B71" s="903" t="s">
        <x:v>1358</x:v>
      </x:c>
      <x:c r="C71" s="903" t="s">
        <x:v>1043</x:v>
      </x:c>
      <x:c r="D71" s="899">
        <x:v>6.6299999999999998E-2</x:v>
      </x:c>
      <x:c r="E71" s="897"/>
    </x:row>
    <x:row r="72" spans="2:6" ht="16.5" customHeight="1">
      <x:c r="B72" s="903">
        <x:v>397.3</x:v>
      </x:c>
      <x:c r="C72" s="903" t="s">
        <x:v>1043</x:v>
      </x:c>
      <x:c r="D72" s="899">
        <x:v>8.9999999999999998E-4</x:v>
      </x:c>
      <x:c r="E72" s="897"/>
    </x:row>
    <x:row r="73" spans="2:6" ht="16.5" customHeight="1">
      <x:c r="B73" s="903">
        <x:v>398</x:v>
      </x:c>
      <x:c r="C73" s="903" t="s">
        <x:v>1044</x:v>
      </x:c>
      <x:c r="D73" s="910">
        <x:v>5.2200000000000003E-2</x:v>
      </x:c>
      <x:c r="E73" s="897"/>
    </x:row>
    <x:row r="74" spans="2:6" ht="8.1" customHeight="1">
      <x:c r="B74" s="167"/>
      <x:c r="C74" s="898"/>
      <x:c r="D74" s="899"/>
      <x:c r="E74" s="897"/>
    </x:row>
    <x:row r="75" spans="2:6" ht="16.5" customHeight="1">
      <x:c r="B75" s="903"/>
      <x:c r="C75" s="901" t="s">
        <x:v>1379</x:v>
      </x:c>
      <x:c r="D75" s="902"/>
      <x:c r="E75" s="897"/>
    </x:row>
    <x:row r="76" spans="2:6" ht="16.5" customHeight="1">
      <x:c r="B76" s="903">
        <x:v>302</x:v>
      </x:c>
      <x:c r="C76" s="903" t="s">
        <x:v>1046</x:v>
      </x:c>
      <x:c r="D76" s="902"/>
      <x:c r="E76" s="897"/>
    </x:row>
    <x:row r="77" spans="2:6" ht="16.5" customHeight="1">
      <x:c r="B77" s="903">
        <x:v>303</x:v>
      </x:c>
      <x:c r="C77" s="903" t="s">
        <x:v>1047</x:v>
      </x:c>
      <x:c r="D77" s="902"/>
      <x:c r="E77" s="897"/>
    </x:row>
    <x:row r="78" spans="2:6" ht="16.5" customHeight="1">
      <x:c r="B78" s="904">
        <x:v>303.10000000000002</x:v>
      </x:c>
      <x:c r="C78" s="904" t="s">
        <x:v>1069</x:v>
      </x:c>
      <x:c r="D78" s="909">
        <x:f>1/2</x:f>
        <x:v>0.5</x:v>
      </x:c>
      <x:c r="E78" s="897"/>
      <x:c r="F78" s="1026"/>
    </x:row>
    <x:row r="79" spans="2:6" ht="16.5" customHeight="1">
      <x:c r="B79" s="904">
        <x:v>303.2</x:v>
      </x:c>
      <x:c r="C79" s="904" t="s">
        <x:v>1048</x:v>
      </x:c>
      <x:c r="D79" s="909">
        <x:v>0.33333333333333331</x:v>
      </x:c>
      <x:c r="E79" s="897"/>
      <x:c r="F79" s="1026"/>
    </x:row>
    <x:row r="80" spans="2:6" ht="16.5" customHeight="1">
      <x:c r="B80" s="904">
        <x:v>303.3</x:v>
      </x:c>
      <x:c r="C80" s="904" t="s">
        <x:v>1049</x:v>
      </x:c>
      <x:c r="D80" s="909">
        <x:v>0.25</x:v>
      </x:c>
      <x:c r="E80" s="897"/>
      <x:c r="F80" s="1026"/>
    </x:row>
    <x:row r="81" spans="2:6" ht="16.5" customHeight="1">
      <x:c r="B81" s="904">
        <x:v>303.39999999999998</x:v>
      </x:c>
      <x:c r="C81" s="904" t="s">
        <x:v>1050</x:v>
      </x:c>
      <x:c r="D81" s="909">
        <x:v>0.2</x:v>
      </x:c>
      <x:c r="E81" s="897"/>
      <x:c r="F81" s="1026"/>
    </x:row>
    <x:row r="82" spans="2:6" ht="16.5" customHeight="1">
      <x:c r="B82" s="904">
        <x:v>303.5</x:v>
      </x:c>
      <x:c r="C82" s="904" t="s">
        <x:v>1051</x:v>
      </x:c>
      <x:c r="D82" s="909">
        <x:v>0.14285714285714285</x:v>
      </x:c>
      <x:c r="E82" s="897"/>
      <x:c r="F82" s="1026"/>
    </x:row>
    <x:row r="83" spans="2:6" ht="16.5" customHeight="1">
      <x:c r="B83" s="904">
        <x:v>303.60000000000002</x:v>
      </x:c>
      <x:c r="C83" s="904" t="s">
        <x:v>1052</x:v>
      </x:c>
      <x:c r="D83" s="909">
        <x:v>0.1</x:v>
      </x:c>
      <x:c r="E83" s="897"/>
      <x:c r="F83" s="1026"/>
    </x:row>
    <x:row r="84" spans="2:6" ht="16.5" customHeight="1">
      <x:c r="B84" s="904">
        <x:v>303.7</x:v>
      </x:c>
      <x:c r="C84" s="904" t="s">
        <x:v>1053</x:v>
      </x:c>
      <x:c r="D84" s="909">
        <x:v>8.3333333333333329E-2</x:v>
      </x:c>
      <x:c r="E84" s="897"/>
      <x:c r="F84" s="1026"/>
    </x:row>
    <x:row r="85" spans="2:6" ht="16.5" customHeight="1">
      <x:c r="B85" s="904">
        <x:v>303.8</x:v>
      </x:c>
      <x:c r="C85" s="904" t="s">
        <x:v>1054</x:v>
      </x:c>
      <x:c r="D85" s="909">
        <x:v>6.6666666666666666E-2</x:v>
      </x:c>
      <x:c r="E85" s="897"/>
      <x:c r="F85" s="1026"/>
    </x:row>
    <x:row r="86" spans="2:6" ht="8.1" customHeight="1">
      <x:c r="B86" s="167"/>
      <x:c r="C86" s="898"/>
      <x:c r="D86" s="899"/>
      <x:c r="E86" s="897"/>
    </x:row>
    <x:row r="87" spans="2:6" ht="91.5" customHeight="1">
      <x:c r="B87" s="1273" t="s">
        <x:v>1070</x:v>
      </x:c>
      <x:c r="C87" s="396" t="s">
        <x:v>2086</x:v>
      </x:c>
    </x:row>
    <x:row r="88" spans="2:6">
      <x:c r="B88" s="904"/>
      <x:c r="C88" s="904"/>
    </x:row>
    <x:row r="89" spans="2:6">
      <x:c r="B89" s="904"/>
      <x:c r="C89" s="904"/>
    </x:row>
  </x:sheetData>
  <x:mergeCells count="2">
    <x:mergeCell ref="A1:E1"/>
    <x:mergeCell ref="A2:E2"/>
  </x:mergeCells>
  <x:phoneticPr fontId="51" type="noConversion"/>
  <x:printOptions horizontalCentered="1" verticalCentered="1"/>
  <x:pageMargins left="0.5" right="0.25" top="0.4" bottom="0.4" header="0.05" footer="0.05"/>
  <x:pageSetup scale="88" fitToHeight="2" orientation="portrait" r:id="rId1"/>
  <x:rowBreaks count="1" manualBreakCount="1">
    <x:brk id="45" max="4"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2022-04-08T15:11:18Z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0e94e4fc-9d02-423e-977a-fcae5a33ad34</vt:lpwstr>
  </op:property>
  <op:property fmtid="{D5CDD505-2E9C-101B-9397-08002B2CF9AE}" pid="17" name="MSIP_Label_c968b3d1-e05f-4796-9c23-acaf26d588cb_ContentBits">
    <vt:lpwstr>0</vt:lpwstr>
  </op:property>
</op:Properties>
</file>