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720" tabRatio="786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RTEP'!$A$1:$I$42</definedName>
    <definedName name="AppxB_Pg2_RTEP">'Appx B - RTEP'!$J$1:$W$52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EKPC!$A$118:$J$180</definedName>
    <definedName name="EKPC_4of6">EKPC!$A$181:$L$255</definedName>
    <definedName name="EKPC_5of6">EKPC!$A$256:$L$310</definedName>
    <definedName name="EKPC_6of6">EKPC!$A$258:$L$310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Adj'!$B$1:$D$31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Str'!$A$1:$H$43</definedName>
    <definedName name="PG4_Support_RevCr">'Pg 6 of 8 Rev Cred Support'!$B$1:$E$49</definedName>
    <definedName name="_xlnm.Print_Area" localSheetId="1">'Appx A - Sch 1A'!$A$1:$H$49</definedName>
    <definedName name="_xlnm.Print_Area" localSheetId="3">'Appx C - True Up'!$A$1:$F$61</definedName>
    <definedName name="_xlnm.Print_Area" localSheetId="4">'Appx D - Deprec'!$A$1:$H$41</definedName>
    <definedName name="_xlnm.Print_Area" localSheetId="0">EKPC!$A$1:$J$302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Adj'!$A$1:$E$36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Load'!$A$1:$P$54</definedName>
    <definedName name="SCH_1A">'Appx A - Sch 1A'!$A$1:$H$46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7" l="1"/>
  <c r="D34" i="67"/>
  <c r="C34" i="67"/>
  <c r="A16" i="67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E34" i="20"/>
  <c r="E31" i="20"/>
  <c r="E29" i="20"/>
  <c r="D33" i="9"/>
  <c r="L34" i="50" l="1"/>
  <c r="L33" i="50"/>
  <c r="L35" i="50" s="1"/>
  <c r="G32" i="50" s="1"/>
  <c r="G34" i="50" s="1"/>
  <c r="G33" i="50"/>
  <c r="E148" i="1"/>
  <c r="E136" i="1"/>
  <c r="E96" i="1"/>
  <c r="E92" i="1"/>
  <c r="E91" i="1"/>
  <c r="E95" i="1"/>
  <c r="E94" i="1"/>
  <c r="E83" i="1"/>
  <c r="E78" i="1"/>
  <c r="E77" i="1"/>
  <c r="E76" i="1"/>
  <c r="E75" i="1"/>
  <c r="P4" i="67" l="1"/>
  <c r="G4" i="26"/>
  <c r="F4" i="20"/>
  <c r="D4" i="37"/>
  <c r="E4" i="9"/>
  <c r="E4" i="19"/>
  <c r="E4" i="32"/>
  <c r="I4" i="66"/>
  <c r="E226" i="1" l="1"/>
  <c r="H224" i="1" s="1"/>
  <c r="J196" i="1"/>
  <c r="E21" i="68" l="1"/>
  <c r="E23" i="68"/>
  <c r="C24" i="26" l="1"/>
  <c r="C17" i="37"/>
  <c r="E21" i="20"/>
  <c r="E24" i="20" s="1"/>
  <c r="D46" i="67" l="1"/>
  <c r="D10" i="67" s="1"/>
  <c r="N46" i="67" l="1"/>
  <c r="N36" i="67" s="1"/>
  <c r="M46" i="67"/>
  <c r="M36" i="67" s="1"/>
  <c r="L46" i="67"/>
  <c r="L36" i="67" s="1"/>
  <c r="K46" i="67"/>
  <c r="K36" i="67" s="1"/>
  <c r="J46" i="67"/>
  <c r="J36" i="67" s="1"/>
  <c r="I46" i="67"/>
  <c r="I36" i="67" s="1"/>
  <c r="H46" i="67"/>
  <c r="H36" i="67" s="1"/>
  <c r="G46" i="67"/>
  <c r="G36" i="67" s="1"/>
  <c r="F46" i="67"/>
  <c r="F10" i="67" s="1"/>
  <c r="K10" i="67" l="1"/>
  <c r="F36" i="67"/>
  <c r="E46" i="68" l="1"/>
  <c r="E16" i="68"/>
  <c r="H77" i="68" l="1"/>
  <c r="I77" i="68" s="1"/>
  <c r="K77" i="68"/>
  <c r="H75" i="68" s="1"/>
  <c r="H76" i="68" l="1"/>
  <c r="I76" i="68" s="1"/>
  <c r="B40" i="67"/>
  <c r="K78" i="68"/>
  <c r="H78" i="68" s="1"/>
  <c r="I78" i="68" s="1"/>
  <c r="K76" i="68"/>
  <c r="K75" i="68" s="1"/>
  <c r="I75" i="68"/>
  <c r="E52" i="67" l="1"/>
  <c r="D52" i="67"/>
  <c r="C52" i="67"/>
  <c r="E46" i="67"/>
  <c r="E48" i="67" s="1"/>
  <c r="D48" i="67"/>
  <c r="D54" i="67" s="1"/>
  <c r="C46" i="67"/>
  <c r="C48" i="67" s="1"/>
  <c r="E54" i="67" l="1"/>
  <c r="C54" i="67"/>
  <c r="E32" i="67" l="1"/>
  <c r="E48" i="68" l="1"/>
  <c r="E18" i="68"/>
  <c r="E52" i="68" l="1"/>
  <c r="C32" i="67" l="1"/>
  <c r="O45" i="67" l="1"/>
  <c r="P45" i="67" s="1"/>
  <c r="O44" i="67"/>
  <c r="P44" i="67" s="1"/>
  <c r="C10" i="67" l="1"/>
  <c r="N10" i="67"/>
  <c r="M10" i="67"/>
  <c r="L10" i="67"/>
  <c r="J10" i="67"/>
  <c r="I10" i="67"/>
  <c r="H10" i="67"/>
  <c r="G10" i="67"/>
  <c r="E10" i="67"/>
  <c r="P46" i="67"/>
  <c r="O46" i="67"/>
  <c r="E36" i="67" l="1"/>
  <c r="D32" i="67"/>
  <c r="C36" i="67"/>
  <c r="D36" i="67" l="1"/>
  <c r="O36" i="67" s="1"/>
  <c r="P36" i="67" s="1"/>
  <c r="E51" i="68"/>
  <c r="A37" i="68" l="1"/>
  <c r="A6" i="68"/>
  <c r="A6" i="41"/>
  <c r="B7" i="26"/>
  <c r="B6" i="26"/>
  <c r="G1" i="26"/>
  <c r="A13" i="67"/>
  <c r="A14" i="67" s="1"/>
  <c r="A15" i="67" s="1"/>
  <c r="G36" i="50" l="1"/>
  <c r="A266" i="1" l="1"/>
  <c r="A268" i="1"/>
  <c r="A18" i="32" l="1"/>
  <c r="A19" i="32" s="1"/>
  <c r="A20" i="32" s="1"/>
  <c r="A21" i="32" s="1"/>
  <c r="A22" i="32" s="1"/>
  <c r="A23" i="32" s="1"/>
  <c r="D19" i="19"/>
  <c r="E140" i="1"/>
  <c r="E21" i="1"/>
  <c r="A41" i="68" l="1"/>
  <c r="E25" i="41"/>
  <c r="A11" i="41"/>
  <c r="A10" i="68"/>
  <c r="J258" i="1"/>
  <c r="J181" i="1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H17" i="37" l="1"/>
  <c r="J234" i="1" l="1"/>
  <c r="C26" i="26"/>
  <c r="P1" i="67"/>
  <c r="D25" i="26" l="1"/>
  <c r="D24" i="26"/>
  <c r="J233" i="1"/>
  <c r="E239" i="1" s="1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A10" i="26" l="1"/>
  <c r="B2" i="67"/>
  <c r="A34" i="67" l="1"/>
  <c r="A36" i="67" s="1"/>
  <c r="C16" i="66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29" i="1" l="1"/>
  <c r="E240" i="1" l="1"/>
  <c r="J236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4" i="41" s="1"/>
  <c r="G1" i="50"/>
  <c r="E24" i="26" l="1"/>
  <c r="F24" i="26" s="1"/>
  <c r="E241" i="1"/>
  <c r="F239" i="1" s="1"/>
  <c r="E25" i="26" l="1"/>
  <c r="H240" i="1" s="1"/>
  <c r="H239" i="1"/>
  <c r="J239" i="1" s="1"/>
  <c r="F240" i="1"/>
  <c r="J240" i="1" l="1"/>
  <c r="E166" i="1"/>
  <c r="J243" i="1" l="1"/>
  <c r="J241" i="1"/>
  <c r="F25" i="26"/>
  <c r="D37" i="9"/>
  <c r="D42" i="9" s="1"/>
  <c r="E17" i="37"/>
  <c r="F26" i="26" l="1"/>
  <c r="F28" i="26"/>
  <c r="G18" i="50"/>
  <c r="G19" i="50" s="1"/>
  <c r="A4" i="64"/>
  <c r="A8" i="41"/>
  <c r="A6" i="50"/>
  <c r="A191" i="1"/>
  <c r="A128" i="1"/>
  <c r="A67" i="1"/>
  <c r="G20" i="50" l="1"/>
  <c r="G25" i="50" s="1"/>
  <c r="G29" i="50" s="1"/>
  <c r="A8" i="50"/>
  <c r="A189" i="1"/>
  <c r="A126" i="1"/>
  <c r="A65" i="1"/>
  <c r="C23" i="32"/>
  <c r="E107" i="1" s="1"/>
  <c r="C21" i="37"/>
  <c r="J198" i="1" s="1"/>
  <c r="J199" i="1" s="1"/>
  <c r="J201" i="1" s="1"/>
  <c r="E36" i="20"/>
  <c r="E40" i="20" s="1"/>
  <c r="E46" i="20" s="1"/>
  <c r="J252" i="1"/>
  <c r="D26" i="9"/>
  <c r="D28" i="9" s="1"/>
  <c r="E135" i="1" s="1"/>
  <c r="D19" i="9"/>
  <c r="E137" i="1" s="1"/>
  <c r="D23" i="32"/>
  <c r="I4" i="41"/>
  <c r="G5" i="50"/>
  <c r="J206" i="1" l="1"/>
  <c r="J254" i="1"/>
  <c r="E20" i="1" s="1"/>
  <c r="J143" i="1"/>
  <c r="E161" i="1" l="1"/>
  <c r="C149" i="1" l="1"/>
  <c r="C147" i="1"/>
  <c r="E139" i="1" l="1"/>
  <c r="G22" i="1" l="1"/>
  <c r="G21" i="1"/>
  <c r="G20" i="1"/>
  <c r="Q9" i="41" l="1"/>
  <c r="A265" i="1" l="1"/>
  <c r="A188" i="1"/>
  <c r="B39" i="50"/>
  <c r="A125" i="1"/>
  <c r="A64" i="1"/>
  <c r="E39" i="50" l="1"/>
  <c r="J249" i="1" l="1"/>
  <c r="J250" i="1" s="1"/>
  <c r="J222" i="1"/>
  <c r="G159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8" i="1" s="1"/>
  <c r="C83" i="1"/>
  <c r="C91" i="1" s="1"/>
  <c r="J263" i="1" l="1"/>
  <c r="J63" i="1"/>
  <c r="J124" i="1"/>
  <c r="J187" i="1"/>
  <c r="V37" i="41" l="1"/>
  <c r="Q8" i="41"/>
  <c r="W4" i="41"/>
  <c r="E17" i="32" l="1"/>
  <c r="E18" i="32"/>
  <c r="E19" i="32"/>
  <c r="E20" i="32"/>
  <c r="E21" i="32"/>
  <c r="E22" i="32"/>
  <c r="H217" i="1"/>
  <c r="H218" i="1"/>
  <c r="E23" i="32" l="1"/>
  <c r="E19" i="1"/>
  <c r="E219" i="1"/>
  <c r="E150" i="1"/>
  <c r="E167" i="1"/>
  <c r="E105" i="1"/>
  <c r="E88" i="1"/>
  <c r="H215" i="1"/>
  <c r="E80" i="1"/>
  <c r="J205" i="1" l="1"/>
  <c r="J207" i="1" s="1"/>
  <c r="J209" i="1" s="1"/>
  <c r="G39" i="50"/>
  <c r="E171" i="1"/>
  <c r="E97" i="1"/>
  <c r="H23" i="1" l="1"/>
  <c r="H19" i="1"/>
  <c r="J19" i="1" s="1"/>
  <c r="H22" i="1"/>
  <c r="H20" i="1"/>
  <c r="J20" i="1" s="1"/>
  <c r="H21" i="1"/>
  <c r="H147" i="1"/>
  <c r="J147" i="1" s="1"/>
  <c r="F216" i="1"/>
  <c r="H216" i="1" s="1"/>
  <c r="H76" i="1"/>
  <c r="J76" i="1" s="1"/>
  <c r="J210" i="1"/>
  <c r="J211" i="1" s="1"/>
  <c r="H136" i="1" l="1"/>
  <c r="J136" i="1" s="1"/>
  <c r="H84" i="1"/>
  <c r="J84" i="1" s="1"/>
  <c r="J92" i="1" s="1"/>
  <c r="G17" i="41"/>
  <c r="J107" i="1" l="1"/>
  <c r="H135" i="1"/>
  <c r="H111" i="1"/>
  <c r="J111" i="1" s="1"/>
  <c r="H219" i="1"/>
  <c r="J219" i="1" s="1"/>
  <c r="J135" i="1" l="1"/>
  <c r="H141" i="1"/>
  <c r="G18" i="41"/>
  <c r="J22" i="1"/>
  <c r="J21" i="1"/>
  <c r="J24" i="1" s="1"/>
  <c r="D24" i="19" l="1"/>
  <c r="D28" i="19" s="1"/>
  <c r="E141" i="1" s="1"/>
  <c r="E144" i="1" s="1"/>
  <c r="E110" i="1" s="1"/>
  <c r="E113" i="1" s="1"/>
  <c r="H140" i="1"/>
  <c r="J140" i="1" s="1"/>
  <c r="H138" i="1"/>
  <c r="J138" i="1" s="1"/>
  <c r="H155" i="1"/>
  <c r="J155" i="1" s="1"/>
  <c r="H154" i="1"/>
  <c r="J154" i="1" s="1"/>
  <c r="H139" i="1"/>
  <c r="J139" i="1" s="1"/>
  <c r="H137" i="1"/>
  <c r="J137" i="1" s="1"/>
  <c r="J224" i="1"/>
  <c r="J225" i="1" s="1"/>
  <c r="H79" i="1" s="1"/>
  <c r="H78" i="1"/>
  <c r="J78" i="1" s="1"/>
  <c r="E115" i="1" l="1"/>
  <c r="E175" i="1" s="1"/>
  <c r="E170" i="1" s="1"/>
  <c r="E172" i="1" s="1"/>
  <c r="E177" i="1" s="1"/>
  <c r="J141" i="1"/>
  <c r="H86" i="1"/>
  <c r="J86" i="1" l="1"/>
  <c r="J95" i="1" s="1"/>
  <c r="J79" i="1"/>
  <c r="H87" i="1" l="1"/>
  <c r="J87" i="1" s="1"/>
  <c r="H148" i="1"/>
  <c r="J148" i="1" s="1"/>
  <c r="H142" i="1" l="1"/>
  <c r="J142" i="1" s="1"/>
  <c r="J144" i="1" s="1"/>
  <c r="J110" i="1" s="1"/>
  <c r="J80" i="1"/>
  <c r="H80" i="1" s="1"/>
  <c r="H112" i="1" s="1"/>
  <c r="H149" i="1" l="1"/>
  <c r="J88" i="1"/>
  <c r="J96" i="1"/>
  <c r="J97" i="1" s="1"/>
  <c r="J149" i="1" l="1"/>
  <c r="J150" i="1" s="1"/>
  <c r="H157" i="1"/>
  <c r="J157" i="1" s="1"/>
  <c r="J112" i="1"/>
  <c r="J113" i="1" s="1"/>
  <c r="G25" i="41" l="1"/>
  <c r="G26" i="41" s="1"/>
  <c r="I26" i="41" s="1"/>
  <c r="H160" i="1"/>
  <c r="J160" i="1" s="1"/>
  <c r="H159" i="1"/>
  <c r="J159" i="1" s="1"/>
  <c r="G21" i="41"/>
  <c r="G22" i="41" s="1"/>
  <c r="I22" i="41" s="1"/>
  <c r="H97" i="1"/>
  <c r="H101" i="1" s="1"/>
  <c r="J161" i="1" l="1"/>
  <c r="H102" i="1"/>
  <c r="J102" i="1" s="1"/>
  <c r="J101" i="1"/>
  <c r="H171" i="1"/>
  <c r="H103" i="1" l="1"/>
  <c r="J103" i="1" s="1"/>
  <c r="H104" i="1"/>
  <c r="J104" i="1" s="1"/>
  <c r="J171" i="1"/>
  <c r="G29" i="41" l="1"/>
  <c r="G30" i="41" s="1"/>
  <c r="I30" i="41" s="1"/>
  <c r="I32" i="41" l="1"/>
  <c r="O19" i="41" s="1"/>
  <c r="P19" i="41" s="1"/>
  <c r="O17" i="41" l="1"/>
  <c r="P17" i="41" s="1"/>
  <c r="O18" i="41"/>
  <c r="P18" i="41" s="1"/>
  <c r="J105" i="1"/>
  <c r="J115" i="1" l="1"/>
  <c r="J175" i="1" s="1"/>
  <c r="G39" i="41" l="1"/>
  <c r="G40" i="41" s="1"/>
  <c r="I40" i="41" s="1"/>
  <c r="J170" i="1"/>
  <c r="J172" i="1" s="1"/>
  <c r="J177" i="1" s="1"/>
  <c r="J15" i="1" l="1"/>
  <c r="J28" i="1" s="1"/>
  <c r="E40" i="1" l="1"/>
  <c r="E44" i="1" s="1"/>
  <c r="E42" i="1"/>
  <c r="G36" i="41"/>
  <c r="I36" i="41" s="1"/>
  <c r="I42" i="41" s="1"/>
  <c r="E46" i="1" l="1"/>
  <c r="E50" i="1"/>
  <c r="E54" i="1"/>
  <c r="J54" i="1"/>
  <c r="R19" i="41"/>
  <c r="S19" i="41" s="1"/>
  <c r="U19" i="41" s="1"/>
  <c r="W19" i="41" s="1"/>
  <c r="R18" i="41"/>
  <c r="S18" i="41" s="1"/>
  <c r="U18" i="41" s="1"/>
  <c r="W18" i="41" s="1"/>
  <c r="R17" i="41"/>
  <c r="S17" i="41" s="1"/>
  <c r="U17" i="41" s="1"/>
  <c r="U37" i="41" l="1"/>
  <c r="W17" i="41"/>
  <c r="W37" i="41" s="1"/>
  <c r="W39" i="41" s="1"/>
  <c r="E23" i="1" s="1"/>
  <c r="J23" i="1" l="1"/>
  <c r="E20" i="68"/>
  <c r="E24" i="68" l="1"/>
  <c r="E52" i="1" l="1"/>
  <c r="J52" i="1"/>
</calcChain>
</file>

<file path=xl/sharedStrings.xml><?xml version="1.0" encoding="utf-8"?>
<sst xmlns="http://schemas.openxmlformats.org/spreadsheetml/2006/main" count="958" uniqueCount="693">
  <si>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</si>
  <si>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</si>
  <si>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</si>
  <si>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</si>
  <si>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</si>
  <si>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</si>
  <si>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</si>
  <si>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</si>
  <si>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</si>
  <si>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</si>
  <si>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</si>
  <si>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</si>
  <si>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</si>
  <si>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</si>
  <si>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</si>
  <si>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</si>
  <si>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</si>
  <si>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</si>
  <si>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</si>
  <si>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</si>
  <si>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</si>
  <si>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</si>
  <si>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</si>
  <si>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</si>
  <si>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</si>
  <si>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</si>
  <si>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</si>
  <si>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</si>
  <si>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</si>
  <si>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</si>
  <si>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</si>
  <si>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</si>
  <si>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</si>
  <si>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</si>
  <si>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</si>
  <si>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</si>
  <si>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</si>
  <si>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</si>
  <si>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</si>
  <si>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</si>
  <si>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</si>
  <si>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</si>
  <si>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</si>
  <si>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</si>
  <si>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</si>
  <si>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</si>
  <si>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</si>
  <si>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</si>
  <si>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</si>
  <si>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</si>
  <si>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</si>
  <si>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</si>
  <si>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</si>
  <si>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</si>
  <si>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</si>
  <si>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</si>
  <si>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</si>
  <si>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</si>
  <si>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</si>
  <si>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</si>
  <si>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</si>
  <si>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</si>
  <si>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</si>
  <si>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</si>
  <si>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</si>
  <si>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</si>
  <si>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</si>
  <si>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</si>
  <si>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</si>
  <si>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</si>
  <si>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</si>
  <si>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</si>
  <si>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</si>
  <si>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</si>
  <si>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</si>
  <si>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</si>
  <si>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</si>
  <si>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</si>
  <si>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</si>
  <si>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</si>
  <si>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</si>
  <si>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</si>
  <si>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</si>
  <si>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</si>
  <si>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</si>
  <si>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</si>
  <si>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</si>
  <si>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</si>
  <si>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</si>
  <si>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</si>
  <si>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</si>
  <si>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</si>
  <si>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</si>
  <si>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</si>
  <si>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</si>
  <si>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</si>
  <si>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</si>
  <si>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</si>
  <si>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</si>
  <si>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</si>
  <si>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</si>
  <si>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</si>
  <si>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</si>
  <si>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</si>
  <si>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</si>
  <si>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</si>
  <si>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</si>
  <si>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</si>
  <si>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</si>
  <si>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</si>
  <si>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</si>
  <si>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</si>
  <si>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</si>
  <si>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</si>
  <si>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</si>
  <si>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</si>
  <si>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</si>
  <si>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</si>
  <si>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</si>
  <si>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</si>
  <si>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</si>
  <si>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</si>
  <si>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</si>
  <si>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</si>
  <si>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</si>
  <si>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</si>
  <si>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</si>
  <si>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</si>
  <si>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</si>
  <si>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</si>
  <si>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</si>
  <si>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</si>
  <si>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</si>
  <si>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</si>
  <si>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</si>
  <si>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</si>
  <si>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</si>
  <si>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</si>
  <si>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</si>
  <si>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</si>
  <si>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</si>
  <si>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</si>
  <si>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</si>
  <si>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</si>
  <si>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</si>
  <si>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</si>
  <si>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</si>
  <si>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</si>
  <si>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</si>
  <si>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</si>
  <si>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</si>
  <si>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</si>
  <si>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</si>
  <si>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</si>
  <si>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</si>
  <si>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</si>
  <si>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</si>
  <si>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</si>
  <si>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</si>
  <si>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</si>
  <si>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</si>
  <si>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</si>
  <si>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</si>
  <si>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</si>
  <si>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</si>
  <si>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</si>
  <si>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</si>
  <si>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</si>
  <si>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</si>
  <si>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</si>
  <si>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</si>
  <si>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</si>
  <si>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</si>
  <si>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</si>
  <si>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</si>
  <si>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</si>
  <si>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</si>
  <si>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</si>
  <si>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</si>
  <si>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</si>
  <si>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Annual Allocation Factor for Return on Rate Base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</si>
  <si>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</si>
  <si>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</si>
  <si>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</si>
  <si>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</si>
  <si>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</si>
  <si>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</si>
  <si>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</si>
  <si>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</si>
  <si>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</si>
  <si>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</si>
  <si>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</si>
  <si>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</si>
  <si>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</si>
  <si>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</si>
  <si>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</si>
  <si>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</si>
  <si>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</si>
  <si>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</si>
  <si>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</si>
  <si>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</si>
  <si>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</si>
  <si>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</si>
  <si>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</si>
  <si>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</si>
  <si>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</si>
  <si>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</si>
  <si>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</si>
  <si>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</si>
  <si>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</si>
  <si>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</si>
  <si>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</si>
  <si>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</si>
  <si>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</si>
  <si>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</si>
  <si>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</si>
  <si>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</si>
  <si>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</si>
  <si>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</si>
  <si>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</si>
  <si>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</si>
  <si>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</si>
  <si>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</si>
  <si>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</si>
  <si>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</si>
  <si>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</si>
  <si>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</si>
  <si>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</si>
  <si>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</si>
  <si>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</si>
  <si>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</si>
  <si>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</si>
  <si>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</si>
  <si>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</si>
  <si>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</si>
  <si>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</si>
  <si>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</si>
  <si>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</si>
  <si>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</si>
  <si>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</si>
  <si>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</si>
  <si>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</si>
  <si>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</si>
  <si>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</si>
  <si>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</si>
  <si>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</si>
  <si>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</si>
  <si>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</si>
  <si>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</si>
  <si>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</si>
  <si>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</si>
  <si>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</si>
  <si>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</si>
  <si>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</si>
  <si>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</si>
  <si>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</si>
  <si>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</si>
  <si>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</si>
  <si>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</si>
  <si>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</si>
  <si>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</si>
  <si>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</si>
  <si>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</si>
  <si>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</si>
  <si>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</si>
  <si>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</si>
  <si>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</si>
  <si>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</si>
  <si>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</si>
  <si>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</si>
  <si>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</si>
  <si>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</si>
  <si>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</si>
  <si>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</si>
  <si>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</si>
  <si>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</si>
  <si>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</si>
  <si>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</si>
  <si>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</si>
  <si>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</si>
  <si>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</si>
  <si>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</si>
  <si>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</si>
  <si>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</si>
  <si>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</si>
  <si>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</si>
  <si>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</si>
  <si>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</si>
  <si>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</si>
  <si>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</si>
  <si>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</si>
  <si>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</si>
  <si>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</si>
  <si>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</si>
  <si>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</si>
  <si>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</si>
  <si>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</si>
  <si>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</si>
  <si>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</si>
  <si>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</si>
  <si>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</si>
  <si>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</si>
  <si>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</si>
  <si>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</si>
  <si>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</si>
  <si>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</si>
  <si>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</si>
  <si>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</si>
  <si>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</si>
  <si>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</si>
  <si>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</si>
  <si>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</si>
  <si>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</si>
  <si>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</si>
  <si>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</si>
  <si>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</si>
  <si>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</si>
  <si>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</si>
  <si>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</si>
  <si>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</si>
  <si>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</si>
  <si>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</si>
  <si>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</si>
  <si>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</si>
  <si>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</si>
  <si>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</si>
  <si>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</si>
  <si>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</si>
  <si>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</si>
  <si>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</si>
  <si>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</si>
  <si>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</si>
  <si>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</si>
  <si>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</si>
  <si>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</si>
  <si>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</si>
  <si>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</si>
  <si>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</si>
  <si>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</si>
  <si>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</si>
  <si>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</si>
  <si>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</si>
  <si>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</si>
  <si>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</si>
  <si>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</si>
  <si>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</si>
  <si>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</si>
  <si>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</si>
  <si>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</si>
  <si>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</si>
  <si>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</si>
  <si>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</si>
  <si>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</si>
  <si>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</si>
  <si>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</si>
  <si>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</si>
  <si>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</si>
  <si>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</si>
  <si>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</si>
  <si>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</si>
  <si>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</si>
  <si>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</si>
  <si>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</si>
  <si>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</si>
  <si>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</si>
  <si>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</si>
  <si>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</si>
  <si>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</si>
  <si>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</si>
  <si>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</si>
  <si>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</si>
  <si>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</si>
  <si>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</si>
  <si>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</si>
  <si>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</si>
  <si>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</si>
  <si>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</si>
  <si>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</si>
  <si>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</si>
  <si>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</si>
  <si>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</si>
  <si>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</si>
  <si>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</si>
  <si>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</si>
  <si>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</si>
  <si>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</si>
  <si>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</si>
  <si>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</si>
  <si>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</si>
  <si>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</si>
  <si>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</si>
  <si>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</si>
  <si>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</si>
  <si>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</si>
  <si>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</si>
  <si>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</si>
  <si>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</si>
  <si>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</si>
  <si>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</si>
  <si>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</si>
  <si>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</si>
  <si>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</si>
  <si>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</si>
  <si>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</si>
  <si>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</si>
  <si>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</si>
  <si>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</si>
  <si>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</si>
  <si>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</si>
  <si>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</si>
  <si>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</si>
  <si>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</si>
  <si>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</si>
  <si>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</si>
  <si>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</si>
  <si>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</si>
  <si>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</si>
  <si>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</si>
  <si>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</si>
  <si>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</si>
  <si>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</si>
  <si>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</si>
  <si>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</si>
  <si>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</si>
  <si>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</si>
  <si>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</si>
  <si>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</si>
  <si>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</si>
  <si>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</si>
  <si>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</si>
  <si>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</si>
  <si>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</si>
  <si>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</si>
  <si>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</si>
  <si>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</si>
  <si>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</si>
  <si>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</si>
  <si>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</si>
  <si>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</si>
  <si>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</si>
  <si>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</si>
  <si>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</si>
  <si>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</si>
  <si>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</si>
  <si>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</si>
  <si>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</si>
  <si>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</si>
  <si>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</si>
  <si>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</si>
  <si>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</si>
  <si>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</si>
  <si>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</si>
  <si>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</si>
  <si>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</si>
  <si>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</si>
  <si>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</si>
  <si>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</si>
  <si>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</si>
  <si>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</si>
  <si>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</si>
  <si>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</si>
  <si>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</si>
  <si>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</si>
  <si>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</si>
  <si>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</si>
  <si>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</si>
  <si>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</si>
  <si>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</si>
  <si>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</si>
  <si>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</si>
  <si>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</si>
  <si>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</si>
  <si>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</si>
  <si>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</si>
  <si>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</si>
  <si>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</si>
  <si>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</si>
  <si>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</si>
  <si>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</si>
  <si>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</si>
  <si>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</si>
  <si>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</si>
  <si>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</si>
  <si>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</si>
  <si>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</si>
  <si>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</si>
  <si>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</si>
  <si>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</si>
  <si>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</si>
  <si>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</si>
  <si>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</si>
  <si>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</si>
  <si>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</si>
  <si>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</si>
  <si>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</si>
  <si>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</si>
  <si>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</si>
  <si>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</si>
  <si>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</si>
  <si>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</si>
  <si>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</si>
  <si>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</si>
  <si>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</si>
  <si>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</si>
  <si>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</si>
  <si>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</si>
  <si>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</si>
  <si>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</si>
  <si>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</si>
  <si>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</si>
  <si>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</si>
  <si>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</si>
  <si>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</si>
  <si>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</si>
  <si>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</si>
  <si>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</si>
  <si>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</si>
  <si>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</si>
  <si>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</si>
  <si>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</si>
  <si>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</si>
  <si>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</si>
  <si>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</si>
  <si>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</si>
  <si>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</si>
  <si>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</si>
  <si>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</si>
  <si>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</si>
  <si>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</si>
  <si>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</si>
  <si>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</si>
  <si>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</si>
  <si>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</si>
  <si>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</si>
  <si>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</si>
  <si>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</si>
  <si>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</si>
  <si>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</si>
  <si>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</si>
  <si>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</si>
  <si>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</si>
  <si>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</si>
  <si>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</si>
  <si>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</si>
  <si>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</si>
  <si>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</si>
  <si>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</si>
  <si>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</si>
  <si>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</si>
  <si>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</si>
  <si>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</si>
  <si>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</si>
  <si>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</si>
  <si>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</si>
  <si>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</si>
  <si>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</si>
  <si>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</si>
  <si>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</si>
  <si>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</si>
  <si>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</si>
  <si>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</si>
  <si>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</si>
  <si>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</si>
  <si>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</si>
  <si>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</si>
  <si>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</si>
  <si>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</si>
  <si>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</si>
  <si>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</si>
  <si>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</si>
  <si>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</si>
  <si>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</si>
  <si>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</si>
  <si>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 xml:space="preserve"> (1) GSU capital costs that are included in the Transmission capital Account 353; amounts sourced from EKPC's PeopleSoft Asset Management System.</t>
  </si>
  <si>
    <t>Note 5</t>
  </si>
  <si>
    <t>R =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</si>
  <si>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</si>
  <si>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</si>
  <si>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</si>
  <si>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</si>
  <si>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</si>
  <si>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</si>
  <si>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</si>
  <si>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</si>
  <si>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</si>
  <si>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</si>
  <si>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</si>
  <si>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</si>
  <si>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</si>
  <si>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</si>
  <si>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</si>
  <si>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</si>
  <si>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</si>
  <si>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</si>
  <si>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</si>
  <si>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</si>
  <si>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</si>
  <si>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</si>
  <si>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</si>
  <si>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</si>
  <si>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</si>
  <si>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</si>
  <si>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</si>
  <si>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</si>
  <si>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</si>
  <si>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</si>
  <si>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</si>
  <si>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</si>
  <si>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</si>
  <si>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</si>
  <si>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t>GSU's in Trans (353000); remainder in 345</t>
  </si>
  <si>
    <t>z</t>
  </si>
  <si>
    <t>Depreciation Rates approved in KPSC Case No. 2021-00103 and accepted for filing,</t>
  </si>
  <si>
    <t>as requested, effective June 1, 2022 in FERC Docket No. ER22-2163.</t>
  </si>
  <si>
    <t>Sourced from EKPC Form FF1, Ref Pg 310, Part Two, Total RQ, adjusted for equivalent steam sold</t>
  </si>
  <si>
    <t>FF1, Ref Page 310, Part Two, Non Requirements Service, Line 20</t>
  </si>
  <si>
    <t>Times Interest Earned Ratio (TIER) of 1.50 approved in KPSC Case No. 2021-00103,</t>
  </si>
  <si>
    <t>FF1, Ref Page 304, Line 8</t>
  </si>
  <si>
    <t>.</t>
  </si>
  <si>
    <t xml:space="preserve">  [Rate Base (page 2, line 30) * Rate of Return (page 4, line 29)]</t>
  </si>
  <si>
    <t xml:space="preserve">  Total (sum lines 12-15)</t>
  </si>
  <si>
    <t xml:space="preserve">  Total (sum lines 17 - 19)</t>
  </si>
  <si>
    <t>Less: True Up Under/(Over) Recovery for 12 months ended 12/31/20__</t>
  </si>
  <si>
    <t>Schedule 1A Recovery Amount for 12 Months ended 12/30/20__</t>
  </si>
  <si>
    <t>TIER Target =1.50</t>
  </si>
  <si>
    <t>Revenue requirement from Page 1 of 5, line 7 of Attachment H-24A  for the referenced year.</t>
  </si>
  <si>
    <t>EKPC Attachment H-24A, page 1 of 5, Line 6a for the referenced recovery year</t>
  </si>
  <si>
    <t>Revenue received under PJM Tariff Schedules 7 and 8 under Attachment H-24A for the referenced year.</t>
  </si>
  <si>
    <t>Goes to  Attachment H-24A, page 1 of 5, line 6a</t>
  </si>
  <si>
    <t>Revenue requirement calculated using EKPC Attachment H-24A,  Appendix A and actual cost information for the referenced year.</t>
  </si>
  <si>
    <t>EKPC Attachment H-24A, Appendix A, Line 6a for the referenced recovery year.</t>
  </si>
  <si>
    <t>Revenue received from PJM under PJM Tariff Schedules 7 and 8 for the EKPC Zone under Attachment H-24A for the referenced year.</t>
  </si>
  <si>
    <t>Goes to Attachment H-24A, Appendix A, line 4.</t>
  </si>
  <si>
    <t>Revenue received pursuant to PJM Schedule 1A revenue allocation procedures for transmission service outside of EKPC's zone during the year used to calculate rates under Attachment H-24A</t>
  </si>
  <si>
    <t>Net of revenue from retained leagacy transactions.  See Attachment H-24A, Supporting Exhibit, page 6 of 8.</t>
  </si>
  <si>
    <t>Revenue from AEP Grandfathered Agreement.  See Rev Cred Support, Attachment H-24A, Supporting Exhibit, page 6 of 8, line 16</t>
  </si>
  <si>
    <t>Identified in EKPC Form FF1 as being non-transmission related. See Attachment H-24A, Supporting Exhibit, Pg 2 of 8</t>
  </si>
  <si>
    <t>Line 5 - Remove non-safety related advertising included in Account 930.1.   See Attachment H-24A, Supporting Exhibit, Page 3 of 8, Line 3</t>
  </si>
  <si>
    <t>Line 5a - Remove Total Regulatory Commission Expenses - See Attachment H-24A, Supporting Exhibit, Page 3 of 8, Line 4</t>
  </si>
  <si>
    <t>Line 5b - Add Back Regulatory Commission Expenses directly related to transmission service, ISO filings, or transmission siting - See Attachment H-24A, Supporting Exhibit, Page 3 of 8, Line 6</t>
  </si>
  <si>
    <t>Removes dollar amount of transmission expenses included in the OATT ancillary services rates, included in Account 561.  See Attachment H-24A, Supporting Exhibit, Page 4 of 8.</t>
  </si>
  <si>
    <t>Effective TIER based on calculated amounts</t>
  </si>
  <si>
    <t>Gross Transmission Plant is that identified on page 2 line 2 of Attachment H-24A and includes any sub lines 2a or 2b etc. and is inclusive of any CWIP included in rate base when authorized by FERC order.</t>
  </si>
  <si>
    <t>Net Transmission Plant is that identified on page 2 line 14 of Attachment H-24A and includes any sub lines 14a or 14b etc. and is inclusive of any CWIP included in rate base when authorized by FERC order.</t>
  </si>
  <si>
    <t>The Total General and Common Depreciation Expense excludes any depreciation expense directly associated with a project and thereby included in Attachment H-24A Appendix B, page 2, column 9.</t>
  </si>
  <si>
    <t>Attachment H-24A, p 2, line 2 col 5 (Note A)</t>
  </si>
  <si>
    <t>Attachment H-24A, p 2, line 14 col 5 (Note B)</t>
  </si>
  <si>
    <t>Attachment H-24A, p 3, line 8 col 5</t>
  </si>
  <si>
    <t>Attachment H-24A, p 3, line 20 col 5</t>
  </si>
  <si>
    <t>Attachment H-24A, p 3, line 27 col 5</t>
  </si>
  <si>
    <t>Attachment H-24A, p 3, line 28 col 5</t>
  </si>
  <si>
    <t>RTEP Transmission Enhancement Charges for Attachment H-24A, Page 1, Line 5c</t>
  </si>
  <si>
    <t>(3) To Attachment H-24A, Page 2 of 5, Line 27.</t>
  </si>
  <si>
    <t>(1) To Attachment H-24A, Page 3 of 5, Line 5</t>
  </si>
  <si>
    <t>(3) Portion of regulatory expense for proceedings during the year that were not related to transmission, derived using the transmission function W/S allocator   (See Attachment H-24A, page 4 of 5, line 16)</t>
  </si>
  <si>
    <t>Adjusted A&amp;G Expense - To Attachment H-24A, Page 3 of 5, Line 3</t>
  </si>
  <si>
    <t>Adjusted Transmission Expense - To Attachment H-24A, Page 3 of 5, Line 1</t>
  </si>
  <si>
    <t xml:space="preserve"> (2) To Attachment H-24A Page 4 of 5, Line 7</t>
  </si>
  <si>
    <t xml:space="preserve"> (2) To Attachment H-24A, page 4 of 5, Line 3</t>
  </si>
  <si>
    <t xml:space="preserve">  Revenue Credit Applicable to Attachment H-24A</t>
  </si>
  <si>
    <t>(2) To Attachment H-24A, Page 4 of 5, line 34</t>
  </si>
  <si>
    <t>(4) Revenue from AEP GFA Account 456101- to Attachment H-24A, Page 1 of 5, Line 4.</t>
  </si>
  <si>
    <t>(5) To Attachment H-24A, Page 4 of 5, Line 35</t>
  </si>
  <si>
    <t>EKPC Form FF1 for 2024 Ref Pg 112, Row 23 Bal at End of Year</t>
  </si>
  <si>
    <t>EKPC Form FF1 for 2024 Ref Pg 112, Row 15 Bal at End of Year</t>
  </si>
  <si>
    <t>Actual Transmission Revenue Requirement for 12 Months Ended 12/31/20__ including True Up for 12 months ended 12/31/20__ (1)</t>
  </si>
  <si>
    <t>Less: True Up Under/(Over) Recovery Adjustment for EKPC Appendix H-24A: Adjustment for 12 mo. ended 12/31/20__3  (2)</t>
  </si>
  <si>
    <t>Transmission revenue requirements for the 12 months ended 12/31/20__             (Line 1 - Line 2 )</t>
  </si>
  <si>
    <t>Less: Actual Transmission Revenue Collected for 12 months Ended 12/31/20__ (3)</t>
  </si>
  <si>
    <t>Actual Schedule 1-A Costs for 12 Months Ended 12/31/20__ including True Up for 12 months ended 12/31/20__ (6)</t>
  </si>
  <si>
    <t>Less: True Up Under/(Over) Recovery Adjustment for EKPC Sch. 1A for for 12 mo. ended 12/31/20__  (7)</t>
  </si>
  <si>
    <t>Less: Actual Sch. 1A Revenue Collected for 12 months Ended 12/31/20__ (8)</t>
  </si>
  <si>
    <r>
      <t xml:space="preserve">See: </t>
    </r>
    <r>
      <rPr>
        <b/>
        <i/>
        <sz val="12"/>
        <rFont val="Arial"/>
        <family val="2"/>
      </rPr>
      <t>https://www.ferc.gov/interest-calculation-rates-and-methodology</t>
    </r>
    <r>
      <rPr>
        <sz val="12"/>
        <rFont val="Arial"/>
        <family val="2"/>
      </rPr>
      <t xml:space="preserve"> for the appropriate Month</t>
    </r>
  </si>
  <si>
    <r>
      <t xml:space="preserve">See: </t>
    </r>
    <r>
      <rPr>
        <b/>
        <i/>
        <sz val="12"/>
        <rFont val="Arial"/>
        <family val="2"/>
      </rPr>
      <t>https://www.ferc.gov/interest-calculation-rates-and-methodology</t>
    </r>
    <r>
      <rPr>
        <sz val="12"/>
        <rFont val="Arial"/>
        <family val="2"/>
      </rPr>
      <t xml:space="preserve"> for the appropriate Months</t>
    </r>
  </si>
  <si>
    <t>(line 10 divided by line 2 col 3)</t>
  </si>
  <si>
    <t>(line 12 divided by line 2 col 3)</t>
  </si>
  <si>
    <t>Amount from Attachment H-24A, Appendix C, line18 for stated year.</t>
  </si>
  <si>
    <t>TOTAL REVENUE CREDITS (sum lines 2 - 5a)</t>
  </si>
  <si>
    <t>TOTAL O&amp;M   (sum lines 1, 3, 5b,  6, 7 less lines 2, 4, 5, 5a)</t>
  </si>
  <si>
    <t>354.21,22,23.b</t>
  </si>
  <si>
    <t>200.3.d</t>
  </si>
  <si>
    <t>200.3.e</t>
  </si>
  <si>
    <t>For the 12 months ended 12/31/2025</t>
  </si>
  <si>
    <t>Utilizing EKPC 2024 Form FF1 Data (ver. FINAL - AUDITED)</t>
  </si>
  <si>
    <t>&lt;&lt;&lt;&lt;&lt;&lt;&lt;&lt;&lt;</t>
  </si>
  <si>
    <t>YTD 03-25 Billing Report</t>
  </si>
  <si>
    <t>2025 PJM Load Forecaat (Apr-Dec)</t>
  </si>
  <si>
    <t>EKPC Subs in LGE/KU service area (Apr-Dec)</t>
  </si>
  <si>
    <t>2025 Requirements Sales for Resale</t>
  </si>
  <si>
    <t>2025 est MWhs</t>
  </si>
  <si>
    <t>For Rates Effective June 1, 2025</t>
  </si>
  <si>
    <t xml:space="preserve">  Duke Kentucky (Long Branch Dist #1)</t>
  </si>
  <si>
    <t xml:space="preserve">  (Long Branch Dist #2)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</si>
</sst>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  <numFmt numFmtId="282" formatCode="_(* #,##0.0_);_(* \(#,##0.0\);_(* &quot;-&quot;??_);_(@_)"/>
  </numFmts>
  <fonts count="125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i/>
      <sz val="12"/>
      <color rgb="FFFF0000"/>
      <name val="Arial"/>
      <family val="2"/>
    </font>
    <font>
      <i/>
      <sz val="12"/>
      <name val="Arial MT"/>
    </font>
    <font>
      <b/>
      <i/>
      <sz val="12"/>
      <color rgb="FFFF0000"/>
      <name val="Arial"/>
      <family val="2"/>
    </font>
    <font>
      <i/>
      <u/>
      <sz val="12"/>
      <name val="Arial MT"/>
    </font>
    <font>
      <u val="singleAccounting"/>
      <sz val="12"/>
      <color rgb="FF0000FF"/>
      <name val="Arial MT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7" fillId="0" borderId="0" applyNumberFormat="0" applyFill="0" applyBorder="0" applyAlignment="0" applyProtection="0"/>
  </cellStyleXfs>
  <cellXfs count="696">
    <xf numFmtId="173" fontId="0" fillId="0" borderId="0" xfId="0"/>
    <xf numFmtId="173" fontId="6" fillId="0" borderId="0" xfId="0" applyFo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/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NumberFormat="1" applyFont="1" applyProtection="1">
      <protection locked="0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 applyProtection="1">
      <alignment horizontal="center"/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Alignment="1">
      <alignment horizontal="center"/>
    </xf>
    <xf numFmtId="0" fontId="8" fillId="0" borderId="0" xfId="0" applyNumberFormat="1" applyFont="1"/>
    <xf numFmtId="0" fontId="3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0" xfId="0" applyNumberFormat="1" applyFont="1"/>
    <xf numFmtId="10" fontId="0" fillId="0" borderId="0" xfId="11" applyNumberFormat="1" applyFont="1" applyFill="1" applyBorder="1" applyAlignment="1"/>
    <xf numFmtId="10" fontId="8" fillId="0" borderId="0" xfId="0" applyNumberFormat="1" applyFont="1"/>
    <xf numFmtId="3" fontId="10" fillId="0" borderId="0" xfId="0" applyNumberFormat="1" applyFont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173" fontId="10" fillId="0" borderId="0" xfId="0" applyFont="1"/>
    <xf numFmtId="3" fontId="8" fillId="0" borderId="0" xfId="0" applyNumberFormat="1" applyFont="1"/>
    <xf numFmtId="10" fontId="8" fillId="0" borderId="0" xfId="11" applyNumberFormat="1" applyFont="1" applyFill="1" applyBorder="1" applyAlignment="1"/>
    <xf numFmtId="173" fontId="11" fillId="0" borderId="0" xfId="0" applyFont="1"/>
    <xf numFmtId="164" fontId="6" fillId="0" borderId="0" xfId="0" applyNumberFormat="1" applyFont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173" fontId="6" fillId="0" borderId="0" xfId="0" applyFont="1" applyAlignment="1">
      <alignment horizontal="right"/>
    </xf>
    <xf numFmtId="177" fontId="8" fillId="0" borderId="0" xfId="0" applyNumberFormat="1" applyFont="1" applyAlignment="1">
      <alignment horizontal="center"/>
    </xf>
    <xf numFmtId="0" fontId="8" fillId="0" borderId="12" xfId="0" applyNumberFormat="1" applyFont="1" applyBorder="1" applyAlignment="1">
      <alignment horizontal="center" wrapText="1"/>
    </xf>
    <xf numFmtId="3" fontId="8" fillId="0" borderId="10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0" fontId="6" fillId="0" borderId="11" xfId="0" applyNumberFormat="1" applyFont="1" applyBorder="1"/>
    <xf numFmtId="0" fontId="6" fillId="0" borderId="12" xfId="0" applyNumberFormat="1" applyFont="1" applyBorder="1"/>
    <xf numFmtId="0" fontId="6" fillId="0" borderId="12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 wrapText="1"/>
    </xf>
    <xf numFmtId="0" fontId="6" fillId="0" borderId="3" xfId="0" applyNumberFormat="1" applyFont="1" applyBorder="1"/>
    <xf numFmtId="0" fontId="6" fillId="0" borderId="13" xfId="0" applyNumberFormat="1" applyFont="1" applyBorder="1"/>
    <xf numFmtId="3" fontId="6" fillId="0" borderId="13" xfId="0" applyNumberFormat="1" applyFont="1" applyBorder="1"/>
    <xf numFmtId="173" fontId="5" fillId="0" borderId="0" xfId="0" applyFo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/>
    <xf numFmtId="173" fontId="4" fillId="0" borderId="0" xfId="0" applyFont="1"/>
    <xf numFmtId="49" fontId="4" fillId="0" borderId="0" xfId="0" applyNumberFormat="1" applyFont="1" applyAlignment="1">
      <alignment horizontal="center"/>
    </xf>
    <xf numFmtId="0" fontId="22" fillId="0" borderId="0" xfId="5" applyFont="1" applyAlignment="1">
      <alignment horizontal="centerContinuous"/>
    </xf>
    <xf numFmtId="42" fontId="6" fillId="0" borderId="0" xfId="7" applyNumberFormat="1" applyFont="1"/>
    <xf numFmtId="42" fontId="30" fillId="0" borderId="0" xfId="7" applyNumberFormat="1" applyFont="1" applyAlignment="1">
      <alignment vertical="center"/>
    </xf>
    <xf numFmtId="0" fontId="6" fillId="0" borderId="0" xfId="0" applyNumberFormat="1" applyFont="1" applyAlignment="1" applyProtection="1">
      <alignment horizontal="centerContinuous"/>
      <protection locked="0"/>
    </xf>
    <xf numFmtId="3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/>
    <xf numFmtId="0" fontId="25" fillId="0" borderId="0" xfId="15" applyFont="1"/>
    <xf numFmtId="0" fontId="9" fillId="0" borderId="0" xfId="15" quotePrefix="1" applyFont="1"/>
    <xf numFmtId="175" fontId="9" fillId="0" borderId="0" xfId="15" applyNumberFormat="1" applyFont="1"/>
    <xf numFmtId="173" fontId="0" fillId="0" borderId="0" xfId="0" applyAlignment="1">
      <alignment horizontal="centerContinuous"/>
    </xf>
    <xf numFmtId="0" fontId="8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/>
    <xf numFmtId="173" fontId="3" fillId="0" borderId="0" xfId="325"/>
    <xf numFmtId="0" fontId="6" fillId="0" borderId="0" xfId="325" applyNumberFormat="1" applyFont="1"/>
    <xf numFmtId="0" fontId="3" fillId="0" borderId="0" xfId="325" applyNumberFormat="1"/>
    <xf numFmtId="0" fontId="92" fillId="0" borderId="0" xfId="326"/>
    <xf numFmtId="0" fontId="6" fillId="0" borderId="0" xfId="325" applyNumberFormat="1" applyFont="1" applyProtection="1">
      <protection locked="0"/>
    </xf>
    <xf numFmtId="0" fontId="6" fillId="0" borderId="0" xfId="326" applyFont="1"/>
    <xf numFmtId="173" fontId="6" fillId="0" borderId="0" xfId="325" applyFont="1" applyProtection="1">
      <protection locked="0"/>
    </xf>
    <xf numFmtId="0" fontId="3" fillId="0" borderId="0" xfId="325" applyNumberFormat="1" applyAlignment="1" applyProtection="1">
      <alignment horizontal="center"/>
      <protection locked="0"/>
    </xf>
    <xf numFmtId="274" fontId="6" fillId="0" borderId="0" xfId="325" applyNumberFormat="1" applyFont="1"/>
    <xf numFmtId="0" fontId="6" fillId="0" borderId="0" xfId="326" quotePrefix="1" applyFont="1"/>
    <xf numFmtId="0" fontId="6" fillId="0" borderId="0" xfId="326" applyFont="1" applyAlignment="1">
      <alignment horizontal="center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Protection="1">
      <protection locked="0"/>
    </xf>
    <xf numFmtId="42" fontId="6" fillId="0" borderId="0" xfId="325" applyNumberFormat="1" applyFont="1" applyProtection="1"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Font="1" applyAlignment="1">
      <alignment horizontal="left"/>
    </xf>
    <xf numFmtId="0" fontId="6" fillId="0" borderId="0" xfId="326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/>
    <xf numFmtId="49" fontId="12" fillId="0" borderId="0" xfId="0" applyNumberFormat="1" applyFont="1" applyAlignment="1">
      <alignment horizontal="center"/>
    </xf>
    <xf numFmtId="0" fontId="6" fillId="0" borderId="0" xfId="0" applyNumberFormat="1" applyFont="1" applyAlignment="1" applyProtection="1">
      <alignment horizontal="center"/>
      <protection locked="0"/>
    </xf>
    <xf numFmtId="173" fontId="23" fillId="0" borderId="0" xfId="0" applyFont="1" applyAlignment="1">
      <alignment horizontal="center" wrapText="1"/>
    </xf>
    <xf numFmtId="41" fontId="6" fillId="0" borderId="0" xfId="0" applyNumberFormat="1" applyFont="1"/>
    <xf numFmtId="41" fontId="23" fillId="0" borderId="0" xfId="0" applyNumberFormat="1" applyFont="1"/>
    <xf numFmtId="42" fontId="30" fillId="0" borderId="0" xfId="0" applyNumberFormat="1" applyFont="1"/>
    <xf numFmtId="0" fontId="6" fillId="0" borderId="0" xfId="5" applyFont="1"/>
    <xf numFmtId="0" fontId="6" fillId="0" borderId="0" xfId="5" applyFont="1" applyAlignment="1">
      <alignment horizontal="center"/>
    </xf>
    <xf numFmtId="0" fontId="6" fillId="0" borderId="0" xfId="5" applyFont="1" applyAlignment="1">
      <alignment horizontal="left" indent="1"/>
    </xf>
    <xf numFmtId="0" fontId="6" fillId="0" borderId="0" xfId="7" applyFont="1" applyAlignment="1">
      <alignment horizontal="left" indent="1"/>
    </xf>
    <xf numFmtId="0" fontId="6" fillId="0" borderId="0" xfId="7" applyFont="1" applyAlignment="1">
      <alignment horizontal="right"/>
    </xf>
    <xf numFmtId="0" fontId="93" fillId="0" borderId="0" xfId="325" applyNumberFormat="1" applyFont="1" applyAlignment="1" applyProtection="1">
      <alignment horizontal="left"/>
      <protection locked="0"/>
    </xf>
    <xf numFmtId="0" fontId="3" fillId="0" borderId="6" xfId="325" applyNumberFormat="1" applyBorder="1" applyAlignment="1" applyProtection="1">
      <alignment horizontal="center"/>
      <protection locked="0"/>
    </xf>
    <xf numFmtId="0" fontId="90" fillId="0" borderId="0" xfId="0" applyNumberFormat="1" applyFont="1" applyAlignment="1" applyProtection="1">
      <alignment horizontal="center"/>
      <protection locked="0"/>
    </xf>
    <xf numFmtId="173" fontId="93" fillId="0" borderId="0" xfId="0" applyFont="1"/>
    <xf numFmtId="0" fontId="90" fillId="0" borderId="0" xfId="0" applyNumberFormat="1" applyFont="1"/>
    <xf numFmtId="173" fontId="90" fillId="0" borderId="0" xfId="0" applyFont="1" applyAlignment="1">
      <alignment horizontal="center"/>
    </xf>
    <xf numFmtId="0" fontId="0" fillId="0" borderId="0" xfId="0" applyNumberFormat="1" applyAlignment="1" applyProtection="1">
      <alignment horizontal="centerContinuous"/>
      <protection locked="0"/>
    </xf>
    <xf numFmtId="0" fontId="6" fillId="0" borderId="0" xfId="8" applyFont="1" applyAlignment="1">
      <alignment horizontal="right"/>
    </xf>
    <xf numFmtId="173" fontId="8" fillId="0" borderId="0" xfId="0" applyFont="1" applyAlignment="1">
      <alignment horizontal="left"/>
    </xf>
    <xf numFmtId="41" fontId="6" fillId="0" borderId="0" xfId="7" applyNumberFormat="1" applyFont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/>
    <xf numFmtId="0" fontId="9" fillId="0" borderId="0" xfId="9" applyFont="1"/>
    <xf numFmtId="0" fontId="2" fillId="0" borderId="0" xfId="329"/>
    <xf numFmtId="0" fontId="2" fillId="0" borderId="0" xfId="329" applyAlignment="1">
      <alignment horizontal="center"/>
    </xf>
    <xf numFmtId="0" fontId="6" fillId="0" borderId="0" xfId="330" applyFont="1" applyAlignment="1">
      <alignment horizontal="center"/>
    </xf>
    <xf numFmtId="0" fontId="95" fillId="0" borderId="0" xfId="329" quotePrefix="1" applyFont="1"/>
    <xf numFmtId="0" fontId="9" fillId="0" borderId="0" xfId="0" applyNumberFormat="1" applyFont="1"/>
    <xf numFmtId="0" fontId="8" fillId="0" borderId="0" xfId="7" applyFont="1"/>
    <xf numFmtId="0" fontId="32" fillId="0" borderId="0" xfId="7" applyFont="1"/>
    <xf numFmtId="0" fontId="8" fillId="0" borderId="0" xfId="7" applyFont="1" applyAlignment="1">
      <alignment horizontal="right"/>
    </xf>
    <xf numFmtId="174" fontId="6" fillId="0" borderId="0" xfId="7" applyNumberFormat="1" applyFont="1"/>
    <xf numFmtId="174" fontId="6" fillId="0" borderId="0" xfId="89" applyNumberFormat="1" applyFont="1" applyFill="1"/>
    <xf numFmtId="173" fontId="35" fillId="13" borderId="0" xfId="0" applyFont="1" applyFill="1"/>
    <xf numFmtId="173" fontId="6" fillId="13" borderId="0" xfId="0" applyFont="1" applyFill="1"/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Alignment="1" applyProtection="1">
      <alignment horizontal="center"/>
      <protection locked="0"/>
    </xf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166" fontId="6" fillId="13" borderId="0" xfId="0" applyNumberFormat="1" applyFont="1" applyFill="1"/>
    <xf numFmtId="37" fontId="6" fillId="13" borderId="0" xfId="0" applyNumberFormat="1" applyFont="1" applyFill="1"/>
    <xf numFmtId="3" fontId="6" fillId="13" borderId="0" xfId="0" applyNumberFormat="1" applyFont="1" applyFill="1" applyAlignment="1">
      <alignment horizontal="fill"/>
    </xf>
    <xf numFmtId="172" fontId="6" fillId="13" borderId="0" xfId="0" applyNumberFormat="1" applyFont="1" applyFill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/>
    <xf numFmtId="3" fontId="8" fillId="13" borderId="0" xfId="0" applyNumberFormat="1" applyFont="1" applyFill="1"/>
    <xf numFmtId="3" fontId="7" fillId="13" borderId="0" xfId="0" applyNumberFormat="1" applyFont="1" applyFill="1"/>
    <xf numFmtId="165" fontId="6" fillId="13" borderId="0" xfId="0" applyNumberFormat="1" applyFont="1" applyFill="1"/>
    <xf numFmtId="37" fontId="6" fillId="13" borderId="1" xfId="0" applyNumberFormat="1" applyFont="1" applyFill="1" applyBorder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/>
    <xf numFmtId="3" fontId="6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/>
    <xf numFmtId="0" fontId="90" fillId="13" borderId="0" xfId="0" applyNumberFormat="1" applyFont="1" applyFill="1"/>
    <xf numFmtId="173" fontId="90" fillId="13" borderId="0" xfId="0" applyFont="1" applyFill="1" applyAlignment="1">
      <alignment horizontal="center"/>
    </xf>
    <xf numFmtId="3" fontId="90" fillId="13" borderId="0" xfId="0" applyNumberFormat="1" applyFont="1" applyFill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/>
    <xf numFmtId="0" fontId="8" fillId="13" borderId="0" xfId="0" applyNumberFormat="1" applyFont="1" applyFill="1" applyAlignment="1">
      <alignment horizontal="centerContinuous"/>
    </xf>
    <xf numFmtId="3" fontId="6" fillId="13" borderId="1" xfId="0" applyNumberFormat="1" applyFont="1" applyFill="1" applyBorder="1"/>
    <xf numFmtId="165" fontId="6" fillId="13" borderId="0" xfId="0" applyNumberFormat="1" applyFont="1" applyFill="1" applyAlignment="1">
      <alignment horizontal="right"/>
    </xf>
    <xf numFmtId="3" fontId="6" fillId="13" borderId="1" xfId="0" applyNumberFormat="1" applyFont="1" applyFill="1" applyBorder="1" applyAlignment="1">
      <alignment horizontal="center"/>
    </xf>
    <xf numFmtId="0" fontId="6" fillId="13" borderId="0" xfId="0" applyNumberFormat="1" applyFont="1" applyFill="1" applyAlignment="1">
      <alignment horizontal="left"/>
    </xf>
    <xf numFmtId="173" fontId="6" fillId="13" borderId="0" xfId="0" applyFont="1" applyFill="1" applyProtection="1"/>
    <xf numFmtId="38" fontId="6" fillId="13" borderId="0" xfId="0" applyNumberFormat="1" applyFont="1" applyFill="1" applyProtection="1"/>
    <xf numFmtId="173" fontId="6" fillId="13" borderId="1" xfId="0" applyFont="1" applyFill="1" applyBorder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/>
    <xf numFmtId="172" fontId="6" fillId="13" borderId="0" xfId="0" applyNumberFormat="1" applyFont="1" applyFill="1" applyProtection="1">
      <protection locked="0"/>
    </xf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Font="1" applyFill="1" applyProtection="1">
      <protection locked="0"/>
    </xf>
    <xf numFmtId="3" fontId="6" fillId="13" borderId="0" xfId="0" applyNumberFormat="1" applyFont="1" applyFill="1" applyProtection="1"/>
    <xf numFmtId="0" fontId="27" fillId="13" borderId="0" xfId="0" applyNumberFormat="1" applyFont="1" applyFill="1" applyProtection="1">
      <protection locked="0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Alignment="1">
      <alignment horizontal="left" indent="1"/>
    </xf>
    <xf numFmtId="0" fontId="96" fillId="0" borderId="0" xfId="7" applyFont="1" applyAlignment="1">
      <alignment horizontal="left" vertic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8" fillId="0" borderId="0" xfId="0" applyNumberFormat="1" applyFont="1" applyAlignment="1">
      <alignment horizontal="center"/>
    </xf>
    <xf numFmtId="166" fontId="6" fillId="0" borderId="0" xfId="0" applyNumberFormat="1" applyFont="1"/>
    <xf numFmtId="37" fontId="6" fillId="0" borderId="0" xfId="0" applyNumberFormat="1" applyFont="1"/>
    <xf numFmtId="0" fontId="25" fillId="0" borderId="0" xfId="9" applyFont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Alignment="1">
      <alignment horizontal="center"/>
    </xf>
    <xf numFmtId="0" fontId="9" fillId="0" borderId="0" xfId="15" applyFont="1" applyAlignment="1">
      <alignment horizontal="center"/>
    </xf>
    <xf numFmtId="15" fontId="9" fillId="0" borderId="0" xfId="15" quotePrefix="1" applyNumberFormat="1" applyFont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43" fontId="6" fillId="13" borderId="0" xfId="1" applyFont="1" applyFill="1"/>
    <xf numFmtId="173" fontId="6" fillId="13" borderId="0" xfId="0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4" fontId="12" fillId="0" borderId="6" xfId="1" applyNumberFormat="1" applyFont="1" applyFill="1" applyBorder="1"/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175" fontId="8" fillId="0" borderId="0" xfId="0" applyNumberFormat="1" applyFont="1"/>
    <xf numFmtId="0" fontId="12" fillId="0" borderId="6" xfId="8" applyFont="1" applyBorder="1"/>
    <xf numFmtId="173" fontId="6" fillId="0" borderId="6" xfId="0" applyFont="1" applyBorder="1"/>
    <xf numFmtId="0" fontId="93" fillId="0" borderId="6" xfId="325" applyNumberFormat="1" applyFont="1" applyBorder="1" applyAlignment="1" applyProtection="1">
      <alignment horizontal="center"/>
      <protection locked="0"/>
    </xf>
    <xf numFmtId="0" fontId="6" fillId="0" borderId="6" xfId="326" applyFont="1" applyBorder="1"/>
    <xf numFmtId="173" fontId="6" fillId="0" borderId="0" xfId="0" quotePrefix="1" applyFont="1"/>
    <xf numFmtId="0" fontId="6" fillId="0" borderId="0" xfId="7" applyFont="1" applyAlignment="1">
      <alignment horizontal="left" vertical="center" wrapText="1"/>
    </xf>
    <xf numFmtId="42" fontId="30" fillId="0" borderId="0" xfId="6" applyNumberFormat="1" applyFont="1" applyAlignment="1">
      <alignment vertical="center"/>
    </xf>
    <xf numFmtId="41" fontId="17" fillId="0" borderId="0" xfId="7" applyNumberFormat="1" applyFont="1"/>
    <xf numFmtId="0" fontId="6" fillId="0" borderId="6" xfId="7" quotePrefix="1" applyFont="1" applyBorder="1"/>
    <xf numFmtId="43" fontId="99" fillId="0" borderId="0" xfId="1" applyFont="1"/>
    <xf numFmtId="0" fontId="8" fillId="0" borderId="0" xfId="7" applyFont="1" applyAlignment="1">
      <alignment horizontal="center"/>
    </xf>
    <xf numFmtId="0" fontId="27" fillId="0" borderId="0" xfId="0" applyNumberFormat="1" applyFont="1" applyProtection="1">
      <protection locked="0"/>
    </xf>
    <xf numFmtId="165" fontId="6" fillId="0" borderId="0" xfId="0" applyNumberFormat="1" applyFont="1"/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/>
    <xf numFmtId="0" fontId="104" fillId="0" borderId="0" xfId="0" applyNumberFormat="1" applyFont="1"/>
    <xf numFmtId="164" fontId="8" fillId="0" borderId="0" xfId="0" applyNumberFormat="1" applyFont="1" applyAlignment="1">
      <alignment horizontal="right"/>
    </xf>
    <xf numFmtId="171" fontId="6" fillId="0" borderId="0" xfId="0" applyNumberFormat="1" applyFont="1" applyAlignment="1">
      <alignment horizontal="left"/>
    </xf>
    <xf numFmtId="277" fontId="6" fillId="0" borderId="0" xfId="325" applyNumberFormat="1" applyFont="1" applyProtection="1">
      <protection locked="0"/>
    </xf>
    <xf numFmtId="277" fontId="6" fillId="0" borderId="0" xfId="325" applyNumberFormat="1" applyFont="1"/>
    <xf numFmtId="277" fontId="6" fillId="0" borderId="0" xfId="0" applyNumberFormat="1" applyFont="1"/>
    <xf numFmtId="0" fontId="6" fillId="0" borderId="0" xfId="1" applyNumberFormat="1" applyFont="1" applyAlignment="1">
      <alignment horizontal="center"/>
    </xf>
    <xf numFmtId="164" fontId="6" fillId="0" borderId="0" xfId="372" applyNumberFormat="1" applyFont="1" applyAlignment="1"/>
    <xf numFmtId="277" fontId="6" fillId="0" borderId="18" xfId="0" applyNumberFormat="1" applyFont="1" applyBorder="1"/>
    <xf numFmtId="0" fontId="6" fillId="0" borderId="0" xfId="325" quotePrefix="1" applyNumberFormat="1" applyFont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Protection="1">
      <protection hidden="1"/>
    </xf>
    <xf numFmtId="173" fontId="0" fillId="0" borderId="6" xfId="0" applyBorder="1" applyProtection="1">
      <protection hidden="1"/>
    </xf>
    <xf numFmtId="173" fontId="0" fillId="0" borderId="19" xfId="0" applyBorder="1" applyProtection="1">
      <protection hidden="1"/>
    </xf>
    <xf numFmtId="173" fontId="0" fillId="0" borderId="8" xfId="0" applyBorder="1" applyProtection="1">
      <protection hidden="1"/>
    </xf>
    <xf numFmtId="173" fontId="0" fillId="0" borderId="3" xfId="0" quotePrefix="1" applyBorder="1" applyProtection="1">
      <protection hidden="1"/>
    </xf>
    <xf numFmtId="173" fontId="0" fillId="0" borderId="3" xfId="0" applyBorder="1" applyProtection="1">
      <protection hidden="1"/>
    </xf>
    <xf numFmtId="14" fontId="0" fillId="0" borderId="3" xfId="0" applyNumberFormat="1" applyBorder="1" applyProtection="1">
      <protection hidden="1"/>
    </xf>
    <xf numFmtId="173" fontId="0" fillId="0" borderId="5" xfId="0" applyBorder="1" applyProtection="1">
      <protection hidden="1"/>
    </xf>
    <xf numFmtId="0" fontId="6" fillId="0" borderId="0" xfId="7" quotePrefix="1" applyFont="1" applyAlignment="1">
      <alignment horizontal="left"/>
    </xf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/>
    <xf numFmtId="0" fontId="32" fillId="0" borderId="0" xfId="5" applyFont="1" applyAlignment="1">
      <alignment horizontal="left" indent="1"/>
    </xf>
    <xf numFmtId="173" fontId="106" fillId="0" borderId="0" xfId="0" applyFont="1"/>
    <xf numFmtId="0" fontId="96" fillId="0" borderId="0" xfId="7" applyFont="1"/>
    <xf numFmtId="173" fontId="6" fillId="0" borderId="0" xfId="0" quotePrefix="1" applyFont="1" applyAlignment="1">
      <alignment horizontal="center"/>
    </xf>
    <xf numFmtId="0" fontId="6" fillId="0" borderId="0" xfId="6" applyFont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0" quotePrefix="1" applyNumberFormat="1" applyFont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/>
    <xf numFmtId="0" fontId="6" fillId="0" borderId="0" xfId="0" applyNumberFormat="1" applyFont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173" fontId="31" fillId="0" borderId="0" xfId="0" applyFont="1"/>
    <xf numFmtId="174" fontId="6" fillId="0" borderId="0" xfId="1" applyNumberFormat="1" applyFont="1" applyFill="1" applyBorder="1"/>
    <xf numFmtId="0" fontId="6" fillId="0" borderId="0" xfId="7" applyFont="1" applyAlignment="1">
      <alignment horizontal="left" wrapText="1"/>
    </xf>
    <xf numFmtId="10" fontId="0" fillId="0" borderId="0" xfId="372" applyNumberFormat="1" applyFont="1" applyAlignment="1"/>
    <xf numFmtId="173" fontId="0" fillId="0" borderId="6" xfId="0" applyBorder="1"/>
    <xf numFmtId="42" fontId="6" fillId="0" borderId="0" xfId="6" applyNumberFormat="1" applyFont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3" fontId="108" fillId="0" borderId="0" xfId="0" applyNumberFormat="1" applyFont="1"/>
    <xf numFmtId="15" fontId="9" fillId="0" borderId="0" xfId="15" applyNumberFormat="1" applyFont="1" applyAlignment="1">
      <alignment horizontal="center"/>
    </xf>
    <xf numFmtId="173" fontId="3" fillId="0" borderId="0" xfId="0" applyFont="1"/>
    <xf numFmtId="173" fontId="109" fillId="0" borderId="0" xfId="325" applyFont="1" applyAlignment="1">
      <alignment horizontal="center"/>
    </xf>
    <xf numFmtId="1" fontId="109" fillId="0" borderId="0" xfId="325" applyNumberFormat="1" applyFont="1" applyAlignment="1" applyProtection="1">
      <alignment horizontal="center"/>
      <protection locked="0"/>
    </xf>
    <xf numFmtId="1" fontId="6" fillId="0" borderId="0" xfId="0" applyNumberFormat="1" applyFont="1" applyProtection="1"/>
    <xf numFmtId="0" fontId="6" fillId="0" borderId="0" xfId="0" applyNumberFormat="1" applyFont="1" applyAlignment="1">
      <alignment horizontal="left" indent="3"/>
    </xf>
    <xf numFmtId="278" fontId="6" fillId="0" borderId="8" xfId="325" applyNumberFormat="1" applyFont="1" applyBorder="1" applyProtection="1">
      <protection locked="0"/>
    </xf>
    <xf numFmtId="278" fontId="6" fillId="0" borderId="0" xfId="325" applyNumberFormat="1" applyFont="1" applyProtection="1">
      <protection locked="0"/>
    </xf>
    <xf numFmtId="0" fontId="110" fillId="0" borderId="0" xfId="329" applyFont="1" applyAlignment="1">
      <alignment horizontal="centerContinuous"/>
    </xf>
    <xf numFmtId="173" fontId="12" fillId="0" borderId="6" xfId="0" applyFont="1" applyBorder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12" fillId="0" borderId="0" xfId="326" applyFont="1"/>
    <xf numFmtId="0" fontId="96" fillId="0" borderId="0" xfId="0" applyNumberFormat="1" applyFont="1"/>
    <xf numFmtId="0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169" fontId="6" fillId="0" borderId="0" xfId="0" applyNumberFormat="1" applyFont="1"/>
    <xf numFmtId="164" fontId="6" fillId="0" borderId="0" xfId="372" applyNumberFormat="1" applyFont="1" applyFill="1" applyAlignment="1"/>
    <xf numFmtId="37" fontId="6" fillId="0" borderId="1" xfId="0" applyNumberFormat="1" applyFont="1" applyBorder="1"/>
    <xf numFmtId="3" fontId="8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173" fontId="105" fillId="0" borderId="0" xfId="0" applyFont="1"/>
    <xf numFmtId="0" fontId="6" fillId="0" borderId="0" xfId="5" quotePrefix="1" applyFont="1"/>
    <xf numFmtId="0" fontId="6" fillId="0" borderId="0" xfId="7" quotePrefix="1" applyFont="1" applyAlignment="1">
      <alignment vertical="center"/>
    </xf>
    <xf numFmtId="0" fontId="6" fillId="0" borderId="0" xfId="7" quotePrefix="1" applyFont="1"/>
    <xf numFmtId="0" fontId="0" fillId="0" borderId="0" xfId="325" applyNumberFormat="1" applyFont="1" applyAlignment="1" applyProtection="1">
      <alignment horizontal="center"/>
      <protection locked="0"/>
    </xf>
    <xf numFmtId="173" fontId="9" fillId="0" borderId="0" xfId="325" applyFont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4" fontId="0" fillId="0" borderId="0" xfId="1" applyNumberFormat="1" applyFont="1" applyFill="1" applyAlignment="1"/>
    <xf numFmtId="173" fontId="107" fillId="0" borderId="0" xfId="0" applyFont="1"/>
    <xf numFmtId="173" fontId="12" fillId="0" borderId="0" xfId="0" quotePrefix="1" applyFont="1"/>
    <xf numFmtId="166" fontId="6" fillId="0" borderId="0" xfId="0" applyNumberFormat="1" applyFont="1" applyAlignment="1">
      <alignment horizontal="right"/>
    </xf>
    <xf numFmtId="174" fontId="12" fillId="0" borderId="0" xfId="89" applyNumberFormat="1" applyFont="1" applyFill="1" applyAlignment="1"/>
    <xf numFmtId="0" fontId="13" fillId="0" borderId="0" xfId="10" applyFont="1" applyAlignment="1">
      <alignment horizontal="centerContinuous"/>
    </xf>
    <xf numFmtId="0" fontId="12" fillId="0" borderId="0" xfId="10" applyFont="1" applyAlignment="1">
      <alignment horizontal="left" indent="1"/>
    </xf>
    <xf numFmtId="0" fontId="12" fillId="0" borderId="0" xfId="0" quotePrefix="1" applyNumberFormat="1" applyFont="1"/>
    <xf numFmtId="0" fontId="13" fillId="0" borderId="0" xfId="10" applyFont="1" applyAlignment="1">
      <alignment horizontal="center"/>
    </xf>
    <xf numFmtId="173" fontId="0" fillId="0" borderId="0" xfId="0" quotePrefix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0" fontId="6" fillId="0" borderId="0" xfId="15" applyFont="1" applyAlignment="1">
      <alignment horizontal="center"/>
    </xf>
    <xf numFmtId="15" fontId="6" fillId="0" borderId="0" xfId="15" quotePrefix="1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73" fontId="6" fillId="13" borderId="1" xfId="0" applyFont="1" applyFill="1" applyBorder="1" applyAlignment="1">
      <alignment horizontal="center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quotePrefix="1" applyFont="1"/>
    <xf numFmtId="0" fontId="8" fillId="0" borderId="0" xfId="6" applyFont="1"/>
    <xf numFmtId="0" fontId="110" fillId="0" borderId="0" xfId="329" quotePrefix="1" applyFont="1" applyAlignment="1">
      <alignment horizontal="center"/>
    </xf>
    <xf numFmtId="0" fontId="6" fillId="0" borderId="0" xfId="326" quotePrefix="1" applyFont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Border="1"/>
    <xf numFmtId="0" fontId="111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1" fillId="0" borderId="0" xfId="0" applyNumberFormat="1" applyFont="1"/>
    <xf numFmtId="0" fontId="6" fillId="0" borderId="0" xfId="378" applyFont="1" applyFill="1"/>
    <xf numFmtId="173" fontId="8" fillId="0" borderId="11" xfId="0" applyFont="1" applyBorder="1" applyAlignment="1">
      <alignment horizontal="center" wrapText="1"/>
    </xf>
    <xf numFmtId="173" fontId="8" fillId="0" borderId="12" xfId="0" applyFont="1" applyBorder="1"/>
    <xf numFmtId="173" fontId="8" fillId="0" borderId="12" xfId="0" applyFont="1" applyBorder="1" applyAlignment="1">
      <alignment horizontal="center" wrapText="1"/>
    </xf>
    <xf numFmtId="173" fontId="8" fillId="0" borderId="10" xfId="0" applyFont="1" applyBorder="1" applyAlignment="1">
      <alignment horizontal="center" wrapText="1"/>
    </xf>
    <xf numFmtId="173" fontId="6" fillId="0" borderId="13" xfId="0" applyFont="1" applyBorder="1"/>
    <xf numFmtId="173" fontId="6" fillId="0" borderId="3" xfId="0" applyFont="1" applyBorder="1"/>
    <xf numFmtId="173" fontId="12" fillId="0" borderId="13" xfId="0" applyFont="1" applyBorder="1"/>
    <xf numFmtId="173" fontId="6" fillId="0" borderId="5" xfId="0" applyFont="1" applyBorder="1"/>
    <xf numFmtId="173" fontId="12" fillId="0" borderId="9" xfId="0" applyFont="1" applyBorder="1"/>
    <xf numFmtId="173" fontId="112" fillId="0" borderId="0" xfId="0" applyFont="1"/>
    <xf numFmtId="173" fontId="6" fillId="0" borderId="0" xfId="0" applyFont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0" fontId="110" fillId="0" borderId="0" xfId="329" applyFont="1"/>
    <xf numFmtId="0" fontId="110" fillId="0" borderId="0" xfId="329" applyFont="1" applyAlignment="1">
      <alignment horizontal="center"/>
    </xf>
    <xf numFmtId="0" fontId="113" fillId="0" borderId="0" xfId="329" applyFont="1" applyAlignment="1">
      <alignment horizontal="center"/>
    </xf>
    <xf numFmtId="0" fontId="114" fillId="0" borderId="0" xfId="329" applyFont="1" applyAlignment="1">
      <alignment horizontal="centerContinuous"/>
    </xf>
    <xf numFmtId="2" fontId="110" fillId="0" borderId="0" xfId="329" applyNumberFormat="1" applyFont="1"/>
    <xf numFmtId="276" fontId="110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Alignment="1">
      <alignment horizontal="left" vertical="center"/>
    </xf>
    <xf numFmtId="37" fontId="6" fillId="0" borderId="0" xfId="7" applyNumberFormat="1" applyFont="1"/>
    <xf numFmtId="0" fontId="6" fillId="0" borderId="0" xfId="6" applyFont="1" applyAlignment="1">
      <alignment horizontal="centerContinuous"/>
    </xf>
    <xf numFmtId="0" fontId="7" fillId="0" borderId="0" xfId="6" applyFont="1"/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/>
    <xf numFmtId="0" fontId="6" fillId="0" borderId="0" xfId="15" applyFont="1"/>
    <xf numFmtId="15" fontId="6" fillId="0" borderId="0" xfId="15" applyNumberFormat="1" applyFont="1" applyAlignment="1">
      <alignment horizontal="center"/>
    </xf>
    <xf numFmtId="0" fontId="8" fillId="0" borderId="0" xfId="15" applyFont="1"/>
    <xf numFmtId="0" fontId="111" fillId="0" borderId="0" xfId="0" applyNumberFormat="1" applyFont="1" applyAlignment="1">
      <alignment horizontal="center"/>
    </xf>
    <xf numFmtId="164" fontId="6" fillId="0" borderId="0" xfId="0" applyNumberFormat="1" applyFont="1"/>
    <xf numFmtId="41" fontId="30" fillId="0" borderId="0" xfId="8" applyNumberFormat="1" applyFont="1" applyAlignment="1">
      <alignment vertical="center"/>
    </xf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173" fontId="6" fillId="0" borderId="6" xfId="325" applyFont="1" applyBorder="1"/>
    <xf numFmtId="3" fontId="6" fillId="0" borderId="0" xfId="325" applyNumberFormat="1" applyFont="1"/>
    <xf numFmtId="280" fontId="6" fillId="0" borderId="0" xfId="1" applyNumberFormat="1" applyFont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/>
    <xf numFmtId="174" fontId="12" fillId="0" borderId="2" xfId="1" applyNumberFormat="1" applyFont="1" applyFill="1" applyBorder="1" applyAlignment="1"/>
    <xf numFmtId="0" fontId="12" fillId="0" borderId="0" xfId="10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37" fontId="32" fillId="0" borderId="0" xfId="0" applyNumberFormat="1" applyFont="1"/>
    <xf numFmtId="0" fontId="110" fillId="0" borderId="0" xfId="329" applyFont="1" applyAlignment="1">
      <alignment horizontal="left"/>
    </xf>
    <xf numFmtId="174" fontId="32" fillId="0" borderId="0" xfId="13" applyNumberFormat="1" applyFont="1" applyFill="1" applyBorder="1"/>
    <xf numFmtId="41" fontId="32" fillId="0" borderId="0" xfId="0" applyNumberFormat="1" applyFont="1"/>
    <xf numFmtId="41" fontId="32" fillId="0" borderId="6" xfId="0" applyNumberFormat="1" applyFont="1" applyBorder="1"/>
    <xf numFmtId="41" fontId="6" fillId="0" borderId="0" xfId="8" applyNumberFormat="1" applyFont="1"/>
    <xf numFmtId="41" fontId="23" fillId="0" borderId="0" xfId="8" applyNumberFormat="1" applyFont="1"/>
    <xf numFmtId="277" fontId="8" fillId="0" borderId="0" xfId="0" applyNumberFormat="1" applyFont="1"/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7" fillId="0" borderId="0" xfId="388" applyFill="1" applyAlignment="1"/>
    <xf numFmtId="173" fontId="116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116" fillId="0" borderId="0" xfId="10" applyFont="1" applyAlignment="1">
      <alignment horizontal="center"/>
    </xf>
    <xf numFmtId="173" fontId="44" fillId="0" borderId="0" xfId="325" applyFont="1"/>
    <xf numFmtId="173" fontId="8" fillId="0" borderId="0" xfId="325" applyFont="1"/>
    <xf numFmtId="41" fontId="6" fillId="0" borderId="6" xfId="0" applyNumberFormat="1" applyFont="1" applyBorder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42" fontId="6" fillId="0" borderId="0" xfId="7" applyNumberFormat="1" applyFont="1" applyAlignment="1">
      <alignment vertical="center"/>
    </xf>
    <xf numFmtId="174" fontId="23" fillId="0" borderId="0" xfId="1" applyNumberFormat="1" applyFont="1" applyFill="1"/>
    <xf numFmtId="0" fontId="12" fillId="0" borderId="0" xfId="10" applyFont="1" applyAlignment="1">
      <alignment horizontal="center"/>
    </xf>
    <xf numFmtId="0" fontId="6" fillId="0" borderId="0" xfId="7" quotePrefix="1" applyFont="1" applyAlignment="1">
      <alignment horizontal="left" indent="1"/>
    </xf>
    <xf numFmtId="173" fontId="0" fillId="0" borderId="20" xfId="0" applyBorder="1" applyProtection="1">
      <protection hidden="1"/>
    </xf>
    <xf numFmtId="173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173" fontId="0" fillId="0" borderId="21" xfId="0" applyBorder="1" applyProtection="1">
      <protection hidden="1"/>
    </xf>
    <xf numFmtId="173" fontId="105" fillId="0" borderId="0" xfId="0" applyFo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/>
    <xf numFmtId="41" fontId="118" fillId="0" borderId="0" xfId="6" applyNumberFormat="1" applyFont="1"/>
    <xf numFmtId="0" fontId="32" fillId="0" borderId="0" xfId="326" applyFont="1" applyAlignment="1">
      <alignment horizontal="centerContinuous"/>
    </xf>
    <xf numFmtId="43" fontId="6" fillId="0" borderId="12" xfId="1" applyFont="1" applyFill="1" applyBorder="1"/>
    <xf numFmtId="0" fontId="44" fillId="0" borderId="0" xfId="6" applyFont="1" applyAlignment="1">
      <alignment horizontal="left" vertical="center"/>
    </xf>
    <xf numFmtId="0" fontId="44" fillId="0" borderId="0" xfId="6" applyFont="1"/>
    <xf numFmtId="3" fontId="6" fillId="0" borderId="0" xfId="0" applyNumberFormat="1" applyFont="1" applyProtection="1">
      <protection locked="0"/>
    </xf>
    <xf numFmtId="281" fontId="6" fillId="0" borderId="0" xfId="1" applyNumberFormat="1" applyFont="1" applyFill="1"/>
    <xf numFmtId="0" fontId="14" fillId="0" borderId="0" xfId="10" applyFont="1"/>
    <xf numFmtId="0" fontId="14" fillId="0" borderId="0" xfId="10" applyFont="1" applyAlignment="1">
      <alignment horizontal="center"/>
    </xf>
    <xf numFmtId="0" fontId="0" fillId="0" borderId="0" xfId="1" applyNumberFormat="1" applyFont="1" applyFill="1" applyAlignment="1"/>
    <xf numFmtId="0" fontId="2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Continuous"/>
    </xf>
    <xf numFmtId="173" fontId="0" fillId="0" borderId="0" xfId="0" quotePrefix="1"/>
    <xf numFmtId="173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73" fontId="0" fillId="14" borderId="0" xfId="0" applyFill="1"/>
    <xf numFmtId="173" fontId="10" fillId="0" borderId="0" xfId="0" applyFont="1" applyAlignment="1">
      <alignment horizontal="center"/>
    </xf>
    <xf numFmtId="173" fontId="0" fillId="0" borderId="0" xfId="0" quotePrefix="1" applyAlignment="1">
      <alignment horizontal="right"/>
    </xf>
    <xf numFmtId="164" fontId="0" fillId="0" borderId="0" xfId="372" applyNumberFormat="1" applyFont="1" applyBorder="1" applyAlignment="1">
      <alignment horizontal="right"/>
    </xf>
    <xf numFmtId="173" fontId="10" fillId="0" borderId="0" xfId="0" quotePrefix="1" applyFont="1"/>
    <xf numFmtId="164" fontId="0" fillId="16" borderId="0" xfId="372" applyNumberFormat="1" applyFont="1" applyFill="1" applyBorder="1" applyAlignment="1">
      <alignment horizontal="left"/>
    </xf>
    <xf numFmtId="0" fontId="110" fillId="0" borderId="0" xfId="329" applyFont="1" applyAlignment="1">
      <alignment horizontal="left" indent="1"/>
    </xf>
    <xf numFmtId="43" fontId="32" fillId="0" borderId="0" xfId="1" applyFont="1" applyFill="1"/>
    <xf numFmtId="42" fontId="32" fillId="17" borderId="0" xfId="0" applyNumberFormat="1" applyFont="1" applyFill="1"/>
    <xf numFmtId="37" fontId="32" fillId="17" borderId="0" xfId="0" applyNumberFormat="1" applyFont="1" applyFill="1"/>
    <xf numFmtId="37" fontId="32" fillId="17" borderId="1" xfId="0" applyNumberFormat="1" applyFont="1" applyFill="1" applyBorder="1"/>
    <xf numFmtId="42" fontId="120" fillId="0" borderId="0" xfId="7" quotePrefix="1" applyNumberFormat="1" applyFont="1"/>
    <xf numFmtId="173" fontId="107" fillId="0" borderId="0" xfId="0" quotePrefix="1" applyFont="1" applyAlignment="1">
      <alignment horizontal="left"/>
    </xf>
    <xf numFmtId="42" fontId="122" fillId="0" borderId="0" xfId="0" applyNumberFormat="1" applyFont="1"/>
    <xf numFmtId="3" fontId="122" fillId="13" borderId="0" xfId="0" applyNumberFormat="1" applyFont="1" applyFill="1"/>
    <xf numFmtId="173" fontId="121" fillId="0" borderId="0" xfId="0" applyFont="1"/>
    <xf numFmtId="173" fontId="123" fillId="0" borderId="0" xfId="0" applyFont="1"/>
    <xf numFmtId="173" fontId="0" fillId="0" borderId="23" xfId="0" applyBorder="1"/>
    <xf numFmtId="0" fontId="20" fillId="0" borderId="23" xfId="10" applyFont="1" applyBorder="1" applyAlignment="1">
      <alignment horizontal="center"/>
    </xf>
    <xf numFmtId="174" fontId="12" fillId="0" borderId="23" xfId="89" applyNumberFormat="1" applyFont="1" applyFill="1" applyBorder="1" applyAlignment="1"/>
    <xf numFmtId="174" fontId="12" fillId="0" borderId="23" xfId="1" quotePrefix="1" applyNumberFormat="1" applyFont="1" applyFill="1" applyBorder="1" applyAlignment="1">
      <alignment horizontal="center"/>
    </xf>
    <xf numFmtId="174" fontId="12" fillId="0" borderId="23" xfId="1" applyNumberFormat="1" applyFont="1" applyFill="1" applyBorder="1" applyAlignment="1"/>
    <xf numFmtId="174" fontId="12" fillId="0" borderId="25" xfId="1" applyNumberFormat="1" applyFont="1" applyFill="1" applyBorder="1" applyAlignment="1"/>
    <xf numFmtId="174" fontId="12" fillId="0" borderId="26" xfId="1" applyNumberFormat="1" applyFont="1" applyFill="1" applyBorder="1" applyAlignment="1"/>
    <xf numFmtId="174" fontId="0" fillId="0" borderId="23" xfId="1" applyNumberFormat="1" applyFont="1" applyFill="1" applyBorder="1" applyAlignment="1"/>
    <xf numFmtId="174" fontId="5" fillId="0" borderId="23" xfId="1" applyNumberFormat="1" applyFont="1" applyFill="1" applyBorder="1" applyAlignment="1"/>
    <xf numFmtId="174" fontId="5" fillId="0" borderId="23" xfId="1" applyNumberFormat="1" applyFont="1" applyBorder="1" applyAlignment="1"/>
    <xf numFmtId="174" fontId="12" fillId="0" borderId="2" xfId="89" applyNumberFormat="1" applyFont="1" applyFill="1" applyBorder="1" applyAlignment="1"/>
    <xf numFmtId="174" fontId="12" fillId="0" borderId="2" xfId="89" applyNumberFormat="1" applyFont="1" applyFill="1" applyBorder="1"/>
    <xf numFmtId="0" fontId="6" fillId="0" borderId="0" xfId="326" applyFont="1" applyAlignment="1">
      <alignment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6" fillId="0" borderId="0" xfId="5" applyFont="1" applyAlignment="1">
      <alignment wrapText="1"/>
    </xf>
    <xf numFmtId="42" fontId="6" fillId="0" borderId="0" xfId="0" applyNumberFormat="1" applyFont="1" applyAlignment="1">
      <alignment horizontal="center"/>
    </xf>
    <xf numFmtId="3" fontId="90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174" fontId="6" fillId="0" borderId="2" xfId="1" applyNumberFormat="1" applyFont="1" applyFill="1" applyBorder="1" applyAlignment="1" applyProtection="1">
      <alignment horizontal="right"/>
      <protection locked="0"/>
    </xf>
    <xf numFmtId="279" fontId="8" fillId="0" borderId="0" xfId="0" applyNumberFormat="1" applyFont="1"/>
    <xf numFmtId="42" fontId="8" fillId="0" borderId="0" xfId="0" applyNumberFormat="1" applyFont="1"/>
    <xf numFmtId="172" fontId="90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0" fontId="9" fillId="0" borderId="1" xfId="0" applyNumberFormat="1" applyFont="1" applyBorder="1" applyAlignment="1" applyProtection="1">
      <alignment horizontal="center"/>
      <protection locked="0"/>
    </xf>
    <xf numFmtId="42" fontId="6" fillId="0" borderId="2" xfId="0" applyNumberFormat="1" applyFont="1" applyBorder="1"/>
    <xf numFmtId="0" fontId="91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42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37" fontId="6" fillId="0" borderId="0" xfId="0" quotePrefix="1" applyNumberFormat="1" applyFont="1"/>
    <xf numFmtId="37" fontId="6" fillId="0" borderId="0" xfId="0" applyNumberFormat="1" applyFont="1" applyProtection="1">
      <protection locked="0"/>
    </xf>
    <xf numFmtId="175" fontId="6" fillId="0" borderId="0" xfId="327" applyNumberFormat="1" applyFont="1" applyFill="1" applyAlignment="1"/>
    <xf numFmtId="164" fontId="6" fillId="0" borderId="0" xfId="372" applyNumberFormat="1" applyFont="1" applyFill="1" applyBorder="1" applyAlignment="1"/>
    <xf numFmtId="173" fontId="6" fillId="0" borderId="0" xfId="0" applyFont="1" applyProtection="1"/>
    <xf numFmtId="37" fontId="6" fillId="0" borderId="6" xfId="0" applyNumberFormat="1" applyFont="1" applyBorder="1" applyProtection="1"/>
    <xf numFmtId="170" fontId="6" fillId="0" borderId="0" xfId="0" applyNumberFormat="1" applyFont="1" applyProtection="1"/>
    <xf numFmtId="42" fontId="6" fillId="0" borderId="0" xfId="0" applyNumberFormat="1" applyFont="1" applyProtection="1"/>
    <xf numFmtId="0" fontId="23" fillId="0" borderId="0" xfId="5" applyFont="1" applyAlignment="1">
      <alignment horizontal="centerContinuous"/>
    </xf>
    <xf numFmtId="0" fontId="14" fillId="0" borderId="0" xfId="10" applyFont="1" applyAlignment="1">
      <alignment horizontal="left"/>
    </xf>
    <xf numFmtId="164" fontId="8" fillId="0" borderId="0" xfId="372" applyNumberFormat="1" applyFont="1" applyFill="1" applyBorder="1" applyAlignment="1"/>
    <xf numFmtId="43" fontId="3" fillId="0" borderId="0" xfId="89" applyFont="1" applyFill="1" applyBorder="1"/>
    <xf numFmtId="49" fontId="8" fillId="0" borderId="0" xfId="0" applyNumberFormat="1" applyFont="1" applyAlignment="1">
      <alignment horizontal="center"/>
    </xf>
    <xf numFmtId="10" fontId="3" fillId="0" borderId="0" xfId="372" applyNumberFormat="1" applyFont="1" applyFill="1" applyAlignment="1">
      <alignment horizontal="center"/>
    </xf>
    <xf numFmtId="43" fontId="3" fillId="0" borderId="0" xfId="89" applyFont="1" applyFill="1"/>
    <xf numFmtId="42" fontId="32" fillId="0" borderId="0" xfId="0" applyNumberFormat="1" applyFont="1"/>
    <xf numFmtId="42" fontId="6" fillId="0" borderId="6" xfId="0" applyNumberFormat="1" applyFont="1" applyBorder="1"/>
    <xf numFmtId="42" fontId="6" fillId="0" borderId="0" xfId="0" applyNumberFormat="1" applyFont="1" applyAlignment="1">
      <alignment horizontal="left"/>
    </xf>
    <xf numFmtId="42" fontId="6" fillId="0" borderId="1" xfId="0" applyNumberFormat="1" applyFont="1" applyBorder="1"/>
    <xf numFmtId="166" fontId="6" fillId="0" borderId="0" xfId="0" applyNumberFormat="1" applyFont="1" applyAlignment="1">
      <alignment horizontal="center"/>
    </xf>
    <xf numFmtId="39" fontId="6" fillId="0" borderId="0" xfId="0" applyNumberFormat="1" applyFont="1"/>
    <xf numFmtId="166" fontId="6" fillId="0" borderId="0" xfId="0" applyNumberFormat="1" applyFont="1" applyAlignment="1" applyProtection="1">
      <alignment horizontal="center"/>
      <protection locked="0"/>
    </xf>
    <xf numFmtId="0" fontId="6" fillId="0" borderId="1" xfId="0" applyNumberFormat="1" applyFont="1" applyBorder="1"/>
    <xf numFmtId="39" fontId="6" fillId="0" borderId="1" xfId="0" applyNumberFormat="1" applyFont="1" applyBorder="1"/>
    <xf numFmtId="43" fontId="6" fillId="0" borderId="0" xfId="1" applyFont="1" applyFill="1" applyAlignment="1">
      <alignment horizontal="left"/>
    </xf>
    <xf numFmtId="173" fontId="90" fillId="0" borderId="6" xfId="0" applyFont="1" applyBorder="1" applyAlignment="1">
      <alignment horizontal="center" vertical="top"/>
    </xf>
    <xf numFmtId="173" fontId="0" fillId="0" borderId="6" xfId="0" applyBorder="1" applyAlignment="1">
      <alignment vertical="top"/>
    </xf>
    <xf numFmtId="173" fontId="6" fillId="0" borderId="0" xfId="0" applyFont="1" applyAlignment="1">
      <alignment vertical="top"/>
    </xf>
    <xf numFmtId="173" fontId="0" fillId="0" borderId="0" xfId="0" applyAlignment="1">
      <alignment vertical="top"/>
    </xf>
    <xf numFmtId="49" fontId="4" fillId="0" borderId="0" xfId="0" applyNumberFormat="1" applyFont="1" applyAlignment="1">
      <alignment horizontal="left" vertical="top"/>
    </xf>
    <xf numFmtId="173" fontId="90" fillId="0" borderId="6" xfId="0" applyFont="1" applyBorder="1" applyAlignment="1">
      <alignment vertical="top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Protection="1">
      <protection locked="0"/>
    </xf>
    <xf numFmtId="0" fontId="32" fillId="0" borderId="0" xfId="0" applyNumberFormat="1" applyFont="1" applyFill="1" applyAlignment="1" applyProtection="1">
      <alignment horizontal="right"/>
      <protection locked="0"/>
    </xf>
    <xf numFmtId="276" fontId="0" fillId="0" borderId="0" xfId="89" applyNumberFormat="1" applyFont="1" applyAlignment="1"/>
    <xf numFmtId="0" fontId="6" fillId="0" borderId="0" xfId="326" applyFont="1" applyFill="1" applyAlignment="1">
      <alignment horizontal="centerContinuous"/>
    </xf>
    <xf numFmtId="43" fontId="6" fillId="0" borderId="0" xfId="1" applyFont="1" applyFill="1" applyAlignment="1">
      <alignment horizontal="centerContinuous"/>
    </xf>
    <xf numFmtId="0" fontId="8" fillId="0" borderId="0" xfId="325" applyNumberFormat="1" applyFont="1" applyFill="1" applyAlignment="1" applyProtection="1">
      <alignment horizontal="center"/>
      <protection locked="0"/>
    </xf>
    <xf numFmtId="0" fontId="6" fillId="0" borderId="0" xfId="326" applyFont="1" applyFill="1" applyAlignment="1">
      <alignment horizontal="left"/>
    </xf>
    <xf numFmtId="173" fontId="6" fillId="0" borderId="0" xfId="325" applyFont="1" applyFill="1"/>
    <xf numFmtId="278" fontId="6" fillId="0" borderId="0" xfId="325" applyNumberFormat="1" applyFont="1" applyFill="1" applyProtection="1">
      <protection locked="0"/>
    </xf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0" fontId="6" fillId="0" borderId="0" xfId="381" applyFont="1" applyFill="1"/>
    <xf numFmtId="174" fontId="110" fillId="0" borderId="0" xfId="1" applyNumberFormat="1" applyFont="1" applyFill="1" applyAlignment="1"/>
    <xf numFmtId="276" fontId="31" fillId="0" borderId="0" xfId="89" applyNumberFormat="1" applyFont="1" applyFill="1" applyAlignment="1"/>
    <xf numFmtId="282" fontId="124" fillId="0" borderId="0" xfId="89" applyNumberFormat="1" applyFont="1" applyFill="1" applyAlignment="1"/>
    <xf numFmtId="0" fontId="116" fillId="0" borderId="0" xfId="8" applyFont="1" applyFill="1" applyAlignment="1">
      <alignment horizontal="right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42" fontId="32" fillId="0" borderId="0" xfId="327" applyNumberFormat="1" applyFont="1" applyFill="1" applyBorder="1"/>
    <xf numFmtId="41" fontId="32" fillId="0" borderId="0" xfId="8" applyNumberFormat="1" applyFont="1" applyFill="1"/>
    <xf numFmtId="41" fontId="118" fillId="0" borderId="0" xfId="8" applyNumberFormat="1" applyFont="1" applyFill="1"/>
    <xf numFmtId="42" fontId="32" fillId="0" borderId="0" xfId="0" applyNumberFormat="1" applyFont="1" applyFill="1"/>
    <xf numFmtId="42" fontId="32" fillId="0" borderId="0" xfId="7" applyNumberFormat="1" applyFont="1" applyFill="1"/>
    <xf numFmtId="37" fontId="32" fillId="0" borderId="0" xfId="7" applyNumberFormat="1" applyFont="1" applyFill="1"/>
    <xf numFmtId="0" fontId="6" fillId="0" borderId="0" xfId="7" applyFont="1" applyFill="1"/>
    <xf numFmtId="41" fontId="32" fillId="0" borderId="0" xfId="7" applyNumberFormat="1" applyFont="1" applyFill="1"/>
    <xf numFmtId="176" fontId="6" fillId="0" borderId="6" xfId="7" applyNumberFormat="1" applyFont="1" applyFill="1" applyBorder="1"/>
    <xf numFmtId="42" fontId="30" fillId="0" borderId="0" xfId="7" applyNumberFormat="1" applyFont="1" applyFill="1"/>
    <xf numFmtId="41" fontId="6" fillId="0" borderId="0" xfId="7" applyNumberFormat="1" applyFont="1" applyFill="1"/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174" fontId="32" fillId="0" borderId="0" xfId="1" applyNumberFormat="1" applyFont="1" applyFill="1"/>
    <xf numFmtId="41" fontId="118" fillId="0" borderId="0" xfId="7" applyNumberFormat="1" applyFont="1" applyFill="1"/>
    <xf numFmtId="174" fontId="118" fillId="0" borderId="0" xfId="1" applyNumberFormat="1" applyFont="1" applyFill="1"/>
    <xf numFmtId="0" fontId="8" fillId="0" borderId="6" xfId="7" applyFont="1" applyFill="1" applyBorder="1" applyAlignment="1">
      <alignment horizontal="center"/>
    </xf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89" applyNumberFormat="1" applyFont="1" applyFill="1" applyBorder="1" applyProtection="1">
      <protection locked="0"/>
    </xf>
    <xf numFmtId="174" fontId="116" fillId="0" borderId="0" xfId="89" applyNumberFormat="1" applyFont="1" applyFill="1" applyAlignment="1"/>
    <xf numFmtId="174" fontId="116" fillId="0" borderId="23" xfId="89" applyNumberFormat="1" applyFont="1" applyFill="1" applyBorder="1" applyAlignment="1"/>
    <xf numFmtId="174" fontId="116" fillId="0" borderId="0" xfId="1" applyNumberFormat="1" applyFont="1" applyFill="1" applyAlignment="1"/>
    <xf numFmtId="174" fontId="116" fillId="0" borderId="23" xfId="1" applyNumberFormat="1" applyFont="1" applyFill="1" applyBorder="1" applyAlignment="1"/>
    <xf numFmtId="173" fontId="3" fillId="0" borderId="0" xfId="0" applyFont="1" applyFill="1"/>
    <xf numFmtId="173" fontId="3" fillId="0" borderId="23" xfId="0" applyFont="1" applyFill="1" applyBorder="1"/>
    <xf numFmtId="174" fontId="116" fillId="0" borderId="6" xfId="89" applyNumberFormat="1" applyFont="1" applyFill="1" applyBorder="1" applyAlignment="1"/>
    <xf numFmtId="174" fontId="116" fillId="0" borderId="24" xfId="89" applyNumberFormat="1" applyFont="1" applyFill="1" applyBorder="1" applyAlignment="1"/>
    <xf numFmtId="173" fontId="0" fillId="0" borderId="0" xfId="0" applyFill="1"/>
    <xf numFmtId="173" fontId="0" fillId="0" borderId="23" xfId="0" applyFill="1" applyBorder="1"/>
    <xf numFmtId="173" fontId="0" fillId="0" borderId="6" xfId="0" applyFill="1" applyBorder="1"/>
    <xf numFmtId="173" fontId="0" fillId="0" borderId="24" xfId="0" applyFill="1" applyBorder="1"/>
    <xf numFmtId="173" fontId="5" fillId="0" borderId="0" xfId="0" applyFont="1" applyFill="1"/>
    <xf numFmtId="173" fontId="5" fillId="0" borderId="23" xfId="0" applyFont="1" applyFill="1" applyBorder="1"/>
    <xf numFmtId="174" fontId="119" fillId="0" borderId="0" xfId="1" applyNumberFormat="1" applyFont="1" applyFill="1" applyAlignment="1"/>
    <xf numFmtId="174" fontId="119" fillId="0" borderId="23" xfId="1" applyNumberFormat="1" applyFont="1" applyFill="1" applyBorder="1" applyAlignment="1"/>
    <xf numFmtId="173" fontId="5" fillId="0" borderId="0" xfId="0" quotePrefix="1" applyFont="1" applyFill="1" applyAlignment="1">
      <alignment horizontal="center"/>
    </xf>
    <xf numFmtId="174" fontId="116" fillId="0" borderId="0" xfId="1" quotePrefix="1" applyNumberFormat="1" applyFont="1" applyFill="1" applyAlignment="1">
      <alignment horizontal="center"/>
    </xf>
    <xf numFmtId="277" fontId="32" fillId="0" borderId="0" xfId="0" applyNumberFormat="1" applyFont="1" applyFill="1" applyAlignment="1">
      <alignment vertical="center"/>
    </xf>
    <xf numFmtId="277" fontId="6" fillId="0" borderId="8" xfId="0" applyNumberFormat="1" applyFont="1" applyFill="1" applyBorder="1"/>
    <xf numFmtId="277" fontId="32" fillId="0" borderId="0" xfId="0" applyNumberFormat="1" applyFont="1" applyFill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6" fillId="0" borderId="8" xfId="0" applyFont="1" applyFill="1" applyBorder="1"/>
    <xf numFmtId="173" fontId="32" fillId="0" borderId="0" xfId="0" applyFont="1" applyFill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0" fontId="6" fillId="0" borderId="8" xfId="326" applyFont="1" applyBorder="1" applyAlignment="1">
      <alignment wrapText="1"/>
    </xf>
    <xf numFmtId="0" fontId="6" fillId="0" borderId="0" xfId="326" applyFont="1" applyAlignment="1">
      <alignment wrapText="1"/>
    </xf>
    <xf numFmtId="173" fontId="6" fillId="0" borderId="0" xfId="0" applyFont="1" applyAlignment="1">
      <alignment wrapText="1"/>
    </xf>
    <xf numFmtId="173" fontId="6" fillId="0" borderId="0" xfId="0" applyFont="1" applyAlignment="1">
      <alignment horizontal="left" vertical="top"/>
    </xf>
    <xf numFmtId="173" fontId="6" fillId="0" borderId="0" xfId="0" applyFont="1" applyAlignment="1">
      <alignment horizontal="left"/>
    </xf>
    <xf numFmtId="173" fontId="6" fillId="0" borderId="0" xfId="0" quotePrefix="1" applyFont="1" applyAlignment="1">
      <alignment horizontal="left" vertical="top" wrapText="1"/>
    </xf>
    <xf numFmtId="173" fontId="6" fillId="0" borderId="0" xfId="0" applyFont="1" applyAlignment="1">
      <alignment horizontal="left" wrapText="1"/>
    </xf>
    <xf numFmtId="173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center"/>
    </xf>
    <xf numFmtId="173" fontId="0" fillId="0" borderId="8" xfId="0" quotePrefix="1" applyBorder="1" applyAlignment="1">
      <alignment horizontal="left" wrapText="1"/>
    </xf>
    <xf numFmtId="173" fontId="0" fillId="0" borderId="0" xfId="0" applyAlignment="1">
      <alignment horizontal="left" wrapText="1"/>
    </xf>
    <xf numFmtId="173" fontId="0" fillId="0" borderId="0" xfId="0" applyAlignment="1">
      <alignment horizontal="left" vertical="top" wrapText="1"/>
    </xf>
    <xf numFmtId="0" fontId="90" fillId="0" borderId="6" xfId="325" applyNumberFormat="1" applyFont="1" applyBorder="1" applyAlignment="1" applyProtection="1">
      <alignment horizontal="center"/>
      <protection locked="0"/>
    </xf>
    <xf numFmtId="0" fontId="110" fillId="0" borderId="6" xfId="329" applyFont="1" applyBorder="1" applyAlignment="1">
      <alignment horizontal="center"/>
    </xf>
    <xf numFmtId="49" fontId="110" fillId="0" borderId="0" xfId="329" applyNumberFormat="1" applyFont="1" applyAlignment="1">
      <alignment horizontal="center"/>
    </xf>
    <xf numFmtId="0" fontId="110" fillId="0" borderId="0" xfId="329" applyFont="1" applyAlignment="1">
      <alignment horizontal="center"/>
    </xf>
    <xf numFmtId="15" fontId="6" fillId="0" borderId="0" xfId="15" quotePrefix="1" applyNumberFormat="1" applyFont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0" fontId="6" fillId="0" borderId="0" xfId="6" quotePrefix="1" applyFont="1" applyAlignment="1">
      <alignment wrapText="1"/>
    </xf>
    <xf numFmtId="0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15" applyFont="1" applyAlignment="1">
      <alignment horizontal="center"/>
    </xf>
    <xf numFmtId="15" fontId="6" fillId="0" borderId="0" xfId="15" applyNumberFormat="1" applyFont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FFFF99"/>
      <color rgb="FF00FF00"/>
      <color rgb="FFCCFFFF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310"/>
  <sheetViews>
    <sheetView showGridLines="0" tabSelected="1" zoomScale="70" zoomScaleNormal="70" zoomScaleSheetLayoutView="70" workbookViewId="0">
      <selection activeCell="J26" sqref="J26"/>
    </sheetView>
  </sheetViews>
  <sheetFormatPr defaultColWidth="8.77734375" defaultRowHeight="15"/>
  <cols>
    <col min="1" max="1" width="6.21875" style="151" bestFit="1" customWidth="1"/>
    <col min="2" max="2" width="1.44140625" style="151" customWidth="1"/>
    <col min="3" max="3" width="62.77734375" style="151" customWidth="1"/>
    <col min="4" max="4" width="31" style="151" customWidth="1"/>
    <col min="5" max="5" width="16.109375" style="151" customWidth="1"/>
    <col min="6" max="6" width="12" style="11" customWidth="1"/>
    <col min="7" max="7" width="5.6640625" style="151" customWidth="1"/>
    <col min="8" max="8" width="13.33203125" style="151" customWidth="1"/>
    <col min="9" max="9" width="5.77734375" style="151" customWidth="1"/>
    <col min="10" max="10" width="16.33203125" style="1" customWidth="1"/>
    <col min="11" max="11" width="3.44140625" style="151" customWidth="1"/>
    <col min="12" max="12" width="11.6640625" style="151" customWidth="1"/>
    <col min="13" max="13" width="1.88671875" style="151" customWidth="1"/>
    <col min="14" max="14" width="20.77734375" style="151" customWidth="1"/>
    <col min="15" max="16" width="9.77734375" style="151" customWidth="1"/>
    <col min="17" max="16384" width="8.77734375" style="151"/>
  </cols>
  <sheetData>
    <row r="1" spans="1:13" ht="18">
      <c r="A1" s="150"/>
      <c r="C1" s="152"/>
      <c r="D1" s="152"/>
      <c r="E1" s="153"/>
      <c r="F1" s="117"/>
      <c r="G1" s="152"/>
      <c r="H1" s="152"/>
      <c r="I1" s="152"/>
      <c r="J1" s="562" t="s">
        <v>543</v>
      </c>
      <c r="K1" s="175"/>
      <c r="L1" s="1"/>
      <c r="M1" s="5"/>
    </row>
    <row r="2" spans="1:13">
      <c r="C2" s="152"/>
      <c r="D2" s="152"/>
      <c r="E2" s="153"/>
      <c r="F2" s="117"/>
      <c r="G2" s="152"/>
      <c r="H2" s="152"/>
      <c r="I2" s="152"/>
      <c r="J2" s="2" t="s">
        <v>426</v>
      </c>
      <c r="L2" s="1"/>
      <c r="M2" s="2"/>
    </row>
    <row r="3" spans="1:13">
      <c r="C3" s="152"/>
      <c r="D3" s="152"/>
      <c r="E3" s="153"/>
      <c r="F3" s="117"/>
      <c r="G3" s="152"/>
      <c r="H3" s="152"/>
      <c r="I3" s="152"/>
      <c r="K3" s="155"/>
      <c r="L3" s="1"/>
      <c r="M3" s="2"/>
    </row>
    <row r="4" spans="1:13">
      <c r="C4" s="152"/>
      <c r="D4" s="152"/>
      <c r="E4" s="153"/>
      <c r="F4" s="117"/>
      <c r="G4" s="152"/>
      <c r="H4" s="152"/>
      <c r="I4" s="152"/>
      <c r="K4" s="155"/>
      <c r="L4" s="1"/>
      <c r="M4" s="2"/>
    </row>
    <row r="5" spans="1:13">
      <c r="C5" s="152"/>
      <c r="D5" s="152"/>
      <c r="E5" s="153"/>
      <c r="F5" s="117"/>
      <c r="G5" s="152"/>
      <c r="H5" s="152"/>
      <c r="I5" s="152"/>
      <c r="K5" s="155"/>
      <c r="L5" s="1"/>
      <c r="M5" s="2"/>
    </row>
    <row r="6" spans="1:13">
      <c r="C6" s="152"/>
      <c r="D6" s="152"/>
      <c r="E6" s="153"/>
      <c r="F6" s="117"/>
      <c r="G6" s="152"/>
      <c r="H6" s="152"/>
      <c r="I6" s="152"/>
      <c r="J6" s="7"/>
      <c r="K6" s="155"/>
      <c r="L6" s="1"/>
      <c r="M6" s="7"/>
    </row>
    <row r="7" spans="1:13">
      <c r="C7" s="152" t="s">
        <v>4</v>
      </c>
      <c r="D7" s="152"/>
      <c r="E7" s="153"/>
      <c r="F7" s="117"/>
      <c r="G7" s="152"/>
      <c r="H7" s="607"/>
      <c r="I7" s="607"/>
      <c r="J7" s="608" t="s">
        <v>682</v>
      </c>
      <c r="K7" s="155"/>
      <c r="L7" s="1"/>
      <c r="M7" s="7"/>
    </row>
    <row r="8" spans="1:13">
      <c r="A8" s="157" t="s">
        <v>206</v>
      </c>
      <c r="B8" s="156"/>
      <c r="C8" s="156"/>
      <c r="D8" s="157"/>
      <c r="E8" s="156"/>
      <c r="F8" s="117"/>
      <c r="G8" s="157"/>
      <c r="H8" s="157"/>
      <c r="I8" s="157"/>
      <c r="J8" s="13"/>
      <c r="K8" s="155"/>
      <c r="L8" s="13"/>
      <c r="M8" s="7"/>
    </row>
    <row r="9" spans="1:13">
      <c r="A9" s="519" t="s">
        <v>683</v>
      </c>
      <c r="B9" s="13"/>
      <c r="C9" s="605"/>
      <c r="D9" s="606"/>
      <c r="E9" s="13"/>
      <c r="F9" s="35"/>
      <c r="G9" s="73"/>
      <c r="H9" s="73"/>
      <c r="I9" s="72"/>
      <c r="J9" s="72"/>
      <c r="K9" s="155"/>
      <c r="L9" s="74"/>
      <c r="M9" s="7"/>
    </row>
    <row r="10" spans="1:13">
      <c r="A10" s="159"/>
      <c r="B10" s="156"/>
      <c r="C10" s="159"/>
      <c r="D10" s="159"/>
      <c r="E10" s="156"/>
      <c r="F10" s="8"/>
      <c r="G10" s="159"/>
      <c r="H10" s="159"/>
      <c r="I10" s="159"/>
      <c r="J10" s="74"/>
      <c r="K10" s="155"/>
      <c r="L10" s="74"/>
      <c r="M10" s="7"/>
    </row>
    <row r="11" spans="1:13" ht="15.75">
      <c r="A11" s="339" t="s">
        <v>511</v>
      </c>
      <c r="B11" s="156"/>
      <c r="C11" s="159"/>
      <c r="D11" s="159"/>
      <c r="E11" s="156"/>
      <c r="F11" s="8"/>
      <c r="G11" s="159"/>
      <c r="H11" s="159"/>
      <c r="I11" s="159"/>
      <c r="J11" s="74"/>
      <c r="K11" s="155"/>
      <c r="L11" s="74"/>
      <c r="M11" s="7"/>
    </row>
    <row r="12" spans="1:13">
      <c r="A12" s="160"/>
      <c r="C12" s="155"/>
      <c r="D12" s="155"/>
      <c r="E12" s="161"/>
      <c r="F12" s="8"/>
      <c r="G12" s="155"/>
      <c r="H12" s="155"/>
      <c r="I12" s="155"/>
      <c r="J12" s="7"/>
      <c r="K12" s="155"/>
      <c r="L12" s="7"/>
      <c r="M12" s="7"/>
    </row>
    <row r="13" spans="1:13">
      <c r="A13" s="160" t="s">
        <v>6</v>
      </c>
      <c r="C13" s="155"/>
      <c r="D13" s="155"/>
      <c r="E13" s="161"/>
      <c r="F13" s="8"/>
      <c r="G13" s="155"/>
      <c r="H13" s="155"/>
      <c r="I13" s="155"/>
      <c r="J13" s="117" t="s">
        <v>7</v>
      </c>
      <c r="K13" s="155"/>
      <c r="L13" s="7"/>
      <c r="M13" s="7"/>
    </row>
    <row r="14" spans="1:13">
      <c r="A14" s="162" t="s">
        <v>8</v>
      </c>
      <c r="C14" s="155"/>
      <c r="D14" s="155"/>
      <c r="E14" s="155"/>
      <c r="F14" s="8"/>
      <c r="G14" s="155"/>
      <c r="H14" s="155"/>
      <c r="I14" s="155"/>
      <c r="J14" s="129" t="s">
        <v>9</v>
      </c>
      <c r="K14" s="155"/>
      <c r="L14" s="7"/>
      <c r="M14" s="7"/>
    </row>
    <row r="15" spans="1:13">
      <c r="A15" s="160">
        <v>1</v>
      </c>
      <c r="C15" s="155" t="s">
        <v>254</v>
      </c>
      <c r="D15" s="155"/>
      <c r="E15" s="163"/>
      <c r="F15" s="8"/>
      <c r="G15" s="155"/>
      <c r="H15" s="155"/>
      <c r="I15" s="155"/>
      <c r="J15" s="115">
        <f>J177</f>
        <v>111482218.48415314</v>
      </c>
      <c r="K15" s="155"/>
      <c r="L15" s="7"/>
      <c r="M15" s="7"/>
    </row>
    <row r="16" spans="1:13">
      <c r="A16" s="160"/>
      <c r="C16" s="155"/>
      <c r="D16" s="155"/>
      <c r="E16" s="155"/>
      <c r="F16" s="8"/>
      <c r="G16" s="155"/>
      <c r="H16" s="155"/>
      <c r="I16" s="155"/>
      <c r="J16" s="9"/>
      <c r="K16" s="155"/>
      <c r="L16" s="7"/>
      <c r="M16" s="7"/>
    </row>
    <row r="17" spans="1:14">
      <c r="A17" s="160"/>
      <c r="C17" s="155"/>
      <c r="D17" s="155"/>
      <c r="E17" s="155"/>
      <c r="F17" s="8"/>
      <c r="G17" s="155"/>
      <c r="H17" s="155"/>
      <c r="I17" s="155"/>
      <c r="J17" s="9"/>
      <c r="K17" s="155"/>
      <c r="L17" s="7"/>
      <c r="M17" s="7"/>
    </row>
    <row r="18" spans="1:14" ht="15.75" thickBot="1">
      <c r="A18" s="160" t="s">
        <v>5</v>
      </c>
      <c r="C18" s="165" t="s">
        <v>507</v>
      </c>
      <c r="D18" s="329" t="s">
        <v>479</v>
      </c>
      <c r="E18" s="166" t="s">
        <v>10</v>
      </c>
      <c r="F18" s="35"/>
      <c r="G18" s="167" t="s">
        <v>11</v>
      </c>
      <c r="H18" s="167"/>
      <c r="I18" s="155"/>
      <c r="J18" s="9"/>
      <c r="K18" s="155"/>
      <c r="L18" s="7"/>
      <c r="M18" s="7"/>
    </row>
    <row r="19" spans="1:14">
      <c r="A19" s="160">
        <v>2</v>
      </c>
      <c r="C19" s="155" t="s">
        <v>269</v>
      </c>
      <c r="D19" s="163" t="s">
        <v>122</v>
      </c>
      <c r="E19" s="115">
        <f>J252</f>
        <v>179238</v>
      </c>
      <c r="F19" s="556"/>
      <c r="G19" s="164" t="s">
        <v>12</v>
      </c>
      <c r="H19" s="168">
        <f>J$201</f>
        <v>0.97088394159672353</v>
      </c>
      <c r="I19" s="164"/>
      <c r="J19" s="115">
        <f>H19*E19</f>
        <v>174019.29592391354</v>
      </c>
      <c r="K19" s="155"/>
      <c r="L19" s="7"/>
      <c r="M19" s="7"/>
    </row>
    <row r="20" spans="1:14">
      <c r="A20" s="160">
        <v>3</v>
      </c>
      <c r="C20" s="7" t="s">
        <v>508</v>
      </c>
      <c r="D20" s="163" t="s">
        <v>243</v>
      </c>
      <c r="E20" s="115">
        <f>J254</f>
        <v>2156557.5600000005</v>
      </c>
      <c r="F20" s="556"/>
      <c r="G20" s="164" t="str">
        <f>G$19</f>
        <v>TP</v>
      </c>
      <c r="H20" s="168">
        <f>J$201</f>
        <v>0.97088394159672353</v>
      </c>
      <c r="I20" s="164"/>
      <c r="J20" s="115">
        <f>H20*E20</f>
        <v>2093767.1041330132</v>
      </c>
      <c r="K20" s="7"/>
      <c r="L20" s="7"/>
      <c r="M20" s="7"/>
    </row>
    <row r="21" spans="1:14" ht="15.75">
      <c r="A21" s="117">
        <v>4</v>
      </c>
      <c r="B21" s="1"/>
      <c r="C21" s="7" t="s">
        <v>509</v>
      </c>
      <c r="D21" s="332" t="s">
        <v>480</v>
      </c>
      <c r="E21" s="115">
        <f>'Pg 6 of 8 Rev Cred Support'!E44</f>
        <v>93289.5</v>
      </c>
      <c r="F21" s="556"/>
      <c r="G21" s="115" t="str">
        <f>G$19</f>
        <v>TP</v>
      </c>
      <c r="H21" s="242">
        <f>J$201</f>
        <v>0.97088394159672353</v>
      </c>
      <c r="I21" s="115"/>
      <c r="J21" s="115">
        <f>H21*E21</f>
        <v>90573.277469587541</v>
      </c>
      <c r="K21" s="155"/>
      <c r="L21" s="358"/>
      <c r="M21" s="7"/>
    </row>
    <row r="22" spans="1:14">
      <c r="A22" s="160">
        <v>5</v>
      </c>
      <c r="C22" s="7" t="s">
        <v>343</v>
      </c>
      <c r="D22" s="208"/>
      <c r="E22" s="589">
        <v>0</v>
      </c>
      <c r="F22" s="556"/>
      <c r="G22" s="164" t="str">
        <f>G$19</f>
        <v>TP</v>
      </c>
      <c r="H22" s="168">
        <f>J$201</f>
        <v>0.97088394159672353</v>
      </c>
      <c r="I22" s="164"/>
      <c r="J22" s="115">
        <f>H22*E22</f>
        <v>0</v>
      </c>
      <c r="K22" s="155"/>
      <c r="L22" s="7"/>
      <c r="M22" s="7"/>
    </row>
    <row r="23" spans="1:14">
      <c r="A23" s="160" t="s">
        <v>128</v>
      </c>
      <c r="C23" s="1" t="s">
        <v>393</v>
      </c>
      <c r="D23" s="208"/>
      <c r="E23" s="115">
        <f>'Appx B - RTEP'!W39</f>
        <v>0</v>
      </c>
      <c r="F23" s="556"/>
      <c r="G23" s="164" t="str">
        <f>G$19</f>
        <v>TP</v>
      </c>
      <c r="H23" s="168">
        <f>J$201</f>
        <v>0.97088394159672353</v>
      </c>
      <c r="I23" s="164"/>
      <c r="J23" s="590">
        <f>E23*H23</f>
        <v>0</v>
      </c>
      <c r="K23" s="155"/>
      <c r="L23" s="7"/>
      <c r="M23" s="7"/>
    </row>
    <row r="24" spans="1:14">
      <c r="A24" s="160">
        <v>6</v>
      </c>
      <c r="C24" s="155" t="s">
        <v>677</v>
      </c>
      <c r="D24" s="216"/>
      <c r="E24" s="170" t="s">
        <v>5</v>
      </c>
      <c r="F24" s="35"/>
      <c r="G24" s="163"/>
      <c r="H24" s="168"/>
      <c r="I24" s="163"/>
      <c r="J24" s="115">
        <f>SUM(J19:J22)</f>
        <v>2358359.677526514</v>
      </c>
      <c r="K24" s="155"/>
      <c r="L24" s="7"/>
      <c r="M24" s="7"/>
    </row>
    <row r="25" spans="1:14">
      <c r="A25" s="160" t="s">
        <v>404</v>
      </c>
      <c r="C25" s="155" t="s">
        <v>506</v>
      </c>
      <c r="D25" s="216" t="s">
        <v>481</v>
      </c>
      <c r="E25" s="170"/>
      <c r="F25" s="35"/>
      <c r="G25" s="163"/>
      <c r="H25" s="168"/>
      <c r="I25" s="163"/>
      <c r="J25" s="589">
        <v>-8624270.6199999992</v>
      </c>
      <c r="K25" s="155"/>
      <c r="L25" s="7"/>
      <c r="M25" s="7"/>
    </row>
    <row r="26" spans="1:14">
      <c r="A26" s="160"/>
      <c r="D26" s="155"/>
      <c r="E26" s="163" t="s">
        <v>5</v>
      </c>
      <c r="F26" s="8"/>
      <c r="G26" s="155"/>
      <c r="H26" s="168"/>
      <c r="I26" s="155"/>
      <c r="K26" s="155"/>
      <c r="L26" s="7"/>
      <c r="M26" s="7"/>
    </row>
    <row r="27" spans="1:14">
      <c r="A27" s="160"/>
      <c r="C27" s="155" t="s">
        <v>618</v>
      </c>
      <c r="D27" s="155"/>
      <c r="J27" s="9"/>
      <c r="K27" s="155"/>
      <c r="L27" s="7"/>
      <c r="M27" s="7"/>
    </row>
    <row r="28" spans="1:14" ht="16.5" thickBot="1">
      <c r="A28" s="160">
        <v>7</v>
      </c>
      <c r="C28" s="155" t="s">
        <v>13</v>
      </c>
      <c r="D28" s="155" t="s">
        <v>405</v>
      </c>
      <c r="E28" s="170" t="s">
        <v>5</v>
      </c>
      <c r="F28" s="35"/>
      <c r="G28" s="163"/>
      <c r="H28" s="163"/>
      <c r="I28" s="163"/>
      <c r="J28" s="563">
        <f>J15-J24+J25</f>
        <v>100499588.18662661</v>
      </c>
      <c r="K28" s="155"/>
      <c r="L28" s="358"/>
      <c r="M28" s="7"/>
      <c r="N28" s="381"/>
    </row>
    <row r="29" spans="1:14" ht="15.75" thickTop="1">
      <c r="A29" s="160"/>
      <c r="D29" s="155"/>
      <c r="E29" s="170"/>
      <c r="F29" s="35"/>
      <c r="G29" s="163"/>
      <c r="H29" s="163"/>
      <c r="I29" s="163"/>
      <c r="K29" s="155"/>
      <c r="L29" s="7"/>
      <c r="M29" s="7"/>
      <c r="N29" s="381"/>
    </row>
    <row r="30" spans="1:14">
      <c r="A30" s="160"/>
      <c r="C30" s="155" t="s">
        <v>244</v>
      </c>
      <c r="D30" s="155"/>
      <c r="E30" s="163"/>
      <c r="F30" s="8"/>
      <c r="G30" s="155"/>
      <c r="H30" s="155"/>
      <c r="I30" s="155"/>
      <c r="J30" s="9"/>
      <c r="K30" s="155"/>
      <c r="L30" s="7"/>
      <c r="M30" s="7"/>
    </row>
    <row r="31" spans="1:14" ht="15.75">
      <c r="A31" s="160">
        <v>8</v>
      </c>
      <c r="C31" s="237" t="s">
        <v>504</v>
      </c>
      <c r="D31" s="340" t="s">
        <v>482</v>
      </c>
      <c r="E31" s="9"/>
      <c r="F31" s="8"/>
      <c r="G31" s="7"/>
      <c r="H31" s="10"/>
      <c r="I31" s="7"/>
      <c r="J31" s="243">
        <f>MAX('Pg 8 of 8 Peak Load'!C36:N36)</f>
        <v>3719413.33</v>
      </c>
      <c r="K31" s="155"/>
      <c r="L31" s="358"/>
      <c r="M31" s="7"/>
    </row>
    <row r="32" spans="1:14" ht="15.75">
      <c r="A32" s="160">
        <v>9</v>
      </c>
      <c r="C32" s="237" t="s">
        <v>505</v>
      </c>
      <c r="D32" s="340" t="s">
        <v>483</v>
      </c>
      <c r="E32" s="9"/>
      <c r="F32" s="35"/>
      <c r="G32" s="9"/>
      <c r="H32" s="9"/>
      <c r="I32" s="9"/>
      <c r="J32" s="243">
        <f>'Pg 8 of 8 Peak Load'!P36</f>
        <v>2698216</v>
      </c>
      <c r="K32" s="155"/>
      <c r="L32" s="358"/>
      <c r="M32" s="7"/>
    </row>
    <row r="33" spans="1:15">
      <c r="A33" s="160"/>
      <c r="C33" s="155"/>
      <c r="D33" s="155"/>
      <c r="E33" s="155"/>
      <c r="F33" s="8"/>
      <c r="G33" s="155"/>
      <c r="H33" s="155"/>
      <c r="I33" s="155"/>
      <c r="J33" s="243"/>
      <c r="K33" s="155"/>
      <c r="L33" s="155"/>
      <c r="M33" s="155"/>
    </row>
    <row r="34" spans="1:15">
      <c r="A34" s="160">
        <v>10</v>
      </c>
      <c r="C34" s="155" t="s">
        <v>239</v>
      </c>
      <c r="D34" s="155"/>
      <c r="E34" s="164"/>
      <c r="F34" s="556"/>
      <c r="G34" s="164"/>
      <c r="H34" s="164"/>
      <c r="I34" s="164"/>
      <c r="J34" s="115"/>
      <c r="K34" s="155"/>
      <c r="L34" s="155"/>
      <c r="M34" s="155"/>
    </row>
    <row r="35" spans="1:15">
      <c r="A35" s="160">
        <v>11</v>
      </c>
      <c r="C35" s="155" t="s">
        <v>239</v>
      </c>
      <c r="D35" s="155"/>
      <c r="E35" s="164"/>
      <c r="F35" s="556"/>
      <c r="G35" s="164"/>
      <c r="H35" s="164"/>
      <c r="I35" s="164"/>
      <c r="J35" s="115"/>
      <c r="K35" s="155"/>
      <c r="L35" s="155"/>
      <c r="M35" s="155"/>
    </row>
    <row r="36" spans="1:15">
      <c r="A36" s="160">
        <v>12</v>
      </c>
      <c r="C36" s="155" t="s">
        <v>239</v>
      </c>
      <c r="D36" s="155"/>
      <c r="E36" s="164"/>
      <c r="F36" s="556"/>
      <c r="G36" s="164"/>
      <c r="H36" s="164"/>
      <c r="I36" s="164"/>
      <c r="J36" s="115"/>
      <c r="K36" s="155"/>
      <c r="L36" s="155"/>
      <c r="M36" s="155"/>
    </row>
    <row r="37" spans="1:15">
      <c r="A37" s="160">
        <v>13</v>
      </c>
      <c r="C37" s="155" t="s">
        <v>239</v>
      </c>
      <c r="D37" s="155"/>
      <c r="E37" s="164"/>
      <c r="F37" s="556"/>
      <c r="G37" s="164"/>
      <c r="H37" s="164"/>
      <c r="I37" s="164"/>
      <c r="J37" s="115"/>
      <c r="K37" s="155"/>
      <c r="L37" s="155"/>
      <c r="M37" s="155"/>
      <c r="N37"/>
      <c r="O37"/>
    </row>
    <row r="38" spans="1:15">
      <c r="A38" s="160">
        <v>14</v>
      </c>
      <c r="C38" s="155" t="s">
        <v>239</v>
      </c>
      <c r="D38" s="155" t="s">
        <v>595</v>
      </c>
      <c r="E38" s="164"/>
      <c r="F38" s="556"/>
      <c r="G38" s="164"/>
      <c r="H38" s="164"/>
      <c r="I38" s="164"/>
      <c r="J38" s="115"/>
      <c r="K38" s="155"/>
      <c r="L38" s="155"/>
      <c r="M38" s="155"/>
      <c r="N38"/>
      <c r="O38"/>
    </row>
    <row r="39" spans="1:15">
      <c r="A39" s="160"/>
      <c r="C39" s="155"/>
      <c r="D39" s="155"/>
      <c r="E39" s="164"/>
      <c r="F39" s="556"/>
      <c r="G39" s="164"/>
      <c r="H39" s="164"/>
      <c r="I39" s="164"/>
      <c r="J39" s="115"/>
      <c r="K39" s="155"/>
      <c r="L39" s="155"/>
      <c r="M39" s="155"/>
      <c r="N39"/>
      <c r="O39"/>
    </row>
    <row r="40" spans="1:15" ht="15.75">
      <c r="A40" s="160">
        <v>15</v>
      </c>
      <c r="C40" s="155" t="s">
        <v>223</v>
      </c>
      <c r="D40" s="155" t="s">
        <v>245</v>
      </c>
      <c r="E40" s="282">
        <f>ROUND(IF(J31&gt;0,J28/J31,0),9)</f>
        <v>27.020279617</v>
      </c>
      <c r="F40" s="556"/>
      <c r="G40" s="164"/>
      <c r="H40" s="164"/>
      <c r="I40" s="164"/>
      <c r="J40" s="564"/>
      <c r="K40" s="32"/>
      <c r="L40" s="32"/>
      <c r="M40" s="7"/>
      <c r="N40"/>
      <c r="O40"/>
    </row>
    <row r="41" spans="1:15" ht="15.75">
      <c r="A41" s="160"/>
      <c r="C41" s="155"/>
      <c r="D41" s="155"/>
      <c r="E41" s="171"/>
      <c r="F41" s="556"/>
      <c r="G41" s="164"/>
      <c r="H41" s="164"/>
      <c r="I41" s="164"/>
      <c r="J41" s="565"/>
      <c r="K41" s="32"/>
      <c r="L41" s="32"/>
      <c r="M41" s="7"/>
      <c r="N41"/>
      <c r="O41"/>
    </row>
    <row r="42" spans="1:15" ht="15.75">
      <c r="A42" s="160">
        <v>16</v>
      </c>
      <c r="C42" s="155" t="s">
        <v>274</v>
      </c>
      <c r="D42" s="155" t="s">
        <v>275</v>
      </c>
      <c r="E42" s="171">
        <f>IF(J32&gt;0,J28/J32,0)</f>
        <v>37.246680097748516</v>
      </c>
      <c r="F42" s="556"/>
      <c r="G42" s="255"/>
      <c r="H42" s="164"/>
      <c r="I42" s="164"/>
      <c r="J42" s="565"/>
      <c r="K42" s="32"/>
      <c r="L42" s="32"/>
      <c r="M42" s="7"/>
      <c r="N42"/>
      <c r="O42"/>
    </row>
    <row r="43" spans="1:15" ht="15.75">
      <c r="A43" s="160"/>
      <c r="C43" s="155"/>
      <c r="D43" s="155"/>
      <c r="E43" s="171"/>
      <c r="F43" s="556"/>
      <c r="G43" s="115"/>
      <c r="H43" s="115"/>
      <c r="I43" s="164"/>
      <c r="J43" s="565"/>
      <c r="K43" s="32"/>
      <c r="L43" s="32"/>
      <c r="M43" s="7"/>
      <c r="N43"/>
      <c r="O43"/>
    </row>
    <row r="44" spans="1:15" ht="15.75">
      <c r="A44" s="160">
        <v>17</v>
      </c>
      <c r="C44" s="155" t="s">
        <v>276</v>
      </c>
      <c r="D44" s="155" t="s">
        <v>277</v>
      </c>
      <c r="E44" s="282">
        <f>ROUND(E40/12,9)</f>
        <v>2.251689968</v>
      </c>
      <c r="F44" s="556"/>
      <c r="G44" s="115"/>
      <c r="H44" s="115"/>
      <c r="I44" s="164"/>
      <c r="J44" s="564"/>
      <c r="K44" s="32"/>
      <c r="L44" s="32"/>
      <c r="M44" s="7"/>
      <c r="N44"/>
      <c r="O44"/>
    </row>
    <row r="45" spans="1:15">
      <c r="A45" s="160"/>
      <c r="C45" s="155"/>
      <c r="D45" s="155"/>
      <c r="E45" s="282"/>
      <c r="F45" s="556"/>
      <c r="G45" s="115"/>
      <c r="H45" s="115"/>
      <c r="I45" s="164"/>
      <c r="J45" s="115"/>
      <c r="K45" s="155"/>
      <c r="L45" s="155"/>
      <c r="M45" s="155"/>
      <c r="N45"/>
      <c r="O45"/>
    </row>
    <row r="46" spans="1:15">
      <c r="A46" s="160" t="s">
        <v>273</v>
      </c>
      <c r="C46" s="155" t="s">
        <v>278</v>
      </c>
      <c r="D46" s="155" t="s">
        <v>279</v>
      </c>
      <c r="E46" s="282">
        <f>ROUND($E$42/12,9)</f>
        <v>3.103890008</v>
      </c>
      <c r="F46" s="556"/>
      <c r="G46" s="115"/>
      <c r="H46" s="115"/>
      <c r="I46" s="164"/>
      <c r="J46" s="115"/>
      <c r="K46" s="155"/>
      <c r="L46" s="155"/>
      <c r="M46" s="155"/>
      <c r="N46"/>
      <c r="O46"/>
    </row>
    <row r="47" spans="1:15">
      <c r="A47" s="160"/>
      <c r="C47" s="155"/>
      <c r="D47" s="155"/>
      <c r="E47" s="171"/>
      <c r="F47" s="556"/>
      <c r="G47" s="115"/>
      <c r="H47" s="115"/>
      <c r="I47" s="164"/>
      <c r="J47" s="115"/>
      <c r="K47" s="155"/>
      <c r="L47" s="155"/>
      <c r="M47" s="155"/>
      <c r="N47"/>
      <c r="O47"/>
    </row>
    <row r="48" spans="1:15">
      <c r="A48" s="160"/>
      <c r="C48" s="155"/>
      <c r="D48" s="155"/>
      <c r="E48" s="328" t="s">
        <v>510</v>
      </c>
      <c r="F48" s="556"/>
      <c r="G48" s="173"/>
      <c r="I48" s="164"/>
      <c r="J48" s="566" t="s">
        <v>286</v>
      </c>
      <c r="K48" s="155"/>
      <c r="L48" s="155"/>
      <c r="M48" s="155"/>
      <c r="N48"/>
      <c r="O48"/>
    </row>
    <row r="49" spans="1:15">
      <c r="A49" s="160"/>
      <c r="C49" s="155"/>
      <c r="D49" s="155"/>
      <c r="E49" s="172"/>
      <c r="F49" s="556"/>
      <c r="G49" s="173"/>
      <c r="I49" s="164"/>
      <c r="J49" s="567"/>
      <c r="K49" s="155"/>
      <c r="L49" s="155"/>
      <c r="M49" s="155"/>
      <c r="N49"/>
      <c r="O49"/>
    </row>
    <row r="50" spans="1:15">
      <c r="A50" s="160">
        <v>18</v>
      </c>
      <c r="C50" s="155" t="s">
        <v>280</v>
      </c>
      <c r="D50" s="155" t="s">
        <v>283</v>
      </c>
      <c r="E50" s="171">
        <f>ROUND($E$42/52,9)</f>
        <v>0.71628230999999998</v>
      </c>
      <c r="F50" s="556"/>
      <c r="G50" s="164"/>
      <c r="H50" s="164"/>
      <c r="I50" s="164"/>
      <c r="J50" s="115"/>
      <c r="K50" s="155"/>
      <c r="L50" s="155"/>
      <c r="M50" s="155"/>
      <c r="N50"/>
      <c r="O50"/>
    </row>
    <row r="51" spans="1:15">
      <c r="A51" s="160"/>
      <c r="C51" s="155"/>
      <c r="D51" s="155"/>
      <c r="E51" s="171"/>
      <c r="F51" s="556"/>
      <c r="G51" s="164"/>
      <c r="H51" s="164"/>
      <c r="I51" s="164"/>
      <c r="J51" s="115"/>
      <c r="K51" s="155"/>
      <c r="L51" s="155"/>
      <c r="M51" s="155"/>
      <c r="N51"/>
      <c r="O51"/>
    </row>
    <row r="52" spans="1:15">
      <c r="A52" s="160">
        <v>19</v>
      </c>
      <c r="C52" s="155" t="s">
        <v>281</v>
      </c>
      <c r="D52" s="155" t="s">
        <v>284</v>
      </c>
      <c r="E52" s="171">
        <f>ROUND($E$42/260,9)</f>
        <v>0.143256462</v>
      </c>
      <c r="F52" s="591" t="s">
        <v>287</v>
      </c>
      <c r="G52" s="164"/>
      <c r="H52" s="164"/>
      <c r="I52" s="164"/>
      <c r="J52" s="282">
        <f>ROUND($E$42/365,9)</f>
        <v>0.102045699</v>
      </c>
      <c r="K52" s="155"/>
      <c r="L52" s="155"/>
      <c r="M52" s="155"/>
      <c r="N52"/>
      <c r="O52"/>
    </row>
    <row r="53" spans="1:15">
      <c r="A53" s="160"/>
      <c r="C53" s="155"/>
      <c r="D53" s="155"/>
      <c r="E53" s="171"/>
      <c r="F53" s="556"/>
      <c r="G53" s="164"/>
      <c r="H53" s="164"/>
      <c r="I53" s="164"/>
      <c r="J53" s="282"/>
      <c r="K53" s="155"/>
      <c r="L53" s="155"/>
      <c r="M53" s="155"/>
      <c r="N53"/>
      <c r="O53"/>
    </row>
    <row r="54" spans="1:15" ht="30">
      <c r="A54" s="160">
        <v>20</v>
      </c>
      <c r="C54" s="7" t="s">
        <v>282</v>
      </c>
      <c r="D54" s="327" t="s">
        <v>285</v>
      </c>
      <c r="E54" s="282">
        <f>ROUND(E42/4160*1000,4)</f>
        <v>8.9535</v>
      </c>
      <c r="F54" s="591" t="s">
        <v>288</v>
      </c>
      <c r="G54" s="164"/>
      <c r="H54" s="164"/>
      <c r="I54" s="164"/>
      <c r="J54" s="282">
        <f>ROUND(E42/8760*1000,4)</f>
        <v>4.2519</v>
      </c>
      <c r="K54" s="155"/>
      <c r="L54" s="155"/>
      <c r="M54" s="155"/>
      <c r="N54"/>
      <c r="O54"/>
    </row>
    <row r="55" spans="1:15">
      <c r="A55" s="160"/>
      <c r="C55" s="155"/>
      <c r="D55" s="174"/>
      <c r="E55" s="282"/>
      <c r="F55" s="556"/>
      <c r="G55" s="164"/>
      <c r="H55" s="164"/>
      <c r="I55" s="164"/>
      <c r="J55" s="282"/>
      <c r="K55" s="155"/>
      <c r="L55" s="155"/>
      <c r="M55" s="155"/>
      <c r="N55"/>
      <c r="O55"/>
    </row>
    <row r="56" spans="1:15">
      <c r="C56" s="152"/>
      <c r="D56" s="152"/>
      <c r="E56" s="153"/>
      <c r="F56" s="117"/>
      <c r="G56" s="152"/>
      <c r="H56" s="152"/>
      <c r="I56" s="152"/>
      <c r="K56" s="160"/>
      <c r="L56" s="175"/>
      <c r="M56" s="160"/>
      <c r="N56"/>
      <c r="O56"/>
    </row>
    <row r="57" spans="1:15" ht="18">
      <c r="A57" s="150"/>
      <c r="C57" s="152"/>
      <c r="D57" s="152"/>
      <c r="E57" s="256"/>
      <c r="F57" s="117"/>
      <c r="G57" s="152"/>
      <c r="H57" s="152"/>
      <c r="I57" s="152"/>
      <c r="J57" s="2" t="str">
        <f>J1</f>
        <v>Attachment H-24A</v>
      </c>
      <c r="K57" s="175"/>
      <c r="M57" s="175"/>
      <c r="N57"/>
      <c r="O57"/>
    </row>
    <row r="58" spans="1:15">
      <c r="C58" s="152"/>
      <c r="D58" s="152"/>
      <c r="E58" s="153"/>
      <c r="F58" s="117"/>
      <c r="G58" s="152"/>
      <c r="H58" s="152"/>
      <c r="I58" s="152"/>
      <c r="J58" s="2" t="s">
        <v>425</v>
      </c>
      <c r="M58" s="154"/>
      <c r="N58"/>
      <c r="O58"/>
    </row>
    <row r="59" spans="1:15">
      <c r="C59" s="152"/>
      <c r="D59" s="152"/>
      <c r="E59" s="153"/>
      <c r="F59" s="117"/>
      <c r="G59" s="152"/>
      <c r="H59" s="152"/>
      <c r="I59" s="152"/>
      <c r="K59" s="155"/>
      <c r="M59" s="154"/>
      <c r="N59"/>
      <c r="O59"/>
    </row>
    <row r="60" spans="1:15">
      <c r="C60" s="152"/>
      <c r="D60" s="152"/>
      <c r="E60" s="153"/>
      <c r="F60" s="117"/>
      <c r="G60" s="152"/>
      <c r="H60" s="152"/>
      <c r="I60" s="152"/>
      <c r="K60" s="155"/>
      <c r="M60" s="154"/>
      <c r="N60"/>
      <c r="O60"/>
    </row>
    <row r="61" spans="1:15">
      <c r="C61" s="152"/>
      <c r="D61" s="152"/>
      <c r="E61" s="153"/>
      <c r="F61" s="117"/>
      <c r="G61" s="152"/>
      <c r="H61" s="152"/>
      <c r="I61" s="152"/>
      <c r="K61" s="155"/>
      <c r="M61" s="154"/>
    </row>
    <row r="62" spans="1:15">
      <c r="C62" s="152"/>
      <c r="D62" s="152"/>
      <c r="E62" s="153"/>
      <c r="F62" s="117"/>
      <c r="G62" s="152"/>
      <c r="H62" s="152"/>
      <c r="I62" s="152"/>
      <c r="J62" s="2"/>
      <c r="K62" s="155"/>
      <c r="M62" s="154"/>
    </row>
    <row r="63" spans="1:15">
      <c r="C63" s="152" t="s">
        <v>4</v>
      </c>
      <c r="D63" s="152"/>
      <c r="E63" s="153"/>
      <c r="F63" s="117"/>
      <c r="G63" s="152"/>
      <c r="H63" s="152"/>
      <c r="I63" s="152"/>
      <c r="J63" s="5" t="str">
        <f>J7</f>
        <v>For the 12 months ended 12/31/2025</v>
      </c>
      <c r="K63" s="163"/>
      <c r="M63" s="154"/>
    </row>
    <row r="64" spans="1:15">
      <c r="A64" s="157" t="str">
        <f>A8</f>
        <v>Rate Formula Template</v>
      </c>
      <c r="B64" s="156"/>
      <c r="C64" s="156"/>
      <c r="D64" s="157"/>
      <c r="E64" s="156"/>
      <c r="F64" s="117"/>
      <c r="G64" s="157"/>
      <c r="H64" s="157"/>
      <c r="I64" s="157"/>
      <c r="J64" s="13"/>
      <c r="K64" s="163"/>
      <c r="L64" s="156"/>
      <c r="M64" s="155"/>
    </row>
    <row r="65" spans="1:13">
      <c r="A65" s="157" t="str">
        <f>A9</f>
        <v>Utilizing EKPC 2024 Form FF1 Data (ver. FINAL - AUDITED)</v>
      </c>
      <c r="B65" s="156"/>
      <c r="C65" s="157"/>
      <c r="D65" s="158"/>
      <c r="E65" s="156"/>
      <c r="F65" s="35"/>
      <c r="G65" s="158"/>
      <c r="H65" s="158"/>
      <c r="I65" s="157"/>
      <c r="J65" s="72"/>
      <c r="K65" s="163"/>
      <c r="L65" s="159"/>
      <c r="M65" s="155"/>
    </row>
    <row r="66" spans="1:13">
      <c r="A66" s="159"/>
      <c r="B66" s="156"/>
      <c r="C66" s="159"/>
      <c r="D66" s="159"/>
      <c r="E66" s="156"/>
      <c r="F66" s="8"/>
      <c r="G66" s="159"/>
      <c r="H66" s="159"/>
      <c r="I66" s="159"/>
      <c r="J66" s="74"/>
      <c r="K66" s="163"/>
      <c r="L66" s="159"/>
      <c r="M66" s="155"/>
    </row>
    <row r="67" spans="1:13">
      <c r="A67" s="229" t="str">
        <f>$A$11</f>
        <v>East Kentucky Power Cooperative, Inc.</v>
      </c>
      <c r="B67" s="156"/>
      <c r="C67" s="159"/>
      <c r="D67" s="159"/>
      <c r="E67" s="156"/>
      <c r="F67" s="8"/>
      <c r="G67" s="159"/>
      <c r="H67" s="159"/>
      <c r="I67" s="159"/>
      <c r="J67" s="74"/>
      <c r="K67" s="163"/>
      <c r="L67" s="159"/>
      <c r="M67" s="163"/>
    </row>
    <row r="68" spans="1:13">
      <c r="B68" s="156"/>
      <c r="C68" s="159"/>
      <c r="D68" s="159"/>
      <c r="E68" s="156"/>
      <c r="F68" s="8"/>
      <c r="G68" s="159"/>
      <c r="H68" s="159"/>
      <c r="I68" s="159"/>
      <c r="J68" s="74"/>
      <c r="K68" s="163"/>
      <c r="L68" s="159"/>
      <c r="M68" s="163"/>
    </row>
    <row r="69" spans="1:13">
      <c r="C69" s="176" t="s">
        <v>16</v>
      </c>
      <c r="D69" s="176" t="s">
        <v>17</v>
      </c>
      <c r="E69" s="176" t="s">
        <v>18</v>
      </c>
      <c r="F69" s="35" t="s">
        <v>5</v>
      </c>
      <c r="G69" s="163"/>
      <c r="H69" s="177" t="s">
        <v>19</v>
      </c>
      <c r="I69" s="163"/>
      <c r="J69" s="29" t="s">
        <v>20</v>
      </c>
      <c r="K69" s="163"/>
      <c r="L69" s="176"/>
      <c r="M69" s="163"/>
    </row>
    <row r="70" spans="1:13">
      <c r="A70" s="160" t="s">
        <v>6</v>
      </c>
      <c r="C70" s="155"/>
      <c r="D70" s="188" t="s">
        <v>21</v>
      </c>
      <c r="E70" s="163"/>
      <c r="F70" s="35"/>
      <c r="G70" s="163"/>
      <c r="H70" s="160"/>
      <c r="I70" s="163"/>
      <c r="J70" s="117" t="s">
        <v>22</v>
      </c>
      <c r="K70" s="163"/>
      <c r="L70" s="176"/>
      <c r="M70" s="163"/>
    </row>
    <row r="71" spans="1:13" ht="15.75" thickBot="1">
      <c r="A71" s="162" t="s">
        <v>8</v>
      </c>
      <c r="C71" s="192" t="s">
        <v>224</v>
      </c>
      <c r="D71" s="398" t="s">
        <v>23</v>
      </c>
      <c r="E71" s="166" t="s">
        <v>24</v>
      </c>
      <c r="F71" s="557"/>
      <c r="G71" s="167" t="s">
        <v>11</v>
      </c>
      <c r="H71" s="167"/>
      <c r="I71" s="194"/>
      <c r="J71" s="568" t="s">
        <v>268</v>
      </c>
      <c r="K71" s="163"/>
      <c r="L71" s="176"/>
      <c r="M71" s="155"/>
    </row>
    <row r="72" spans="1:13">
      <c r="D72" s="163"/>
      <c r="E72" s="163"/>
      <c r="F72" s="35"/>
      <c r="G72" s="163"/>
      <c r="H72" s="163"/>
      <c r="I72" s="163"/>
      <c r="J72" s="9"/>
      <c r="K72" s="163"/>
      <c r="L72" s="163"/>
      <c r="M72" s="155"/>
    </row>
    <row r="73" spans="1:13">
      <c r="A73" s="160"/>
      <c r="C73" s="155"/>
      <c r="D73" s="163"/>
      <c r="E73" s="163"/>
      <c r="F73" s="35"/>
      <c r="G73" s="163"/>
      <c r="H73" s="163"/>
      <c r="I73" s="163"/>
      <c r="J73" s="9"/>
      <c r="K73" s="163"/>
      <c r="L73" s="163"/>
      <c r="M73" s="155"/>
    </row>
    <row r="74" spans="1:13">
      <c r="A74" s="160"/>
      <c r="C74" s="155" t="s">
        <v>25</v>
      </c>
      <c r="D74" s="163"/>
      <c r="E74" s="163"/>
      <c r="F74" s="35"/>
      <c r="G74" s="163"/>
      <c r="H74" s="163"/>
      <c r="I74" s="163"/>
      <c r="J74" s="9"/>
      <c r="K74" s="163"/>
      <c r="L74" s="163"/>
      <c r="M74" s="155"/>
    </row>
    <row r="75" spans="1:13">
      <c r="A75" s="160">
        <v>1</v>
      </c>
      <c r="C75" s="155" t="s">
        <v>26</v>
      </c>
      <c r="D75" s="163" t="s">
        <v>450</v>
      </c>
      <c r="E75" s="531">
        <f>3549293855-46472854</f>
        <v>3502821001</v>
      </c>
      <c r="F75" s="516"/>
      <c r="G75" s="163" t="s">
        <v>27</v>
      </c>
      <c r="H75" s="183" t="s">
        <v>5</v>
      </c>
      <c r="I75" s="163"/>
      <c r="J75" s="243" t="s">
        <v>5</v>
      </c>
      <c r="K75" s="163"/>
      <c r="L75" s="536"/>
      <c r="M75" s="155"/>
    </row>
    <row r="76" spans="1:13">
      <c r="A76" s="160">
        <v>2</v>
      </c>
      <c r="C76" s="155" t="s">
        <v>28</v>
      </c>
      <c r="D76" s="9" t="s">
        <v>433</v>
      </c>
      <c r="E76" s="532">
        <f>831664094+40887433</f>
        <v>872551527</v>
      </c>
      <c r="F76" s="516"/>
      <c r="G76" s="163" t="s">
        <v>12</v>
      </c>
      <c r="H76" s="183">
        <f>J201</f>
        <v>0.97088394159672353</v>
      </c>
      <c r="I76" s="163"/>
      <c r="J76" s="115">
        <f>ROUND(H76*E76,0)</f>
        <v>847146266</v>
      </c>
      <c r="K76" s="163"/>
      <c r="L76" s="537"/>
      <c r="M76" s="155"/>
    </row>
    <row r="77" spans="1:13">
      <c r="A77" s="160">
        <v>3</v>
      </c>
      <c r="C77" s="155" t="s">
        <v>29</v>
      </c>
      <c r="D77" s="9" t="s">
        <v>434</v>
      </c>
      <c r="E77" s="532">
        <f>386866955</f>
        <v>386866955</v>
      </c>
      <c r="F77" s="516"/>
      <c r="G77" s="163" t="s">
        <v>27</v>
      </c>
      <c r="H77" s="183" t="s">
        <v>5</v>
      </c>
      <c r="I77" s="163"/>
      <c r="J77" s="243" t="s">
        <v>5</v>
      </c>
      <c r="K77" s="163"/>
      <c r="L77" s="163"/>
      <c r="M77" s="155"/>
    </row>
    <row r="78" spans="1:13">
      <c r="A78" s="160">
        <v>4</v>
      </c>
      <c r="C78" s="155" t="s">
        <v>30</v>
      </c>
      <c r="D78" s="9" t="s">
        <v>435</v>
      </c>
      <c r="E78" s="532">
        <f>20100219+143866999</f>
        <v>163967218</v>
      </c>
      <c r="F78" s="516"/>
      <c r="G78" s="163" t="s">
        <v>31</v>
      </c>
      <c r="H78" s="183">
        <f>J219</f>
        <v>0.21024847267783514</v>
      </c>
      <c r="I78" s="163"/>
      <c r="J78" s="115">
        <f>ROUND(H78*E78,0)</f>
        <v>34473857</v>
      </c>
      <c r="K78" s="163"/>
      <c r="L78" s="163"/>
      <c r="M78" s="163"/>
    </row>
    <row r="79" spans="1:13" ht="15.75" thickBot="1">
      <c r="A79" s="160">
        <v>5</v>
      </c>
      <c r="C79" s="155" t="s">
        <v>32</v>
      </c>
      <c r="D79" s="9"/>
      <c r="E79" s="365">
        <v>0</v>
      </c>
      <c r="F79" s="35"/>
      <c r="G79" s="163" t="s">
        <v>79</v>
      </c>
      <c r="H79" s="183">
        <f>J225</f>
        <v>0</v>
      </c>
      <c r="I79" s="163"/>
      <c r="J79" s="592">
        <f>ROUND(H79*E79,0)</f>
        <v>0</v>
      </c>
      <c r="K79" s="163"/>
      <c r="L79" s="163"/>
      <c r="M79" s="163"/>
    </row>
    <row r="80" spans="1:13">
      <c r="A80" s="160">
        <v>6</v>
      </c>
      <c r="C80" s="152" t="s">
        <v>33</v>
      </c>
      <c r="D80" s="163"/>
      <c r="E80" s="164">
        <f>SUM(E75:E79)</f>
        <v>4926206701</v>
      </c>
      <c r="F80" s="35"/>
      <c r="G80" s="163" t="s">
        <v>34</v>
      </c>
      <c r="H80" s="185">
        <f>IF(J80&gt;0,J80/E80,0)</f>
        <v>0.17896531276713068</v>
      </c>
      <c r="I80" s="163"/>
      <c r="J80" s="115">
        <f>SUM(J75:J79)</f>
        <v>881620123</v>
      </c>
      <c r="K80" s="163"/>
      <c r="L80" s="186"/>
      <c r="M80" s="155"/>
    </row>
    <row r="81" spans="1:13">
      <c r="C81" s="155"/>
      <c r="D81" s="163"/>
      <c r="E81" s="169"/>
      <c r="F81" s="35"/>
      <c r="G81" s="163"/>
      <c r="H81" s="186"/>
      <c r="I81" s="163"/>
      <c r="J81" s="243"/>
      <c r="K81" s="163"/>
      <c r="L81" s="186"/>
      <c r="M81" s="155"/>
    </row>
    <row r="82" spans="1:13">
      <c r="C82" s="155" t="s">
        <v>35</v>
      </c>
      <c r="D82" s="163"/>
      <c r="E82" s="169"/>
      <c r="F82" s="35"/>
      <c r="G82" s="163"/>
      <c r="H82" s="163"/>
      <c r="I82" s="163"/>
      <c r="J82" s="243"/>
      <c r="K82" s="163"/>
      <c r="L82" s="163"/>
      <c r="M82" s="155"/>
    </row>
    <row r="83" spans="1:13">
      <c r="A83" s="160">
        <v>7</v>
      </c>
      <c r="C83" s="155" t="str">
        <f>C75</f>
        <v xml:space="preserve">  Production</v>
      </c>
      <c r="D83" s="163" t="s">
        <v>143</v>
      </c>
      <c r="E83" s="531">
        <f>1316735525+261638512</f>
        <v>1578374037</v>
      </c>
      <c r="F83" s="516"/>
      <c r="G83" s="163" t="str">
        <f>G75</f>
        <v>NA</v>
      </c>
      <c r="H83" s="183" t="str">
        <f>H75</f>
        <v xml:space="preserve"> </v>
      </c>
      <c r="I83" s="163"/>
      <c r="J83" s="243" t="s">
        <v>5</v>
      </c>
      <c r="K83" s="163"/>
      <c r="L83" s="163"/>
      <c r="M83" s="155"/>
    </row>
    <row r="84" spans="1:13">
      <c r="A84" s="160">
        <v>8</v>
      </c>
      <c r="C84" s="155" t="str">
        <f>C76</f>
        <v xml:space="preserve">  Transmission</v>
      </c>
      <c r="D84" s="163" t="s">
        <v>132</v>
      </c>
      <c r="E84" s="532">
        <v>195117860</v>
      </c>
      <c r="F84" s="516"/>
      <c r="G84" s="163" t="str">
        <f>G76</f>
        <v>TP</v>
      </c>
      <c r="H84" s="183">
        <f>H76</f>
        <v>0.97088394159672353</v>
      </c>
      <c r="I84" s="163"/>
      <c r="J84" s="115">
        <f>ROUND(H84*E84,0)</f>
        <v>189436797</v>
      </c>
      <c r="K84" s="163"/>
      <c r="L84" s="163"/>
      <c r="M84" s="155"/>
    </row>
    <row r="85" spans="1:13">
      <c r="A85" s="160">
        <v>9</v>
      </c>
      <c r="C85" s="155" t="str">
        <f>C77</f>
        <v xml:space="preserve">  Distribution</v>
      </c>
      <c r="D85" s="163" t="s">
        <v>133</v>
      </c>
      <c r="E85" s="532">
        <v>100825296</v>
      </c>
      <c r="F85" s="516"/>
      <c r="G85" s="163" t="str">
        <f t="shared" ref="G85:H87" si="0">G77</f>
        <v>NA</v>
      </c>
      <c r="H85" s="183" t="str">
        <f t="shared" si="0"/>
        <v xml:space="preserve"> </v>
      </c>
      <c r="I85" s="163"/>
      <c r="J85" s="243" t="s">
        <v>5</v>
      </c>
      <c r="K85" s="163"/>
      <c r="L85" s="163"/>
      <c r="M85" s="155"/>
    </row>
    <row r="86" spans="1:13">
      <c r="A86" s="160">
        <v>10</v>
      </c>
      <c r="C86" s="155" t="str">
        <f>C78</f>
        <v xml:space="preserve">  General &amp; Intangible</v>
      </c>
      <c r="D86" s="163" t="s">
        <v>0</v>
      </c>
      <c r="E86" s="532">
        <v>71927752</v>
      </c>
      <c r="F86" s="516"/>
      <c r="G86" s="163" t="str">
        <f t="shared" si="0"/>
        <v>W/S</v>
      </c>
      <c r="H86" s="183">
        <f t="shared" si="0"/>
        <v>0.21024847267783514</v>
      </c>
      <c r="I86" s="163"/>
      <c r="J86" s="115">
        <f>ROUND(H86*E86,0)</f>
        <v>15122700</v>
      </c>
      <c r="K86" s="163"/>
      <c r="L86" s="163"/>
      <c r="M86" s="155"/>
    </row>
    <row r="87" spans="1:13" ht="15.75" thickBot="1">
      <c r="A87" s="160">
        <v>11</v>
      </c>
      <c r="C87" s="155" t="str">
        <f>C79</f>
        <v xml:space="preserve">  Common</v>
      </c>
      <c r="D87" s="9"/>
      <c r="E87" s="365">
        <v>0</v>
      </c>
      <c r="F87" s="35"/>
      <c r="G87" s="163" t="str">
        <f t="shared" si="0"/>
        <v>CE</v>
      </c>
      <c r="H87" s="183">
        <f t="shared" si="0"/>
        <v>0</v>
      </c>
      <c r="I87" s="163"/>
      <c r="J87" s="592">
        <f>ROUND(H87*E87,0)</f>
        <v>0</v>
      </c>
      <c r="K87" s="163"/>
      <c r="L87" s="163"/>
      <c r="M87" s="155"/>
    </row>
    <row r="88" spans="1:13">
      <c r="A88" s="160">
        <v>12</v>
      </c>
      <c r="C88" s="155" t="s">
        <v>36</v>
      </c>
      <c r="D88" s="163"/>
      <c r="E88" s="164">
        <f>SUM(E83:E87)</f>
        <v>1946244945</v>
      </c>
      <c r="F88" s="35"/>
      <c r="G88" s="163"/>
      <c r="H88" s="163"/>
      <c r="I88" s="163"/>
      <c r="J88" s="115">
        <f>SUM(J83:J87)</f>
        <v>204559497</v>
      </c>
      <c r="K88" s="163"/>
      <c r="L88" s="163"/>
      <c r="M88" s="155"/>
    </row>
    <row r="89" spans="1:13">
      <c r="A89" s="160"/>
      <c r="D89" s="163" t="s">
        <v>5</v>
      </c>
      <c r="E89" s="169"/>
      <c r="F89" s="35"/>
      <c r="G89" s="163"/>
      <c r="H89" s="186"/>
      <c r="I89" s="163"/>
      <c r="J89" s="243"/>
      <c r="K89" s="163"/>
      <c r="L89" s="186"/>
      <c r="M89" s="155"/>
    </row>
    <row r="90" spans="1:13">
      <c r="A90" s="160"/>
      <c r="C90" s="155" t="s">
        <v>37</v>
      </c>
      <c r="D90" s="163"/>
      <c r="E90" s="169"/>
      <c r="F90" s="35"/>
      <c r="G90" s="163"/>
      <c r="H90" s="163"/>
      <c r="I90" s="163"/>
      <c r="J90" s="243"/>
      <c r="K90" s="163"/>
      <c r="L90" s="163"/>
      <c r="M90" s="155"/>
    </row>
    <row r="91" spans="1:13">
      <c r="A91" s="160">
        <v>13</v>
      </c>
      <c r="C91" s="155" t="str">
        <f>C83</f>
        <v xml:space="preserve">  Production</v>
      </c>
      <c r="D91" s="163" t="s">
        <v>266</v>
      </c>
      <c r="E91" s="115">
        <f>E75-E83</f>
        <v>1924446964</v>
      </c>
      <c r="F91" s="35"/>
      <c r="G91" s="163"/>
      <c r="H91" s="186"/>
      <c r="I91" s="163"/>
      <c r="J91" s="243" t="s">
        <v>5</v>
      </c>
      <c r="K91" s="163"/>
      <c r="L91" s="186"/>
      <c r="M91" s="155"/>
    </row>
    <row r="92" spans="1:13">
      <c r="A92" s="160">
        <v>14</v>
      </c>
      <c r="C92" s="7" t="s">
        <v>48</v>
      </c>
      <c r="D92" s="163" t="s">
        <v>267</v>
      </c>
      <c r="E92" s="115">
        <f>E76-E84</f>
        <v>677433667</v>
      </c>
      <c r="F92" s="35"/>
      <c r="G92" s="163"/>
      <c r="H92" s="183"/>
      <c r="I92" s="163"/>
      <c r="J92" s="115">
        <f>J76-J84</f>
        <v>657709469</v>
      </c>
      <c r="K92" s="163"/>
      <c r="L92" s="186"/>
      <c r="M92" s="155"/>
    </row>
    <row r="93" spans="1:13" hidden="1">
      <c r="A93" s="160"/>
      <c r="C93" s="306"/>
      <c r="D93" s="163"/>
      <c r="E93" s="115"/>
      <c r="F93" s="35"/>
      <c r="G93" s="163"/>
      <c r="H93" s="183"/>
      <c r="I93" s="163"/>
      <c r="J93" s="115"/>
      <c r="K93" s="163"/>
      <c r="L93" s="186"/>
      <c r="M93" s="155"/>
    </row>
    <row r="94" spans="1:13">
      <c r="A94" s="160">
        <v>15</v>
      </c>
      <c r="C94" s="155" t="str">
        <f>C85</f>
        <v xml:space="preserve">  Distribution</v>
      </c>
      <c r="D94" s="163" t="s">
        <v>38</v>
      </c>
      <c r="E94" s="115">
        <f>E77-E85</f>
        <v>286041659</v>
      </c>
      <c r="F94" s="35"/>
      <c r="G94" s="163"/>
      <c r="H94" s="186"/>
      <c r="I94" s="163"/>
      <c r="J94" s="243" t="s">
        <v>5</v>
      </c>
      <c r="K94" s="163"/>
      <c r="L94" s="186"/>
      <c r="M94" s="155"/>
    </row>
    <row r="95" spans="1:13">
      <c r="A95" s="160">
        <v>16</v>
      </c>
      <c r="C95" s="155" t="str">
        <f>C86</f>
        <v xml:space="preserve">  General &amp; Intangible</v>
      </c>
      <c r="D95" s="163" t="s">
        <v>39</v>
      </c>
      <c r="E95" s="115">
        <f t="shared" ref="E95" si="1">E78-E86</f>
        <v>92039466</v>
      </c>
      <c r="F95" s="35"/>
      <c r="G95" s="163"/>
      <c r="H95" s="186"/>
      <c r="I95" s="163"/>
      <c r="J95" s="115">
        <f>J78-J86</f>
        <v>19351157</v>
      </c>
      <c r="K95" s="163"/>
      <c r="L95" s="186"/>
      <c r="M95" s="155"/>
    </row>
    <row r="96" spans="1:13" ht="15.75" thickBot="1">
      <c r="A96" s="160">
        <v>17</v>
      </c>
      <c r="C96" s="155" t="str">
        <f>C87</f>
        <v xml:space="preserve">  Common</v>
      </c>
      <c r="D96" s="163" t="s">
        <v>40</v>
      </c>
      <c r="E96" s="365">
        <f>$E$87</f>
        <v>0</v>
      </c>
      <c r="F96" s="35"/>
      <c r="G96" s="163"/>
      <c r="H96" s="186"/>
      <c r="I96" s="163"/>
      <c r="J96" s="592">
        <f>J79-J87</f>
        <v>0</v>
      </c>
      <c r="K96" s="163"/>
      <c r="L96" s="186"/>
      <c r="M96" s="155"/>
    </row>
    <row r="97" spans="1:13">
      <c r="A97" s="160">
        <v>18</v>
      </c>
      <c r="C97" s="155" t="s">
        <v>41</v>
      </c>
      <c r="D97" s="163"/>
      <c r="E97" s="115">
        <f>SUM(E91:E96)</f>
        <v>2979961756</v>
      </c>
      <c r="F97" s="35"/>
      <c r="G97" s="163" t="s">
        <v>42</v>
      </c>
      <c r="H97" s="186">
        <f>IF(J97&gt;0,J97/E97,0)</f>
        <v>0.22720446819049714</v>
      </c>
      <c r="I97" s="163"/>
      <c r="J97" s="115">
        <f>SUM(J91:J96)</f>
        <v>677060626</v>
      </c>
      <c r="K97" s="163"/>
      <c r="L97" s="163"/>
      <c r="M97" s="155"/>
    </row>
    <row r="98" spans="1:13">
      <c r="A98" s="160"/>
      <c r="D98" s="163"/>
      <c r="E98" s="169"/>
      <c r="F98" s="35"/>
      <c r="I98" s="163"/>
      <c r="J98" s="243"/>
      <c r="K98" s="163"/>
      <c r="L98" s="186"/>
      <c r="M98" s="155"/>
    </row>
    <row r="99" spans="1:13">
      <c r="A99" s="160"/>
      <c r="C99" s="320" t="s">
        <v>442</v>
      </c>
      <c r="D99" s="163"/>
      <c r="E99" s="169"/>
      <c r="F99" s="35"/>
      <c r="G99" s="163"/>
      <c r="H99" s="163"/>
      <c r="I99" s="163"/>
      <c r="J99" s="243"/>
      <c r="K99" s="163"/>
      <c r="L99" s="163"/>
      <c r="M99" s="155"/>
    </row>
    <row r="100" spans="1:13">
      <c r="A100" s="160">
        <v>19</v>
      </c>
      <c r="C100" s="155" t="s">
        <v>115</v>
      </c>
      <c r="D100" s="9" t="s">
        <v>436</v>
      </c>
      <c r="E100" s="115">
        <v>0</v>
      </c>
      <c r="F100" s="35"/>
      <c r="G100" s="163" t="str">
        <f>G83</f>
        <v>NA</v>
      </c>
      <c r="H100" s="214" t="s">
        <v>129</v>
      </c>
      <c r="I100" s="163"/>
      <c r="J100" s="115">
        <v>0</v>
      </c>
      <c r="K100" s="163"/>
      <c r="L100" s="186"/>
      <c r="M100" s="155"/>
    </row>
    <row r="101" spans="1:13">
      <c r="A101" s="160">
        <v>20</v>
      </c>
      <c r="C101" s="155" t="s">
        <v>116</v>
      </c>
      <c r="D101" s="9" t="s">
        <v>437</v>
      </c>
      <c r="E101" s="243">
        <v>0</v>
      </c>
      <c r="F101" s="35"/>
      <c r="G101" s="163" t="s">
        <v>43</v>
      </c>
      <c r="H101" s="183">
        <f>H97</f>
        <v>0.22720446819049714</v>
      </c>
      <c r="I101" s="163"/>
      <c r="J101" s="243">
        <f>ROUND(H101*E101,0)</f>
        <v>0</v>
      </c>
      <c r="K101" s="163"/>
      <c r="L101" s="186"/>
      <c r="M101" s="155"/>
    </row>
    <row r="102" spans="1:13">
      <c r="A102" s="160">
        <v>21</v>
      </c>
      <c r="C102" s="155" t="s">
        <v>117</v>
      </c>
      <c r="D102" s="9" t="s">
        <v>438</v>
      </c>
      <c r="E102" s="243">
        <v>0</v>
      </c>
      <c r="F102" s="35"/>
      <c r="G102" s="163" t="s">
        <v>43</v>
      </c>
      <c r="H102" s="183">
        <f>H101</f>
        <v>0.22720446819049714</v>
      </c>
      <c r="I102" s="163"/>
      <c r="J102" s="243">
        <f>ROUND(H102*E102,0)</f>
        <v>0</v>
      </c>
      <c r="K102" s="163"/>
      <c r="L102" s="186"/>
      <c r="M102" s="155"/>
    </row>
    <row r="103" spans="1:13">
      <c r="A103" s="160">
        <v>22</v>
      </c>
      <c r="C103" s="155" t="s">
        <v>119</v>
      </c>
      <c r="D103" s="9" t="s">
        <v>439</v>
      </c>
      <c r="E103" s="243">
        <v>0</v>
      </c>
      <c r="F103" s="35"/>
      <c r="G103" s="163" t="str">
        <f>G102</f>
        <v>NP</v>
      </c>
      <c r="H103" s="183">
        <f>H102</f>
        <v>0.22720446819049714</v>
      </c>
      <c r="I103" s="163"/>
      <c r="J103" s="243">
        <f>ROUND(H103*E103,0)</f>
        <v>0</v>
      </c>
      <c r="K103" s="163"/>
      <c r="L103" s="186"/>
      <c r="M103" s="155"/>
    </row>
    <row r="104" spans="1:13" ht="15.75" thickBot="1">
      <c r="A104" s="160">
        <v>23</v>
      </c>
      <c r="C104" s="151" t="s">
        <v>118</v>
      </c>
      <c r="D104" s="1" t="s">
        <v>440</v>
      </c>
      <c r="E104" s="365">
        <v>0</v>
      </c>
      <c r="F104" s="35"/>
      <c r="G104" s="163" t="s">
        <v>43</v>
      </c>
      <c r="H104" s="183">
        <f>H102</f>
        <v>0.22720446819049714</v>
      </c>
      <c r="I104" s="163"/>
      <c r="J104" s="365">
        <f>ROUND(H104*E104,0)</f>
        <v>0</v>
      </c>
      <c r="K104" s="163"/>
      <c r="L104" s="186"/>
      <c r="M104" s="155"/>
    </row>
    <row r="105" spans="1:13">
      <c r="A105" s="160">
        <v>24</v>
      </c>
      <c r="C105" s="155" t="s">
        <v>114</v>
      </c>
      <c r="D105" s="9"/>
      <c r="E105" s="115">
        <f>SUM(E100:E104)</f>
        <v>0</v>
      </c>
      <c r="F105" s="35"/>
      <c r="G105" s="163"/>
      <c r="H105" s="163"/>
      <c r="I105" s="163"/>
      <c r="J105" s="115">
        <f>SUM(J100:J104)</f>
        <v>0</v>
      </c>
      <c r="K105" s="163"/>
      <c r="L105" s="163"/>
      <c r="M105" s="155"/>
    </row>
    <row r="106" spans="1:13">
      <c r="A106" s="160"/>
      <c r="D106" s="9"/>
      <c r="E106" s="243"/>
      <c r="F106" s="35"/>
      <c r="G106" s="163"/>
      <c r="H106" s="186"/>
      <c r="I106" s="163"/>
      <c r="J106" s="243"/>
      <c r="K106" s="163"/>
      <c r="L106" s="186"/>
      <c r="M106" s="155"/>
    </row>
    <row r="107" spans="1:13">
      <c r="A107" s="160">
        <v>25</v>
      </c>
      <c r="C107" s="187" t="s">
        <v>503</v>
      </c>
      <c r="D107" s="9" t="s">
        <v>515</v>
      </c>
      <c r="E107" s="115">
        <f>'P 2 of 8 Land Held for Future'!C23</f>
        <v>0</v>
      </c>
      <c r="F107" s="35"/>
      <c r="G107" s="163" t="s">
        <v>5</v>
      </c>
      <c r="H107" s="183">
        <v>0</v>
      </c>
      <c r="I107" s="163"/>
      <c r="J107" s="115">
        <f>ROUND(H107*E107,0)</f>
        <v>0</v>
      </c>
      <c r="K107" s="163"/>
      <c r="L107" s="163"/>
      <c r="M107" s="155"/>
    </row>
    <row r="108" spans="1:13">
      <c r="A108" s="160"/>
      <c r="C108" s="155"/>
      <c r="D108" s="163"/>
      <c r="E108" s="243"/>
      <c r="F108" s="35"/>
      <c r="G108" s="163"/>
      <c r="H108" s="163"/>
      <c r="I108" s="163"/>
      <c r="J108" s="243"/>
      <c r="K108" s="163"/>
      <c r="L108" s="163"/>
      <c r="M108" s="155"/>
    </row>
    <row r="109" spans="1:13">
      <c r="A109" s="160"/>
      <c r="C109" s="325" t="s">
        <v>444</v>
      </c>
      <c r="D109" s="163" t="s">
        <v>5</v>
      </c>
      <c r="E109" s="243"/>
      <c r="F109" s="35"/>
      <c r="G109" s="163"/>
      <c r="H109" s="163"/>
      <c r="I109" s="163"/>
      <c r="J109" s="243"/>
      <c r="K109" s="163"/>
      <c r="L109" s="163"/>
      <c r="M109" s="155"/>
    </row>
    <row r="110" spans="1:13">
      <c r="A110" s="160">
        <v>26</v>
      </c>
      <c r="C110" s="7" t="s">
        <v>502</v>
      </c>
      <c r="D110" s="151" t="s">
        <v>516</v>
      </c>
      <c r="E110" s="115">
        <f>ROUND(E144/8,0)</f>
        <v>12927280</v>
      </c>
      <c r="F110" s="35"/>
      <c r="G110" s="163"/>
      <c r="H110" s="186"/>
      <c r="I110" s="163"/>
      <c r="J110" s="243">
        <f>ROUND(J144/8,0)</f>
        <v>7291195</v>
      </c>
      <c r="K110" s="155"/>
      <c r="L110" s="186"/>
      <c r="M110" s="155"/>
    </row>
    <row r="111" spans="1:13">
      <c r="A111" s="160">
        <v>27</v>
      </c>
      <c r="C111" s="325" t="s">
        <v>445</v>
      </c>
      <c r="D111" s="163" t="s">
        <v>441</v>
      </c>
      <c r="E111" s="243">
        <f>'Pg 1 of 8 M&amp;S Alloc'!I16</f>
        <v>86925940</v>
      </c>
      <c r="F111" s="35"/>
      <c r="G111" s="163" t="s">
        <v>44</v>
      </c>
      <c r="H111" s="183">
        <f>J211</f>
        <v>0.90556592731291097</v>
      </c>
      <c r="I111" s="163"/>
      <c r="J111" s="243">
        <f>ROUND(H111*E111,0)</f>
        <v>78717169</v>
      </c>
      <c r="K111" s="163" t="s">
        <v>5</v>
      </c>
      <c r="L111" s="186"/>
      <c r="M111" s="155"/>
    </row>
    <row r="112" spans="1:13" ht="15.75" thickBot="1">
      <c r="A112" s="160">
        <v>28</v>
      </c>
      <c r="C112" s="7" t="s">
        <v>501</v>
      </c>
      <c r="D112" s="163" t="s">
        <v>517</v>
      </c>
      <c r="E112" s="533">
        <v>34295548</v>
      </c>
      <c r="F112" s="516"/>
      <c r="G112" s="163" t="s">
        <v>45</v>
      </c>
      <c r="H112" s="183">
        <f>H80</f>
        <v>0.17896531276713068</v>
      </c>
      <c r="I112" s="163"/>
      <c r="J112" s="365">
        <f>ROUND(H112*E112,0)</f>
        <v>6137713</v>
      </c>
      <c r="K112" s="163"/>
      <c r="M112" s="155"/>
    </row>
    <row r="113" spans="1:13">
      <c r="A113" s="160">
        <v>29</v>
      </c>
      <c r="C113" s="155" t="s">
        <v>46</v>
      </c>
      <c r="D113" s="155"/>
      <c r="E113" s="164">
        <f>E110+E111+E112</f>
        <v>134148768</v>
      </c>
      <c r="F113" s="8"/>
      <c r="G113" s="155"/>
      <c r="H113" s="155"/>
      <c r="I113" s="155"/>
      <c r="J113" s="115">
        <f>J110+J111+J112</f>
        <v>92146077</v>
      </c>
      <c r="K113" s="155"/>
      <c r="L113" s="155"/>
      <c r="M113" s="155"/>
    </row>
    <row r="114" spans="1:13" ht="15.75" thickBot="1">
      <c r="D114" s="163"/>
      <c r="E114" s="184"/>
      <c r="F114" s="35"/>
      <c r="G114" s="163"/>
      <c r="H114" s="163"/>
      <c r="I114" s="163"/>
      <c r="J114" s="365"/>
      <c r="K114" s="163"/>
      <c r="L114" s="163"/>
      <c r="M114" s="155"/>
    </row>
    <row r="115" spans="1:13" ht="15.75" thickBot="1">
      <c r="A115" s="160">
        <v>30</v>
      </c>
      <c r="C115" s="155" t="s">
        <v>120</v>
      </c>
      <c r="D115" s="163"/>
      <c r="E115" s="189">
        <f>E113+E107+E105+E97</f>
        <v>3114110524</v>
      </c>
      <c r="F115" s="35"/>
      <c r="G115" s="163"/>
      <c r="H115" s="186"/>
      <c r="I115" s="163"/>
      <c r="J115" s="569">
        <f>J113+J107+J105+J97</f>
        <v>769206703</v>
      </c>
      <c r="K115" s="163"/>
      <c r="L115" s="186"/>
      <c r="M115" s="163"/>
    </row>
    <row r="116" spans="1:13" ht="15.75" thickTop="1">
      <c r="A116" s="160"/>
      <c r="C116" s="155"/>
      <c r="D116" s="163"/>
      <c r="E116" s="163"/>
      <c r="F116" s="35"/>
      <c r="G116" s="163"/>
      <c r="H116" s="163"/>
      <c r="I116" s="163"/>
      <c r="J116" s="9"/>
      <c r="K116" s="163"/>
      <c r="L116" s="163"/>
      <c r="M116" s="163"/>
    </row>
    <row r="117" spans="1:13">
      <c r="A117" s="160"/>
      <c r="C117" s="152"/>
      <c r="D117" s="152"/>
      <c r="E117" s="153"/>
      <c r="F117" s="117"/>
      <c r="G117" s="152"/>
      <c r="H117" s="152"/>
      <c r="I117" s="152"/>
      <c r="K117" s="160"/>
      <c r="L117" s="175"/>
      <c r="M117" s="160"/>
    </row>
    <row r="118" spans="1:13" ht="18">
      <c r="A118" s="150"/>
      <c r="C118" s="152"/>
      <c r="D118" s="152"/>
      <c r="E118" s="153"/>
      <c r="F118" s="117"/>
      <c r="G118" s="152"/>
      <c r="H118" s="152"/>
      <c r="I118" s="152"/>
      <c r="J118" s="2" t="str">
        <f>J1</f>
        <v>Attachment H-24A</v>
      </c>
      <c r="K118" s="175"/>
      <c r="M118" s="175"/>
    </row>
    <row r="119" spans="1:13">
      <c r="C119" s="152"/>
      <c r="D119" s="152"/>
      <c r="E119" s="153"/>
      <c r="F119" s="117"/>
      <c r="G119" s="152"/>
      <c r="H119" s="152"/>
      <c r="I119" s="152"/>
      <c r="J119" s="2" t="s">
        <v>424</v>
      </c>
      <c r="M119" s="154"/>
    </row>
    <row r="120" spans="1:13">
      <c r="C120" s="152"/>
      <c r="D120" s="152"/>
      <c r="E120" s="153"/>
      <c r="F120" s="117"/>
      <c r="G120" s="152"/>
      <c r="H120" s="152"/>
      <c r="I120" s="152"/>
      <c r="J120" s="2"/>
      <c r="M120" s="154"/>
    </row>
    <row r="121" spans="1:13">
      <c r="C121" s="152"/>
      <c r="D121" s="152"/>
      <c r="E121" s="153"/>
      <c r="F121" s="117"/>
      <c r="G121" s="152"/>
      <c r="H121" s="152"/>
      <c r="I121" s="152"/>
      <c r="M121" s="154"/>
    </row>
    <row r="122" spans="1:13">
      <c r="C122" s="152"/>
      <c r="D122" s="152"/>
      <c r="E122" s="153"/>
      <c r="F122" s="117"/>
      <c r="G122" s="152"/>
      <c r="H122" s="152"/>
      <c r="I122" s="152"/>
      <c r="K122" s="155"/>
      <c r="M122" s="154"/>
    </row>
    <row r="123" spans="1:13">
      <c r="C123" s="152"/>
      <c r="D123" s="152"/>
      <c r="E123" s="153"/>
      <c r="F123" s="117"/>
      <c r="G123" s="152"/>
      <c r="H123" s="152"/>
      <c r="I123" s="152"/>
      <c r="J123" s="2"/>
      <c r="K123" s="155"/>
      <c r="M123" s="154"/>
    </row>
    <row r="124" spans="1:13">
      <c r="C124" s="152" t="s">
        <v>4</v>
      </c>
      <c r="D124" s="152"/>
      <c r="E124" s="153"/>
      <c r="F124" s="117"/>
      <c r="G124" s="152"/>
      <c r="H124" s="152"/>
      <c r="I124" s="152"/>
      <c r="J124" s="5" t="str">
        <f>J7</f>
        <v>For the 12 months ended 12/31/2025</v>
      </c>
      <c r="K124" s="155"/>
      <c r="M124" s="154"/>
    </row>
    <row r="125" spans="1:13">
      <c r="A125" s="157" t="str">
        <f>A8</f>
        <v>Rate Formula Template</v>
      </c>
      <c r="B125" s="156"/>
      <c r="C125" s="156"/>
      <c r="D125" s="157"/>
      <c r="E125" s="156"/>
      <c r="F125" s="117"/>
      <c r="G125" s="157"/>
      <c r="H125" s="157"/>
      <c r="I125" s="157"/>
      <c r="J125" s="13"/>
      <c r="K125" s="163"/>
      <c r="L125" s="156"/>
      <c r="M125" s="155"/>
    </row>
    <row r="126" spans="1:13">
      <c r="A126" s="190" t="str">
        <f>$A$9</f>
        <v>Utilizing EKPC 2024 Form FF1 Data (ver. FINAL - AUDITED)</v>
      </c>
      <c r="B126" s="156"/>
      <c r="C126" s="157"/>
      <c r="D126" s="158"/>
      <c r="E126" s="156"/>
      <c r="F126" s="35"/>
      <c r="G126" s="158"/>
      <c r="H126" s="158"/>
      <c r="I126" s="157"/>
      <c r="J126" s="72"/>
      <c r="K126" s="163"/>
      <c r="L126" s="159"/>
      <c r="M126" s="155"/>
    </row>
    <row r="127" spans="1:13">
      <c r="A127" s="159"/>
      <c r="B127" s="156"/>
      <c r="C127" s="159"/>
      <c r="D127" s="159"/>
      <c r="E127" s="156"/>
      <c r="F127" s="8"/>
      <c r="G127" s="159"/>
      <c r="H127" s="159"/>
      <c r="I127" s="159"/>
      <c r="J127" s="74"/>
      <c r="K127" s="163"/>
      <c r="L127" s="159"/>
      <c r="M127" s="155"/>
    </row>
    <row r="128" spans="1:13">
      <c r="A128" s="229" t="str">
        <f>$A$11</f>
        <v>East Kentucky Power Cooperative, Inc.</v>
      </c>
      <c r="B128" s="156"/>
      <c r="C128" s="159"/>
      <c r="D128" s="159"/>
      <c r="E128" s="156"/>
      <c r="F128" s="8"/>
      <c r="G128" s="159"/>
      <c r="H128" s="159"/>
      <c r="I128" s="159"/>
      <c r="J128" s="74"/>
      <c r="K128" s="163"/>
      <c r="L128" s="159"/>
      <c r="M128" s="163"/>
    </row>
    <row r="129" spans="1:26">
      <c r="A129" s="160"/>
      <c r="K129" s="163"/>
      <c r="L129" s="163"/>
      <c r="M129" s="163"/>
    </row>
    <row r="130" spans="1:26" ht="15.75">
      <c r="A130" s="160"/>
      <c r="C130" s="176" t="s">
        <v>16</v>
      </c>
      <c r="D130" s="176" t="s">
        <v>17</v>
      </c>
      <c r="E130" s="176" t="s">
        <v>18</v>
      </c>
      <c r="F130" s="35" t="s">
        <v>5</v>
      </c>
      <c r="G130" s="163"/>
      <c r="H130" s="177" t="s">
        <v>19</v>
      </c>
      <c r="I130" s="163"/>
      <c r="J130" s="29" t="s">
        <v>20</v>
      </c>
      <c r="K130" s="163"/>
      <c r="L130" s="179"/>
      <c r="M130" s="152"/>
    </row>
    <row r="131" spans="1:26" ht="15.75">
      <c r="A131" s="160" t="s">
        <v>6</v>
      </c>
      <c r="C131" s="155"/>
      <c r="D131" s="188" t="s">
        <v>21</v>
      </c>
      <c r="E131" s="163"/>
      <c r="F131" s="35"/>
      <c r="G131" s="163"/>
      <c r="H131" s="160"/>
      <c r="I131" s="163"/>
      <c r="J131" s="117" t="s">
        <v>22</v>
      </c>
      <c r="K131" s="163"/>
      <c r="L131" s="179"/>
      <c r="M131" s="163"/>
    </row>
    <row r="132" spans="1:26" ht="15.75">
      <c r="A132" s="162" t="s">
        <v>8</v>
      </c>
      <c r="B132" s="191"/>
      <c r="C132" s="192"/>
      <c r="D132" s="193" t="s">
        <v>23</v>
      </c>
      <c r="E132" s="162" t="s">
        <v>24</v>
      </c>
      <c r="F132" s="557"/>
      <c r="G132" s="195" t="s">
        <v>11</v>
      </c>
      <c r="H132" s="196"/>
      <c r="I132" s="194"/>
      <c r="J132" s="570" t="s">
        <v>268</v>
      </c>
      <c r="K132" s="163"/>
      <c r="L132" s="179"/>
      <c r="M132" s="197"/>
    </row>
    <row r="133" spans="1:26" ht="15.75">
      <c r="C133" s="155"/>
      <c r="D133" s="163"/>
      <c r="E133" s="198"/>
      <c r="F133" s="558"/>
      <c r="G133" s="199"/>
      <c r="I133" s="182"/>
      <c r="J133" s="571"/>
      <c r="K133" s="163"/>
      <c r="L133" s="163"/>
      <c r="M133" s="163"/>
    </row>
    <row r="134" spans="1:26">
      <c r="A134" s="160"/>
      <c r="C134" s="155" t="s">
        <v>47</v>
      </c>
      <c r="D134" s="163"/>
      <c r="E134" s="163"/>
      <c r="F134" s="35"/>
      <c r="G134" s="163"/>
      <c r="H134" s="163"/>
      <c r="I134" s="163"/>
      <c r="J134" s="9"/>
      <c r="K134" s="163"/>
      <c r="L134" s="163"/>
      <c r="M134" s="163"/>
    </row>
    <row r="135" spans="1:26">
      <c r="A135" s="160">
        <v>1</v>
      </c>
      <c r="C135" s="155" t="s">
        <v>48</v>
      </c>
      <c r="D135" s="326" t="s">
        <v>451</v>
      </c>
      <c r="E135" s="115">
        <f>'Pg 4 of 8 Sch 1 Charges 561'!D28</f>
        <v>75530836</v>
      </c>
      <c r="F135" s="35"/>
      <c r="G135" s="163" t="s">
        <v>44</v>
      </c>
      <c r="H135" s="183">
        <f>J211</f>
        <v>0.90556592731291097</v>
      </c>
      <c r="I135" s="163"/>
      <c r="J135" s="115">
        <f>ROUND(H135*E135,0)</f>
        <v>68398152</v>
      </c>
      <c r="K135" s="155"/>
      <c r="L135" s="163"/>
      <c r="M135" s="163"/>
      <c r="N135" s="1"/>
    </row>
    <row r="136" spans="1:26">
      <c r="A136" s="160">
        <v>2</v>
      </c>
      <c r="C136" s="200" t="s">
        <v>2</v>
      </c>
      <c r="D136" s="326" t="s">
        <v>452</v>
      </c>
      <c r="E136" s="532">
        <f>21713057.82+(1373261.3+227202.28+3292.18)</f>
        <v>23316813.580000002</v>
      </c>
      <c r="F136" s="516"/>
      <c r="G136" s="163" t="s">
        <v>44</v>
      </c>
      <c r="H136" s="183">
        <f>J$211</f>
        <v>0.90556592731291097</v>
      </c>
      <c r="I136" s="163"/>
      <c r="J136" s="243">
        <f t="shared" ref="J136:J143" si="2">ROUND(H136*E136,0)</f>
        <v>21114912</v>
      </c>
      <c r="K136" s="155"/>
      <c r="M136" s="163"/>
      <c r="N136" s="1"/>
    </row>
    <row r="137" spans="1:26">
      <c r="A137" s="160">
        <v>3</v>
      </c>
      <c r="C137" s="155" t="s">
        <v>49</v>
      </c>
      <c r="D137" s="326" t="s">
        <v>453</v>
      </c>
      <c r="E137" s="243">
        <f>'Pg 4 of 8 Sch 1 Charges 561'!D19</f>
        <v>52996152</v>
      </c>
      <c r="F137" s="35"/>
      <c r="G137" s="163" t="s">
        <v>31</v>
      </c>
      <c r="H137" s="183">
        <f>$J$219</f>
        <v>0.21024847267783514</v>
      </c>
      <c r="I137" s="163"/>
      <c r="J137" s="243">
        <f t="shared" si="2"/>
        <v>11142360</v>
      </c>
      <c r="K137" s="163"/>
      <c r="L137" s="163" t="s">
        <v>5</v>
      </c>
      <c r="M137" s="163"/>
      <c r="N137" s="1"/>
    </row>
    <row r="138" spans="1:26">
      <c r="A138" s="160">
        <v>4</v>
      </c>
      <c r="C138" s="200" t="s">
        <v>270</v>
      </c>
      <c r="D138" s="9" t="s">
        <v>443</v>
      </c>
      <c r="E138" s="243">
        <v>0</v>
      </c>
      <c r="F138" s="35"/>
      <c r="G138" s="163" t="s">
        <v>31</v>
      </c>
      <c r="H138" s="183">
        <f>$J$219</f>
        <v>0.21024847267783514</v>
      </c>
      <c r="I138" s="163"/>
      <c r="J138" s="243">
        <f t="shared" si="2"/>
        <v>0</v>
      </c>
      <c r="K138" s="163"/>
      <c r="L138" s="163"/>
      <c r="M138" s="163"/>
      <c r="N138" s="1"/>
    </row>
    <row r="139" spans="1:26">
      <c r="A139" s="160">
        <v>5</v>
      </c>
      <c r="C139" s="237" t="s">
        <v>467</v>
      </c>
      <c r="D139" s="332" t="s">
        <v>484</v>
      </c>
      <c r="E139" s="243">
        <f>'Pg 3 of 8 G&amp;A Adj'!D19</f>
        <v>360211</v>
      </c>
      <c r="F139" s="35"/>
      <c r="G139" s="9" t="s">
        <v>31</v>
      </c>
      <c r="H139" s="279">
        <f>$J$219</f>
        <v>0.21024847267783514</v>
      </c>
      <c r="I139" s="9"/>
      <c r="J139" s="243">
        <f t="shared" si="2"/>
        <v>75734</v>
      </c>
      <c r="K139" s="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6">
      <c r="A140" s="201" t="s">
        <v>128</v>
      </c>
      <c r="C140" s="341" t="s">
        <v>466</v>
      </c>
      <c r="D140" s="332" t="s">
        <v>484</v>
      </c>
      <c r="E140" s="243">
        <f>'Pg 3 of 8 G&amp;A Adj'!D22</f>
        <v>1835435</v>
      </c>
      <c r="F140" s="35"/>
      <c r="G140" s="9" t="s">
        <v>31</v>
      </c>
      <c r="H140" s="279">
        <f>$J$219</f>
        <v>0.21024847267783514</v>
      </c>
      <c r="I140" s="9"/>
      <c r="J140" s="243">
        <f t="shared" si="2"/>
        <v>385897</v>
      </c>
      <c r="K140" s="9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6">
      <c r="A141" s="228" t="s">
        <v>465</v>
      </c>
      <c r="C141" s="237" t="s">
        <v>468</v>
      </c>
      <c r="D141" s="332" t="s">
        <v>484</v>
      </c>
      <c r="E141" s="243">
        <f>'Pg 3 of 8 G&amp;A Adj'!D28</f>
        <v>403710.90544944233</v>
      </c>
      <c r="F141" s="35"/>
      <c r="G141" s="285" t="str">
        <f>G135</f>
        <v>TE</v>
      </c>
      <c r="H141" s="279">
        <f>H135</f>
        <v>0.90556592731291097</v>
      </c>
      <c r="I141" s="9"/>
      <c r="J141" s="243">
        <f t="shared" si="2"/>
        <v>365587</v>
      </c>
      <c r="K141" s="163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 s="160">
        <v>6</v>
      </c>
      <c r="C142" s="155" t="s">
        <v>32</v>
      </c>
      <c r="D142" s="163"/>
      <c r="E142" s="475">
        <v>0</v>
      </c>
      <c r="F142" s="35"/>
      <c r="G142" s="163" t="s">
        <v>79</v>
      </c>
      <c r="H142" s="183">
        <f>H87</f>
        <v>0</v>
      </c>
      <c r="I142" s="163"/>
      <c r="J142" s="243">
        <f t="shared" si="2"/>
        <v>0</v>
      </c>
      <c r="K142" s="163"/>
      <c r="L142" s="163"/>
      <c r="M142" s="163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5.75" thickBot="1">
      <c r="A143" s="160">
        <v>7</v>
      </c>
      <c r="C143" s="155" t="s">
        <v>50</v>
      </c>
      <c r="D143" s="163"/>
      <c r="E143" s="365">
        <v>0</v>
      </c>
      <c r="F143" s="35"/>
      <c r="G143" s="163" t="s">
        <v>5</v>
      </c>
      <c r="H143" s="183">
        <v>1</v>
      </c>
      <c r="I143" s="163"/>
      <c r="J143" s="243">
        <f t="shared" si="2"/>
        <v>0</v>
      </c>
      <c r="K143" s="163"/>
      <c r="L143" s="163"/>
      <c r="M143" s="16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 s="160">
        <v>8</v>
      </c>
      <c r="C144" s="155" t="s">
        <v>678</v>
      </c>
      <c r="D144" s="163"/>
      <c r="E144" s="115">
        <f>E135-E136+E137-E138-E139-E140+E141+E142+E143</f>
        <v>103418239.32544944</v>
      </c>
      <c r="F144" s="35"/>
      <c r="G144" s="163"/>
      <c r="H144" s="163"/>
      <c r="I144" s="163"/>
      <c r="J144" s="115">
        <f>J135-J136+J137-J138-J139-J140+J141+J142+J143</f>
        <v>58329556</v>
      </c>
      <c r="K144" s="163"/>
      <c r="L144" s="163"/>
      <c r="M144" s="163"/>
    </row>
    <row r="145" spans="1:16">
      <c r="A145" s="160"/>
      <c r="D145" s="163"/>
      <c r="E145" s="243"/>
      <c r="F145" s="35"/>
      <c r="G145" s="163"/>
      <c r="H145" s="163"/>
      <c r="I145" s="163"/>
      <c r="J145" s="243"/>
      <c r="K145" s="163"/>
      <c r="L145" s="163"/>
      <c r="M145" s="163"/>
    </row>
    <row r="146" spans="1:16">
      <c r="A146" s="160"/>
      <c r="C146" s="155" t="s">
        <v>51</v>
      </c>
      <c r="D146" s="163"/>
      <c r="E146" s="243"/>
      <c r="F146" s="35"/>
      <c r="G146" s="163"/>
      <c r="H146" s="163"/>
      <c r="I146" s="163"/>
      <c r="J146" s="243"/>
      <c r="K146" s="163"/>
      <c r="L146" s="163"/>
      <c r="M146" s="163"/>
    </row>
    <row r="147" spans="1:16">
      <c r="A147" s="160">
        <v>9</v>
      </c>
      <c r="C147" s="155" t="str">
        <f>C135</f>
        <v xml:space="preserve">  Transmission </v>
      </c>
      <c r="D147" s="163" t="s">
        <v>317</v>
      </c>
      <c r="E147" s="531">
        <v>18918399</v>
      </c>
      <c r="F147" s="516"/>
      <c r="G147" s="163" t="s">
        <v>12</v>
      </c>
      <c r="H147" s="183">
        <f>J201</f>
        <v>0.97088394159672353</v>
      </c>
      <c r="I147" s="163"/>
      <c r="J147" s="115">
        <f>ROUND(H147*E147,0)</f>
        <v>18367570</v>
      </c>
      <c r="K147" s="163"/>
      <c r="M147" s="163"/>
    </row>
    <row r="148" spans="1:16">
      <c r="A148" s="160">
        <v>10</v>
      </c>
      <c r="C148" s="155" t="s">
        <v>525</v>
      </c>
      <c r="D148" s="163" t="s">
        <v>318</v>
      </c>
      <c r="E148" s="532">
        <f>939012+1085274</f>
        <v>2024286</v>
      </c>
      <c r="F148" s="516"/>
      <c r="G148" s="163" t="s">
        <v>31</v>
      </c>
      <c r="H148" s="183">
        <f>H137</f>
        <v>0.21024847267783514</v>
      </c>
      <c r="I148" s="163"/>
      <c r="J148" s="243">
        <f>ROUND(H148*E148,0)</f>
        <v>425603</v>
      </c>
      <c r="K148" s="163"/>
      <c r="M148" s="163"/>
    </row>
    <row r="149" spans="1:16" ht="15.75" thickBot="1">
      <c r="A149" s="160">
        <v>11</v>
      </c>
      <c r="C149" s="155" t="str">
        <f>C142</f>
        <v xml:space="preserve">  Common</v>
      </c>
      <c r="D149" s="163" t="s">
        <v>319</v>
      </c>
      <c r="E149" s="365">
        <v>0</v>
      </c>
      <c r="F149" s="35"/>
      <c r="G149" s="163" t="s">
        <v>79</v>
      </c>
      <c r="H149" s="183">
        <f>H142</f>
        <v>0</v>
      </c>
      <c r="I149" s="163"/>
      <c r="J149" s="365">
        <f>ROUND(H149*E149,0)</f>
        <v>0</v>
      </c>
      <c r="K149" s="163"/>
      <c r="L149" s="186"/>
      <c r="M149" s="163"/>
    </row>
    <row r="150" spans="1:16">
      <c r="A150" s="160">
        <v>12</v>
      </c>
      <c r="C150" s="155" t="s">
        <v>52</v>
      </c>
      <c r="D150" s="163"/>
      <c r="E150" s="115">
        <f>SUM(E147:E149)</f>
        <v>20942685</v>
      </c>
      <c r="F150" s="35"/>
      <c r="G150" s="163"/>
      <c r="H150" s="163"/>
      <c r="I150" s="163"/>
      <c r="J150" s="115">
        <f>SUM(J147:J149)</f>
        <v>18793173</v>
      </c>
      <c r="K150" s="163" t="s">
        <v>611</v>
      </c>
      <c r="L150" s="163"/>
      <c r="M150" s="163"/>
    </row>
    <row r="151" spans="1:16">
      <c r="A151" s="160"/>
      <c r="C151" s="155"/>
      <c r="D151" s="9"/>
      <c r="E151" s="243"/>
      <c r="F151" s="35"/>
      <c r="G151" s="163"/>
      <c r="H151" s="163"/>
      <c r="I151" s="163"/>
      <c r="J151" s="243"/>
      <c r="K151" s="163"/>
      <c r="L151" s="163"/>
      <c r="M151" s="163"/>
    </row>
    <row r="152" spans="1:16">
      <c r="A152" s="160" t="s">
        <v>5</v>
      </c>
      <c r="C152" s="165" t="s">
        <v>500</v>
      </c>
      <c r="D152" s="340"/>
      <c r="E152" s="243"/>
      <c r="F152" s="35"/>
      <c r="G152" s="163"/>
      <c r="H152" s="163"/>
      <c r="I152" s="163"/>
      <c r="J152" s="243"/>
      <c r="K152" s="163"/>
      <c r="L152" s="163"/>
      <c r="M152" s="163"/>
    </row>
    <row r="153" spans="1:16">
      <c r="A153" s="160"/>
      <c r="C153" s="155" t="s">
        <v>53</v>
      </c>
      <c r="D153" s="1"/>
      <c r="E153" s="243"/>
      <c r="F153" s="35"/>
      <c r="G153" s="163"/>
      <c r="I153" s="163"/>
      <c r="J153" s="243"/>
      <c r="K153" s="163"/>
      <c r="L153" s="186"/>
      <c r="M153" s="163"/>
    </row>
    <row r="154" spans="1:16" s="1" customFormat="1" ht="15.75">
      <c r="A154" s="117">
        <v>13</v>
      </c>
      <c r="C154" s="349" t="s">
        <v>526</v>
      </c>
      <c r="D154" s="9" t="s">
        <v>485</v>
      </c>
      <c r="E154" s="115">
        <v>0</v>
      </c>
      <c r="F154" s="35"/>
      <c r="G154" s="9" t="s">
        <v>31</v>
      </c>
      <c r="H154" s="279">
        <f>$J$219</f>
        <v>0.21024847267783514</v>
      </c>
      <c r="I154" s="9"/>
      <c r="J154" s="115">
        <f>ROUND(H154*E154,0)</f>
        <v>0</v>
      </c>
      <c r="K154" s="9"/>
      <c r="L154" s="380"/>
      <c r="M154" s="9"/>
      <c r="N154"/>
    </row>
    <row r="155" spans="1:16">
      <c r="A155" s="160">
        <v>14</v>
      </c>
      <c r="C155" s="202" t="s">
        <v>271</v>
      </c>
      <c r="D155" s="9" t="s">
        <v>485</v>
      </c>
      <c r="E155" s="243">
        <v>0</v>
      </c>
      <c r="F155" s="35"/>
      <c r="G155" s="163" t="s">
        <v>31</v>
      </c>
      <c r="H155" s="183">
        <f>$J$219</f>
        <v>0.21024847267783514</v>
      </c>
      <c r="I155" s="163"/>
      <c r="J155" s="243">
        <f>ROUND(H155*E155,0)</f>
        <v>0</v>
      </c>
      <c r="K155" s="163"/>
      <c r="L155" s="379"/>
      <c r="M155" s="9"/>
      <c r="N155" s="1"/>
      <c r="O155" s="1"/>
      <c r="P155" s="1"/>
    </row>
    <row r="156" spans="1:16">
      <c r="A156" s="160">
        <v>15</v>
      </c>
      <c r="C156" s="155" t="s">
        <v>54</v>
      </c>
      <c r="D156" s="9" t="s">
        <v>5</v>
      </c>
      <c r="E156" s="243"/>
      <c r="F156" s="35"/>
      <c r="G156" s="163"/>
      <c r="I156" s="163"/>
      <c r="J156" s="243"/>
      <c r="K156" s="163"/>
      <c r="L156" s="186"/>
      <c r="M156" s="163"/>
    </row>
    <row r="157" spans="1:16" s="1" customFormat="1">
      <c r="A157" s="117">
        <v>16</v>
      </c>
      <c r="C157" s="7" t="s">
        <v>527</v>
      </c>
      <c r="D157" s="9" t="s">
        <v>485</v>
      </c>
      <c r="E157" s="243">
        <v>0</v>
      </c>
      <c r="F157" s="35"/>
      <c r="G157" s="9" t="s">
        <v>45</v>
      </c>
      <c r="H157" s="242">
        <f>H80</f>
        <v>0.17896531276713068</v>
      </c>
      <c r="I157" s="9"/>
      <c r="J157" s="243">
        <f>ROUND(H157*E157,0)</f>
        <v>0</v>
      </c>
      <c r="K157" s="9"/>
      <c r="L157" s="46"/>
      <c r="M157" s="9"/>
    </row>
    <row r="158" spans="1:16" s="1" customFormat="1">
      <c r="A158" s="117">
        <v>17</v>
      </c>
      <c r="C158" s="7" t="s">
        <v>55</v>
      </c>
      <c r="D158" s="9"/>
      <c r="E158" s="243">
        <v>0</v>
      </c>
      <c r="F158" s="35"/>
      <c r="G158" s="9" t="str">
        <f>G100</f>
        <v>NA</v>
      </c>
      <c r="H158" s="386" t="s">
        <v>27</v>
      </c>
      <c r="I158" s="9"/>
      <c r="J158" s="243">
        <v>0</v>
      </c>
      <c r="K158" s="9"/>
      <c r="L158" s="46"/>
      <c r="M158" s="9"/>
      <c r="N158" s="7"/>
    </row>
    <row r="159" spans="1:16" s="1" customFormat="1">
      <c r="A159" s="117">
        <v>18</v>
      </c>
      <c r="C159" s="7" t="s">
        <v>56</v>
      </c>
      <c r="D159" s="9"/>
      <c r="E159" s="243">
        <v>0</v>
      </c>
      <c r="F159" s="35"/>
      <c r="G159" s="9" t="str">
        <f>G157</f>
        <v>GP</v>
      </c>
      <c r="H159" s="242">
        <f>H157</f>
        <v>0.17896531276713068</v>
      </c>
      <c r="I159" s="9"/>
      <c r="J159" s="243">
        <f>ROUND(H159*E159,0)</f>
        <v>0</v>
      </c>
      <c r="K159" s="9"/>
      <c r="L159" s="46"/>
      <c r="M159" s="9"/>
      <c r="N159" s="7"/>
    </row>
    <row r="160" spans="1:16" ht="15.75" thickBot="1">
      <c r="A160" s="160">
        <v>19</v>
      </c>
      <c r="C160" s="155" t="s">
        <v>57</v>
      </c>
      <c r="D160" s="163"/>
      <c r="E160" s="365">
        <v>0</v>
      </c>
      <c r="F160" s="35"/>
      <c r="G160" s="163" t="s">
        <v>45</v>
      </c>
      <c r="H160" s="168">
        <f>H157</f>
        <v>0.17896531276713068</v>
      </c>
      <c r="I160" s="163"/>
      <c r="J160" s="365">
        <f>ROUND(H160*E160,0)</f>
        <v>0</v>
      </c>
      <c r="K160" s="163"/>
      <c r="L160" s="186"/>
      <c r="M160" s="163"/>
      <c r="N160" s="155"/>
    </row>
    <row r="161" spans="1:14">
      <c r="A161" s="160">
        <v>20</v>
      </c>
      <c r="C161" s="155" t="s">
        <v>58</v>
      </c>
      <c r="D161" s="163"/>
      <c r="E161" s="164">
        <f>E154+E155+E157+E158+E159+E160</f>
        <v>0</v>
      </c>
      <c r="F161" s="35"/>
      <c r="G161" s="163"/>
      <c r="H161" s="168"/>
      <c r="I161" s="163"/>
      <c r="J161" s="115">
        <f>J154+J155+J157+J158+J159+J160</f>
        <v>0</v>
      </c>
      <c r="K161" s="163"/>
      <c r="L161" s="163"/>
      <c r="M161" s="163"/>
      <c r="N161" s="155"/>
    </row>
    <row r="162" spans="1:14">
      <c r="A162" s="160"/>
      <c r="C162" s="155"/>
      <c r="D162" s="163"/>
      <c r="E162" s="169"/>
      <c r="F162" s="35"/>
      <c r="G162" s="163"/>
      <c r="H162" s="168"/>
      <c r="I162" s="163"/>
      <c r="J162" s="9"/>
      <c r="K162" s="163"/>
      <c r="L162" s="163"/>
      <c r="M162" s="163"/>
      <c r="N162" s="155"/>
    </row>
    <row r="163" spans="1:14">
      <c r="A163" s="160" t="s">
        <v>59</v>
      </c>
      <c r="C163" s="155"/>
      <c r="D163" s="163"/>
      <c r="E163" s="163"/>
      <c r="F163" s="35"/>
      <c r="G163" s="163"/>
      <c r="H163" s="168"/>
      <c r="I163" s="163"/>
      <c r="J163" s="9"/>
      <c r="K163" s="163"/>
      <c r="L163" s="163"/>
      <c r="M163" s="163"/>
      <c r="N163" s="155"/>
    </row>
    <row r="164" spans="1:14">
      <c r="A164" s="160" t="s">
        <v>5</v>
      </c>
      <c r="C164" s="165" t="s">
        <v>499</v>
      </c>
      <c r="D164" s="332" t="s">
        <v>486</v>
      </c>
      <c r="E164" s="163"/>
      <c r="F164" s="35"/>
      <c r="H164" s="203"/>
      <c r="I164" s="163"/>
      <c r="K164" s="163"/>
      <c r="M164" s="163"/>
      <c r="N164" s="163"/>
    </row>
    <row r="165" spans="1:14">
      <c r="A165" s="160">
        <v>21</v>
      </c>
      <c r="C165" s="204" t="s">
        <v>123</v>
      </c>
      <c r="D165" s="163"/>
      <c r="E165" s="205">
        <v>0</v>
      </c>
      <c r="F165" s="35"/>
      <c r="H165" s="203"/>
      <c r="I165" s="163"/>
      <c r="K165" s="163"/>
      <c r="M165" s="163"/>
      <c r="N165" s="163"/>
    </row>
    <row r="166" spans="1:14">
      <c r="A166" s="160">
        <v>22</v>
      </c>
      <c r="C166" s="151" t="s">
        <v>124</v>
      </c>
      <c r="D166" s="163"/>
      <c r="E166" s="205">
        <f>IF(E21&gt;0,(E165/(1-E165))*(1-J239/1),0)</f>
        <v>0</v>
      </c>
      <c r="F166" s="35"/>
      <c r="H166" s="203"/>
      <c r="I166" s="163"/>
      <c r="K166" s="163"/>
      <c r="M166" s="163"/>
      <c r="N166" s="163"/>
    </row>
    <row r="167" spans="1:14">
      <c r="A167" s="160">
        <v>23</v>
      </c>
      <c r="C167" s="204" t="s">
        <v>125</v>
      </c>
      <c r="D167" s="163"/>
      <c r="E167" s="206">
        <f>IF(E165&gt;0,1/(1-E165),0)</f>
        <v>0</v>
      </c>
      <c r="F167" s="35"/>
      <c r="H167" s="203"/>
      <c r="I167" s="163"/>
      <c r="J167" s="243"/>
      <c r="K167" s="163"/>
      <c r="M167" s="163"/>
      <c r="N167" s="163"/>
    </row>
    <row r="168" spans="1:14">
      <c r="A168" s="160">
        <v>24</v>
      </c>
      <c r="C168" s="155" t="s">
        <v>257</v>
      </c>
      <c r="D168" s="163" t="s">
        <v>256</v>
      </c>
      <c r="E168" s="169">
        <v>0</v>
      </c>
      <c r="F168" s="35"/>
      <c r="H168" s="203"/>
      <c r="I168" s="163"/>
      <c r="J168" s="243"/>
      <c r="K168" s="163"/>
      <c r="M168" s="163"/>
      <c r="N168" s="163"/>
    </row>
    <row r="169" spans="1:14">
      <c r="A169" s="160"/>
      <c r="C169" s="155"/>
      <c r="D169" s="163"/>
      <c r="E169" s="169"/>
      <c r="F169" s="35"/>
      <c r="H169" s="203"/>
      <c r="I169" s="163"/>
      <c r="J169" s="243"/>
      <c r="K169" s="163"/>
      <c r="M169" s="163"/>
    </row>
    <row r="170" spans="1:14">
      <c r="A170" s="160">
        <v>25</v>
      </c>
      <c r="C170" s="204" t="s">
        <v>259</v>
      </c>
      <c r="D170" s="207"/>
      <c r="E170" s="164">
        <f>E166*E175</f>
        <v>0</v>
      </c>
      <c r="F170" s="35"/>
      <c r="G170" s="163" t="s">
        <v>27</v>
      </c>
      <c r="H170" s="168"/>
      <c r="I170" s="163"/>
      <c r="J170" s="115">
        <f>E166*J175</f>
        <v>0</v>
      </c>
      <c r="K170" s="163"/>
      <c r="L170" s="208" t="s">
        <v>5</v>
      </c>
      <c r="M170" s="163"/>
    </row>
    <row r="171" spans="1:14" ht="15.75" thickBot="1">
      <c r="A171" s="160">
        <v>26</v>
      </c>
      <c r="C171" s="151" t="s">
        <v>126</v>
      </c>
      <c r="D171" s="207"/>
      <c r="E171" s="184">
        <f>E167*E168</f>
        <v>0</v>
      </c>
      <c r="F171" s="35"/>
      <c r="G171" s="151" t="s">
        <v>43</v>
      </c>
      <c r="H171" s="168">
        <f>H97</f>
        <v>0.22720446819049714</v>
      </c>
      <c r="I171" s="163"/>
      <c r="J171" s="365">
        <f>H171*E171</f>
        <v>0</v>
      </c>
      <c r="K171" s="163"/>
      <c r="L171" s="208"/>
      <c r="M171" s="163"/>
    </row>
    <row r="172" spans="1:14">
      <c r="A172" s="160">
        <v>27</v>
      </c>
      <c r="C172" s="209" t="s">
        <v>121</v>
      </c>
      <c r="D172" s="151" t="s">
        <v>127</v>
      </c>
      <c r="E172" s="210">
        <f>E170+E171</f>
        <v>0</v>
      </c>
      <c r="F172" s="35"/>
      <c r="G172" s="163" t="s">
        <v>5</v>
      </c>
      <c r="H172" s="168" t="s">
        <v>5</v>
      </c>
      <c r="I172" s="163"/>
      <c r="J172" s="572">
        <f>J170+J171</f>
        <v>0</v>
      </c>
      <c r="K172" s="163"/>
      <c r="L172" s="163"/>
      <c r="M172" s="163"/>
    </row>
    <row r="173" spans="1:14">
      <c r="A173" s="160" t="s">
        <v>5</v>
      </c>
      <c r="D173" s="211"/>
      <c r="E173" s="169"/>
      <c r="F173" s="35"/>
      <c r="G173" s="163"/>
      <c r="H173" s="168"/>
      <c r="I173" s="163"/>
      <c r="J173" s="243"/>
      <c r="K173" s="163"/>
      <c r="L173" s="163"/>
      <c r="M173" s="163"/>
    </row>
    <row r="174" spans="1:14">
      <c r="A174" s="160">
        <v>28</v>
      </c>
      <c r="C174" s="155" t="s">
        <v>60</v>
      </c>
      <c r="D174" s="186"/>
      <c r="K174" s="163"/>
      <c r="M174" s="163"/>
    </row>
    <row r="175" spans="1:14">
      <c r="A175" s="160"/>
      <c r="C175" s="209" t="s">
        <v>619</v>
      </c>
      <c r="E175" s="115">
        <f>J241*E115</f>
        <v>139103374.14450303</v>
      </c>
      <c r="F175" s="35"/>
      <c r="G175" s="163" t="s">
        <v>27</v>
      </c>
      <c r="H175" s="203"/>
      <c r="I175" s="163"/>
      <c r="J175" s="115">
        <f>J241*J115</f>
        <v>34359489.484153137</v>
      </c>
      <c r="K175" s="163"/>
      <c r="L175" s="186"/>
      <c r="M175" s="163"/>
    </row>
    <row r="176" spans="1:14">
      <c r="A176" s="160"/>
      <c r="C176" s="155"/>
      <c r="E176" s="169"/>
      <c r="F176" s="35"/>
      <c r="G176" s="163"/>
      <c r="H176" s="203"/>
      <c r="I176" s="163"/>
      <c r="J176" s="243"/>
      <c r="K176" s="163"/>
      <c r="L176" s="186"/>
      <c r="M176" s="163"/>
    </row>
    <row r="177" spans="1:13" ht="15.75" thickBot="1">
      <c r="A177" s="160">
        <v>29</v>
      </c>
      <c r="C177" s="155" t="s">
        <v>258</v>
      </c>
      <c r="D177" s="163"/>
      <c r="E177" s="569">
        <f>E175+E172+E161+E150+E144</f>
        <v>263464298.46995246</v>
      </c>
      <c r="F177" s="35"/>
      <c r="G177" s="163"/>
      <c r="H177" s="163"/>
      <c r="I177" s="163"/>
      <c r="J177" s="569">
        <f>J175+J172+J161+J150+J144</f>
        <v>111482218.48415314</v>
      </c>
      <c r="K177" s="155"/>
      <c r="L177" s="155"/>
      <c r="M177" s="155"/>
    </row>
    <row r="178" spans="1:13" ht="15.75" thickTop="1">
      <c r="A178" s="160"/>
      <c r="C178" s="155"/>
      <c r="D178" s="163"/>
      <c r="E178" s="163"/>
      <c r="F178" s="35"/>
      <c r="G178" s="163"/>
      <c r="H178" s="163"/>
      <c r="I178" s="163"/>
      <c r="J178" s="9"/>
      <c r="K178" s="155"/>
      <c r="L178" s="155"/>
      <c r="M178" s="155"/>
    </row>
    <row r="179" spans="1:13">
      <c r="A179" s="160"/>
      <c r="C179" s="155"/>
      <c r="D179" s="163"/>
      <c r="E179" s="163"/>
      <c r="F179" s="35"/>
      <c r="G179" s="163"/>
      <c r="H179" s="163"/>
      <c r="I179" s="163"/>
      <c r="J179" s="9"/>
      <c r="K179" s="155"/>
      <c r="L179" s="155"/>
      <c r="M179" s="155"/>
    </row>
    <row r="180" spans="1:13">
      <c r="A180" s="160"/>
      <c r="C180" s="152"/>
      <c r="D180" s="152"/>
      <c r="E180" s="153"/>
      <c r="F180" s="117"/>
      <c r="G180" s="152"/>
      <c r="H180" s="152"/>
      <c r="I180" s="152"/>
      <c r="K180" s="160"/>
      <c r="L180" s="175"/>
      <c r="M180" s="160"/>
    </row>
    <row r="181" spans="1:13" ht="18">
      <c r="A181" s="150"/>
      <c r="C181" s="152"/>
      <c r="D181" s="152"/>
      <c r="E181" s="153"/>
      <c r="F181" s="117"/>
      <c r="G181" s="152"/>
      <c r="H181" s="152"/>
      <c r="I181" s="152"/>
      <c r="J181" s="2" t="str">
        <f>J1</f>
        <v>Attachment H-24A</v>
      </c>
      <c r="M181" s="175"/>
    </row>
    <row r="182" spans="1:13">
      <c r="C182" s="152"/>
      <c r="D182" s="152"/>
      <c r="E182" s="153"/>
      <c r="F182" s="117"/>
      <c r="G182" s="152"/>
      <c r="H182" s="152"/>
      <c r="I182" s="152"/>
      <c r="J182" s="2" t="s">
        <v>423</v>
      </c>
      <c r="M182" s="154"/>
    </row>
    <row r="183" spans="1:13">
      <c r="C183" s="152"/>
      <c r="D183" s="152"/>
      <c r="E183" s="153"/>
      <c r="F183" s="117"/>
      <c r="G183" s="152"/>
      <c r="H183" s="152"/>
      <c r="I183" s="152"/>
      <c r="M183" s="154"/>
    </row>
    <row r="184" spans="1:13">
      <c r="C184" s="152"/>
      <c r="D184" s="152"/>
      <c r="E184" s="153"/>
      <c r="F184" s="117"/>
      <c r="G184" s="152"/>
      <c r="H184" s="152"/>
      <c r="I184" s="152"/>
      <c r="M184" s="154"/>
    </row>
    <row r="185" spans="1:13">
      <c r="C185" s="152"/>
      <c r="D185" s="152"/>
      <c r="E185" s="153"/>
      <c r="F185" s="117"/>
      <c r="G185" s="152"/>
      <c r="H185" s="152"/>
      <c r="I185" s="152"/>
      <c r="M185" s="154"/>
    </row>
    <row r="186" spans="1:13">
      <c r="C186" s="152"/>
      <c r="D186" s="152"/>
      <c r="E186" s="153"/>
      <c r="F186" s="117"/>
      <c r="G186" s="152"/>
      <c r="H186" s="152"/>
      <c r="I186" s="152"/>
      <c r="J186" s="2"/>
      <c r="M186" s="154"/>
    </row>
    <row r="187" spans="1:13">
      <c r="C187" s="152" t="s">
        <v>4</v>
      </c>
      <c r="D187" s="152"/>
      <c r="E187" s="153"/>
      <c r="F187" s="117"/>
      <c r="G187" s="152"/>
      <c r="H187" s="152"/>
      <c r="I187" s="152"/>
      <c r="J187" s="5" t="str">
        <f>J7</f>
        <v>For the 12 months ended 12/31/2025</v>
      </c>
      <c r="M187" s="154"/>
    </row>
    <row r="188" spans="1:13">
      <c r="A188" s="157" t="str">
        <f>A8</f>
        <v>Rate Formula Template</v>
      </c>
      <c r="B188" s="156"/>
      <c r="C188" s="156"/>
      <c r="D188" s="157"/>
      <c r="E188" s="156"/>
      <c r="F188" s="117"/>
      <c r="G188" s="157"/>
      <c r="H188" s="157"/>
      <c r="I188" s="157"/>
      <c r="J188" s="13"/>
      <c r="K188" s="159"/>
      <c r="L188" s="156"/>
      <c r="M188" s="155"/>
    </row>
    <row r="189" spans="1:13">
      <c r="A189" s="190" t="str">
        <f>$A$9</f>
        <v>Utilizing EKPC 2024 Form FF1 Data (ver. FINAL - AUDITED)</v>
      </c>
      <c r="B189" s="156"/>
      <c r="C189" s="157"/>
      <c r="D189" s="158"/>
      <c r="E189" s="156"/>
      <c r="F189" s="35"/>
      <c r="G189" s="158"/>
      <c r="H189" s="158"/>
      <c r="I189" s="157"/>
      <c r="J189" s="72"/>
      <c r="K189" s="159"/>
      <c r="L189" s="159"/>
      <c r="M189" s="155"/>
    </row>
    <row r="190" spans="1:13">
      <c r="A190" s="159"/>
      <c r="B190" s="156"/>
      <c r="C190" s="159"/>
      <c r="D190" s="159"/>
      <c r="E190" s="156"/>
      <c r="F190" s="8"/>
      <c r="G190" s="159"/>
      <c r="H190" s="159"/>
      <c r="I190" s="159"/>
      <c r="J190" s="74"/>
      <c r="K190" s="159"/>
      <c r="L190" s="159"/>
      <c r="M190" s="163"/>
    </row>
    <row r="191" spans="1:13">
      <c r="A191" s="229" t="str">
        <f>$A$11</f>
        <v>East Kentucky Power Cooperative, Inc.</v>
      </c>
      <c r="B191" s="156"/>
      <c r="C191" s="159"/>
      <c r="D191" s="159"/>
      <c r="E191" s="156"/>
      <c r="F191" s="8"/>
      <c r="G191" s="159"/>
      <c r="H191" s="159"/>
      <c r="I191" s="159"/>
      <c r="J191" s="74"/>
      <c r="K191" s="159"/>
      <c r="L191" s="159"/>
      <c r="M191" s="163"/>
    </row>
    <row r="192" spans="1:13" ht="15.75">
      <c r="A192" s="212" t="s">
        <v>221</v>
      </c>
      <c r="B192" s="156"/>
      <c r="C192" s="156"/>
      <c r="D192" s="156"/>
      <c r="E192" s="156"/>
      <c r="F192" s="8"/>
      <c r="G192" s="159"/>
      <c r="H192" s="159"/>
      <c r="I192" s="159"/>
      <c r="J192" s="74"/>
      <c r="K192" s="158"/>
      <c r="L192" s="158"/>
      <c r="M192" s="163"/>
    </row>
    <row r="193" spans="1:21" ht="15.75">
      <c r="A193" s="160" t="s">
        <v>6</v>
      </c>
      <c r="C193" s="180"/>
      <c r="D193" s="155"/>
      <c r="E193" s="155"/>
      <c r="F193" s="8"/>
      <c r="G193" s="155"/>
      <c r="H193" s="155"/>
      <c r="I193" s="155"/>
      <c r="J193" s="7"/>
      <c r="K193" s="163"/>
      <c r="L193" s="163"/>
      <c r="M193" s="163"/>
    </row>
    <row r="194" spans="1:21" ht="15.75">
      <c r="A194" s="162" t="s">
        <v>8</v>
      </c>
      <c r="B194" s="191"/>
      <c r="C194" s="197" t="s">
        <v>247</v>
      </c>
      <c r="D194" s="155"/>
      <c r="E194" s="155"/>
      <c r="F194" s="8"/>
      <c r="G194" s="155"/>
      <c r="H194" s="155"/>
      <c r="K194" s="163"/>
      <c r="L194" s="163"/>
      <c r="M194" s="163"/>
    </row>
    <row r="195" spans="1:21">
      <c r="A195" s="160"/>
      <c r="C195" s="152"/>
      <c r="D195" s="155"/>
      <c r="E195" s="155"/>
      <c r="F195" s="8"/>
      <c r="G195" s="155"/>
      <c r="H195" s="155"/>
      <c r="I195" s="155"/>
      <c r="J195" s="7"/>
      <c r="K195" s="163"/>
      <c r="L195" s="163"/>
      <c r="M195" s="163"/>
    </row>
    <row r="196" spans="1:21">
      <c r="A196" s="160">
        <v>1</v>
      </c>
      <c r="C196" s="152" t="s">
        <v>248</v>
      </c>
      <c r="D196" s="155"/>
      <c r="E196" s="163"/>
      <c r="F196" s="35"/>
      <c r="G196" s="163"/>
      <c r="H196" s="163"/>
      <c r="I196" s="163"/>
      <c r="J196" s="243">
        <f>E76</f>
        <v>872551527</v>
      </c>
      <c r="K196" s="163"/>
      <c r="L196" s="163"/>
      <c r="M196" s="163"/>
    </row>
    <row r="197" spans="1:21">
      <c r="A197" s="160">
        <v>2</v>
      </c>
      <c r="C197" s="320" t="s">
        <v>446</v>
      </c>
      <c r="J197" s="243">
        <v>0</v>
      </c>
      <c r="K197" s="163"/>
      <c r="L197" s="163"/>
      <c r="M197" s="163"/>
      <c r="N197" s="1"/>
      <c r="O197" s="1"/>
      <c r="P197" s="1"/>
      <c r="Q197" s="1"/>
      <c r="R197" s="1"/>
      <c r="S197" s="1"/>
    </row>
    <row r="198" spans="1:21" ht="15.75" thickBot="1">
      <c r="A198" s="160">
        <v>3</v>
      </c>
      <c r="C198" s="342" t="s">
        <v>498</v>
      </c>
      <c r="D198" s="359" t="s">
        <v>534</v>
      </c>
      <c r="E198" s="360"/>
      <c r="F198" s="35"/>
      <c r="G198" s="163"/>
      <c r="H198" s="188"/>
      <c r="I198" s="163"/>
      <c r="J198" s="365">
        <f>'Pg 5 of 8 Trans Plant In OATT'!C21</f>
        <v>25405261.219999999</v>
      </c>
      <c r="K198" s="163"/>
      <c r="M198" s="163"/>
      <c r="N198" s="1"/>
      <c r="O198" s="1"/>
      <c r="P198" s="1"/>
      <c r="Q198" s="1"/>
      <c r="R198" s="1"/>
      <c r="S198" s="1"/>
    </row>
    <row r="199" spans="1:21">
      <c r="A199" s="160">
        <v>4</v>
      </c>
      <c r="C199" s="152" t="s">
        <v>249</v>
      </c>
      <c r="D199" s="155"/>
      <c r="E199" s="163"/>
      <c r="F199" s="35"/>
      <c r="G199" s="163"/>
      <c r="H199" s="188"/>
      <c r="I199" s="163"/>
      <c r="J199" s="243">
        <f>J196-J197-J198</f>
        <v>847146265.77999997</v>
      </c>
      <c r="K199" s="163"/>
      <c r="L199" s="163"/>
      <c r="M199" s="163"/>
    </row>
    <row r="200" spans="1:21">
      <c r="A200" s="160"/>
      <c r="D200" s="155"/>
      <c r="E200" s="163"/>
      <c r="F200" s="35"/>
      <c r="G200" s="163"/>
      <c r="H200" s="188"/>
      <c r="I200" s="163"/>
      <c r="K200" s="163"/>
      <c r="L200" s="163"/>
      <c r="M200" s="163"/>
    </row>
    <row r="201" spans="1:21">
      <c r="A201" s="160">
        <v>5</v>
      </c>
      <c r="C201" s="152" t="s">
        <v>250</v>
      </c>
      <c r="D201" s="161"/>
      <c r="E201" s="161"/>
      <c r="F201" s="29"/>
      <c r="G201" s="161"/>
      <c r="H201" s="178"/>
      <c r="I201" s="163" t="s">
        <v>64</v>
      </c>
      <c r="J201" s="573">
        <f>IF(J196&gt;0,J199/J196,0)</f>
        <v>0.97088394159672353</v>
      </c>
      <c r="K201" s="163"/>
      <c r="L201" s="163"/>
      <c r="M201" s="163"/>
      <c r="N201"/>
      <c r="O201"/>
      <c r="P201"/>
      <c r="Q201"/>
      <c r="R201"/>
      <c r="S201"/>
      <c r="T201"/>
      <c r="U201"/>
    </row>
    <row r="202" spans="1:21">
      <c r="A202" s="160"/>
      <c r="K202" s="163"/>
      <c r="L202" s="163"/>
      <c r="M202" s="163"/>
      <c r="N202"/>
      <c r="O202"/>
      <c r="P202"/>
      <c r="Q202"/>
      <c r="R202"/>
      <c r="S202"/>
      <c r="T202"/>
      <c r="U202"/>
    </row>
    <row r="203" spans="1:21" ht="15.75">
      <c r="A203" s="160"/>
      <c r="C203" s="180" t="s">
        <v>61</v>
      </c>
      <c r="K203" s="163"/>
      <c r="L203" s="163"/>
      <c r="M203" s="163"/>
      <c r="N203"/>
      <c r="O203"/>
      <c r="P203"/>
      <c r="Q203"/>
      <c r="R203"/>
      <c r="S203"/>
      <c r="T203"/>
      <c r="U203"/>
    </row>
    <row r="204" spans="1:21">
      <c r="A204" s="160"/>
      <c r="K204" s="163"/>
      <c r="L204" s="163"/>
      <c r="M204" s="163"/>
      <c r="N204"/>
      <c r="O204"/>
      <c r="P204"/>
      <c r="Q204"/>
      <c r="R204"/>
      <c r="S204"/>
      <c r="T204"/>
      <c r="U204"/>
    </row>
    <row r="205" spans="1:21">
      <c r="A205" s="160">
        <v>6</v>
      </c>
      <c r="C205" s="151" t="s">
        <v>62</v>
      </c>
      <c r="E205" s="155"/>
      <c r="F205" s="8"/>
      <c r="G205" s="155"/>
      <c r="H205" s="176"/>
      <c r="I205" s="155"/>
      <c r="J205" s="243">
        <f>E135</f>
        <v>75530836</v>
      </c>
      <c r="K205" s="163"/>
      <c r="L205" s="163"/>
      <c r="M205" s="163"/>
      <c r="N205"/>
      <c r="O205"/>
      <c r="P205"/>
      <c r="Q205"/>
      <c r="R205"/>
      <c r="S205"/>
      <c r="T205"/>
      <c r="U205"/>
    </row>
    <row r="206" spans="1:21" ht="15.75" thickBot="1">
      <c r="A206" s="160">
        <v>7</v>
      </c>
      <c r="C206" s="342" t="s">
        <v>497</v>
      </c>
      <c r="D206" s="359" t="s">
        <v>487</v>
      </c>
      <c r="E206" s="213"/>
      <c r="F206" s="559"/>
      <c r="G206" s="163"/>
      <c r="H206" s="163"/>
      <c r="I206" s="163"/>
      <c r="J206" s="365">
        <f>'Pg 4 of 8 Sch 1 Charges 561'!D42</f>
        <v>5081476.8</v>
      </c>
      <c r="K206" s="163"/>
      <c r="M206" s="9"/>
      <c r="N206"/>
      <c r="O206"/>
      <c r="P206"/>
      <c r="Q206"/>
      <c r="R206"/>
      <c r="S206"/>
      <c r="T206"/>
      <c r="U206"/>
    </row>
    <row r="207" spans="1:21">
      <c r="A207" s="160">
        <v>8</v>
      </c>
      <c r="C207" s="152" t="s">
        <v>131</v>
      </c>
      <c r="D207" s="161"/>
      <c r="E207" s="161"/>
      <c r="F207" s="29"/>
      <c r="G207" s="161"/>
      <c r="H207" s="178"/>
      <c r="I207" s="161"/>
      <c r="J207" s="243">
        <f>J205-J206</f>
        <v>70449359.200000003</v>
      </c>
      <c r="M207" s="163"/>
      <c r="N207"/>
      <c r="O207"/>
      <c r="P207"/>
      <c r="Q207"/>
      <c r="R207"/>
      <c r="S207"/>
      <c r="T207"/>
      <c r="U207"/>
    </row>
    <row r="208" spans="1:21">
      <c r="A208" s="160"/>
      <c r="C208" s="152"/>
      <c r="D208" s="155"/>
      <c r="E208" s="163"/>
      <c r="F208" s="35"/>
      <c r="G208" s="163"/>
      <c r="H208" s="163"/>
      <c r="M208" s="163"/>
      <c r="N208"/>
      <c r="O208"/>
      <c r="P208"/>
      <c r="Q208"/>
      <c r="R208"/>
      <c r="S208"/>
      <c r="T208"/>
      <c r="U208"/>
    </row>
    <row r="209" spans="1:21">
      <c r="A209" s="160">
        <v>9</v>
      </c>
      <c r="C209" s="152" t="s">
        <v>130</v>
      </c>
      <c r="D209" s="155"/>
      <c r="E209" s="163"/>
      <c r="F209" s="35"/>
      <c r="G209" s="163"/>
      <c r="H209" s="163"/>
      <c r="I209" s="163"/>
      <c r="J209" s="279">
        <f>IF(J205&gt;0,J207/J205,0)</f>
        <v>0.93272314899308151</v>
      </c>
      <c r="L209" s="1"/>
      <c r="M209" s="9"/>
      <c r="N209"/>
      <c r="O209"/>
      <c r="P209"/>
      <c r="Q209"/>
      <c r="R209"/>
      <c r="S209"/>
      <c r="T209"/>
      <c r="U209"/>
    </row>
    <row r="210" spans="1:21">
      <c r="A210" s="160">
        <v>10</v>
      </c>
      <c r="C210" s="152" t="s">
        <v>251</v>
      </c>
      <c r="D210" s="155"/>
      <c r="E210" s="163"/>
      <c r="F210" s="35"/>
      <c r="G210" s="163"/>
      <c r="H210" s="163"/>
      <c r="I210" s="155" t="s">
        <v>12</v>
      </c>
      <c r="J210" s="279">
        <f>J201</f>
        <v>0.97088394159672353</v>
      </c>
      <c r="L210" s="1"/>
      <c r="M210" s="9"/>
      <c r="N210"/>
      <c r="O210"/>
      <c r="P210"/>
      <c r="Q210"/>
      <c r="R210"/>
      <c r="S210"/>
      <c r="T210"/>
      <c r="U210"/>
    </row>
    <row r="211" spans="1:21">
      <c r="A211" s="160">
        <v>11</v>
      </c>
      <c r="C211" s="152" t="s">
        <v>252</v>
      </c>
      <c r="D211" s="155"/>
      <c r="E211" s="155"/>
      <c r="F211" s="8"/>
      <c r="G211" s="155"/>
      <c r="H211" s="155"/>
      <c r="I211" s="155" t="s">
        <v>63</v>
      </c>
      <c r="J211" s="242">
        <f>J210*J209</f>
        <v>0.90556592731291097</v>
      </c>
      <c r="L211" s="1"/>
      <c r="M211" s="9"/>
      <c r="N211"/>
      <c r="O211"/>
      <c r="P211"/>
      <c r="Q211"/>
      <c r="R211"/>
      <c r="S211"/>
      <c r="T211"/>
      <c r="U211"/>
    </row>
    <row r="212" spans="1:21">
      <c r="A212" s="160"/>
      <c r="D212" s="155"/>
      <c r="E212" s="163"/>
      <c r="F212" s="35"/>
      <c r="G212" s="163"/>
      <c r="H212" s="188"/>
      <c r="I212" s="163"/>
      <c r="M212" s="163"/>
      <c r="N212"/>
      <c r="O212"/>
      <c r="P212"/>
      <c r="Q212"/>
      <c r="R212"/>
      <c r="S212"/>
      <c r="T212"/>
      <c r="U212"/>
    </row>
    <row r="213" spans="1:21" ht="15.75">
      <c r="A213" s="160" t="s">
        <v>5</v>
      </c>
      <c r="C213" s="180" t="s">
        <v>65</v>
      </c>
      <c r="D213" s="163"/>
      <c r="E213" s="163"/>
      <c r="F213" s="35"/>
      <c r="G213" s="163"/>
      <c r="H213" s="163"/>
      <c r="I213" s="163"/>
      <c r="J213" s="9"/>
      <c r="K213" s="163"/>
      <c r="L213" s="163"/>
      <c r="M213" s="163"/>
      <c r="N213"/>
      <c r="O213"/>
      <c r="P213"/>
      <c r="Q213"/>
      <c r="R213"/>
      <c r="S213"/>
      <c r="T213"/>
      <c r="U213"/>
    </row>
    <row r="214" spans="1:21" ht="15.75" thickBot="1">
      <c r="A214" s="160" t="s">
        <v>5</v>
      </c>
      <c r="C214" s="155"/>
      <c r="D214" s="213" t="s">
        <v>66</v>
      </c>
      <c r="E214" s="215" t="s">
        <v>67</v>
      </c>
      <c r="F214" s="559" t="s">
        <v>12</v>
      </c>
      <c r="G214" s="163"/>
      <c r="H214" s="215" t="s">
        <v>68</v>
      </c>
      <c r="I214" s="163"/>
      <c r="J214" s="9"/>
      <c r="K214" s="163"/>
      <c r="L214" s="163"/>
      <c r="M214" s="163"/>
      <c r="N214"/>
      <c r="O214"/>
      <c r="P214"/>
      <c r="Q214"/>
      <c r="R214"/>
      <c r="S214"/>
      <c r="T214"/>
      <c r="U214"/>
    </row>
    <row r="215" spans="1:21">
      <c r="A215" s="160">
        <v>12</v>
      </c>
      <c r="C215" s="155" t="s">
        <v>26</v>
      </c>
      <c r="D215" s="9" t="s">
        <v>310</v>
      </c>
      <c r="E215" s="532">
        <v>49759502</v>
      </c>
      <c r="F215" s="560">
        <v>0</v>
      </c>
      <c r="G215" s="516"/>
      <c r="H215" s="169">
        <f>E215*F215</f>
        <v>0</v>
      </c>
      <c r="I215" s="163"/>
      <c r="J215" s="9"/>
      <c r="K215" s="163"/>
      <c r="L215" s="515"/>
      <c r="M215" s="163"/>
      <c r="N215"/>
      <c r="O215"/>
      <c r="P215"/>
      <c r="Q215"/>
      <c r="R215"/>
      <c r="S215"/>
      <c r="T215"/>
      <c r="U215"/>
    </row>
    <row r="216" spans="1:21">
      <c r="A216" s="160">
        <v>13</v>
      </c>
      <c r="C216" s="155" t="s">
        <v>28</v>
      </c>
      <c r="D216" s="9" t="s">
        <v>311</v>
      </c>
      <c r="E216" s="532">
        <v>14741711</v>
      </c>
      <c r="F216" s="560">
        <f>J201</f>
        <v>0.97088394159672353</v>
      </c>
      <c r="G216" s="516"/>
      <c r="H216" s="169">
        <f>E216*F216</f>
        <v>14312490.481559778</v>
      </c>
      <c r="I216" s="163"/>
      <c r="J216" s="9"/>
      <c r="K216" s="163"/>
      <c r="L216" s="515"/>
      <c r="M216" s="155"/>
      <c r="N216"/>
      <c r="O216"/>
      <c r="P216"/>
      <c r="Q216"/>
      <c r="R216"/>
      <c r="S216"/>
      <c r="T216"/>
      <c r="U216"/>
    </row>
    <row r="217" spans="1:21">
      <c r="A217" s="160">
        <v>14</v>
      </c>
      <c r="C217" s="155" t="s">
        <v>29</v>
      </c>
      <c r="D217" s="9" t="s">
        <v>69</v>
      </c>
      <c r="E217" s="532">
        <v>1459789</v>
      </c>
      <c r="F217" s="560">
        <v>0</v>
      </c>
      <c r="G217" s="516"/>
      <c r="H217" s="169">
        <f>E217*F217</f>
        <v>0</v>
      </c>
      <c r="I217" s="163"/>
      <c r="J217" s="35" t="s">
        <v>70</v>
      </c>
      <c r="K217" s="163"/>
      <c r="L217" s="515"/>
      <c r="M217" s="163"/>
      <c r="N217"/>
      <c r="O217"/>
      <c r="P217"/>
      <c r="Q217"/>
      <c r="R217"/>
      <c r="S217"/>
      <c r="T217"/>
      <c r="U217"/>
    </row>
    <row r="218" spans="1:21" ht="15.75" thickBot="1">
      <c r="A218" s="160">
        <v>15</v>
      </c>
      <c r="C218" s="155" t="s">
        <v>71</v>
      </c>
      <c r="D218" s="9" t="s">
        <v>679</v>
      </c>
      <c r="E218" s="532">
        <v>2113169</v>
      </c>
      <c r="F218" s="560">
        <v>0</v>
      </c>
      <c r="G218" s="516"/>
      <c r="H218" s="184">
        <f>E218*F218</f>
        <v>0</v>
      </c>
      <c r="I218" s="163"/>
      <c r="J218" s="117" t="s">
        <v>72</v>
      </c>
      <c r="K218" s="163"/>
      <c r="L218" s="515"/>
      <c r="M218" s="163"/>
      <c r="N218"/>
      <c r="O218"/>
      <c r="P218"/>
      <c r="Q218"/>
      <c r="R218"/>
      <c r="S218"/>
      <c r="T218"/>
      <c r="U218"/>
    </row>
    <row r="219" spans="1:21">
      <c r="A219" s="160">
        <v>16</v>
      </c>
      <c r="C219" s="155" t="s">
        <v>620</v>
      </c>
      <c r="D219" s="163"/>
      <c r="E219" s="169">
        <f>SUM(E215:E218)</f>
        <v>68074171</v>
      </c>
      <c r="F219" s="35"/>
      <c r="G219" s="163"/>
      <c r="H219" s="169">
        <f>SUM(H215:H218)</f>
        <v>14312490.481559778</v>
      </c>
      <c r="I219" s="176" t="s">
        <v>73</v>
      </c>
      <c r="J219" s="279">
        <f>IF(H219&gt;0,H219/E219,0)</f>
        <v>0.21024847267783514</v>
      </c>
      <c r="K219"/>
      <c r="L219"/>
      <c r="M219" s="9"/>
    </row>
    <row r="220" spans="1:21">
      <c r="A220" s="160"/>
      <c r="C220" s="155"/>
      <c r="D220" s="163"/>
      <c r="E220" s="163"/>
      <c r="F220" s="35"/>
      <c r="G220" s="163"/>
      <c r="H220" s="163"/>
      <c r="I220" s="163"/>
      <c r="J220" s="9"/>
      <c r="K220"/>
      <c r="L220"/>
      <c r="M220" s="163" t="s">
        <v>5</v>
      </c>
    </row>
    <row r="221" spans="1:21" ht="15.75">
      <c r="A221" s="117"/>
      <c r="B221" s="1"/>
      <c r="C221" s="32" t="s">
        <v>255</v>
      </c>
      <c r="D221" s="9"/>
      <c r="E221" s="9"/>
      <c r="F221" s="35"/>
      <c r="G221" s="9"/>
      <c r="H221" s="9"/>
      <c r="I221" s="9"/>
      <c r="J221" s="9"/>
      <c r="K221"/>
      <c r="L221"/>
      <c r="M221" s="163"/>
    </row>
    <row r="222" spans="1:21">
      <c r="A222" s="117"/>
      <c r="B222" s="1"/>
      <c r="C222" s="7"/>
      <c r="D222" s="9"/>
      <c r="E222" s="35" t="s">
        <v>86</v>
      </c>
      <c r="F222" s="35"/>
      <c r="G222" s="9"/>
      <c r="H222" s="35" t="s">
        <v>74</v>
      </c>
      <c r="I222" s="593" t="s">
        <v>5</v>
      </c>
      <c r="J222" s="46" t="str">
        <f>J217</f>
        <v>W&amp;S Allocator</v>
      </c>
      <c r="K222"/>
      <c r="L222"/>
      <c r="M222" s="163"/>
    </row>
    <row r="223" spans="1:21">
      <c r="A223" s="117">
        <v>17</v>
      </c>
      <c r="B223" s="1"/>
      <c r="C223" s="7" t="s">
        <v>75</v>
      </c>
      <c r="D223" s="9" t="s">
        <v>76</v>
      </c>
      <c r="E223" s="594">
        <v>0</v>
      </c>
      <c r="F223" s="35"/>
      <c r="G223" s="1"/>
      <c r="H223" s="117" t="s">
        <v>77</v>
      </c>
      <c r="I223" s="595"/>
      <c r="J223" s="117" t="s">
        <v>78</v>
      </c>
      <c r="K223"/>
      <c r="L223"/>
      <c r="M223" s="163"/>
    </row>
    <row r="224" spans="1:21">
      <c r="A224" s="117">
        <v>18</v>
      </c>
      <c r="B224" s="1"/>
      <c r="C224" s="7" t="s">
        <v>80</v>
      </c>
      <c r="D224" s="9" t="s">
        <v>680</v>
      </c>
      <c r="E224" s="594">
        <v>0</v>
      </c>
      <c r="F224" s="35"/>
      <c r="G224" s="1"/>
      <c r="H224" s="242">
        <f>IF(E226&gt;0,E223/E226,0)</f>
        <v>0</v>
      </c>
      <c r="I224" s="35" t="s">
        <v>81</v>
      </c>
      <c r="J224" s="242">
        <f>J219</f>
        <v>0.21024847267783514</v>
      </c>
      <c r="K224"/>
      <c r="L224"/>
      <c r="M224" s="163"/>
    </row>
    <row r="225" spans="1:15" ht="15.75" thickBot="1">
      <c r="A225" s="117">
        <v>19</v>
      </c>
      <c r="B225" s="1"/>
      <c r="C225" s="596" t="s">
        <v>82</v>
      </c>
      <c r="D225" s="360" t="s">
        <v>681</v>
      </c>
      <c r="E225" s="597">
        <v>0</v>
      </c>
      <c r="F225" s="35"/>
      <c r="G225" s="9"/>
      <c r="H225" s="9" t="s">
        <v>5</v>
      </c>
      <c r="I225" s="9"/>
      <c r="J225" s="9">
        <f>H224*J224</f>
        <v>0</v>
      </c>
      <c r="K225"/>
      <c r="L225"/>
      <c r="M225" s="163"/>
    </row>
    <row r="226" spans="1:15">
      <c r="A226" s="117">
        <v>20</v>
      </c>
      <c r="B226" s="1"/>
      <c r="C226" s="7" t="s">
        <v>621</v>
      </c>
      <c r="D226" s="9"/>
      <c r="E226" s="598">
        <f>E223+E224+E225</f>
        <v>0</v>
      </c>
      <c r="F226" s="35"/>
      <c r="G226" s="9"/>
      <c r="H226" s="9"/>
      <c r="I226" s="9"/>
      <c r="J226" s="9"/>
      <c r="K226"/>
      <c r="L226"/>
      <c r="M226" s="163"/>
    </row>
    <row r="227" spans="1:15">
      <c r="A227" s="160"/>
      <c r="C227" s="155"/>
      <c r="D227" s="163"/>
      <c r="F227" s="35"/>
      <c r="G227" s="163"/>
      <c r="H227" s="163"/>
      <c r="I227" s="163"/>
      <c r="J227" s="9"/>
      <c r="K227"/>
      <c r="L227"/>
      <c r="M227" s="163"/>
    </row>
    <row r="228" spans="1:15" ht="16.5" thickBot="1">
      <c r="A228" s="160"/>
      <c r="B228" s="152"/>
      <c r="C228" s="197" t="s">
        <v>83</v>
      </c>
      <c r="D228" s="163"/>
      <c r="E228" s="163"/>
      <c r="F228" s="35"/>
      <c r="G228" s="163"/>
      <c r="H228" s="163"/>
      <c r="I228" s="163"/>
      <c r="J228" s="559" t="s">
        <v>67</v>
      </c>
      <c r="K228"/>
      <c r="L228"/>
      <c r="M228" s="163"/>
    </row>
    <row r="229" spans="1:15">
      <c r="A229" s="160">
        <v>21</v>
      </c>
      <c r="B229" s="152"/>
      <c r="C229" s="152"/>
      <c r="D229" s="163" t="s">
        <v>320</v>
      </c>
      <c r="E229" s="163"/>
      <c r="F229" s="35"/>
      <c r="G229" s="163"/>
      <c r="H229" s="163"/>
      <c r="I229" s="163"/>
      <c r="J229" s="574">
        <f>'Pg 7 of 8 Cap Str'!C18</f>
        <v>109561324</v>
      </c>
      <c r="K229"/>
      <c r="L229"/>
      <c r="M229" s="163"/>
    </row>
    <row r="230" spans="1:15">
      <c r="A230" s="160">
        <v>22</v>
      </c>
      <c r="B230" s="152"/>
      <c r="C230" s="152"/>
      <c r="D230" s="163" t="s">
        <v>84</v>
      </c>
      <c r="E230" s="163"/>
      <c r="F230" s="35"/>
      <c r="G230" s="163"/>
      <c r="H230" s="163"/>
      <c r="I230" s="163"/>
      <c r="J230" s="575">
        <v>0</v>
      </c>
      <c r="K230"/>
      <c r="L230"/>
      <c r="M230" s="163"/>
    </row>
    <row r="231" spans="1:15">
      <c r="A231" s="160"/>
      <c r="B231" s="152"/>
      <c r="C231" s="152"/>
      <c r="D231" s="163"/>
      <c r="E231" s="163"/>
      <c r="F231" s="35"/>
      <c r="G231" s="163"/>
      <c r="H231" s="163"/>
      <c r="I231" s="163"/>
      <c r="J231" s="243"/>
      <c r="K231"/>
      <c r="L231"/>
      <c r="M231" s="163"/>
    </row>
    <row r="232" spans="1:15" ht="15.75">
      <c r="A232" s="160"/>
      <c r="B232" s="152"/>
      <c r="C232" s="197" t="s">
        <v>489</v>
      </c>
      <c r="D232" s="163"/>
      <c r="E232" s="163"/>
      <c r="F232" s="35"/>
      <c r="G232" s="163"/>
      <c r="H232" s="163"/>
      <c r="I232" s="163"/>
      <c r="J232" s="243"/>
      <c r="K232"/>
      <c r="L232"/>
      <c r="M232" s="163"/>
    </row>
    <row r="233" spans="1:15">
      <c r="A233" s="160">
        <v>23</v>
      </c>
      <c r="B233" s="152"/>
      <c r="C233" s="1" t="s">
        <v>458</v>
      </c>
      <c r="D233" s="1" t="s">
        <v>533</v>
      </c>
      <c r="J233" s="66">
        <f>'Pg 7 of 8 Cap Str'!C24</f>
        <v>2896267994</v>
      </c>
      <c r="K233"/>
      <c r="L233"/>
      <c r="M233" s="9"/>
      <c r="N233" s="1"/>
      <c r="O233" s="1"/>
    </row>
    <row r="234" spans="1:15">
      <c r="A234" s="160">
        <v>24</v>
      </c>
      <c r="B234" s="152"/>
      <c r="C234" s="9" t="s">
        <v>493</v>
      </c>
      <c r="D234" s="1" t="s">
        <v>490</v>
      </c>
      <c r="E234" s="152"/>
      <c r="F234" s="35"/>
      <c r="G234" s="163"/>
      <c r="H234" s="163"/>
      <c r="I234" s="163"/>
      <c r="J234" s="243">
        <f>'Pg 7 of 8 Cap Str'!C25</f>
        <v>782859930</v>
      </c>
      <c r="K234"/>
      <c r="L234"/>
      <c r="M234" s="9"/>
      <c r="N234" s="1"/>
      <c r="O234" s="1"/>
    </row>
    <row r="235" spans="1:15" ht="15.75" thickBot="1">
      <c r="A235" s="160">
        <v>25</v>
      </c>
      <c r="B235" s="152"/>
      <c r="C235" s="9" t="s">
        <v>491</v>
      </c>
      <c r="D235" s="1" t="s">
        <v>492</v>
      </c>
      <c r="E235" s="163"/>
      <c r="F235" s="35"/>
      <c r="G235" s="163"/>
      <c r="H235" s="163"/>
      <c r="I235" s="163"/>
      <c r="J235" s="365">
        <v>0</v>
      </c>
      <c r="K235"/>
      <c r="L235"/>
      <c r="M235" s="163"/>
    </row>
    <row r="236" spans="1:15">
      <c r="A236" s="160">
        <v>26</v>
      </c>
      <c r="B236" s="152"/>
      <c r="C236" s="152"/>
      <c r="D236" s="9" t="s">
        <v>541</v>
      </c>
      <c r="E236" s="10" t="s">
        <v>85</v>
      </c>
      <c r="F236" s="117"/>
      <c r="G236" s="10"/>
      <c r="H236" s="10"/>
      <c r="I236" s="152"/>
      <c r="J236" s="576">
        <f>J233+J234+J235</f>
        <v>3679127924</v>
      </c>
      <c r="K236"/>
      <c r="L236"/>
      <c r="M236" s="163"/>
    </row>
    <row r="237" spans="1:15">
      <c r="A237" s="160"/>
      <c r="C237" s="155"/>
      <c r="D237" s="9"/>
      <c r="E237" s="9"/>
      <c r="F237" s="35"/>
      <c r="G237" s="9"/>
      <c r="H237" s="35"/>
      <c r="I237" s="163"/>
      <c r="J237" s="9"/>
      <c r="K237"/>
      <c r="L237"/>
      <c r="M237" s="163"/>
    </row>
    <row r="238" spans="1:15" ht="15.75" thickBot="1">
      <c r="A238" s="160"/>
      <c r="C238" s="155"/>
      <c r="D238" s="1"/>
      <c r="E238" s="361" t="s">
        <v>67</v>
      </c>
      <c r="F238" s="361" t="s">
        <v>86</v>
      </c>
      <c r="G238" s="9"/>
      <c r="H238" s="361" t="s">
        <v>537</v>
      </c>
      <c r="I238" s="163"/>
      <c r="J238" s="361" t="s">
        <v>87</v>
      </c>
      <c r="K238"/>
      <c r="L238"/>
      <c r="M238" s="163"/>
    </row>
    <row r="239" spans="1:15">
      <c r="A239" s="160">
        <v>27</v>
      </c>
      <c r="C239" s="1" t="s">
        <v>447</v>
      </c>
      <c r="D239" s="362" t="s">
        <v>496</v>
      </c>
      <c r="E239" s="243">
        <f>J233</f>
        <v>2896267994</v>
      </c>
      <c r="F239" s="561">
        <f>E239/E241</f>
        <v>0.78721589839451311</v>
      </c>
      <c r="G239" s="363"/>
      <c r="H239" s="364">
        <f>'Pg 7 of 8 Cap Str'!E24</f>
        <v>3.7828448274458956E-2</v>
      </c>
      <c r="J239" s="364">
        <f>F239*H239</f>
        <v>2.9779155893248577E-2</v>
      </c>
      <c r="K239"/>
      <c r="L239"/>
      <c r="M239" s="163"/>
    </row>
    <row r="240" spans="1:15" ht="16.5" thickBot="1">
      <c r="A240" s="160">
        <v>28</v>
      </c>
      <c r="C240" s="163" t="s">
        <v>321</v>
      </c>
      <c r="D240" s="340" t="s">
        <v>488</v>
      </c>
      <c r="E240" s="365">
        <f>J234</f>
        <v>782859930</v>
      </c>
      <c r="F240" s="561">
        <f>E240/E241</f>
        <v>0.21278410160548689</v>
      </c>
      <c r="G240" s="363"/>
      <c r="H240" s="584">
        <f>'Pg 7 of 8 Cap Str'!E25</f>
        <v>6.9975049048684859E-2</v>
      </c>
      <c r="J240" s="577">
        <f>F240*H240</f>
        <v>1.4889577946624287E-2</v>
      </c>
      <c r="K240"/>
      <c r="L240"/>
      <c r="M240" s="163"/>
    </row>
    <row r="241" spans="1:20" ht="15.75">
      <c r="A241" s="160">
        <v>29</v>
      </c>
      <c r="C241" s="155" t="s">
        <v>378</v>
      </c>
      <c r="D241" s="340"/>
      <c r="E241" s="243">
        <f>E239+E240</f>
        <v>3679127924</v>
      </c>
      <c r="F241" s="561"/>
      <c r="G241" s="363"/>
      <c r="H241" s="397" t="s">
        <v>575</v>
      </c>
      <c r="J241" s="584">
        <f>J239+J240</f>
        <v>4.4668733839872868E-2</v>
      </c>
      <c r="K241"/>
      <c r="L241"/>
      <c r="M241" s="163"/>
    </row>
    <row r="242" spans="1:20">
      <c r="D242" s="340"/>
      <c r="E242" s="1"/>
      <c r="G242" s="1"/>
      <c r="H242" s="1"/>
      <c r="M242" s="163"/>
    </row>
    <row r="243" spans="1:20" ht="15.75">
      <c r="A243" s="160">
        <v>30</v>
      </c>
      <c r="C243" s="151" t="s">
        <v>495</v>
      </c>
      <c r="D243" s="340" t="s">
        <v>538</v>
      </c>
      <c r="E243" s="243"/>
      <c r="F243" s="35" t="s">
        <v>5</v>
      </c>
      <c r="G243" s="9"/>
      <c r="H243" s="366" t="s">
        <v>379</v>
      </c>
      <c r="I243" s="181"/>
      <c r="J243" s="585">
        <f>(J239+J240)/J239</f>
        <v>1.5</v>
      </c>
      <c r="M243" s="163"/>
    </row>
    <row r="244" spans="1:20" ht="15.75">
      <c r="C244" s="197"/>
      <c r="D244" s="340"/>
      <c r="E244" s="1"/>
      <c r="G244" s="1"/>
      <c r="H244" s="1"/>
      <c r="J244" s="10"/>
      <c r="L244" s="163"/>
      <c r="M244" s="163"/>
    </row>
    <row r="245" spans="1:20" ht="15.75">
      <c r="A245" s="160"/>
      <c r="C245" s="197" t="s">
        <v>88</v>
      </c>
      <c r="D245" s="153"/>
      <c r="E245" s="152"/>
      <c r="F245" s="117"/>
      <c r="G245" s="152"/>
      <c r="H245" s="152"/>
      <c r="I245" s="152"/>
      <c r="J245" s="117"/>
      <c r="K245" s="152"/>
      <c r="L245" s="152"/>
      <c r="M245" s="163"/>
    </row>
    <row r="246" spans="1:20">
      <c r="A246" s="160"/>
      <c r="C246" s="152"/>
      <c r="D246" s="153"/>
      <c r="E246" s="152"/>
      <c r="F246" s="117"/>
      <c r="G246" s="152"/>
      <c r="H246" s="152"/>
      <c r="I246" s="152"/>
      <c r="J246" s="578"/>
      <c r="K246" s="160"/>
    </row>
    <row r="247" spans="1:20">
      <c r="A247" s="160"/>
      <c r="C247" s="187" t="s">
        <v>410</v>
      </c>
      <c r="D247" s="153"/>
      <c r="E247" s="152" t="s">
        <v>89</v>
      </c>
      <c r="F247" s="117"/>
      <c r="G247" s="152"/>
      <c r="H247" s="152" t="s">
        <v>5</v>
      </c>
      <c r="J247" s="575"/>
      <c r="K247" s="217"/>
      <c r="M247"/>
      <c r="N247"/>
    </row>
    <row r="248" spans="1:20">
      <c r="A248" s="160">
        <v>31</v>
      </c>
      <c r="C248" s="151" t="s">
        <v>322</v>
      </c>
      <c r="D248" s="153"/>
      <c r="E248" s="152"/>
      <c r="G248" s="152"/>
      <c r="H248" s="1"/>
      <c r="J248" s="496">
        <v>0</v>
      </c>
      <c r="K248" s="218"/>
      <c r="M248"/>
      <c r="N248"/>
      <c r="O248"/>
      <c r="P248"/>
      <c r="Q248"/>
      <c r="R248"/>
      <c r="S248"/>
      <c r="T248"/>
    </row>
    <row r="249" spans="1:20" ht="15.75" thickBot="1">
      <c r="A249" s="160">
        <v>32</v>
      </c>
      <c r="C249" s="219" t="s">
        <v>260</v>
      </c>
      <c r="D249" s="330"/>
      <c r="E249" s="219"/>
      <c r="F249" s="361"/>
      <c r="G249" s="220"/>
      <c r="H249" s="220"/>
      <c r="I249" s="152"/>
      <c r="J249" s="579">
        <f>J247-J248</f>
        <v>0</v>
      </c>
      <c r="K249" s="221"/>
      <c r="M249"/>
      <c r="N249"/>
      <c r="O249"/>
      <c r="P249"/>
      <c r="Q249"/>
      <c r="R249"/>
      <c r="S249"/>
      <c r="T249"/>
    </row>
    <row r="250" spans="1:20">
      <c r="A250" s="160">
        <v>33</v>
      </c>
      <c r="C250" s="151" t="s">
        <v>90</v>
      </c>
      <c r="D250" s="367"/>
      <c r="E250" s="1"/>
      <c r="F250" s="117"/>
      <c r="G250" s="152"/>
      <c r="H250" s="152"/>
      <c r="I250" s="152"/>
      <c r="J250" s="580">
        <f>J248-J249</f>
        <v>0</v>
      </c>
      <c r="K250" s="218"/>
    </row>
    <row r="251" spans="1:20">
      <c r="A251" s="160"/>
      <c r="C251" s="151" t="s">
        <v>5</v>
      </c>
      <c r="D251" s="367"/>
      <c r="E251" s="1"/>
      <c r="F251" s="117"/>
      <c r="G251" s="152"/>
      <c r="H251" s="222"/>
      <c r="I251" s="152"/>
      <c r="K251" s="217"/>
      <c r="L251" s="223"/>
      <c r="M251" s="163"/>
    </row>
    <row r="252" spans="1:20">
      <c r="A252" s="160">
        <v>34</v>
      </c>
      <c r="C252" s="187" t="s">
        <v>494</v>
      </c>
      <c r="D252" s="367" t="s">
        <v>539</v>
      </c>
      <c r="E252" s="1"/>
      <c r="F252" s="117"/>
      <c r="G252" s="152"/>
      <c r="H252" s="224"/>
      <c r="I252" s="152"/>
      <c r="J252" s="581">
        <f>ROUND('Pg 6 of 8 Rev Cred Support'!E24,0)</f>
        <v>179238</v>
      </c>
      <c r="K252" s="217"/>
      <c r="L252" s="223"/>
      <c r="M252" s="163"/>
    </row>
    <row r="253" spans="1:20">
      <c r="A253" s="160"/>
      <c r="D253" s="10"/>
      <c r="E253" s="10"/>
      <c r="F253" s="117"/>
      <c r="G253" s="152"/>
      <c r="H253" s="152"/>
      <c r="I253" s="152"/>
      <c r="J253" s="580"/>
      <c r="K253" s="217"/>
      <c r="L253" s="348"/>
      <c r="M253" s="9"/>
    </row>
    <row r="254" spans="1:20">
      <c r="A254" s="160">
        <v>35</v>
      </c>
      <c r="C254" s="320" t="s">
        <v>448</v>
      </c>
      <c r="D254" s="10" t="s">
        <v>540</v>
      </c>
      <c r="E254" s="10"/>
      <c r="F254" s="117"/>
      <c r="G254" s="152"/>
      <c r="H254" s="152"/>
      <c r="I254" s="152"/>
      <c r="J254" s="581">
        <f>'Pg 6 of 8 Rev Cred Support'!E46</f>
        <v>2156557.5600000005</v>
      </c>
      <c r="L254" s="348"/>
      <c r="M254" s="9"/>
    </row>
    <row r="255" spans="1:20">
      <c r="A255" s="160"/>
      <c r="C255" s="152"/>
      <c r="D255" s="10"/>
      <c r="E255" s="362"/>
      <c r="F255" s="117"/>
      <c r="G255" s="152"/>
      <c r="H255" s="152"/>
      <c r="I255" s="152"/>
      <c r="K255" s="160"/>
      <c r="L255" s="5"/>
      <c r="M255" s="117"/>
    </row>
    <row r="256" spans="1:20">
      <c r="C256" s="152"/>
      <c r="D256" s="10"/>
      <c r="E256" s="362"/>
      <c r="F256" s="117"/>
      <c r="G256" s="152"/>
      <c r="H256" s="152"/>
      <c r="I256" s="152"/>
      <c r="L256" s="1"/>
      <c r="M256" s="2"/>
    </row>
    <row r="257" spans="1:13">
      <c r="C257" s="152"/>
      <c r="D257" s="10"/>
      <c r="E257" s="362"/>
      <c r="F257" s="117"/>
      <c r="G257" s="152"/>
      <c r="H257" s="152"/>
      <c r="I257" s="152"/>
      <c r="L257" s="1"/>
      <c r="M257" s="2"/>
    </row>
    <row r="258" spans="1:13" ht="18">
      <c r="A258" s="150"/>
      <c r="C258" s="152"/>
      <c r="D258" s="152"/>
      <c r="E258" s="153"/>
      <c r="F258" s="117"/>
      <c r="G258" s="152"/>
      <c r="H258" s="152"/>
      <c r="I258" s="152"/>
      <c r="J258" s="2" t="str">
        <f>J1</f>
        <v>Attachment H-24A</v>
      </c>
      <c r="K258" s="175"/>
      <c r="M258" s="175"/>
    </row>
    <row r="259" spans="1:13">
      <c r="C259" s="152"/>
      <c r="D259" s="152"/>
      <c r="E259" s="153"/>
      <c r="F259" s="117"/>
      <c r="G259" s="152"/>
      <c r="H259" s="152"/>
      <c r="I259" s="152"/>
      <c r="J259" s="2" t="s">
        <v>422</v>
      </c>
      <c r="M259" s="154"/>
    </row>
    <row r="260" spans="1:13">
      <c r="C260" s="152"/>
      <c r="D260" s="152"/>
      <c r="E260" s="153"/>
      <c r="F260" s="117"/>
      <c r="G260" s="152"/>
      <c r="H260" s="152"/>
      <c r="I260" s="152"/>
      <c r="M260" s="154"/>
    </row>
    <row r="261" spans="1:13">
      <c r="C261" s="152"/>
      <c r="D261" s="152"/>
      <c r="E261" s="153"/>
      <c r="F261" s="117"/>
      <c r="G261" s="152"/>
      <c r="H261" s="152"/>
      <c r="I261" s="152"/>
      <c r="M261" s="154"/>
    </row>
    <row r="262" spans="1:13">
      <c r="C262" s="152"/>
      <c r="D262" s="152"/>
      <c r="E262" s="153"/>
      <c r="F262" s="117"/>
      <c r="G262" s="152"/>
      <c r="H262" s="152"/>
      <c r="I262" s="152"/>
      <c r="J262" s="2"/>
      <c r="K262" s="155"/>
      <c r="M262" s="154"/>
    </row>
    <row r="263" spans="1:13">
      <c r="C263" s="152" t="s">
        <v>4</v>
      </c>
      <c r="D263" s="152"/>
      <c r="E263" s="153"/>
      <c r="F263" s="117"/>
      <c r="G263" s="152"/>
      <c r="H263" s="152"/>
      <c r="I263" s="152"/>
      <c r="J263" s="5" t="str">
        <f>$J$7</f>
        <v>For the 12 months ended 12/31/2025</v>
      </c>
      <c r="K263" s="155"/>
      <c r="M263" s="154"/>
    </row>
    <row r="264" spans="1:13">
      <c r="C264" s="152"/>
      <c r="D264" s="152"/>
      <c r="E264" s="153"/>
      <c r="F264" s="117"/>
      <c r="G264" s="152"/>
      <c r="H264" s="152"/>
      <c r="I264" s="152"/>
      <c r="J264" s="13"/>
      <c r="K264" s="155"/>
      <c r="M264" s="154"/>
    </row>
    <row r="265" spans="1:13">
      <c r="A265" s="671" t="str">
        <f>$A$8</f>
        <v>Rate Formula Template</v>
      </c>
      <c r="B265" s="671"/>
      <c r="C265" s="671"/>
      <c r="D265" s="671"/>
      <c r="E265" s="671"/>
      <c r="F265" s="671"/>
      <c r="G265" s="671"/>
      <c r="H265" s="671"/>
      <c r="I265" s="671"/>
      <c r="J265" s="671"/>
      <c r="K265" s="152"/>
      <c r="L265" s="156"/>
      <c r="M265" s="155"/>
    </row>
    <row r="266" spans="1:13">
      <c r="A266" s="190" t="str">
        <f>$A$9</f>
        <v>Utilizing EKPC 2024 Form FF1 Data (ver. FINAL - AUDITED)</v>
      </c>
      <c r="B266" s="156"/>
      <c r="C266" s="157"/>
      <c r="D266" s="158"/>
      <c r="E266" s="156"/>
      <c r="F266" s="35"/>
      <c r="G266" s="158"/>
      <c r="H266" s="158"/>
      <c r="I266" s="157"/>
      <c r="J266" s="74"/>
      <c r="K266" s="152"/>
      <c r="L266" s="159"/>
      <c r="M266" s="155"/>
    </row>
    <row r="267" spans="1:13">
      <c r="A267" s="158"/>
      <c r="B267" s="156"/>
      <c r="C267" s="159"/>
      <c r="D267" s="159"/>
      <c r="E267" s="156"/>
      <c r="F267" s="8"/>
      <c r="G267" s="159"/>
      <c r="H267" s="159"/>
      <c r="I267" s="159"/>
      <c r="J267" s="74"/>
      <c r="K267" s="152"/>
      <c r="L267" s="159"/>
      <c r="M267" s="152"/>
    </row>
    <row r="268" spans="1:13">
      <c r="A268" s="670" t="str">
        <f>$A$11</f>
        <v>East Kentucky Power Cooperative, Inc.</v>
      </c>
      <c r="B268" s="670"/>
      <c r="C268" s="670"/>
      <c r="D268" s="670"/>
      <c r="E268" s="670"/>
      <c r="F268" s="670"/>
      <c r="G268" s="670"/>
      <c r="H268" s="670"/>
      <c r="I268" s="670"/>
      <c r="J268" s="670"/>
      <c r="K268" s="152"/>
      <c r="L268" s="159"/>
      <c r="M268" s="152"/>
    </row>
    <row r="269" spans="1:13" ht="15.75">
      <c r="A269" s="339"/>
      <c r="B269" s="152"/>
      <c r="C269" s="225"/>
      <c r="D269" s="160"/>
      <c r="E269" s="163"/>
      <c r="F269" s="35"/>
      <c r="G269" s="163"/>
      <c r="H269" s="163"/>
      <c r="I269" s="152"/>
      <c r="J269" s="9"/>
      <c r="K269" s="152"/>
      <c r="L269" s="226"/>
      <c r="M269" s="152"/>
    </row>
    <row r="270" spans="1:13" ht="20.25">
      <c r="A270" s="160"/>
      <c r="B270" s="152"/>
      <c r="C270" s="197" t="s">
        <v>91</v>
      </c>
      <c r="D270" s="179"/>
      <c r="E270" s="163"/>
      <c r="F270" s="35"/>
      <c r="G270" s="163"/>
      <c r="H270" s="163"/>
      <c r="I270" s="152"/>
      <c r="J270" s="9"/>
      <c r="K270" s="152"/>
      <c r="L270" s="163"/>
      <c r="M270" s="227"/>
    </row>
    <row r="271" spans="1:13" ht="20.25">
      <c r="A271" s="160" t="s">
        <v>93</v>
      </c>
      <c r="B271" s="152"/>
      <c r="C271" s="197" t="s">
        <v>92</v>
      </c>
      <c r="D271" s="197"/>
      <c r="E271" s="163"/>
      <c r="F271" s="35"/>
      <c r="G271" s="163"/>
      <c r="H271" s="163"/>
      <c r="I271" s="152"/>
      <c r="J271" s="9"/>
      <c r="K271" s="152"/>
      <c r="L271" s="163"/>
      <c r="M271" s="227"/>
    </row>
    <row r="272" spans="1:13" ht="20.25">
      <c r="A272" s="162" t="s">
        <v>94</v>
      </c>
      <c r="B272" s="152"/>
      <c r="C272" s="152"/>
      <c r="D272" s="152"/>
      <c r="E272" s="163"/>
      <c r="F272" s="35"/>
      <c r="G272" s="163"/>
      <c r="H272" s="163"/>
      <c r="I272" s="152"/>
      <c r="J272" s="9"/>
      <c r="K272" s="152"/>
      <c r="L272" s="163"/>
      <c r="M272" s="227"/>
    </row>
    <row r="273" spans="1:17" ht="20.25" customHeight="1">
      <c r="A273" s="11" t="s">
        <v>95</v>
      </c>
      <c r="B273" s="1"/>
      <c r="C273" s="7" t="s">
        <v>292</v>
      </c>
      <c r="D273" s="7"/>
      <c r="E273" s="7"/>
      <c r="F273" s="8"/>
      <c r="G273" s="9"/>
      <c r="H273" s="9"/>
      <c r="I273" s="10"/>
      <c r="J273" s="9"/>
      <c r="K273" s="10"/>
      <c r="L273" s="9"/>
      <c r="M273" s="278"/>
    </row>
    <row r="274" spans="1:17" ht="20.25" customHeight="1">
      <c r="A274" s="11"/>
      <c r="B274" s="1"/>
      <c r="C274" s="7" t="s">
        <v>242</v>
      </c>
      <c r="D274" s="36"/>
      <c r="E274" s="7"/>
      <c r="F274" s="8"/>
      <c r="G274" s="9"/>
      <c r="H274" s="9"/>
      <c r="I274" s="10"/>
      <c r="J274" s="9"/>
      <c r="K274" s="10"/>
      <c r="L274" s="9"/>
      <c r="M274" s="278"/>
    </row>
    <row r="275" spans="1:17" ht="20.25" customHeight="1">
      <c r="A275" s="11"/>
      <c r="B275" s="1"/>
      <c r="C275" s="7" t="s">
        <v>272</v>
      </c>
      <c r="D275" s="7"/>
      <c r="E275" s="7"/>
      <c r="F275" s="8"/>
      <c r="G275" s="9"/>
      <c r="H275" s="9"/>
      <c r="I275" s="10"/>
      <c r="J275" s="9"/>
      <c r="K275" s="10"/>
      <c r="L275" s="9"/>
      <c r="M275" s="278"/>
    </row>
    <row r="276" spans="1:17" ht="20.25" customHeight="1">
      <c r="A276" s="11"/>
      <c r="B276" s="1"/>
      <c r="C276" s="7" t="s">
        <v>421</v>
      </c>
      <c r="D276" s="7"/>
      <c r="E276" s="36"/>
      <c r="F276" s="8"/>
      <c r="G276" s="9"/>
      <c r="H276" s="9"/>
      <c r="I276" s="10"/>
      <c r="J276" s="9"/>
      <c r="K276" s="10"/>
      <c r="L276" s="9"/>
      <c r="M276" s="278"/>
    </row>
    <row r="277" spans="1:17" ht="20.25" customHeight="1">
      <c r="A277" s="11" t="s">
        <v>96</v>
      </c>
      <c r="B277" s="10"/>
      <c r="C277" s="10" t="s">
        <v>635</v>
      </c>
      <c r="D277" s="10"/>
      <c r="E277" s="9"/>
      <c r="F277" s="35"/>
      <c r="G277" s="9"/>
      <c r="H277" s="9"/>
      <c r="I277" s="10"/>
      <c r="J277" s="9"/>
      <c r="K277" s="10"/>
      <c r="L277" s="9"/>
      <c r="M277" s="278"/>
    </row>
    <row r="278" spans="1:17" ht="20.25" customHeight="1">
      <c r="A278" s="11" t="s">
        <v>97</v>
      </c>
      <c r="B278" s="10"/>
      <c r="C278" s="10" t="s">
        <v>544</v>
      </c>
      <c r="D278" s="10"/>
      <c r="E278" s="9"/>
      <c r="F278" s="35"/>
      <c r="G278" s="9"/>
      <c r="H278" s="9"/>
      <c r="I278" s="10"/>
      <c r="J278" s="9"/>
      <c r="K278" s="10"/>
      <c r="L278" s="9"/>
      <c r="M278" s="278"/>
    </row>
    <row r="279" spans="1:17" ht="20.25" customHeight="1">
      <c r="A279" s="11" t="s">
        <v>98</v>
      </c>
      <c r="B279" s="10"/>
      <c r="C279" s="10" t="s">
        <v>560</v>
      </c>
      <c r="D279" s="10"/>
      <c r="E279" s="9"/>
      <c r="F279" s="35"/>
      <c r="G279" s="9"/>
      <c r="H279" s="9"/>
      <c r="I279" s="10"/>
      <c r="J279" s="9"/>
      <c r="K279" s="10"/>
      <c r="L279" s="9"/>
      <c r="M279" s="278"/>
      <c r="N279" s="1"/>
      <c r="O279" s="1"/>
      <c r="P279" s="1"/>
      <c r="Q279" s="1"/>
    </row>
    <row r="280" spans="1:17" ht="20.25" customHeight="1">
      <c r="A280" s="11"/>
      <c r="B280" s="10"/>
      <c r="C280" s="10" t="s">
        <v>390</v>
      </c>
      <c r="D280" s="10"/>
      <c r="E280" s="9"/>
      <c r="F280" s="35"/>
      <c r="G280" s="9"/>
      <c r="H280" s="9"/>
      <c r="I280" s="10"/>
      <c r="J280" s="9"/>
      <c r="K280" s="10"/>
      <c r="L280" s="9"/>
      <c r="M280" s="278"/>
      <c r="N280" s="1"/>
      <c r="O280" s="1"/>
      <c r="P280" s="1"/>
      <c r="Q280" s="1"/>
    </row>
    <row r="281" spans="1:17" ht="20.25" customHeight="1">
      <c r="A281" s="11"/>
      <c r="B281" s="10"/>
      <c r="C281" s="10" t="s">
        <v>561</v>
      </c>
      <c r="D281" s="10"/>
      <c r="E281" s="9"/>
      <c r="F281" s="35"/>
      <c r="G281" s="9"/>
      <c r="H281" s="9"/>
      <c r="I281" s="10"/>
      <c r="J281" s="9"/>
      <c r="K281" s="10"/>
      <c r="L281" s="9"/>
      <c r="M281" s="278"/>
      <c r="N281" s="1"/>
      <c r="O281" s="1"/>
      <c r="P281" s="1"/>
      <c r="Q281" s="1"/>
    </row>
    <row r="282" spans="1:17" ht="20.25" customHeight="1">
      <c r="A282" s="11" t="s">
        <v>99</v>
      </c>
      <c r="B282" s="10"/>
      <c r="C282" s="10" t="s">
        <v>562</v>
      </c>
      <c r="D282" s="10"/>
      <c r="E282" s="9"/>
      <c r="F282" s="35"/>
      <c r="G282" s="9"/>
      <c r="H282" s="9"/>
      <c r="I282" s="10"/>
      <c r="J282" s="9"/>
      <c r="K282" s="10"/>
      <c r="L282" s="9"/>
      <c r="M282" s="278"/>
    </row>
    <row r="283" spans="1:17" ht="20.25" customHeight="1">
      <c r="A283" s="11"/>
      <c r="B283" s="10"/>
      <c r="C283" s="10" t="s">
        <v>390</v>
      </c>
      <c r="D283" s="10"/>
      <c r="E283" s="9"/>
      <c r="F283" s="35"/>
      <c r="G283" s="9"/>
      <c r="H283" s="9"/>
      <c r="I283" s="10"/>
      <c r="J283" s="9"/>
      <c r="K283" s="10"/>
      <c r="L283" s="9"/>
      <c r="M283" s="278"/>
    </row>
    <row r="284" spans="1:17" ht="20.25" customHeight="1">
      <c r="A284" s="11"/>
      <c r="B284" s="10"/>
      <c r="C284" s="10" t="s">
        <v>563</v>
      </c>
      <c r="D284" s="10"/>
      <c r="E284" s="9"/>
      <c r="F284" s="35"/>
      <c r="G284" s="9"/>
      <c r="H284" s="9"/>
      <c r="I284" s="10"/>
      <c r="J284" s="9"/>
      <c r="K284" s="10"/>
      <c r="L284" s="9"/>
      <c r="M284" s="278"/>
    </row>
    <row r="285" spans="1:17" ht="20.25" customHeight="1">
      <c r="A285" s="11" t="s">
        <v>100</v>
      </c>
      <c r="B285" s="10"/>
      <c r="C285" s="10" t="s">
        <v>636</v>
      </c>
      <c r="D285" s="10"/>
      <c r="E285" s="9"/>
      <c r="F285" s="35"/>
      <c r="G285" s="9"/>
      <c r="H285" s="9"/>
      <c r="I285" s="10"/>
      <c r="J285" s="9"/>
      <c r="K285" s="10"/>
      <c r="L285" s="9"/>
      <c r="M285" s="278"/>
    </row>
    <row r="286" spans="1:17" ht="20.25" customHeight="1">
      <c r="A286" s="11" t="s">
        <v>101</v>
      </c>
      <c r="B286" s="1"/>
      <c r="C286" s="10" t="s">
        <v>542</v>
      </c>
      <c r="D286" s="10"/>
      <c r="E286" s="9"/>
      <c r="F286" s="35"/>
      <c r="G286" s="9"/>
      <c r="H286" s="9"/>
      <c r="I286" s="10"/>
      <c r="J286" s="9"/>
      <c r="K286" s="10"/>
      <c r="L286" s="9"/>
      <c r="M286" s="278"/>
    </row>
    <row r="287" spans="1:17" ht="20.25" customHeight="1">
      <c r="A287" s="11"/>
      <c r="B287" s="10"/>
      <c r="C287" s="10" t="s">
        <v>545</v>
      </c>
      <c r="D287" s="1"/>
      <c r="E287" s="1"/>
      <c r="F287" s="35"/>
      <c r="G287" s="9"/>
      <c r="H287" s="1"/>
      <c r="I287" s="10"/>
      <c r="J287" s="10"/>
      <c r="K287" s="10"/>
      <c r="L287" s="9"/>
      <c r="M287" s="278"/>
    </row>
    <row r="288" spans="1:17" ht="20.25" customHeight="1">
      <c r="A288" s="228" t="s">
        <v>102</v>
      </c>
      <c r="B288" s="152"/>
      <c r="C288" s="10" t="s">
        <v>637</v>
      </c>
      <c r="D288" s="10"/>
      <c r="E288" s="10"/>
      <c r="F288" s="117"/>
      <c r="G288" s="10"/>
      <c r="H288" s="10"/>
      <c r="I288" s="10"/>
      <c r="J288" s="9"/>
      <c r="K288" s="10"/>
      <c r="L288" s="163"/>
      <c r="M288" s="227"/>
    </row>
    <row r="289" spans="1:19" ht="20.25" customHeight="1">
      <c r="A289" s="228"/>
      <c r="B289" s="152"/>
      <c r="C289" s="1" t="s">
        <v>638</v>
      </c>
      <c r="D289" s="10"/>
      <c r="E289" s="10"/>
      <c r="F289" s="117"/>
      <c r="G289" s="10"/>
      <c r="H289" s="10"/>
      <c r="I289" s="10"/>
      <c r="J289" s="9"/>
      <c r="K289" s="10"/>
      <c r="L289" s="163"/>
      <c r="M289" s="227"/>
    </row>
    <row r="290" spans="1:19" ht="15" customHeight="1">
      <c r="A290" s="228"/>
      <c r="B290" s="152"/>
      <c r="C290" s="280" t="s">
        <v>639</v>
      </c>
      <c r="D290" s="280"/>
      <c r="E290" s="280"/>
      <c r="F290" s="280"/>
      <c r="G290" s="280"/>
      <c r="H290" s="280"/>
      <c r="I290" s="280"/>
      <c r="J290" s="280"/>
      <c r="K290" s="10"/>
      <c r="L290" s="9"/>
      <c r="M290" s="343"/>
      <c r="N290" s="1"/>
      <c r="O290"/>
      <c r="P290"/>
      <c r="Q290"/>
      <c r="R290"/>
      <c r="S290"/>
    </row>
    <row r="291" spans="1:19" ht="20.25" customHeight="1">
      <c r="A291" s="228" t="s">
        <v>103</v>
      </c>
      <c r="B291" s="152"/>
      <c r="C291" s="10" t="s">
        <v>521</v>
      </c>
      <c r="D291" s="10"/>
      <c r="E291" s="10"/>
      <c r="F291" s="117"/>
      <c r="G291" s="10"/>
      <c r="H291" s="10"/>
      <c r="I291" s="10"/>
      <c r="J291" s="9"/>
      <c r="K291" s="10"/>
      <c r="L291" s="9"/>
      <c r="M291" s="343"/>
      <c r="N291" s="1"/>
      <c r="O291"/>
      <c r="P291"/>
      <c r="Q291"/>
      <c r="R291"/>
      <c r="S291"/>
    </row>
    <row r="292" spans="1:19" ht="20.25" customHeight="1">
      <c r="A292" s="228"/>
      <c r="B292" s="152"/>
      <c r="C292" s="10" t="s">
        <v>522</v>
      </c>
      <c r="D292" s="10"/>
      <c r="E292" s="10"/>
      <c r="F292" s="117"/>
      <c r="G292" s="10"/>
      <c r="H292" s="10"/>
      <c r="I292" s="10"/>
      <c r="J292" s="9"/>
      <c r="K292" s="10"/>
      <c r="L292" s="9"/>
      <c r="M292" s="343"/>
      <c r="N292" s="1"/>
      <c r="O292"/>
      <c r="P292"/>
      <c r="Q292"/>
      <c r="R292"/>
      <c r="S292"/>
    </row>
    <row r="293" spans="1:19" ht="20.25" customHeight="1">
      <c r="A293" s="11" t="s">
        <v>104</v>
      </c>
      <c r="B293" s="10"/>
      <c r="C293" s="10" t="s">
        <v>529</v>
      </c>
      <c r="D293" s="10"/>
      <c r="E293" s="10"/>
      <c r="F293" s="117"/>
      <c r="G293" s="10"/>
      <c r="H293" s="10"/>
      <c r="I293" s="10"/>
      <c r="J293" s="10"/>
      <c r="K293" s="10"/>
      <c r="L293"/>
      <c r="N293"/>
      <c r="O293"/>
    </row>
    <row r="294" spans="1:19" ht="20.25" customHeight="1">
      <c r="A294" s="228" t="s">
        <v>105</v>
      </c>
      <c r="B294" s="152"/>
      <c r="C294" s="10" t="s">
        <v>520</v>
      </c>
      <c r="D294" s="10"/>
      <c r="E294" s="10"/>
      <c r="G294" s="1"/>
      <c r="H294" s="1"/>
      <c r="I294" s="10"/>
      <c r="J294" s="9"/>
      <c r="K294" s="10"/>
      <c r="L294" s="163"/>
      <c r="M294" s="227"/>
    </row>
    <row r="295" spans="1:19" ht="20.25" customHeight="1">
      <c r="A295" s="228"/>
      <c r="B295" s="152"/>
      <c r="C295" s="10" t="s">
        <v>523</v>
      </c>
      <c r="D295" s="10"/>
      <c r="E295" s="10"/>
      <c r="F295" s="117"/>
      <c r="G295" s="10"/>
      <c r="H295" s="10"/>
      <c r="I295" s="10"/>
      <c r="J295" s="9"/>
      <c r="K295" s="10"/>
      <c r="L295" s="152"/>
      <c r="M295" s="227"/>
    </row>
    <row r="296" spans="1:19" ht="20.25" customHeight="1">
      <c r="A296" s="228"/>
      <c r="B296" s="152"/>
      <c r="C296" s="10" t="s">
        <v>524</v>
      </c>
      <c r="D296" s="10"/>
      <c r="E296" s="10"/>
      <c r="F296" s="117"/>
      <c r="G296" s="10"/>
      <c r="H296" s="10"/>
      <c r="I296" s="10"/>
      <c r="K296" s="10"/>
      <c r="L296" s="152"/>
      <c r="M296" s="227"/>
    </row>
    <row r="297" spans="1:19" ht="20.25" customHeight="1">
      <c r="A297" s="228" t="s">
        <v>106</v>
      </c>
      <c r="B297" s="152"/>
      <c r="C297" s="10" t="s">
        <v>640</v>
      </c>
      <c r="D297" s="10"/>
      <c r="E297" s="10"/>
      <c r="F297" s="117"/>
      <c r="G297" s="10"/>
      <c r="H297" s="10"/>
      <c r="I297" s="10"/>
      <c r="J297" s="10"/>
      <c r="K297" s="1"/>
      <c r="L297"/>
      <c r="M297"/>
      <c r="N297"/>
    </row>
    <row r="298" spans="1:19" ht="20.25" customHeight="1">
      <c r="A298" s="228" t="s">
        <v>107</v>
      </c>
      <c r="B298" s="152"/>
      <c r="C298" s="10" t="s">
        <v>420</v>
      </c>
      <c r="D298" s="10"/>
      <c r="E298" s="10"/>
      <c r="F298" s="117"/>
      <c r="G298" s="10"/>
      <c r="H298" s="10"/>
      <c r="I298" s="10"/>
      <c r="J298" s="10"/>
      <c r="K298" s="10"/>
      <c r="L298"/>
      <c r="M298"/>
      <c r="N298"/>
    </row>
    <row r="299" spans="1:19" ht="20.25" customHeight="1">
      <c r="A299" s="228" t="s">
        <v>108</v>
      </c>
      <c r="B299" s="152"/>
      <c r="C299" s="10" t="s">
        <v>624</v>
      </c>
      <c r="D299" s="10"/>
      <c r="E299" s="1"/>
      <c r="F299" s="117"/>
      <c r="G299" s="10"/>
      <c r="H299" s="10"/>
      <c r="I299" s="10"/>
      <c r="J299" s="10"/>
      <c r="K299" s="10"/>
      <c r="L299"/>
      <c r="M299"/>
      <c r="N299"/>
    </row>
    <row r="300" spans="1:19" ht="20.25" customHeight="1">
      <c r="A300" s="228" t="s">
        <v>109</v>
      </c>
      <c r="B300" s="152"/>
      <c r="C300" s="513" t="s">
        <v>641</v>
      </c>
      <c r="D300" s="10"/>
      <c r="E300" s="1"/>
      <c r="F300" s="117"/>
      <c r="G300" s="10"/>
      <c r="H300" s="10"/>
      <c r="I300" s="10"/>
      <c r="J300" s="10"/>
      <c r="K300" s="10"/>
      <c r="L300" s="152"/>
      <c r="M300" s="227"/>
    </row>
    <row r="301" spans="1:19" ht="20.25" customHeight="1">
      <c r="A301" s="228" t="s">
        <v>110</v>
      </c>
      <c r="B301" s="152"/>
      <c r="C301" s="10" t="s">
        <v>113</v>
      </c>
      <c r="D301" s="1"/>
      <c r="E301" s="1"/>
      <c r="F301" s="117"/>
      <c r="G301" s="343"/>
      <c r="H301" s="10"/>
      <c r="I301" s="10"/>
      <c r="J301" s="10"/>
      <c r="K301" s="10"/>
      <c r="L301" s="152"/>
      <c r="M301" s="227"/>
    </row>
    <row r="302" spans="1:19" ht="20.25" customHeight="1">
      <c r="A302" s="228" t="s">
        <v>111</v>
      </c>
      <c r="B302" s="10"/>
      <c r="C302" s="10" t="s">
        <v>634</v>
      </c>
      <c r="D302" s="1"/>
      <c r="E302" s="1"/>
      <c r="G302" s="1"/>
      <c r="H302" s="1"/>
      <c r="I302" s="1"/>
      <c r="K302" s="10"/>
      <c r="L302" s="10"/>
      <c r="M302" s="278"/>
      <c r="N302" s="1"/>
      <c r="O302" s="1"/>
    </row>
    <row r="303" spans="1:19">
      <c r="C303" s="1"/>
      <c r="D303" s="1"/>
      <c r="E303" s="1"/>
      <c r="G303" s="1"/>
      <c r="H303" s="1"/>
      <c r="I303" s="1"/>
      <c r="J303" s="10"/>
      <c r="K303" s="10"/>
      <c r="L303"/>
      <c r="M303"/>
      <c r="N303"/>
      <c r="O303" s="1"/>
    </row>
    <row r="304" spans="1:19">
      <c r="C304" s="1"/>
      <c r="D304" s="1"/>
      <c r="E304" s="1"/>
      <c r="G304" s="1"/>
      <c r="H304" s="1"/>
      <c r="I304" s="1"/>
      <c r="J304" s="10"/>
      <c r="K304" s="10"/>
      <c r="L304"/>
      <c r="M304"/>
      <c r="N304"/>
      <c r="O304" s="1"/>
    </row>
    <row r="305" spans="3:13" ht="20.25">
      <c r="C305" s="1"/>
      <c r="D305" s="1"/>
      <c r="E305" s="1"/>
      <c r="G305" s="1"/>
      <c r="H305" s="1"/>
      <c r="I305" s="10"/>
      <c r="J305" s="10"/>
      <c r="K305" s="10"/>
      <c r="L305" s="152"/>
      <c r="M305" s="227"/>
    </row>
    <row r="306" spans="3:13" ht="20.25">
      <c r="C306" s="1"/>
      <c r="D306" s="1"/>
      <c r="E306" s="1"/>
      <c r="G306" s="1"/>
      <c r="H306" s="1"/>
      <c r="I306" s="1"/>
      <c r="K306" s="10"/>
      <c r="L306" s="10"/>
      <c r="M306" s="227"/>
    </row>
    <row r="307" spans="3:13" ht="20.25">
      <c r="F307" s="117"/>
      <c r="G307" s="10"/>
      <c r="H307" s="10"/>
      <c r="I307" s="152"/>
      <c r="J307" s="10"/>
      <c r="K307" s="152"/>
      <c r="L307" s="152"/>
      <c r="M307" s="227"/>
    </row>
    <row r="308" spans="3:13" ht="20.25">
      <c r="D308" s="10"/>
      <c r="E308" s="10"/>
      <c r="F308" s="117"/>
      <c r="G308" s="10"/>
      <c r="H308" s="10"/>
      <c r="I308" s="152"/>
      <c r="J308" s="10"/>
      <c r="K308" s="152"/>
      <c r="L308" s="152"/>
      <c r="M308" s="227"/>
    </row>
    <row r="309" spans="3:13" ht="20.25">
      <c r="F309" s="117"/>
      <c r="G309" s="10"/>
      <c r="H309" s="10"/>
      <c r="I309" s="152"/>
      <c r="J309" s="10"/>
      <c r="K309" s="152"/>
      <c r="L309" s="152"/>
      <c r="M309" s="227"/>
    </row>
    <row r="310" spans="3:13" ht="20.25">
      <c r="F310" s="117"/>
      <c r="G310" s="10"/>
      <c r="H310" s="10"/>
      <c r="I310" s="152"/>
      <c r="J310" s="10"/>
      <c r="K310" s="152"/>
      <c r="L310" s="152"/>
      <c r="M310" s="227"/>
    </row>
  </sheetData>
  <mergeCells count="2">
    <mergeCell ref="A268:J268"/>
    <mergeCell ref="A265:J265"/>
  </mergeCells>
  <phoneticPr fontId="0" type="noConversion"/>
  <printOptions horizontalCentered="1"/>
  <pageMargins left="0.25" right="0.25" top="1" bottom="0.5" header="0.25" footer="0.25"/>
  <pageSetup scale="50" fitToHeight="0" orientation="portrait" blackAndWhite="1" r:id="rId1"/>
  <headerFooter alignWithMargins="0"/>
  <rowBreaks count="4" manualBreakCount="4">
    <brk id="56" max="9" man="1"/>
    <brk id="117" max="9" man="1"/>
    <brk id="180" max="9" man="1"/>
    <brk id="2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151"/>
  <sheetViews>
    <sheetView zoomScale="70" zoomScaleNormal="70" zoomScaleSheetLayoutView="70" workbookViewId="0">
      <selection activeCell="L34" sqref="L34"/>
    </sheetView>
  </sheetViews>
  <sheetFormatPr defaultColWidth="9.33203125" defaultRowHeight="15"/>
  <cols>
    <col min="1" max="1" width="4" style="85" customWidth="1"/>
    <col min="2" max="2" width="4.77734375" style="86" bestFit="1" customWidth="1"/>
    <col min="3" max="3" width="1.6640625" style="85" customWidth="1"/>
    <col min="4" max="4" width="64.109375" style="85" customWidth="1"/>
    <col min="5" max="5" width="28.5546875" style="85" customWidth="1"/>
    <col min="6" max="6" width="2.109375" style="85" customWidth="1"/>
    <col min="7" max="7" width="16" style="85" bestFit="1" customWidth="1"/>
    <col min="8" max="8" width="6.5546875" style="85" customWidth="1"/>
    <col min="9" max="9" width="2.21875" style="85" customWidth="1"/>
    <col min="10" max="10" width="18.88671875" style="85" bestFit="1" customWidth="1"/>
    <col min="11" max="11" width="38" style="85" bestFit="1" customWidth="1"/>
    <col min="12" max="12" width="14.5546875" style="85" bestFit="1" customWidth="1"/>
    <col min="13" max="13" width="13.5546875" style="85" bestFit="1" customWidth="1"/>
    <col min="14" max="14" width="13.44140625" style="85" bestFit="1" customWidth="1"/>
    <col min="15" max="16384" width="9.33203125" style="85"/>
  </cols>
  <sheetData>
    <row r="1" spans="1:10">
      <c r="G1" s="85" t="str">
        <f>EKPC!J1</f>
        <v>Attachment H-24A</v>
      </c>
    </row>
    <row r="2" spans="1:10">
      <c r="G2" s="85" t="s">
        <v>236</v>
      </c>
    </row>
    <row r="3" spans="1:10">
      <c r="A3" s="89"/>
      <c r="B3" s="89"/>
      <c r="C3" s="89"/>
      <c r="D3" s="89"/>
      <c r="E3" s="89"/>
      <c r="F3" s="89"/>
      <c r="G3" s="85" t="s">
        <v>237</v>
      </c>
      <c r="H3" s="92"/>
      <c r="J3" s="111"/>
    </row>
    <row r="4" spans="1:10">
      <c r="A4" s="89"/>
      <c r="B4" s="89"/>
      <c r="C4" s="89"/>
      <c r="D4" s="89"/>
      <c r="E4" s="89"/>
      <c r="F4" s="89"/>
      <c r="H4" s="92"/>
      <c r="J4" s="111"/>
    </row>
    <row r="5" spans="1:10">
      <c r="A5" s="89"/>
      <c r="B5" s="89"/>
      <c r="C5" s="89"/>
      <c r="D5" s="89"/>
      <c r="E5" s="89"/>
      <c r="F5" s="89"/>
      <c r="G5" s="112" t="str">
        <f>EKPC!J7</f>
        <v>For the 12 months ended 12/31/2025</v>
      </c>
      <c r="H5" s="92"/>
      <c r="J5" s="111"/>
    </row>
    <row r="6" spans="1:10" ht="15.75">
      <c r="A6" s="230" t="str">
        <f>EKPC!A11</f>
        <v>East Kentucky Power Cooperative, Inc.</v>
      </c>
      <c r="B6" s="108"/>
      <c r="C6" s="108"/>
      <c r="D6" s="108"/>
      <c r="E6" s="108"/>
      <c r="F6" s="108"/>
      <c r="G6" s="108"/>
      <c r="H6" s="103"/>
      <c r="I6" s="107"/>
    </row>
    <row r="7" spans="1:10" ht="15.75">
      <c r="A7" s="108" t="s">
        <v>234</v>
      </c>
      <c r="B7" s="108"/>
      <c r="C7" s="108"/>
      <c r="D7" s="108"/>
      <c r="E7" s="108"/>
      <c r="F7" s="108"/>
      <c r="G7" s="108"/>
      <c r="H7" s="103"/>
      <c r="I7" s="107"/>
    </row>
    <row r="8" spans="1:10" ht="15.75">
      <c r="A8" s="110" t="str">
        <f>EKPC!A9</f>
        <v>Utilizing EKPC 2024 Form FF1 Data (ver. FINAL - AUDITED)</v>
      </c>
      <c r="B8" s="110"/>
      <c r="C8" s="110"/>
      <c r="D8" s="110"/>
      <c r="E8" s="110"/>
      <c r="F8" s="110"/>
      <c r="G8" s="110"/>
      <c r="H8" s="103"/>
      <c r="I8" s="109"/>
    </row>
    <row r="9" spans="1:10" ht="15.75">
      <c r="A9" s="509" t="s">
        <v>690</v>
      </c>
      <c r="B9" s="108"/>
      <c r="C9" s="610"/>
      <c r="D9" s="610"/>
      <c r="E9" s="610"/>
      <c r="F9" s="610"/>
      <c r="G9" s="611"/>
      <c r="H9" s="612"/>
      <c r="I9" s="613"/>
      <c r="J9" s="614"/>
    </row>
    <row r="10" spans="1:10" ht="15.75">
      <c r="B10" s="93"/>
      <c r="C10" s="99"/>
      <c r="D10" s="90"/>
      <c r="H10" s="103"/>
    </row>
    <row r="11" spans="1:10" ht="15.75">
      <c r="A11" s="374" t="s">
        <v>240</v>
      </c>
      <c r="B11" s="374"/>
      <c r="C11" s="374"/>
      <c r="D11" s="374"/>
      <c r="E11" s="374"/>
      <c r="F11" s="374"/>
      <c r="G11" s="374"/>
      <c r="H11" s="103"/>
      <c r="I11" s="106"/>
      <c r="J11" s="488"/>
    </row>
    <row r="12" spans="1:10" ht="15.75">
      <c r="A12" s="105"/>
      <c r="B12" s="93"/>
      <c r="C12" s="99"/>
      <c r="D12" s="90"/>
      <c r="H12" s="103"/>
    </row>
    <row r="13" spans="1:10" ht="15.75">
      <c r="B13" s="93"/>
      <c r="C13" s="99"/>
      <c r="D13" s="90"/>
      <c r="E13" s="90"/>
      <c r="F13" s="104"/>
      <c r="G13" s="100"/>
      <c r="H13" s="103"/>
    </row>
    <row r="14" spans="1:10" ht="15.75">
      <c r="B14" s="93" t="s">
        <v>6</v>
      </c>
      <c r="C14" s="99"/>
      <c r="D14" s="90"/>
      <c r="E14" s="90"/>
      <c r="F14" s="90"/>
      <c r="G14" s="113" t="s">
        <v>233</v>
      </c>
      <c r="H14" s="103"/>
    </row>
    <row r="15" spans="1:10" ht="15.75">
      <c r="B15" s="128" t="s">
        <v>8</v>
      </c>
      <c r="C15" s="99"/>
      <c r="D15" s="90"/>
      <c r="E15" s="128" t="s">
        <v>238</v>
      </c>
      <c r="F15" s="90"/>
      <c r="G15" s="128" t="s">
        <v>232</v>
      </c>
      <c r="H15" s="103"/>
    </row>
    <row r="16" spans="1:10">
      <c r="B16" s="93"/>
      <c r="C16" s="99"/>
      <c r="D16" s="91"/>
      <c r="E16" s="99"/>
      <c r="F16" s="90"/>
      <c r="H16" s="90"/>
    </row>
    <row r="17" spans="1:26">
      <c r="A17" s="113" t="s">
        <v>231</v>
      </c>
      <c r="B17" s="127" t="s">
        <v>235</v>
      </c>
      <c r="C17" s="99"/>
      <c r="D17" s="90"/>
      <c r="E17" s="99"/>
      <c r="F17" s="90"/>
      <c r="H17" s="90"/>
    </row>
    <row r="18" spans="1:26">
      <c r="B18" s="93">
        <v>1</v>
      </c>
      <c r="C18" s="99"/>
      <c r="D18" s="91" t="s">
        <v>230</v>
      </c>
      <c r="E18" s="373" t="s">
        <v>536</v>
      </c>
      <c r="F18" s="98"/>
      <c r="G18" s="351">
        <f>'Pg 4 of 8 Sch 1 Charges 561'!D42</f>
        <v>5081476.8</v>
      </c>
      <c r="H18" s="102"/>
      <c r="J18" s="354"/>
      <c r="K18" s="355"/>
    </row>
    <row r="19" spans="1:26">
      <c r="B19" s="93"/>
      <c r="C19" s="99"/>
      <c r="D19" s="91" t="s">
        <v>567</v>
      </c>
      <c r="E19" s="346"/>
      <c r="F19" s="347"/>
      <c r="G19" s="351">
        <f>G35/G34*G18</f>
        <v>62613.322977190852</v>
      </c>
      <c r="H19" s="102"/>
      <c r="J19" s="354"/>
    </row>
    <row r="20" spans="1:26">
      <c r="B20" s="93"/>
      <c r="C20" s="99"/>
      <c r="D20" s="91" t="s">
        <v>512</v>
      </c>
      <c r="E20" s="113"/>
      <c r="F20" s="98"/>
      <c r="G20" s="351">
        <f>G18-G19</f>
        <v>5018863.477022809</v>
      </c>
      <c r="H20" s="102"/>
      <c r="J20" s="356"/>
    </row>
    <row r="21" spans="1:26">
      <c r="B21" s="93"/>
      <c r="C21" s="99"/>
      <c r="D21" s="91"/>
      <c r="E21" s="113"/>
      <c r="F21" s="98"/>
      <c r="G21" s="286"/>
      <c r="H21" s="102"/>
    </row>
    <row r="22" spans="1:26">
      <c r="B22" s="93"/>
      <c r="C22" s="99"/>
      <c r="D22" s="91"/>
      <c r="E22" s="99"/>
      <c r="F22" s="98"/>
      <c r="G22" s="286"/>
      <c r="H22" s="102"/>
    </row>
    <row r="23" spans="1:26">
      <c r="B23" s="93">
        <v>2</v>
      </c>
      <c r="C23" s="99"/>
      <c r="D23" s="91" t="s">
        <v>462</v>
      </c>
      <c r="E23" s="98" t="s">
        <v>461</v>
      </c>
      <c r="F23" s="92"/>
      <c r="G23" s="351">
        <v>0</v>
      </c>
      <c r="H23"/>
      <c r="J23" s="516"/>
    </row>
    <row r="24" spans="1:26">
      <c r="B24" s="93"/>
      <c r="C24" s="99"/>
      <c r="D24" s="91"/>
      <c r="E24" s="90"/>
      <c r="F24" s="98"/>
      <c r="G24" s="287"/>
      <c r="H24" s="102"/>
      <c r="J24" s="489"/>
    </row>
    <row r="25" spans="1:26">
      <c r="B25" s="93">
        <v>3</v>
      </c>
      <c r="C25" s="99"/>
      <c r="D25" s="91" t="s">
        <v>229</v>
      </c>
      <c r="E25" s="90"/>
      <c r="F25" s="98"/>
      <c r="G25" s="351">
        <f>G20-G23</f>
        <v>5018863.477022809</v>
      </c>
      <c r="H25" s="102"/>
    </row>
    <row r="26" spans="1:26">
      <c r="B26" s="93"/>
      <c r="C26" s="99"/>
      <c r="D26" s="91"/>
      <c r="E26" s="90"/>
      <c r="F26" s="98"/>
      <c r="G26" s="286"/>
      <c r="H26" s="90"/>
    </row>
    <row r="27" spans="1:26">
      <c r="B27" s="93">
        <v>4</v>
      </c>
      <c r="C27" s="99"/>
      <c r="D27" s="91" t="s">
        <v>622</v>
      </c>
      <c r="E27" s="99" t="s">
        <v>460</v>
      </c>
      <c r="F27" s="98"/>
      <c r="G27" s="615">
        <v>1152807.47</v>
      </c>
      <c r="H27" s="90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93"/>
      <c r="C28" s="99"/>
      <c r="D28" s="91"/>
      <c r="E28" s="90"/>
      <c r="F28" s="98"/>
      <c r="G28" s="286"/>
      <c r="H28" s="9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93">
        <v>5</v>
      </c>
      <c r="C29" s="99"/>
      <c r="D29" s="91" t="s">
        <v>623</v>
      </c>
      <c r="E29" s="90"/>
      <c r="F29" s="98"/>
      <c r="G29" s="350">
        <f>G25+G27</f>
        <v>6171670.9470228087</v>
      </c>
      <c r="H29" s="9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93"/>
      <c r="C30" s="99"/>
      <c r="D30" s="91"/>
      <c r="E30" s="90"/>
      <c r="F30" s="98"/>
      <c r="G30" s="101"/>
      <c r="H30" s="9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13" t="s">
        <v>228</v>
      </c>
      <c r="B31" s="127" t="s">
        <v>227</v>
      </c>
      <c r="C31" s="99"/>
      <c r="D31" s="90"/>
      <c r="F31" s="90"/>
      <c r="H31" s="90"/>
      <c r="J31"/>
      <c r="K31" s="539" t="s">
        <v>689</v>
      </c>
      <c r="L31" s="538"/>
      <c r="M31" s="538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93">
        <v>6</v>
      </c>
      <c r="C32" s="99"/>
      <c r="D32" s="618" t="s">
        <v>688</v>
      </c>
      <c r="E32" s="99" t="s">
        <v>463</v>
      </c>
      <c r="F32" s="98"/>
      <c r="G32" s="619">
        <f>$L$35+$G$35</f>
        <v>15304764.867000001</v>
      </c>
      <c r="H32" s="90" t="s">
        <v>226</v>
      </c>
      <c r="J32" s="516" t="s">
        <v>684</v>
      </c>
      <c r="K32" t="s">
        <v>685</v>
      </c>
      <c r="L32" s="620">
        <v>4094368.8670000001</v>
      </c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>
      <c r="B33" s="372" t="s">
        <v>404</v>
      </c>
      <c r="C33" s="99"/>
      <c r="D33" s="91" t="s">
        <v>572</v>
      </c>
      <c r="E33" s="113" t="s">
        <v>477</v>
      </c>
      <c r="F33" s="98"/>
      <c r="G33" s="617">
        <f>5087+4051</f>
        <v>9138</v>
      </c>
      <c r="H33" s="90"/>
      <c r="J33" s="516"/>
      <c r="K33" t="s">
        <v>686</v>
      </c>
      <c r="L33" s="620">
        <f>(810+837+929+1035+1015+852+828+948+1181)*1000</f>
        <v>8435000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 ht="17.25">
      <c r="B34" s="372" t="s">
        <v>564</v>
      </c>
      <c r="C34" s="99"/>
      <c r="D34" s="91" t="s">
        <v>551</v>
      </c>
      <c r="E34" s="99"/>
      <c r="F34" s="98"/>
      <c r="G34" s="393">
        <f>G32+G33</f>
        <v>15313902.867000001</v>
      </c>
      <c r="H34" s="90"/>
      <c r="J34"/>
      <c r="K34" t="s">
        <v>687</v>
      </c>
      <c r="L34" s="621">
        <f>(239340+280306+293004+314828+309806+254429+268751+298589+327647)</f>
        <v>2586700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>
      <c r="B35" s="372" t="s">
        <v>565</v>
      </c>
      <c r="C35" s="99"/>
      <c r="D35" s="91" t="s">
        <v>576</v>
      </c>
      <c r="E35" s="99" t="s">
        <v>574</v>
      </c>
      <c r="F35" s="98"/>
      <c r="G35" s="616">
        <v>188696</v>
      </c>
      <c r="H35" s="90"/>
      <c r="J35" s="516"/>
      <c r="K35"/>
      <c r="L35" s="609">
        <f>SUM(L32:L34)</f>
        <v>15116068.867000001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 ht="16.5" thickBot="1">
      <c r="B36" s="372" t="s">
        <v>566</v>
      </c>
      <c r="C36" s="99"/>
      <c r="D36" s="91" t="s">
        <v>552</v>
      </c>
      <c r="E36" s="99"/>
      <c r="F36" s="98"/>
      <c r="G36" s="394">
        <f>G34-G35</f>
        <v>15125206.867000001</v>
      </c>
      <c r="H36" s="90" t="s">
        <v>226</v>
      </c>
      <c r="J36" s="490"/>
      <c r="X36"/>
      <c r="Y36"/>
      <c r="Z36"/>
    </row>
    <row r="37" spans="2:26" ht="15.75">
      <c r="B37" s="93"/>
      <c r="C37" s="99"/>
      <c r="D37" s="91"/>
      <c r="E37" s="99"/>
      <c r="F37" s="98"/>
      <c r="G37" s="294"/>
      <c r="H37" s="90"/>
      <c r="J37" s="368"/>
      <c r="K37"/>
      <c r="L37"/>
      <c r="M37"/>
      <c r="N37"/>
      <c r="O37"/>
      <c r="X37"/>
      <c r="Y37"/>
      <c r="Z37"/>
    </row>
    <row r="38" spans="2:26">
      <c r="B38" s="93"/>
      <c r="C38" s="99"/>
      <c r="D38" s="91"/>
      <c r="E38" s="90"/>
      <c r="F38" s="98"/>
      <c r="G38" s="97"/>
      <c r="H38" s="90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>
      <c r="B39" s="93">
        <f>+B32+1</f>
        <v>7</v>
      </c>
      <c r="C39" s="91"/>
      <c r="D39" s="91" t="s">
        <v>459</v>
      </c>
      <c r="E39" s="96" t="str">
        <f>"(Line "&amp;B25&amp;" / Line "&amp;B32&amp;")"</f>
        <v>(Line 3 / Line 6)</v>
      </c>
      <c r="F39" s="91"/>
      <c r="G39" s="94">
        <f>+G29/G36</f>
        <v>0.40803877932328242</v>
      </c>
      <c r="H39" s="95" t="s">
        <v>225</v>
      </c>
      <c r="J39" s="489"/>
    </row>
    <row r="40" spans="2:26">
      <c r="B40" s="93"/>
      <c r="C40" s="91"/>
      <c r="D40" s="91"/>
      <c r="E40" s="91"/>
      <c r="F40" s="91"/>
      <c r="H40" s="91"/>
    </row>
    <row r="41" spans="2:26">
      <c r="B41" s="93"/>
      <c r="C41" s="91"/>
      <c r="D41" s="91"/>
      <c r="E41" s="91"/>
      <c r="F41" s="91"/>
      <c r="H41" s="91"/>
    </row>
    <row r="42" spans="2:26">
      <c r="B42" s="93"/>
      <c r="C42" s="91"/>
      <c r="D42" s="91"/>
      <c r="E42" s="91"/>
      <c r="F42" s="91"/>
      <c r="H42" s="91"/>
      <c r="I42" s="87"/>
      <c r="J42" s="87"/>
    </row>
    <row r="43" spans="2:26">
      <c r="B43" s="269" t="s">
        <v>142</v>
      </c>
      <c r="C43" s="270"/>
      <c r="D43" s="270"/>
      <c r="E43" s="270"/>
      <c r="F43" s="270"/>
      <c r="G43" s="464"/>
      <c r="H43" s="270"/>
      <c r="I43" s="87"/>
      <c r="J43" s="87"/>
    </row>
    <row r="44" spans="2:26" ht="30" customHeight="1">
      <c r="B44" s="404" t="s">
        <v>16</v>
      </c>
      <c r="C44" s="91"/>
      <c r="D44" s="672" t="s">
        <v>633</v>
      </c>
      <c r="E44" s="672"/>
      <c r="F44" s="672"/>
      <c r="G44" s="672"/>
      <c r="H44" s="672"/>
      <c r="I44" s="87"/>
      <c r="J44"/>
      <c r="K44"/>
      <c r="L44"/>
      <c r="M44"/>
      <c r="N44"/>
      <c r="O44"/>
    </row>
    <row r="45" spans="2:26">
      <c r="B45" s="292" t="s">
        <v>17</v>
      </c>
      <c r="C45" s="90"/>
      <c r="D45" s="85" t="s">
        <v>676</v>
      </c>
      <c r="E45" s="91"/>
      <c r="F45" s="91"/>
      <c r="G45" s="91" t="s">
        <v>5</v>
      </c>
      <c r="I45" s="89"/>
      <c r="J45" s="465"/>
    </row>
    <row r="46" spans="2:26" ht="15" customHeight="1">
      <c r="B46" s="292" t="s">
        <v>18</v>
      </c>
      <c r="C46" s="90"/>
      <c r="D46" s="673" t="s">
        <v>614</v>
      </c>
      <c r="E46" s="674"/>
      <c r="F46" s="674"/>
      <c r="G46" s="674"/>
      <c r="H46" s="91"/>
      <c r="I46" s="357"/>
      <c r="J46" s="87"/>
    </row>
    <row r="47" spans="2:26">
      <c r="B47" s="292" t="s">
        <v>19</v>
      </c>
      <c r="C47" s="90"/>
      <c r="D47" s="85" t="s">
        <v>615</v>
      </c>
      <c r="E47" s="91"/>
      <c r="F47" s="91"/>
      <c r="G47" s="91"/>
      <c r="H47" s="91"/>
      <c r="I47" s="89"/>
      <c r="J47" s="87"/>
    </row>
    <row r="48" spans="2:26">
      <c r="B48" s="292" t="s">
        <v>20</v>
      </c>
      <c r="C48" s="87"/>
      <c r="D48" s="85" t="s">
        <v>617</v>
      </c>
      <c r="E48" s="87"/>
      <c r="F48" s="87"/>
      <c r="G48" s="87"/>
      <c r="H48" s="87"/>
      <c r="I48" s="87"/>
      <c r="J48" s="87"/>
    </row>
    <row r="49" spans="2:10">
      <c r="E49" s="87"/>
      <c r="F49" s="87"/>
      <c r="G49" s="87"/>
      <c r="H49" s="87"/>
      <c r="I49" s="87"/>
      <c r="J49" s="87"/>
    </row>
    <row r="50" spans="2:10">
      <c r="B50" s="88"/>
      <c r="C50" s="87"/>
      <c r="D50" s="87"/>
      <c r="E50" s="87"/>
      <c r="F50" s="87"/>
      <c r="G50" s="87"/>
      <c r="H50" s="87"/>
      <c r="I50" s="87"/>
      <c r="J50" s="87"/>
    </row>
    <row r="51" spans="2:10">
      <c r="B51" s="88"/>
      <c r="C51" s="87"/>
      <c r="D51" s="87"/>
      <c r="E51" s="87"/>
      <c r="F51" s="87"/>
      <c r="G51" s="87"/>
      <c r="H51" s="87"/>
      <c r="I51" s="87"/>
      <c r="J51" s="87"/>
    </row>
    <row r="52" spans="2:10">
      <c r="B52" s="88"/>
      <c r="C52" s="87"/>
      <c r="D52" s="87"/>
      <c r="E52" s="87"/>
      <c r="F52" s="87"/>
      <c r="G52" s="87"/>
      <c r="H52" s="87"/>
      <c r="I52" s="87"/>
      <c r="J52" s="87"/>
    </row>
    <row r="53" spans="2:10">
      <c r="B53" s="88"/>
      <c r="C53" s="87"/>
      <c r="D53" s="87"/>
      <c r="E53" s="87"/>
      <c r="F53" s="87"/>
      <c r="G53" s="87"/>
      <c r="H53" s="87"/>
      <c r="I53" s="87"/>
      <c r="J53" s="87"/>
    </row>
    <row r="54" spans="2:10">
      <c r="B54" s="88"/>
      <c r="C54" s="87"/>
      <c r="D54" s="87"/>
      <c r="E54" s="87"/>
      <c r="F54" s="87"/>
      <c r="G54" s="87"/>
      <c r="H54" s="87"/>
      <c r="I54" s="87"/>
      <c r="J54" s="87"/>
    </row>
    <row r="55" spans="2:10">
      <c r="B55" s="88"/>
      <c r="C55" s="87"/>
      <c r="D55" s="87"/>
      <c r="E55" s="87"/>
      <c r="F55" s="87"/>
      <c r="G55" s="87"/>
      <c r="H55" s="87"/>
      <c r="I55" s="87"/>
      <c r="J55" s="87"/>
    </row>
    <row r="56" spans="2:10">
      <c r="B56" s="88"/>
      <c r="C56" s="87"/>
      <c r="D56" s="87"/>
      <c r="E56" s="87"/>
      <c r="F56" s="87"/>
      <c r="G56" s="87"/>
      <c r="H56" s="87"/>
      <c r="I56" s="87"/>
      <c r="J56" s="87"/>
    </row>
    <row r="57" spans="2:10">
      <c r="B57" s="88"/>
      <c r="C57" s="87"/>
      <c r="D57" s="87"/>
      <c r="E57" s="87"/>
      <c r="F57" s="87"/>
      <c r="G57" s="87"/>
      <c r="H57" s="87"/>
      <c r="I57" s="87"/>
      <c r="J57" s="87"/>
    </row>
    <row r="58" spans="2:10">
      <c r="B58" s="88"/>
      <c r="C58" s="87"/>
      <c r="D58" s="87"/>
      <c r="E58" s="87"/>
      <c r="F58" s="87"/>
      <c r="G58" s="87"/>
      <c r="H58" s="87"/>
      <c r="I58" s="87"/>
      <c r="J58" s="87"/>
    </row>
    <row r="59" spans="2:10">
      <c r="B59" s="88"/>
      <c r="C59" s="87"/>
      <c r="D59" s="87"/>
      <c r="E59" s="87"/>
      <c r="F59" s="87"/>
      <c r="G59" s="87"/>
      <c r="H59" s="87"/>
      <c r="I59" s="87"/>
      <c r="J59" s="87"/>
    </row>
    <row r="60" spans="2:10">
      <c r="B60" s="88"/>
      <c r="C60" s="87"/>
      <c r="D60" s="87"/>
      <c r="E60" s="87"/>
      <c r="F60" s="87"/>
      <c r="G60" s="87"/>
      <c r="H60" s="87"/>
      <c r="I60" s="87"/>
      <c r="J60" s="87"/>
    </row>
    <row r="61" spans="2:10">
      <c r="B61" s="88"/>
      <c r="C61" s="87"/>
      <c r="D61" s="87"/>
      <c r="E61" s="87"/>
      <c r="F61" s="87"/>
      <c r="G61" s="87"/>
      <c r="H61" s="87"/>
      <c r="I61" s="87"/>
      <c r="J61" s="87"/>
    </row>
    <row r="62" spans="2:10">
      <c r="B62" s="88"/>
      <c r="C62" s="87"/>
      <c r="D62" s="87"/>
      <c r="E62" s="87"/>
      <c r="F62" s="87"/>
      <c r="G62" s="87"/>
      <c r="H62" s="87"/>
      <c r="I62" s="87"/>
      <c r="J62" s="87"/>
    </row>
    <row r="63" spans="2:10">
      <c r="B63" s="88"/>
      <c r="C63" s="87"/>
      <c r="D63" s="87"/>
      <c r="E63" s="87"/>
      <c r="F63" s="87"/>
      <c r="G63" s="87"/>
      <c r="H63" s="87"/>
      <c r="I63" s="87"/>
      <c r="J63" s="87"/>
    </row>
    <row r="64" spans="2:10">
      <c r="B64" s="88"/>
      <c r="C64" s="87"/>
      <c r="D64" s="87"/>
      <c r="E64" s="87"/>
      <c r="F64" s="87"/>
      <c r="G64" s="87"/>
      <c r="H64" s="87"/>
      <c r="I64" s="87"/>
      <c r="J64" s="87"/>
    </row>
    <row r="65" spans="2:10">
      <c r="B65" s="88"/>
      <c r="C65" s="87"/>
      <c r="D65" s="87"/>
      <c r="E65" s="87"/>
      <c r="F65" s="87"/>
      <c r="G65" s="87"/>
      <c r="H65" s="87"/>
      <c r="I65" s="87"/>
      <c r="J65" s="87"/>
    </row>
    <row r="66" spans="2:10">
      <c r="B66" s="88"/>
      <c r="C66" s="87"/>
      <c r="D66" s="87"/>
      <c r="E66" s="87"/>
      <c r="F66" s="87"/>
      <c r="G66" s="87"/>
      <c r="H66" s="87"/>
      <c r="I66" s="87"/>
      <c r="J66" s="87"/>
    </row>
    <row r="67" spans="2:10">
      <c r="B67" s="88"/>
      <c r="C67" s="87"/>
      <c r="D67" s="87"/>
      <c r="E67" s="87"/>
      <c r="F67" s="87"/>
      <c r="G67" s="87"/>
      <c r="H67" s="87"/>
      <c r="I67" s="87"/>
      <c r="J67" s="87"/>
    </row>
    <row r="68" spans="2:10">
      <c r="B68" s="88"/>
      <c r="C68" s="87"/>
      <c r="D68" s="87"/>
      <c r="E68" s="87"/>
      <c r="F68" s="87"/>
      <c r="G68" s="87"/>
      <c r="H68" s="87"/>
      <c r="I68" s="87"/>
      <c r="J68" s="87"/>
    </row>
    <row r="69" spans="2:10">
      <c r="B69" s="88"/>
      <c r="C69" s="87"/>
      <c r="D69" s="87"/>
      <c r="E69" s="87"/>
      <c r="F69" s="87"/>
      <c r="G69" s="87"/>
      <c r="H69" s="87"/>
      <c r="I69" s="87"/>
      <c r="J69" s="87"/>
    </row>
    <row r="70" spans="2:10">
      <c r="B70" s="88"/>
      <c r="C70" s="87"/>
      <c r="D70" s="87"/>
      <c r="E70" s="87"/>
      <c r="F70" s="87"/>
      <c r="G70" s="87"/>
      <c r="H70" s="87"/>
      <c r="I70" s="87"/>
      <c r="J70" s="87"/>
    </row>
    <row r="71" spans="2:10">
      <c r="B71" s="88"/>
      <c r="C71" s="87"/>
      <c r="D71" s="87"/>
      <c r="E71" s="87"/>
      <c r="F71" s="87"/>
      <c r="G71" s="87"/>
      <c r="H71" s="87"/>
      <c r="I71" s="87"/>
      <c r="J71" s="87"/>
    </row>
    <row r="72" spans="2:10">
      <c r="B72" s="88"/>
      <c r="C72" s="87"/>
      <c r="D72" s="87"/>
      <c r="E72" s="87"/>
      <c r="F72" s="87"/>
      <c r="G72" s="87"/>
      <c r="H72" s="87"/>
      <c r="I72" s="87"/>
      <c r="J72" s="87"/>
    </row>
    <row r="73" spans="2:10">
      <c r="B73" s="88"/>
      <c r="C73" s="87"/>
      <c r="D73" s="87"/>
      <c r="E73" s="87"/>
      <c r="F73" s="87"/>
      <c r="G73" s="87"/>
      <c r="H73" s="87"/>
      <c r="I73" s="87"/>
      <c r="J73" s="87"/>
    </row>
    <row r="74" spans="2:10">
      <c r="B74" s="88"/>
      <c r="C74" s="87"/>
      <c r="D74" s="87"/>
      <c r="E74" s="87"/>
      <c r="F74" s="87"/>
      <c r="G74" s="87"/>
      <c r="H74" s="87"/>
      <c r="I74" s="87"/>
      <c r="J74" s="87"/>
    </row>
    <row r="75" spans="2:10">
      <c r="B75" s="88"/>
      <c r="C75" s="87"/>
      <c r="D75" s="87"/>
      <c r="E75" s="87"/>
      <c r="F75" s="87"/>
      <c r="G75" s="87"/>
      <c r="H75" s="87"/>
      <c r="I75" s="87"/>
      <c r="J75" s="87"/>
    </row>
    <row r="76" spans="2:10">
      <c r="B76" s="88"/>
      <c r="C76" s="87"/>
      <c r="D76" s="87"/>
      <c r="E76" s="87"/>
      <c r="F76" s="87"/>
      <c r="G76" s="87"/>
      <c r="H76" s="87"/>
      <c r="I76" s="87"/>
      <c r="J76" s="87"/>
    </row>
    <row r="77" spans="2:10">
      <c r="B77" s="88"/>
      <c r="C77" s="87"/>
      <c r="D77" s="87"/>
      <c r="E77" s="87"/>
      <c r="F77" s="87"/>
      <c r="G77" s="87"/>
      <c r="H77" s="87"/>
      <c r="I77" s="87"/>
      <c r="J77" s="87"/>
    </row>
    <row r="78" spans="2:10">
      <c r="B78" s="88"/>
      <c r="C78" s="87"/>
      <c r="D78" s="87"/>
      <c r="E78" s="87"/>
      <c r="F78" s="87"/>
      <c r="G78" s="87"/>
      <c r="H78" s="87"/>
      <c r="I78" s="87"/>
      <c r="J78" s="87"/>
    </row>
    <row r="79" spans="2:10">
      <c r="B79" s="88"/>
      <c r="C79" s="87"/>
      <c r="D79" s="87"/>
      <c r="E79" s="87"/>
      <c r="F79" s="87"/>
      <c r="G79" s="87"/>
      <c r="H79" s="87"/>
      <c r="I79" s="87"/>
      <c r="J79" s="87"/>
    </row>
    <row r="80" spans="2:10">
      <c r="B80" s="88"/>
      <c r="C80" s="87"/>
      <c r="D80" s="87"/>
      <c r="E80" s="87"/>
      <c r="F80" s="87"/>
      <c r="G80" s="87"/>
      <c r="H80" s="87"/>
      <c r="I80" s="87"/>
      <c r="J80" s="87"/>
    </row>
    <row r="81" spans="2:10">
      <c r="B81" s="88"/>
      <c r="C81" s="87"/>
      <c r="D81" s="87"/>
      <c r="E81" s="87"/>
      <c r="F81" s="87"/>
      <c r="G81" s="87"/>
      <c r="H81" s="87"/>
      <c r="I81" s="87"/>
      <c r="J81" s="87"/>
    </row>
    <row r="82" spans="2:10">
      <c r="B82" s="88"/>
      <c r="C82" s="87"/>
      <c r="D82" s="87"/>
      <c r="E82" s="87"/>
      <c r="F82" s="87"/>
      <c r="G82" s="87"/>
      <c r="H82" s="87"/>
      <c r="I82" s="87"/>
      <c r="J82" s="87"/>
    </row>
    <row r="83" spans="2:10">
      <c r="B83" s="88"/>
      <c r="C83" s="87"/>
      <c r="D83" s="87"/>
      <c r="E83" s="87"/>
      <c r="F83" s="87"/>
      <c r="G83" s="87"/>
      <c r="H83" s="87"/>
      <c r="I83" s="87"/>
      <c r="J83" s="87"/>
    </row>
    <row r="84" spans="2:10">
      <c r="B84" s="88"/>
      <c r="C84" s="87"/>
      <c r="D84" s="87"/>
      <c r="E84" s="87"/>
      <c r="F84" s="87"/>
      <c r="G84" s="87"/>
      <c r="H84" s="87"/>
      <c r="I84" s="87"/>
      <c r="J84" s="87"/>
    </row>
    <row r="85" spans="2:10">
      <c r="B85" s="88"/>
      <c r="C85" s="87"/>
      <c r="D85" s="87"/>
      <c r="E85" s="87"/>
      <c r="F85" s="87"/>
      <c r="G85" s="87"/>
      <c r="H85" s="87"/>
      <c r="I85" s="87"/>
      <c r="J85" s="87"/>
    </row>
    <row r="86" spans="2:10">
      <c r="B86" s="88"/>
      <c r="C86" s="87"/>
      <c r="D86" s="87"/>
      <c r="E86" s="87"/>
      <c r="F86" s="87"/>
      <c r="G86" s="87"/>
      <c r="H86" s="87"/>
      <c r="I86" s="87"/>
      <c r="J86" s="87"/>
    </row>
    <row r="87" spans="2:10">
      <c r="B87" s="88"/>
      <c r="C87" s="87"/>
      <c r="D87" s="87"/>
      <c r="E87" s="87"/>
      <c r="F87" s="87"/>
      <c r="G87" s="87"/>
      <c r="H87" s="87"/>
      <c r="I87" s="87"/>
      <c r="J87" s="87"/>
    </row>
    <row r="88" spans="2:10">
      <c r="B88" s="88"/>
      <c r="C88" s="87"/>
      <c r="D88" s="87"/>
      <c r="E88" s="87"/>
      <c r="F88" s="87"/>
      <c r="G88" s="87"/>
      <c r="H88" s="87"/>
      <c r="I88" s="87"/>
      <c r="J88" s="87"/>
    </row>
    <row r="89" spans="2:10">
      <c r="B89" s="88"/>
      <c r="C89" s="87"/>
      <c r="D89" s="87"/>
      <c r="E89" s="87"/>
      <c r="F89" s="87"/>
      <c r="G89" s="87"/>
      <c r="H89" s="87"/>
      <c r="I89" s="87"/>
      <c r="J89" s="87"/>
    </row>
    <row r="90" spans="2:10">
      <c r="B90" s="88"/>
      <c r="C90" s="87"/>
      <c r="D90" s="87"/>
      <c r="E90" s="87"/>
      <c r="F90" s="87"/>
      <c r="G90" s="87"/>
      <c r="H90" s="87"/>
      <c r="I90" s="87"/>
      <c r="J90" s="87"/>
    </row>
    <row r="91" spans="2:10">
      <c r="B91" s="88"/>
      <c r="C91" s="87"/>
      <c r="D91" s="87"/>
      <c r="E91" s="87"/>
      <c r="F91" s="87"/>
      <c r="G91" s="87"/>
      <c r="H91" s="87"/>
      <c r="I91" s="87"/>
      <c r="J91" s="87"/>
    </row>
    <row r="92" spans="2:10">
      <c r="B92" s="88"/>
      <c r="C92" s="87"/>
      <c r="D92" s="87"/>
      <c r="E92" s="87"/>
      <c r="F92" s="87"/>
      <c r="G92" s="87"/>
      <c r="H92" s="87"/>
      <c r="I92" s="87"/>
      <c r="J92" s="87"/>
    </row>
    <row r="93" spans="2:10">
      <c r="B93" s="88"/>
      <c r="C93" s="87"/>
      <c r="D93" s="87"/>
      <c r="E93" s="87"/>
      <c r="F93" s="87"/>
      <c r="G93" s="87"/>
      <c r="H93" s="87"/>
      <c r="I93" s="87"/>
      <c r="J93" s="87"/>
    </row>
    <row r="94" spans="2:10">
      <c r="B94" s="88"/>
      <c r="C94" s="87"/>
      <c r="D94" s="87"/>
      <c r="E94" s="87"/>
      <c r="F94" s="87"/>
      <c r="G94" s="87"/>
      <c r="H94" s="87"/>
      <c r="I94" s="87"/>
      <c r="J94" s="87"/>
    </row>
    <row r="95" spans="2:10">
      <c r="B95" s="88"/>
      <c r="C95" s="87"/>
      <c r="D95" s="87"/>
      <c r="E95" s="87"/>
      <c r="F95" s="87"/>
      <c r="G95" s="87"/>
      <c r="H95" s="87"/>
      <c r="I95" s="87"/>
      <c r="J95" s="87"/>
    </row>
    <row r="96" spans="2:10">
      <c r="B96" s="88"/>
      <c r="C96" s="87"/>
      <c r="D96" s="87"/>
      <c r="E96" s="87"/>
      <c r="F96" s="87"/>
      <c r="G96" s="87"/>
      <c r="H96" s="87"/>
      <c r="I96" s="87"/>
      <c r="J96" s="87"/>
    </row>
    <row r="97" spans="2:10">
      <c r="B97" s="88"/>
      <c r="C97" s="87"/>
      <c r="D97" s="87"/>
      <c r="E97" s="87"/>
      <c r="F97" s="87"/>
      <c r="G97" s="87"/>
      <c r="H97" s="87"/>
      <c r="I97" s="87"/>
      <c r="J97" s="87"/>
    </row>
    <row r="151" spans="11:11">
      <c r="K151" s="85" t="s">
        <v>611</v>
      </c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294"/>
  <sheetViews>
    <sheetView view="pageBreakPreview" zoomScale="60" zoomScaleNormal="70" workbookViewId="0">
      <selection activeCell="E27" sqref="E27"/>
    </sheetView>
  </sheetViews>
  <sheetFormatPr defaultRowHeight="15"/>
  <cols>
    <col min="1" max="1" width="7.6640625" customWidth="1"/>
    <col min="2" max="2" width="3.44140625" customWidth="1"/>
    <col min="3" max="3" width="54.44140625" customWidth="1"/>
    <col min="4" max="4" width="3.77734375" customWidth="1"/>
    <col min="5" max="5" width="49.33203125" customWidth="1"/>
    <col min="6" max="6" width="3.88671875" customWidth="1"/>
    <col min="7" max="7" width="14.109375" customWidth="1"/>
    <col min="8" max="8" width="4.33203125" customWidth="1"/>
    <col min="9" max="9" width="15.33203125" customWidth="1"/>
    <col min="10" max="10" width="5.77734375" customWidth="1"/>
    <col min="11" max="11" width="1.6640625" customWidth="1"/>
    <col min="12" max="12" width="26.5546875" customWidth="1"/>
    <col min="13" max="13" width="9.21875" customWidth="1"/>
    <col min="14" max="14" width="11.77734375" customWidth="1"/>
    <col min="15" max="15" width="12.6640625" customWidth="1"/>
    <col min="16" max="16" width="12.77734375" customWidth="1"/>
    <col min="18" max="18" width="14.21875" customWidth="1"/>
    <col min="19" max="19" width="12.21875" customWidth="1"/>
    <col min="20" max="20" width="12.5546875" customWidth="1"/>
    <col min="21" max="21" width="16.77734375" customWidth="1"/>
    <col min="22" max="22" width="11.33203125" customWidth="1"/>
    <col min="23" max="23" width="14.88671875" customWidth="1"/>
    <col min="240" max="240" width="6" customWidth="1"/>
    <col min="241" max="241" width="1.44140625" customWidth="1"/>
    <col min="242" max="242" width="39.109375" customWidth="1"/>
    <col min="243" max="243" width="12" customWidth="1"/>
    <col min="244" max="244" width="14.44140625" customWidth="1"/>
    <col min="245" max="245" width="11.88671875" customWidth="1"/>
    <col min="246" max="246" width="14.109375" customWidth="1"/>
    <col min="247" max="247" width="13.88671875" customWidth="1"/>
    <col min="248" max="249" width="12.77734375" customWidth="1"/>
    <col min="250" max="250" width="13.5546875" customWidth="1"/>
    <col min="251" max="251" width="15.33203125" customWidth="1"/>
    <col min="252" max="252" width="12.77734375" customWidth="1"/>
    <col min="253" max="253" width="13.88671875" customWidth="1"/>
    <col min="254" max="254" width="1.88671875" customWidth="1"/>
    <col min="255" max="255" width="13" customWidth="1"/>
    <col min="496" max="496" width="6" customWidth="1"/>
    <col min="497" max="497" width="1.44140625" customWidth="1"/>
    <col min="498" max="498" width="39.109375" customWidth="1"/>
    <col min="499" max="499" width="12" customWidth="1"/>
    <col min="500" max="500" width="14.44140625" customWidth="1"/>
    <col min="501" max="501" width="11.88671875" customWidth="1"/>
    <col min="502" max="502" width="14.109375" customWidth="1"/>
    <col min="503" max="503" width="13.88671875" customWidth="1"/>
    <col min="504" max="505" width="12.77734375" customWidth="1"/>
    <col min="506" max="506" width="13.5546875" customWidth="1"/>
    <col min="507" max="507" width="15.33203125" customWidth="1"/>
    <col min="508" max="508" width="12.77734375" customWidth="1"/>
    <col min="509" max="509" width="13.88671875" customWidth="1"/>
    <col min="510" max="510" width="1.88671875" customWidth="1"/>
    <col min="511" max="511" width="13" customWidth="1"/>
    <col min="752" max="752" width="6" customWidth="1"/>
    <col min="753" max="753" width="1.44140625" customWidth="1"/>
    <col min="754" max="754" width="39.109375" customWidth="1"/>
    <col min="755" max="755" width="12" customWidth="1"/>
    <col min="756" max="756" width="14.44140625" customWidth="1"/>
    <col min="757" max="757" width="11.88671875" customWidth="1"/>
    <col min="758" max="758" width="14.109375" customWidth="1"/>
    <col min="759" max="759" width="13.88671875" customWidth="1"/>
    <col min="760" max="761" width="12.77734375" customWidth="1"/>
    <col min="762" max="762" width="13.5546875" customWidth="1"/>
    <col min="763" max="763" width="15.33203125" customWidth="1"/>
    <col min="764" max="764" width="12.77734375" customWidth="1"/>
    <col min="765" max="765" width="13.88671875" customWidth="1"/>
    <col min="766" max="766" width="1.88671875" customWidth="1"/>
    <col min="767" max="767" width="13" customWidth="1"/>
    <col min="1008" max="1008" width="6" customWidth="1"/>
    <col min="1009" max="1009" width="1.44140625" customWidth="1"/>
    <col min="1010" max="1010" width="39.109375" customWidth="1"/>
    <col min="1011" max="1011" width="12" customWidth="1"/>
    <col min="1012" max="1012" width="14.44140625" customWidth="1"/>
    <col min="1013" max="1013" width="11.88671875" customWidth="1"/>
    <col min="1014" max="1014" width="14.109375" customWidth="1"/>
    <col min="1015" max="1015" width="13.88671875" customWidth="1"/>
    <col min="1016" max="1017" width="12.77734375" customWidth="1"/>
    <col min="1018" max="1018" width="13.5546875" customWidth="1"/>
    <col min="1019" max="1019" width="15.33203125" customWidth="1"/>
    <col min="1020" max="1020" width="12.77734375" customWidth="1"/>
    <col min="1021" max="1021" width="13.88671875" customWidth="1"/>
    <col min="1022" max="1022" width="1.88671875" customWidth="1"/>
    <col min="1023" max="1023" width="13" customWidth="1"/>
    <col min="1264" max="1264" width="6" customWidth="1"/>
    <col min="1265" max="1265" width="1.44140625" customWidth="1"/>
    <col min="1266" max="1266" width="39.109375" customWidth="1"/>
    <col min="1267" max="1267" width="12" customWidth="1"/>
    <col min="1268" max="1268" width="14.44140625" customWidth="1"/>
    <col min="1269" max="1269" width="11.88671875" customWidth="1"/>
    <col min="1270" max="1270" width="14.109375" customWidth="1"/>
    <col min="1271" max="1271" width="13.88671875" customWidth="1"/>
    <col min="1272" max="1273" width="12.77734375" customWidth="1"/>
    <col min="1274" max="1274" width="13.5546875" customWidth="1"/>
    <col min="1275" max="1275" width="15.33203125" customWidth="1"/>
    <col min="1276" max="1276" width="12.77734375" customWidth="1"/>
    <col min="1277" max="1277" width="13.88671875" customWidth="1"/>
    <col min="1278" max="1278" width="1.88671875" customWidth="1"/>
    <col min="1279" max="1279" width="13" customWidth="1"/>
    <col min="1520" max="1520" width="6" customWidth="1"/>
    <col min="1521" max="1521" width="1.44140625" customWidth="1"/>
    <col min="1522" max="1522" width="39.109375" customWidth="1"/>
    <col min="1523" max="1523" width="12" customWidth="1"/>
    <col min="1524" max="1524" width="14.44140625" customWidth="1"/>
    <col min="1525" max="1525" width="11.88671875" customWidth="1"/>
    <col min="1526" max="1526" width="14.109375" customWidth="1"/>
    <col min="1527" max="1527" width="13.88671875" customWidth="1"/>
    <col min="1528" max="1529" width="12.77734375" customWidth="1"/>
    <col min="1530" max="1530" width="13.5546875" customWidth="1"/>
    <col min="1531" max="1531" width="15.33203125" customWidth="1"/>
    <col min="1532" max="1532" width="12.77734375" customWidth="1"/>
    <col min="1533" max="1533" width="13.88671875" customWidth="1"/>
    <col min="1534" max="1534" width="1.88671875" customWidth="1"/>
    <col min="1535" max="1535" width="13" customWidth="1"/>
    <col min="1776" max="1776" width="6" customWidth="1"/>
    <col min="1777" max="1777" width="1.44140625" customWidth="1"/>
    <col min="1778" max="1778" width="39.109375" customWidth="1"/>
    <col min="1779" max="1779" width="12" customWidth="1"/>
    <col min="1780" max="1780" width="14.44140625" customWidth="1"/>
    <col min="1781" max="1781" width="11.88671875" customWidth="1"/>
    <col min="1782" max="1782" width="14.109375" customWidth="1"/>
    <col min="1783" max="1783" width="13.88671875" customWidth="1"/>
    <col min="1784" max="1785" width="12.77734375" customWidth="1"/>
    <col min="1786" max="1786" width="13.5546875" customWidth="1"/>
    <col min="1787" max="1787" width="15.33203125" customWidth="1"/>
    <col min="1788" max="1788" width="12.77734375" customWidth="1"/>
    <col min="1789" max="1789" width="13.88671875" customWidth="1"/>
    <col min="1790" max="1790" width="1.88671875" customWidth="1"/>
    <col min="1791" max="1791" width="13" customWidth="1"/>
    <col min="2032" max="2032" width="6" customWidth="1"/>
    <col min="2033" max="2033" width="1.44140625" customWidth="1"/>
    <col min="2034" max="2034" width="39.109375" customWidth="1"/>
    <col min="2035" max="2035" width="12" customWidth="1"/>
    <col min="2036" max="2036" width="14.44140625" customWidth="1"/>
    <col min="2037" max="2037" width="11.88671875" customWidth="1"/>
    <col min="2038" max="2038" width="14.109375" customWidth="1"/>
    <col min="2039" max="2039" width="13.88671875" customWidth="1"/>
    <col min="2040" max="2041" width="12.77734375" customWidth="1"/>
    <col min="2042" max="2042" width="13.5546875" customWidth="1"/>
    <col min="2043" max="2043" width="15.33203125" customWidth="1"/>
    <col min="2044" max="2044" width="12.77734375" customWidth="1"/>
    <col min="2045" max="2045" width="13.88671875" customWidth="1"/>
    <col min="2046" max="2046" width="1.88671875" customWidth="1"/>
    <col min="2047" max="2047" width="13" customWidth="1"/>
    <col min="2288" max="2288" width="6" customWidth="1"/>
    <col min="2289" max="2289" width="1.44140625" customWidth="1"/>
    <col min="2290" max="2290" width="39.109375" customWidth="1"/>
    <col min="2291" max="2291" width="12" customWidth="1"/>
    <col min="2292" max="2292" width="14.44140625" customWidth="1"/>
    <col min="2293" max="2293" width="11.88671875" customWidth="1"/>
    <col min="2294" max="2294" width="14.109375" customWidth="1"/>
    <col min="2295" max="2295" width="13.88671875" customWidth="1"/>
    <col min="2296" max="2297" width="12.77734375" customWidth="1"/>
    <col min="2298" max="2298" width="13.5546875" customWidth="1"/>
    <col min="2299" max="2299" width="15.33203125" customWidth="1"/>
    <col min="2300" max="2300" width="12.77734375" customWidth="1"/>
    <col min="2301" max="2301" width="13.88671875" customWidth="1"/>
    <col min="2302" max="2302" width="1.88671875" customWidth="1"/>
    <col min="2303" max="2303" width="13" customWidth="1"/>
    <col min="2544" max="2544" width="6" customWidth="1"/>
    <col min="2545" max="2545" width="1.44140625" customWidth="1"/>
    <col min="2546" max="2546" width="39.109375" customWidth="1"/>
    <col min="2547" max="2547" width="12" customWidth="1"/>
    <col min="2548" max="2548" width="14.44140625" customWidth="1"/>
    <col min="2549" max="2549" width="11.88671875" customWidth="1"/>
    <col min="2550" max="2550" width="14.109375" customWidth="1"/>
    <col min="2551" max="2551" width="13.88671875" customWidth="1"/>
    <col min="2552" max="2553" width="12.77734375" customWidth="1"/>
    <col min="2554" max="2554" width="13.5546875" customWidth="1"/>
    <col min="2555" max="2555" width="15.33203125" customWidth="1"/>
    <col min="2556" max="2556" width="12.77734375" customWidth="1"/>
    <col min="2557" max="2557" width="13.88671875" customWidth="1"/>
    <col min="2558" max="2558" width="1.88671875" customWidth="1"/>
    <col min="2559" max="2559" width="13" customWidth="1"/>
    <col min="2800" max="2800" width="6" customWidth="1"/>
    <col min="2801" max="2801" width="1.44140625" customWidth="1"/>
    <col min="2802" max="2802" width="39.109375" customWidth="1"/>
    <col min="2803" max="2803" width="12" customWidth="1"/>
    <col min="2804" max="2804" width="14.44140625" customWidth="1"/>
    <col min="2805" max="2805" width="11.88671875" customWidth="1"/>
    <col min="2806" max="2806" width="14.109375" customWidth="1"/>
    <col min="2807" max="2807" width="13.88671875" customWidth="1"/>
    <col min="2808" max="2809" width="12.77734375" customWidth="1"/>
    <col min="2810" max="2810" width="13.5546875" customWidth="1"/>
    <col min="2811" max="2811" width="15.33203125" customWidth="1"/>
    <col min="2812" max="2812" width="12.77734375" customWidth="1"/>
    <col min="2813" max="2813" width="13.88671875" customWidth="1"/>
    <col min="2814" max="2814" width="1.88671875" customWidth="1"/>
    <col min="2815" max="2815" width="13" customWidth="1"/>
    <col min="3056" max="3056" width="6" customWidth="1"/>
    <col min="3057" max="3057" width="1.44140625" customWidth="1"/>
    <col min="3058" max="3058" width="39.109375" customWidth="1"/>
    <col min="3059" max="3059" width="12" customWidth="1"/>
    <col min="3060" max="3060" width="14.44140625" customWidth="1"/>
    <col min="3061" max="3061" width="11.88671875" customWidth="1"/>
    <col min="3062" max="3062" width="14.109375" customWidth="1"/>
    <col min="3063" max="3063" width="13.88671875" customWidth="1"/>
    <col min="3064" max="3065" width="12.77734375" customWidth="1"/>
    <col min="3066" max="3066" width="13.5546875" customWidth="1"/>
    <col min="3067" max="3067" width="15.33203125" customWidth="1"/>
    <col min="3068" max="3068" width="12.77734375" customWidth="1"/>
    <col min="3069" max="3069" width="13.88671875" customWidth="1"/>
    <col min="3070" max="3070" width="1.88671875" customWidth="1"/>
    <col min="3071" max="3071" width="13" customWidth="1"/>
    <col min="3312" max="3312" width="6" customWidth="1"/>
    <col min="3313" max="3313" width="1.44140625" customWidth="1"/>
    <col min="3314" max="3314" width="39.109375" customWidth="1"/>
    <col min="3315" max="3315" width="12" customWidth="1"/>
    <col min="3316" max="3316" width="14.44140625" customWidth="1"/>
    <col min="3317" max="3317" width="11.88671875" customWidth="1"/>
    <col min="3318" max="3318" width="14.109375" customWidth="1"/>
    <col min="3319" max="3319" width="13.88671875" customWidth="1"/>
    <col min="3320" max="3321" width="12.77734375" customWidth="1"/>
    <col min="3322" max="3322" width="13.5546875" customWidth="1"/>
    <col min="3323" max="3323" width="15.33203125" customWidth="1"/>
    <col min="3324" max="3324" width="12.77734375" customWidth="1"/>
    <col min="3325" max="3325" width="13.88671875" customWidth="1"/>
    <col min="3326" max="3326" width="1.88671875" customWidth="1"/>
    <col min="3327" max="3327" width="13" customWidth="1"/>
    <col min="3568" max="3568" width="6" customWidth="1"/>
    <col min="3569" max="3569" width="1.44140625" customWidth="1"/>
    <col min="3570" max="3570" width="39.109375" customWidth="1"/>
    <col min="3571" max="3571" width="12" customWidth="1"/>
    <col min="3572" max="3572" width="14.44140625" customWidth="1"/>
    <col min="3573" max="3573" width="11.88671875" customWidth="1"/>
    <col min="3574" max="3574" width="14.109375" customWidth="1"/>
    <col min="3575" max="3575" width="13.88671875" customWidth="1"/>
    <col min="3576" max="3577" width="12.77734375" customWidth="1"/>
    <col min="3578" max="3578" width="13.5546875" customWidth="1"/>
    <col min="3579" max="3579" width="15.33203125" customWidth="1"/>
    <col min="3580" max="3580" width="12.77734375" customWidth="1"/>
    <col min="3581" max="3581" width="13.88671875" customWidth="1"/>
    <col min="3582" max="3582" width="1.88671875" customWidth="1"/>
    <col min="3583" max="3583" width="13" customWidth="1"/>
    <col min="3824" max="3824" width="6" customWidth="1"/>
    <col min="3825" max="3825" width="1.44140625" customWidth="1"/>
    <col min="3826" max="3826" width="39.109375" customWidth="1"/>
    <col min="3827" max="3827" width="12" customWidth="1"/>
    <col min="3828" max="3828" width="14.44140625" customWidth="1"/>
    <col min="3829" max="3829" width="11.88671875" customWidth="1"/>
    <col min="3830" max="3830" width="14.109375" customWidth="1"/>
    <col min="3831" max="3831" width="13.88671875" customWidth="1"/>
    <col min="3832" max="3833" width="12.77734375" customWidth="1"/>
    <col min="3834" max="3834" width="13.5546875" customWidth="1"/>
    <col min="3835" max="3835" width="15.33203125" customWidth="1"/>
    <col min="3836" max="3836" width="12.77734375" customWidth="1"/>
    <col min="3837" max="3837" width="13.88671875" customWidth="1"/>
    <col min="3838" max="3838" width="1.88671875" customWidth="1"/>
    <col min="3839" max="3839" width="13" customWidth="1"/>
    <col min="4080" max="4080" width="6" customWidth="1"/>
    <col min="4081" max="4081" width="1.44140625" customWidth="1"/>
    <col min="4082" max="4082" width="39.109375" customWidth="1"/>
    <col min="4083" max="4083" width="12" customWidth="1"/>
    <col min="4084" max="4084" width="14.44140625" customWidth="1"/>
    <col min="4085" max="4085" width="11.88671875" customWidth="1"/>
    <col min="4086" max="4086" width="14.109375" customWidth="1"/>
    <col min="4087" max="4087" width="13.88671875" customWidth="1"/>
    <col min="4088" max="4089" width="12.77734375" customWidth="1"/>
    <col min="4090" max="4090" width="13.5546875" customWidth="1"/>
    <col min="4091" max="4091" width="15.33203125" customWidth="1"/>
    <col min="4092" max="4092" width="12.77734375" customWidth="1"/>
    <col min="4093" max="4093" width="13.88671875" customWidth="1"/>
    <col min="4094" max="4094" width="1.88671875" customWidth="1"/>
    <col min="4095" max="4095" width="13" customWidth="1"/>
    <col min="4336" max="4336" width="6" customWidth="1"/>
    <col min="4337" max="4337" width="1.44140625" customWidth="1"/>
    <col min="4338" max="4338" width="39.109375" customWidth="1"/>
    <col min="4339" max="4339" width="12" customWidth="1"/>
    <col min="4340" max="4340" width="14.44140625" customWidth="1"/>
    <col min="4341" max="4341" width="11.88671875" customWidth="1"/>
    <col min="4342" max="4342" width="14.109375" customWidth="1"/>
    <col min="4343" max="4343" width="13.88671875" customWidth="1"/>
    <col min="4344" max="4345" width="12.77734375" customWidth="1"/>
    <col min="4346" max="4346" width="13.5546875" customWidth="1"/>
    <col min="4347" max="4347" width="15.33203125" customWidth="1"/>
    <col min="4348" max="4348" width="12.77734375" customWidth="1"/>
    <col min="4349" max="4349" width="13.88671875" customWidth="1"/>
    <col min="4350" max="4350" width="1.88671875" customWidth="1"/>
    <col min="4351" max="4351" width="13" customWidth="1"/>
    <col min="4592" max="4592" width="6" customWidth="1"/>
    <col min="4593" max="4593" width="1.44140625" customWidth="1"/>
    <col min="4594" max="4594" width="39.109375" customWidth="1"/>
    <col min="4595" max="4595" width="12" customWidth="1"/>
    <col min="4596" max="4596" width="14.44140625" customWidth="1"/>
    <col min="4597" max="4597" width="11.88671875" customWidth="1"/>
    <col min="4598" max="4598" width="14.109375" customWidth="1"/>
    <col min="4599" max="4599" width="13.88671875" customWidth="1"/>
    <col min="4600" max="4601" width="12.77734375" customWidth="1"/>
    <col min="4602" max="4602" width="13.5546875" customWidth="1"/>
    <col min="4603" max="4603" width="15.33203125" customWidth="1"/>
    <col min="4604" max="4604" width="12.77734375" customWidth="1"/>
    <col min="4605" max="4605" width="13.88671875" customWidth="1"/>
    <col min="4606" max="4606" width="1.88671875" customWidth="1"/>
    <col min="4607" max="4607" width="13" customWidth="1"/>
    <col min="4848" max="4848" width="6" customWidth="1"/>
    <col min="4849" max="4849" width="1.44140625" customWidth="1"/>
    <col min="4850" max="4850" width="39.109375" customWidth="1"/>
    <col min="4851" max="4851" width="12" customWidth="1"/>
    <col min="4852" max="4852" width="14.44140625" customWidth="1"/>
    <col min="4853" max="4853" width="11.88671875" customWidth="1"/>
    <col min="4854" max="4854" width="14.109375" customWidth="1"/>
    <col min="4855" max="4855" width="13.88671875" customWidth="1"/>
    <col min="4856" max="4857" width="12.77734375" customWidth="1"/>
    <col min="4858" max="4858" width="13.5546875" customWidth="1"/>
    <col min="4859" max="4859" width="15.33203125" customWidth="1"/>
    <col min="4860" max="4860" width="12.77734375" customWidth="1"/>
    <col min="4861" max="4861" width="13.88671875" customWidth="1"/>
    <col min="4862" max="4862" width="1.88671875" customWidth="1"/>
    <col min="4863" max="4863" width="13" customWidth="1"/>
    <col min="5104" max="5104" width="6" customWidth="1"/>
    <col min="5105" max="5105" width="1.44140625" customWidth="1"/>
    <col min="5106" max="5106" width="39.109375" customWidth="1"/>
    <col min="5107" max="5107" width="12" customWidth="1"/>
    <col min="5108" max="5108" width="14.44140625" customWidth="1"/>
    <col min="5109" max="5109" width="11.88671875" customWidth="1"/>
    <col min="5110" max="5110" width="14.109375" customWidth="1"/>
    <col min="5111" max="5111" width="13.88671875" customWidth="1"/>
    <col min="5112" max="5113" width="12.77734375" customWidth="1"/>
    <col min="5114" max="5114" width="13.5546875" customWidth="1"/>
    <col min="5115" max="5115" width="15.33203125" customWidth="1"/>
    <col min="5116" max="5116" width="12.77734375" customWidth="1"/>
    <col min="5117" max="5117" width="13.88671875" customWidth="1"/>
    <col min="5118" max="5118" width="1.88671875" customWidth="1"/>
    <col min="5119" max="5119" width="13" customWidth="1"/>
    <col min="5360" max="5360" width="6" customWidth="1"/>
    <col min="5361" max="5361" width="1.44140625" customWidth="1"/>
    <col min="5362" max="5362" width="39.109375" customWidth="1"/>
    <col min="5363" max="5363" width="12" customWidth="1"/>
    <col min="5364" max="5364" width="14.44140625" customWidth="1"/>
    <col min="5365" max="5365" width="11.88671875" customWidth="1"/>
    <col min="5366" max="5366" width="14.109375" customWidth="1"/>
    <col min="5367" max="5367" width="13.88671875" customWidth="1"/>
    <col min="5368" max="5369" width="12.77734375" customWidth="1"/>
    <col min="5370" max="5370" width="13.5546875" customWidth="1"/>
    <col min="5371" max="5371" width="15.33203125" customWidth="1"/>
    <col min="5372" max="5372" width="12.77734375" customWidth="1"/>
    <col min="5373" max="5373" width="13.88671875" customWidth="1"/>
    <col min="5374" max="5374" width="1.88671875" customWidth="1"/>
    <col min="5375" max="5375" width="13" customWidth="1"/>
    <col min="5616" max="5616" width="6" customWidth="1"/>
    <col min="5617" max="5617" width="1.44140625" customWidth="1"/>
    <col min="5618" max="5618" width="39.109375" customWidth="1"/>
    <col min="5619" max="5619" width="12" customWidth="1"/>
    <col min="5620" max="5620" width="14.44140625" customWidth="1"/>
    <col min="5621" max="5621" width="11.88671875" customWidth="1"/>
    <col min="5622" max="5622" width="14.109375" customWidth="1"/>
    <col min="5623" max="5623" width="13.88671875" customWidth="1"/>
    <col min="5624" max="5625" width="12.77734375" customWidth="1"/>
    <col min="5626" max="5626" width="13.5546875" customWidth="1"/>
    <col min="5627" max="5627" width="15.33203125" customWidth="1"/>
    <col min="5628" max="5628" width="12.77734375" customWidth="1"/>
    <col min="5629" max="5629" width="13.88671875" customWidth="1"/>
    <col min="5630" max="5630" width="1.88671875" customWidth="1"/>
    <col min="5631" max="5631" width="13" customWidth="1"/>
    <col min="5872" max="5872" width="6" customWidth="1"/>
    <col min="5873" max="5873" width="1.44140625" customWidth="1"/>
    <col min="5874" max="5874" width="39.109375" customWidth="1"/>
    <col min="5875" max="5875" width="12" customWidth="1"/>
    <col min="5876" max="5876" width="14.44140625" customWidth="1"/>
    <col min="5877" max="5877" width="11.88671875" customWidth="1"/>
    <col min="5878" max="5878" width="14.109375" customWidth="1"/>
    <col min="5879" max="5879" width="13.88671875" customWidth="1"/>
    <col min="5880" max="5881" width="12.77734375" customWidth="1"/>
    <col min="5882" max="5882" width="13.5546875" customWidth="1"/>
    <col min="5883" max="5883" width="15.33203125" customWidth="1"/>
    <col min="5884" max="5884" width="12.77734375" customWidth="1"/>
    <col min="5885" max="5885" width="13.88671875" customWidth="1"/>
    <col min="5886" max="5886" width="1.88671875" customWidth="1"/>
    <col min="5887" max="5887" width="13" customWidth="1"/>
    <col min="6128" max="6128" width="6" customWidth="1"/>
    <col min="6129" max="6129" width="1.44140625" customWidth="1"/>
    <col min="6130" max="6130" width="39.109375" customWidth="1"/>
    <col min="6131" max="6131" width="12" customWidth="1"/>
    <col min="6132" max="6132" width="14.44140625" customWidth="1"/>
    <col min="6133" max="6133" width="11.88671875" customWidth="1"/>
    <col min="6134" max="6134" width="14.109375" customWidth="1"/>
    <col min="6135" max="6135" width="13.88671875" customWidth="1"/>
    <col min="6136" max="6137" width="12.77734375" customWidth="1"/>
    <col min="6138" max="6138" width="13.5546875" customWidth="1"/>
    <col min="6139" max="6139" width="15.33203125" customWidth="1"/>
    <col min="6140" max="6140" width="12.77734375" customWidth="1"/>
    <col min="6141" max="6141" width="13.88671875" customWidth="1"/>
    <col min="6142" max="6142" width="1.88671875" customWidth="1"/>
    <col min="6143" max="6143" width="13" customWidth="1"/>
    <col min="6384" max="6384" width="6" customWidth="1"/>
    <col min="6385" max="6385" width="1.44140625" customWidth="1"/>
    <col min="6386" max="6386" width="39.109375" customWidth="1"/>
    <col min="6387" max="6387" width="12" customWidth="1"/>
    <col min="6388" max="6388" width="14.44140625" customWidth="1"/>
    <col min="6389" max="6389" width="11.88671875" customWidth="1"/>
    <col min="6390" max="6390" width="14.109375" customWidth="1"/>
    <col min="6391" max="6391" width="13.88671875" customWidth="1"/>
    <col min="6392" max="6393" width="12.77734375" customWidth="1"/>
    <col min="6394" max="6394" width="13.5546875" customWidth="1"/>
    <col min="6395" max="6395" width="15.33203125" customWidth="1"/>
    <col min="6396" max="6396" width="12.77734375" customWidth="1"/>
    <col min="6397" max="6397" width="13.88671875" customWidth="1"/>
    <col min="6398" max="6398" width="1.88671875" customWidth="1"/>
    <col min="6399" max="6399" width="13" customWidth="1"/>
    <col min="6640" max="6640" width="6" customWidth="1"/>
    <col min="6641" max="6641" width="1.44140625" customWidth="1"/>
    <col min="6642" max="6642" width="39.109375" customWidth="1"/>
    <col min="6643" max="6643" width="12" customWidth="1"/>
    <col min="6644" max="6644" width="14.44140625" customWidth="1"/>
    <col min="6645" max="6645" width="11.88671875" customWidth="1"/>
    <col min="6646" max="6646" width="14.109375" customWidth="1"/>
    <col min="6647" max="6647" width="13.88671875" customWidth="1"/>
    <col min="6648" max="6649" width="12.77734375" customWidth="1"/>
    <col min="6650" max="6650" width="13.5546875" customWidth="1"/>
    <col min="6651" max="6651" width="15.33203125" customWidth="1"/>
    <col min="6652" max="6652" width="12.77734375" customWidth="1"/>
    <col min="6653" max="6653" width="13.88671875" customWidth="1"/>
    <col min="6654" max="6654" width="1.88671875" customWidth="1"/>
    <col min="6655" max="6655" width="13" customWidth="1"/>
    <col min="6896" max="6896" width="6" customWidth="1"/>
    <col min="6897" max="6897" width="1.44140625" customWidth="1"/>
    <col min="6898" max="6898" width="39.109375" customWidth="1"/>
    <col min="6899" max="6899" width="12" customWidth="1"/>
    <col min="6900" max="6900" width="14.44140625" customWidth="1"/>
    <col min="6901" max="6901" width="11.88671875" customWidth="1"/>
    <col min="6902" max="6902" width="14.109375" customWidth="1"/>
    <col min="6903" max="6903" width="13.88671875" customWidth="1"/>
    <col min="6904" max="6905" width="12.77734375" customWidth="1"/>
    <col min="6906" max="6906" width="13.5546875" customWidth="1"/>
    <col min="6907" max="6907" width="15.33203125" customWidth="1"/>
    <col min="6908" max="6908" width="12.77734375" customWidth="1"/>
    <col min="6909" max="6909" width="13.88671875" customWidth="1"/>
    <col min="6910" max="6910" width="1.88671875" customWidth="1"/>
    <col min="6911" max="6911" width="13" customWidth="1"/>
    <col min="7152" max="7152" width="6" customWidth="1"/>
    <col min="7153" max="7153" width="1.44140625" customWidth="1"/>
    <col min="7154" max="7154" width="39.109375" customWidth="1"/>
    <col min="7155" max="7155" width="12" customWidth="1"/>
    <col min="7156" max="7156" width="14.44140625" customWidth="1"/>
    <col min="7157" max="7157" width="11.88671875" customWidth="1"/>
    <col min="7158" max="7158" width="14.109375" customWidth="1"/>
    <col min="7159" max="7159" width="13.88671875" customWidth="1"/>
    <col min="7160" max="7161" width="12.77734375" customWidth="1"/>
    <col min="7162" max="7162" width="13.5546875" customWidth="1"/>
    <col min="7163" max="7163" width="15.33203125" customWidth="1"/>
    <col min="7164" max="7164" width="12.77734375" customWidth="1"/>
    <col min="7165" max="7165" width="13.88671875" customWidth="1"/>
    <col min="7166" max="7166" width="1.88671875" customWidth="1"/>
    <col min="7167" max="7167" width="13" customWidth="1"/>
    <col min="7408" max="7408" width="6" customWidth="1"/>
    <col min="7409" max="7409" width="1.44140625" customWidth="1"/>
    <col min="7410" max="7410" width="39.109375" customWidth="1"/>
    <col min="7411" max="7411" width="12" customWidth="1"/>
    <col min="7412" max="7412" width="14.44140625" customWidth="1"/>
    <col min="7413" max="7413" width="11.88671875" customWidth="1"/>
    <col min="7414" max="7414" width="14.109375" customWidth="1"/>
    <col min="7415" max="7415" width="13.88671875" customWidth="1"/>
    <col min="7416" max="7417" width="12.77734375" customWidth="1"/>
    <col min="7418" max="7418" width="13.5546875" customWidth="1"/>
    <col min="7419" max="7419" width="15.33203125" customWidth="1"/>
    <col min="7420" max="7420" width="12.77734375" customWidth="1"/>
    <col min="7421" max="7421" width="13.88671875" customWidth="1"/>
    <col min="7422" max="7422" width="1.88671875" customWidth="1"/>
    <col min="7423" max="7423" width="13" customWidth="1"/>
    <col min="7664" max="7664" width="6" customWidth="1"/>
    <col min="7665" max="7665" width="1.44140625" customWidth="1"/>
    <col min="7666" max="7666" width="39.109375" customWidth="1"/>
    <col min="7667" max="7667" width="12" customWidth="1"/>
    <col min="7668" max="7668" width="14.44140625" customWidth="1"/>
    <col min="7669" max="7669" width="11.88671875" customWidth="1"/>
    <col min="7670" max="7670" width="14.109375" customWidth="1"/>
    <col min="7671" max="7671" width="13.88671875" customWidth="1"/>
    <col min="7672" max="7673" width="12.77734375" customWidth="1"/>
    <col min="7674" max="7674" width="13.5546875" customWidth="1"/>
    <col min="7675" max="7675" width="15.33203125" customWidth="1"/>
    <col min="7676" max="7676" width="12.77734375" customWidth="1"/>
    <col min="7677" max="7677" width="13.88671875" customWidth="1"/>
    <col min="7678" max="7678" width="1.88671875" customWidth="1"/>
    <col min="7679" max="7679" width="13" customWidth="1"/>
    <col min="7920" max="7920" width="6" customWidth="1"/>
    <col min="7921" max="7921" width="1.44140625" customWidth="1"/>
    <col min="7922" max="7922" width="39.109375" customWidth="1"/>
    <col min="7923" max="7923" width="12" customWidth="1"/>
    <col min="7924" max="7924" width="14.44140625" customWidth="1"/>
    <col min="7925" max="7925" width="11.88671875" customWidth="1"/>
    <col min="7926" max="7926" width="14.109375" customWidth="1"/>
    <col min="7927" max="7927" width="13.88671875" customWidth="1"/>
    <col min="7928" max="7929" width="12.77734375" customWidth="1"/>
    <col min="7930" max="7930" width="13.5546875" customWidth="1"/>
    <col min="7931" max="7931" width="15.33203125" customWidth="1"/>
    <col min="7932" max="7932" width="12.77734375" customWidth="1"/>
    <col min="7933" max="7933" width="13.88671875" customWidth="1"/>
    <col min="7934" max="7934" width="1.88671875" customWidth="1"/>
    <col min="7935" max="7935" width="13" customWidth="1"/>
    <col min="8176" max="8176" width="6" customWidth="1"/>
    <col min="8177" max="8177" width="1.44140625" customWidth="1"/>
    <col min="8178" max="8178" width="39.109375" customWidth="1"/>
    <col min="8179" max="8179" width="12" customWidth="1"/>
    <col min="8180" max="8180" width="14.44140625" customWidth="1"/>
    <col min="8181" max="8181" width="11.88671875" customWidth="1"/>
    <col min="8182" max="8182" width="14.109375" customWidth="1"/>
    <col min="8183" max="8183" width="13.88671875" customWidth="1"/>
    <col min="8184" max="8185" width="12.77734375" customWidth="1"/>
    <col min="8186" max="8186" width="13.5546875" customWidth="1"/>
    <col min="8187" max="8187" width="15.33203125" customWidth="1"/>
    <col min="8188" max="8188" width="12.77734375" customWidth="1"/>
    <col min="8189" max="8189" width="13.88671875" customWidth="1"/>
    <col min="8190" max="8190" width="1.88671875" customWidth="1"/>
    <col min="8191" max="8191" width="13" customWidth="1"/>
    <col min="8432" max="8432" width="6" customWidth="1"/>
    <col min="8433" max="8433" width="1.44140625" customWidth="1"/>
    <col min="8434" max="8434" width="39.109375" customWidth="1"/>
    <col min="8435" max="8435" width="12" customWidth="1"/>
    <col min="8436" max="8436" width="14.44140625" customWidth="1"/>
    <col min="8437" max="8437" width="11.88671875" customWidth="1"/>
    <col min="8438" max="8438" width="14.109375" customWidth="1"/>
    <col min="8439" max="8439" width="13.88671875" customWidth="1"/>
    <col min="8440" max="8441" width="12.77734375" customWidth="1"/>
    <col min="8442" max="8442" width="13.5546875" customWidth="1"/>
    <col min="8443" max="8443" width="15.33203125" customWidth="1"/>
    <col min="8444" max="8444" width="12.77734375" customWidth="1"/>
    <col min="8445" max="8445" width="13.88671875" customWidth="1"/>
    <col min="8446" max="8446" width="1.88671875" customWidth="1"/>
    <col min="8447" max="8447" width="13" customWidth="1"/>
    <col min="8688" max="8688" width="6" customWidth="1"/>
    <col min="8689" max="8689" width="1.44140625" customWidth="1"/>
    <col min="8690" max="8690" width="39.109375" customWidth="1"/>
    <col min="8691" max="8691" width="12" customWidth="1"/>
    <col min="8692" max="8692" width="14.44140625" customWidth="1"/>
    <col min="8693" max="8693" width="11.88671875" customWidth="1"/>
    <col min="8694" max="8694" width="14.109375" customWidth="1"/>
    <col min="8695" max="8695" width="13.88671875" customWidth="1"/>
    <col min="8696" max="8697" width="12.77734375" customWidth="1"/>
    <col min="8698" max="8698" width="13.5546875" customWidth="1"/>
    <col min="8699" max="8699" width="15.33203125" customWidth="1"/>
    <col min="8700" max="8700" width="12.77734375" customWidth="1"/>
    <col min="8701" max="8701" width="13.88671875" customWidth="1"/>
    <col min="8702" max="8702" width="1.88671875" customWidth="1"/>
    <col min="8703" max="8703" width="13" customWidth="1"/>
    <col min="8944" max="8944" width="6" customWidth="1"/>
    <col min="8945" max="8945" width="1.44140625" customWidth="1"/>
    <col min="8946" max="8946" width="39.109375" customWidth="1"/>
    <col min="8947" max="8947" width="12" customWidth="1"/>
    <col min="8948" max="8948" width="14.44140625" customWidth="1"/>
    <col min="8949" max="8949" width="11.88671875" customWidth="1"/>
    <col min="8950" max="8950" width="14.109375" customWidth="1"/>
    <col min="8951" max="8951" width="13.88671875" customWidth="1"/>
    <col min="8952" max="8953" width="12.77734375" customWidth="1"/>
    <col min="8954" max="8954" width="13.5546875" customWidth="1"/>
    <col min="8955" max="8955" width="15.33203125" customWidth="1"/>
    <col min="8956" max="8956" width="12.77734375" customWidth="1"/>
    <col min="8957" max="8957" width="13.88671875" customWidth="1"/>
    <col min="8958" max="8958" width="1.88671875" customWidth="1"/>
    <col min="8959" max="8959" width="13" customWidth="1"/>
    <col min="9200" max="9200" width="6" customWidth="1"/>
    <col min="9201" max="9201" width="1.44140625" customWidth="1"/>
    <col min="9202" max="9202" width="39.109375" customWidth="1"/>
    <col min="9203" max="9203" width="12" customWidth="1"/>
    <col min="9204" max="9204" width="14.44140625" customWidth="1"/>
    <col min="9205" max="9205" width="11.88671875" customWidth="1"/>
    <col min="9206" max="9206" width="14.109375" customWidth="1"/>
    <col min="9207" max="9207" width="13.88671875" customWidth="1"/>
    <col min="9208" max="9209" width="12.77734375" customWidth="1"/>
    <col min="9210" max="9210" width="13.5546875" customWidth="1"/>
    <col min="9211" max="9211" width="15.33203125" customWidth="1"/>
    <col min="9212" max="9212" width="12.77734375" customWidth="1"/>
    <col min="9213" max="9213" width="13.88671875" customWidth="1"/>
    <col min="9214" max="9214" width="1.88671875" customWidth="1"/>
    <col min="9215" max="9215" width="13" customWidth="1"/>
    <col min="9456" max="9456" width="6" customWidth="1"/>
    <col min="9457" max="9457" width="1.44140625" customWidth="1"/>
    <col min="9458" max="9458" width="39.109375" customWidth="1"/>
    <col min="9459" max="9459" width="12" customWidth="1"/>
    <col min="9460" max="9460" width="14.44140625" customWidth="1"/>
    <col min="9461" max="9461" width="11.88671875" customWidth="1"/>
    <col min="9462" max="9462" width="14.109375" customWidth="1"/>
    <col min="9463" max="9463" width="13.88671875" customWidth="1"/>
    <col min="9464" max="9465" width="12.77734375" customWidth="1"/>
    <col min="9466" max="9466" width="13.5546875" customWidth="1"/>
    <col min="9467" max="9467" width="15.33203125" customWidth="1"/>
    <col min="9468" max="9468" width="12.77734375" customWidth="1"/>
    <col min="9469" max="9469" width="13.88671875" customWidth="1"/>
    <col min="9470" max="9470" width="1.88671875" customWidth="1"/>
    <col min="9471" max="9471" width="13" customWidth="1"/>
    <col min="9712" max="9712" width="6" customWidth="1"/>
    <col min="9713" max="9713" width="1.44140625" customWidth="1"/>
    <col min="9714" max="9714" width="39.109375" customWidth="1"/>
    <col min="9715" max="9715" width="12" customWidth="1"/>
    <col min="9716" max="9716" width="14.44140625" customWidth="1"/>
    <col min="9717" max="9717" width="11.88671875" customWidth="1"/>
    <col min="9718" max="9718" width="14.109375" customWidth="1"/>
    <col min="9719" max="9719" width="13.88671875" customWidth="1"/>
    <col min="9720" max="9721" width="12.77734375" customWidth="1"/>
    <col min="9722" max="9722" width="13.5546875" customWidth="1"/>
    <col min="9723" max="9723" width="15.33203125" customWidth="1"/>
    <col min="9724" max="9724" width="12.77734375" customWidth="1"/>
    <col min="9725" max="9725" width="13.88671875" customWidth="1"/>
    <col min="9726" max="9726" width="1.88671875" customWidth="1"/>
    <col min="9727" max="9727" width="13" customWidth="1"/>
    <col min="9968" max="9968" width="6" customWidth="1"/>
    <col min="9969" max="9969" width="1.44140625" customWidth="1"/>
    <col min="9970" max="9970" width="39.109375" customWidth="1"/>
    <col min="9971" max="9971" width="12" customWidth="1"/>
    <col min="9972" max="9972" width="14.44140625" customWidth="1"/>
    <col min="9973" max="9973" width="11.88671875" customWidth="1"/>
    <col min="9974" max="9974" width="14.109375" customWidth="1"/>
    <col min="9975" max="9975" width="13.88671875" customWidth="1"/>
    <col min="9976" max="9977" width="12.77734375" customWidth="1"/>
    <col min="9978" max="9978" width="13.5546875" customWidth="1"/>
    <col min="9979" max="9979" width="15.33203125" customWidth="1"/>
    <col min="9980" max="9980" width="12.77734375" customWidth="1"/>
    <col min="9981" max="9981" width="13.88671875" customWidth="1"/>
    <col min="9982" max="9982" width="1.88671875" customWidth="1"/>
    <col min="9983" max="9983" width="13" customWidth="1"/>
    <col min="10224" max="10224" width="6" customWidth="1"/>
    <col min="10225" max="10225" width="1.44140625" customWidth="1"/>
    <col min="10226" max="10226" width="39.109375" customWidth="1"/>
    <col min="10227" max="10227" width="12" customWidth="1"/>
    <col min="10228" max="10228" width="14.44140625" customWidth="1"/>
    <col min="10229" max="10229" width="11.88671875" customWidth="1"/>
    <col min="10230" max="10230" width="14.109375" customWidth="1"/>
    <col min="10231" max="10231" width="13.88671875" customWidth="1"/>
    <col min="10232" max="10233" width="12.77734375" customWidth="1"/>
    <col min="10234" max="10234" width="13.5546875" customWidth="1"/>
    <col min="10235" max="10235" width="15.33203125" customWidth="1"/>
    <col min="10236" max="10236" width="12.77734375" customWidth="1"/>
    <col min="10237" max="10237" width="13.88671875" customWidth="1"/>
    <col min="10238" max="10238" width="1.88671875" customWidth="1"/>
    <col min="10239" max="10239" width="13" customWidth="1"/>
    <col min="10480" max="10480" width="6" customWidth="1"/>
    <col min="10481" max="10481" width="1.44140625" customWidth="1"/>
    <col min="10482" max="10482" width="39.109375" customWidth="1"/>
    <col min="10483" max="10483" width="12" customWidth="1"/>
    <col min="10484" max="10484" width="14.44140625" customWidth="1"/>
    <col min="10485" max="10485" width="11.88671875" customWidth="1"/>
    <col min="10486" max="10486" width="14.109375" customWidth="1"/>
    <col min="10487" max="10487" width="13.88671875" customWidth="1"/>
    <col min="10488" max="10489" width="12.77734375" customWidth="1"/>
    <col min="10490" max="10490" width="13.5546875" customWidth="1"/>
    <col min="10491" max="10491" width="15.33203125" customWidth="1"/>
    <col min="10492" max="10492" width="12.77734375" customWidth="1"/>
    <col min="10493" max="10493" width="13.88671875" customWidth="1"/>
    <col min="10494" max="10494" width="1.88671875" customWidth="1"/>
    <col min="10495" max="10495" width="13" customWidth="1"/>
    <col min="10736" max="10736" width="6" customWidth="1"/>
    <col min="10737" max="10737" width="1.44140625" customWidth="1"/>
    <col min="10738" max="10738" width="39.109375" customWidth="1"/>
    <col min="10739" max="10739" width="12" customWidth="1"/>
    <col min="10740" max="10740" width="14.44140625" customWidth="1"/>
    <col min="10741" max="10741" width="11.88671875" customWidth="1"/>
    <col min="10742" max="10742" width="14.109375" customWidth="1"/>
    <col min="10743" max="10743" width="13.88671875" customWidth="1"/>
    <col min="10744" max="10745" width="12.77734375" customWidth="1"/>
    <col min="10746" max="10746" width="13.5546875" customWidth="1"/>
    <col min="10747" max="10747" width="15.33203125" customWidth="1"/>
    <col min="10748" max="10748" width="12.77734375" customWidth="1"/>
    <col min="10749" max="10749" width="13.88671875" customWidth="1"/>
    <col min="10750" max="10750" width="1.88671875" customWidth="1"/>
    <col min="10751" max="10751" width="13" customWidth="1"/>
    <col min="10992" max="10992" width="6" customWidth="1"/>
    <col min="10993" max="10993" width="1.44140625" customWidth="1"/>
    <col min="10994" max="10994" width="39.109375" customWidth="1"/>
    <col min="10995" max="10995" width="12" customWidth="1"/>
    <col min="10996" max="10996" width="14.44140625" customWidth="1"/>
    <col min="10997" max="10997" width="11.88671875" customWidth="1"/>
    <col min="10998" max="10998" width="14.109375" customWidth="1"/>
    <col min="10999" max="10999" width="13.88671875" customWidth="1"/>
    <col min="11000" max="11001" width="12.77734375" customWidth="1"/>
    <col min="11002" max="11002" width="13.5546875" customWidth="1"/>
    <col min="11003" max="11003" width="15.33203125" customWidth="1"/>
    <col min="11004" max="11004" width="12.77734375" customWidth="1"/>
    <col min="11005" max="11005" width="13.88671875" customWidth="1"/>
    <col min="11006" max="11006" width="1.88671875" customWidth="1"/>
    <col min="11007" max="11007" width="13" customWidth="1"/>
    <col min="11248" max="11248" width="6" customWidth="1"/>
    <col min="11249" max="11249" width="1.44140625" customWidth="1"/>
    <col min="11250" max="11250" width="39.109375" customWidth="1"/>
    <col min="11251" max="11251" width="12" customWidth="1"/>
    <col min="11252" max="11252" width="14.44140625" customWidth="1"/>
    <col min="11253" max="11253" width="11.88671875" customWidth="1"/>
    <col min="11254" max="11254" width="14.109375" customWidth="1"/>
    <col min="11255" max="11255" width="13.88671875" customWidth="1"/>
    <col min="11256" max="11257" width="12.77734375" customWidth="1"/>
    <col min="11258" max="11258" width="13.5546875" customWidth="1"/>
    <col min="11259" max="11259" width="15.33203125" customWidth="1"/>
    <col min="11260" max="11260" width="12.77734375" customWidth="1"/>
    <col min="11261" max="11261" width="13.88671875" customWidth="1"/>
    <col min="11262" max="11262" width="1.88671875" customWidth="1"/>
    <col min="11263" max="11263" width="13" customWidth="1"/>
    <col min="11504" max="11504" width="6" customWidth="1"/>
    <col min="11505" max="11505" width="1.44140625" customWidth="1"/>
    <col min="11506" max="11506" width="39.109375" customWidth="1"/>
    <col min="11507" max="11507" width="12" customWidth="1"/>
    <col min="11508" max="11508" width="14.44140625" customWidth="1"/>
    <col min="11509" max="11509" width="11.88671875" customWidth="1"/>
    <col min="11510" max="11510" width="14.109375" customWidth="1"/>
    <col min="11511" max="11511" width="13.88671875" customWidth="1"/>
    <col min="11512" max="11513" width="12.77734375" customWidth="1"/>
    <col min="11514" max="11514" width="13.5546875" customWidth="1"/>
    <col min="11515" max="11515" width="15.33203125" customWidth="1"/>
    <col min="11516" max="11516" width="12.77734375" customWidth="1"/>
    <col min="11517" max="11517" width="13.88671875" customWidth="1"/>
    <col min="11518" max="11518" width="1.88671875" customWidth="1"/>
    <col min="11519" max="11519" width="13" customWidth="1"/>
    <col min="11760" max="11760" width="6" customWidth="1"/>
    <col min="11761" max="11761" width="1.44140625" customWidth="1"/>
    <col min="11762" max="11762" width="39.109375" customWidth="1"/>
    <col min="11763" max="11763" width="12" customWidth="1"/>
    <col min="11764" max="11764" width="14.44140625" customWidth="1"/>
    <col min="11765" max="11765" width="11.88671875" customWidth="1"/>
    <col min="11766" max="11766" width="14.109375" customWidth="1"/>
    <col min="11767" max="11767" width="13.88671875" customWidth="1"/>
    <col min="11768" max="11769" width="12.77734375" customWidth="1"/>
    <col min="11770" max="11770" width="13.5546875" customWidth="1"/>
    <col min="11771" max="11771" width="15.33203125" customWidth="1"/>
    <col min="11772" max="11772" width="12.77734375" customWidth="1"/>
    <col min="11773" max="11773" width="13.88671875" customWidth="1"/>
    <col min="11774" max="11774" width="1.88671875" customWidth="1"/>
    <col min="11775" max="11775" width="13" customWidth="1"/>
    <col min="12016" max="12016" width="6" customWidth="1"/>
    <col min="12017" max="12017" width="1.44140625" customWidth="1"/>
    <col min="12018" max="12018" width="39.109375" customWidth="1"/>
    <col min="12019" max="12019" width="12" customWidth="1"/>
    <col min="12020" max="12020" width="14.44140625" customWidth="1"/>
    <col min="12021" max="12021" width="11.88671875" customWidth="1"/>
    <col min="12022" max="12022" width="14.109375" customWidth="1"/>
    <col min="12023" max="12023" width="13.88671875" customWidth="1"/>
    <col min="12024" max="12025" width="12.77734375" customWidth="1"/>
    <col min="12026" max="12026" width="13.5546875" customWidth="1"/>
    <col min="12027" max="12027" width="15.33203125" customWidth="1"/>
    <col min="12028" max="12028" width="12.77734375" customWidth="1"/>
    <col min="12029" max="12029" width="13.88671875" customWidth="1"/>
    <col min="12030" max="12030" width="1.88671875" customWidth="1"/>
    <col min="12031" max="12031" width="13" customWidth="1"/>
    <col min="12272" max="12272" width="6" customWidth="1"/>
    <col min="12273" max="12273" width="1.44140625" customWidth="1"/>
    <col min="12274" max="12274" width="39.109375" customWidth="1"/>
    <col min="12275" max="12275" width="12" customWidth="1"/>
    <col min="12276" max="12276" width="14.44140625" customWidth="1"/>
    <col min="12277" max="12277" width="11.88671875" customWidth="1"/>
    <col min="12278" max="12278" width="14.109375" customWidth="1"/>
    <col min="12279" max="12279" width="13.88671875" customWidth="1"/>
    <col min="12280" max="12281" width="12.77734375" customWidth="1"/>
    <col min="12282" max="12282" width="13.5546875" customWidth="1"/>
    <col min="12283" max="12283" width="15.33203125" customWidth="1"/>
    <col min="12284" max="12284" width="12.77734375" customWidth="1"/>
    <col min="12285" max="12285" width="13.88671875" customWidth="1"/>
    <col min="12286" max="12286" width="1.88671875" customWidth="1"/>
    <col min="12287" max="12287" width="13" customWidth="1"/>
    <col min="12528" max="12528" width="6" customWidth="1"/>
    <col min="12529" max="12529" width="1.44140625" customWidth="1"/>
    <col min="12530" max="12530" width="39.109375" customWidth="1"/>
    <col min="12531" max="12531" width="12" customWidth="1"/>
    <col min="12532" max="12532" width="14.44140625" customWidth="1"/>
    <col min="12533" max="12533" width="11.88671875" customWidth="1"/>
    <col min="12534" max="12534" width="14.109375" customWidth="1"/>
    <col min="12535" max="12535" width="13.88671875" customWidth="1"/>
    <col min="12536" max="12537" width="12.77734375" customWidth="1"/>
    <col min="12538" max="12538" width="13.5546875" customWidth="1"/>
    <col min="12539" max="12539" width="15.33203125" customWidth="1"/>
    <col min="12540" max="12540" width="12.77734375" customWidth="1"/>
    <col min="12541" max="12541" width="13.88671875" customWidth="1"/>
    <col min="12542" max="12542" width="1.88671875" customWidth="1"/>
    <col min="12543" max="12543" width="13" customWidth="1"/>
    <col min="12784" max="12784" width="6" customWidth="1"/>
    <col min="12785" max="12785" width="1.44140625" customWidth="1"/>
    <col min="12786" max="12786" width="39.109375" customWidth="1"/>
    <col min="12787" max="12787" width="12" customWidth="1"/>
    <col min="12788" max="12788" width="14.44140625" customWidth="1"/>
    <col min="12789" max="12789" width="11.88671875" customWidth="1"/>
    <col min="12790" max="12790" width="14.109375" customWidth="1"/>
    <col min="12791" max="12791" width="13.88671875" customWidth="1"/>
    <col min="12792" max="12793" width="12.77734375" customWidth="1"/>
    <col min="12794" max="12794" width="13.5546875" customWidth="1"/>
    <col min="12795" max="12795" width="15.33203125" customWidth="1"/>
    <col min="12796" max="12796" width="12.77734375" customWidth="1"/>
    <col min="12797" max="12797" width="13.88671875" customWidth="1"/>
    <col min="12798" max="12798" width="1.88671875" customWidth="1"/>
    <col min="12799" max="12799" width="13" customWidth="1"/>
    <col min="13040" max="13040" width="6" customWidth="1"/>
    <col min="13041" max="13041" width="1.44140625" customWidth="1"/>
    <col min="13042" max="13042" width="39.109375" customWidth="1"/>
    <col min="13043" max="13043" width="12" customWidth="1"/>
    <col min="13044" max="13044" width="14.44140625" customWidth="1"/>
    <col min="13045" max="13045" width="11.88671875" customWidth="1"/>
    <col min="13046" max="13046" width="14.109375" customWidth="1"/>
    <col min="13047" max="13047" width="13.88671875" customWidth="1"/>
    <col min="13048" max="13049" width="12.77734375" customWidth="1"/>
    <col min="13050" max="13050" width="13.5546875" customWidth="1"/>
    <col min="13051" max="13051" width="15.33203125" customWidth="1"/>
    <col min="13052" max="13052" width="12.77734375" customWidth="1"/>
    <col min="13053" max="13053" width="13.88671875" customWidth="1"/>
    <col min="13054" max="13054" width="1.88671875" customWidth="1"/>
    <col min="13055" max="13055" width="13" customWidth="1"/>
    <col min="13296" max="13296" width="6" customWidth="1"/>
    <col min="13297" max="13297" width="1.44140625" customWidth="1"/>
    <col min="13298" max="13298" width="39.109375" customWidth="1"/>
    <col min="13299" max="13299" width="12" customWidth="1"/>
    <col min="13300" max="13300" width="14.44140625" customWidth="1"/>
    <col min="13301" max="13301" width="11.88671875" customWidth="1"/>
    <col min="13302" max="13302" width="14.109375" customWidth="1"/>
    <col min="13303" max="13303" width="13.88671875" customWidth="1"/>
    <col min="13304" max="13305" width="12.77734375" customWidth="1"/>
    <col min="13306" max="13306" width="13.5546875" customWidth="1"/>
    <col min="13307" max="13307" width="15.33203125" customWidth="1"/>
    <col min="13308" max="13308" width="12.77734375" customWidth="1"/>
    <col min="13309" max="13309" width="13.88671875" customWidth="1"/>
    <col min="13310" max="13310" width="1.88671875" customWidth="1"/>
    <col min="13311" max="13311" width="13" customWidth="1"/>
    <col min="13552" max="13552" width="6" customWidth="1"/>
    <col min="13553" max="13553" width="1.44140625" customWidth="1"/>
    <col min="13554" max="13554" width="39.109375" customWidth="1"/>
    <col min="13555" max="13555" width="12" customWidth="1"/>
    <col min="13556" max="13556" width="14.44140625" customWidth="1"/>
    <col min="13557" max="13557" width="11.88671875" customWidth="1"/>
    <col min="13558" max="13558" width="14.109375" customWidth="1"/>
    <col min="13559" max="13559" width="13.88671875" customWidth="1"/>
    <col min="13560" max="13561" width="12.77734375" customWidth="1"/>
    <col min="13562" max="13562" width="13.5546875" customWidth="1"/>
    <col min="13563" max="13563" width="15.33203125" customWidth="1"/>
    <col min="13564" max="13564" width="12.77734375" customWidth="1"/>
    <col min="13565" max="13565" width="13.88671875" customWidth="1"/>
    <col min="13566" max="13566" width="1.88671875" customWidth="1"/>
    <col min="13567" max="13567" width="13" customWidth="1"/>
    <col min="13808" max="13808" width="6" customWidth="1"/>
    <col min="13809" max="13809" width="1.44140625" customWidth="1"/>
    <col min="13810" max="13810" width="39.109375" customWidth="1"/>
    <col min="13811" max="13811" width="12" customWidth="1"/>
    <col min="13812" max="13812" width="14.44140625" customWidth="1"/>
    <col min="13813" max="13813" width="11.88671875" customWidth="1"/>
    <col min="13814" max="13814" width="14.109375" customWidth="1"/>
    <col min="13815" max="13815" width="13.88671875" customWidth="1"/>
    <col min="13816" max="13817" width="12.77734375" customWidth="1"/>
    <col min="13818" max="13818" width="13.5546875" customWidth="1"/>
    <col min="13819" max="13819" width="15.33203125" customWidth="1"/>
    <col min="13820" max="13820" width="12.77734375" customWidth="1"/>
    <col min="13821" max="13821" width="13.88671875" customWidth="1"/>
    <col min="13822" max="13822" width="1.88671875" customWidth="1"/>
    <col min="13823" max="13823" width="13" customWidth="1"/>
    <col min="14064" max="14064" width="6" customWidth="1"/>
    <col min="14065" max="14065" width="1.44140625" customWidth="1"/>
    <col min="14066" max="14066" width="39.109375" customWidth="1"/>
    <col min="14067" max="14067" width="12" customWidth="1"/>
    <col min="14068" max="14068" width="14.44140625" customWidth="1"/>
    <col min="14069" max="14069" width="11.88671875" customWidth="1"/>
    <col min="14070" max="14070" width="14.109375" customWidth="1"/>
    <col min="14071" max="14071" width="13.88671875" customWidth="1"/>
    <col min="14072" max="14073" width="12.77734375" customWidth="1"/>
    <col min="14074" max="14074" width="13.5546875" customWidth="1"/>
    <col min="14075" max="14075" width="15.33203125" customWidth="1"/>
    <col min="14076" max="14076" width="12.77734375" customWidth="1"/>
    <col min="14077" max="14077" width="13.88671875" customWidth="1"/>
    <col min="14078" max="14078" width="1.88671875" customWidth="1"/>
    <col min="14079" max="14079" width="13" customWidth="1"/>
    <col min="14320" max="14320" width="6" customWidth="1"/>
    <col min="14321" max="14321" width="1.44140625" customWidth="1"/>
    <col min="14322" max="14322" width="39.109375" customWidth="1"/>
    <col min="14323" max="14323" width="12" customWidth="1"/>
    <col min="14324" max="14324" width="14.44140625" customWidth="1"/>
    <col min="14325" max="14325" width="11.88671875" customWidth="1"/>
    <col min="14326" max="14326" width="14.109375" customWidth="1"/>
    <col min="14327" max="14327" width="13.88671875" customWidth="1"/>
    <col min="14328" max="14329" width="12.77734375" customWidth="1"/>
    <col min="14330" max="14330" width="13.5546875" customWidth="1"/>
    <col min="14331" max="14331" width="15.33203125" customWidth="1"/>
    <col min="14332" max="14332" width="12.77734375" customWidth="1"/>
    <col min="14333" max="14333" width="13.88671875" customWidth="1"/>
    <col min="14334" max="14334" width="1.88671875" customWidth="1"/>
    <col min="14335" max="14335" width="13" customWidth="1"/>
    <col min="14576" max="14576" width="6" customWidth="1"/>
    <col min="14577" max="14577" width="1.44140625" customWidth="1"/>
    <col min="14578" max="14578" width="39.109375" customWidth="1"/>
    <col min="14579" max="14579" width="12" customWidth="1"/>
    <col min="14580" max="14580" width="14.44140625" customWidth="1"/>
    <col min="14581" max="14581" width="11.88671875" customWidth="1"/>
    <col min="14582" max="14582" width="14.109375" customWidth="1"/>
    <col min="14583" max="14583" width="13.88671875" customWidth="1"/>
    <col min="14584" max="14585" width="12.77734375" customWidth="1"/>
    <col min="14586" max="14586" width="13.5546875" customWidth="1"/>
    <col min="14587" max="14587" width="15.33203125" customWidth="1"/>
    <col min="14588" max="14588" width="12.77734375" customWidth="1"/>
    <col min="14589" max="14589" width="13.88671875" customWidth="1"/>
    <col min="14590" max="14590" width="1.88671875" customWidth="1"/>
    <col min="14591" max="14591" width="13" customWidth="1"/>
    <col min="14832" max="14832" width="6" customWidth="1"/>
    <col min="14833" max="14833" width="1.44140625" customWidth="1"/>
    <col min="14834" max="14834" width="39.109375" customWidth="1"/>
    <col min="14835" max="14835" width="12" customWidth="1"/>
    <col min="14836" max="14836" width="14.44140625" customWidth="1"/>
    <col min="14837" max="14837" width="11.88671875" customWidth="1"/>
    <col min="14838" max="14838" width="14.109375" customWidth="1"/>
    <col min="14839" max="14839" width="13.88671875" customWidth="1"/>
    <col min="14840" max="14841" width="12.77734375" customWidth="1"/>
    <col min="14842" max="14842" width="13.5546875" customWidth="1"/>
    <col min="14843" max="14843" width="15.33203125" customWidth="1"/>
    <col min="14844" max="14844" width="12.77734375" customWidth="1"/>
    <col min="14845" max="14845" width="13.88671875" customWidth="1"/>
    <col min="14846" max="14846" width="1.88671875" customWidth="1"/>
    <col min="14847" max="14847" width="13" customWidth="1"/>
    <col min="15088" max="15088" width="6" customWidth="1"/>
    <col min="15089" max="15089" width="1.44140625" customWidth="1"/>
    <col min="15090" max="15090" width="39.109375" customWidth="1"/>
    <col min="15091" max="15091" width="12" customWidth="1"/>
    <col min="15092" max="15092" width="14.44140625" customWidth="1"/>
    <col min="15093" max="15093" width="11.88671875" customWidth="1"/>
    <col min="15094" max="15094" width="14.109375" customWidth="1"/>
    <col min="15095" max="15095" width="13.88671875" customWidth="1"/>
    <col min="15096" max="15097" width="12.77734375" customWidth="1"/>
    <col min="15098" max="15098" width="13.5546875" customWidth="1"/>
    <col min="15099" max="15099" width="15.33203125" customWidth="1"/>
    <col min="15100" max="15100" width="12.77734375" customWidth="1"/>
    <col min="15101" max="15101" width="13.88671875" customWidth="1"/>
    <col min="15102" max="15102" width="1.88671875" customWidth="1"/>
    <col min="15103" max="15103" width="13" customWidth="1"/>
    <col min="15344" max="15344" width="6" customWidth="1"/>
    <col min="15345" max="15345" width="1.44140625" customWidth="1"/>
    <col min="15346" max="15346" width="39.109375" customWidth="1"/>
    <col min="15347" max="15347" width="12" customWidth="1"/>
    <col min="15348" max="15348" width="14.44140625" customWidth="1"/>
    <col min="15349" max="15349" width="11.88671875" customWidth="1"/>
    <col min="15350" max="15350" width="14.109375" customWidth="1"/>
    <col min="15351" max="15351" width="13.88671875" customWidth="1"/>
    <col min="15352" max="15353" width="12.77734375" customWidth="1"/>
    <col min="15354" max="15354" width="13.5546875" customWidth="1"/>
    <col min="15355" max="15355" width="15.33203125" customWidth="1"/>
    <col min="15356" max="15356" width="12.77734375" customWidth="1"/>
    <col min="15357" max="15357" width="13.88671875" customWidth="1"/>
    <col min="15358" max="15358" width="1.88671875" customWidth="1"/>
    <col min="15359" max="15359" width="13" customWidth="1"/>
    <col min="15600" max="15600" width="6" customWidth="1"/>
    <col min="15601" max="15601" width="1.44140625" customWidth="1"/>
    <col min="15602" max="15602" width="39.109375" customWidth="1"/>
    <col min="15603" max="15603" width="12" customWidth="1"/>
    <col min="15604" max="15604" width="14.44140625" customWidth="1"/>
    <col min="15605" max="15605" width="11.88671875" customWidth="1"/>
    <col min="15606" max="15606" width="14.109375" customWidth="1"/>
    <col min="15607" max="15607" width="13.88671875" customWidth="1"/>
    <col min="15608" max="15609" width="12.77734375" customWidth="1"/>
    <col min="15610" max="15610" width="13.5546875" customWidth="1"/>
    <col min="15611" max="15611" width="15.33203125" customWidth="1"/>
    <col min="15612" max="15612" width="12.77734375" customWidth="1"/>
    <col min="15613" max="15613" width="13.88671875" customWidth="1"/>
    <col min="15614" max="15614" width="1.88671875" customWidth="1"/>
    <col min="15615" max="15615" width="13" customWidth="1"/>
    <col min="15856" max="15856" width="6" customWidth="1"/>
    <col min="15857" max="15857" width="1.44140625" customWidth="1"/>
    <col min="15858" max="15858" width="39.109375" customWidth="1"/>
    <col min="15859" max="15859" width="12" customWidth="1"/>
    <col min="15860" max="15860" width="14.44140625" customWidth="1"/>
    <col min="15861" max="15861" width="11.88671875" customWidth="1"/>
    <col min="15862" max="15862" width="14.109375" customWidth="1"/>
    <col min="15863" max="15863" width="13.88671875" customWidth="1"/>
    <col min="15864" max="15865" width="12.77734375" customWidth="1"/>
    <col min="15866" max="15866" width="13.5546875" customWidth="1"/>
    <col min="15867" max="15867" width="15.33203125" customWidth="1"/>
    <col min="15868" max="15868" width="12.77734375" customWidth="1"/>
    <col min="15869" max="15869" width="13.88671875" customWidth="1"/>
    <col min="15870" max="15870" width="1.88671875" customWidth="1"/>
    <col min="15871" max="15871" width="13" customWidth="1"/>
    <col min="16112" max="16112" width="6" customWidth="1"/>
    <col min="16113" max="16113" width="1.44140625" customWidth="1"/>
    <col min="16114" max="16114" width="39.109375" customWidth="1"/>
    <col min="16115" max="16115" width="12" customWidth="1"/>
    <col min="16116" max="16116" width="14.44140625" customWidth="1"/>
    <col min="16117" max="16117" width="11.88671875" customWidth="1"/>
    <col min="16118" max="16118" width="14.109375" customWidth="1"/>
    <col min="16119" max="16119" width="13.88671875" customWidth="1"/>
    <col min="16120" max="16121" width="12.77734375" customWidth="1"/>
    <col min="16122" max="16122" width="13.5546875" customWidth="1"/>
    <col min="16123" max="16123" width="15.33203125" customWidth="1"/>
    <col min="16124" max="16124" width="12.77734375" customWidth="1"/>
    <col min="16125" max="16125" width="13.88671875" customWidth="1"/>
    <col min="16126" max="16126" width="1.88671875" customWidth="1"/>
    <col min="16127" max="16127" width="13" customWidth="1"/>
    <col min="16368" max="16383" width="8.88671875" customWidth="1"/>
  </cols>
  <sheetData>
    <row r="1" spans="1:23">
      <c r="I1" s="2" t="str">
        <f>EKPC!J1</f>
        <v>Attachment H-24A</v>
      </c>
      <c r="J1" s="340"/>
      <c r="K1" s="340"/>
      <c r="L1" s="340"/>
      <c r="M1" s="340"/>
      <c r="N1" s="1"/>
      <c r="O1" s="1"/>
      <c r="P1" s="9"/>
      <c r="Q1" s="1"/>
      <c r="R1" s="1"/>
      <c r="S1" s="1"/>
      <c r="T1" s="1"/>
      <c r="U1" s="1"/>
      <c r="V1" s="9"/>
      <c r="W1" s="2" t="s">
        <v>543</v>
      </c>
    </row>
    <row r="2" spans="1:23">
      <c r="I2" s="2" t="s">
        <v>265</v>
      </c>
      <c r="J2" s="340"/>
      <c r="K2" s="340"/>
      <c r="L2" s="340"/>
      <c r="M2" s="340"/>
      <c r="N2" s="13"/>
      <c r="O2" s="13"/>
      <c r="P2" s="13"/>
      <c r="Q2" s="13"/>
      <c r="R2" s="13"/>
      <c r="S2" s="13"/>
      <c r="T2" s="13"/>
      <c r="U2" s="13"/>
      <c r="V2" s="73"/>
      <c r="W2" s="2" t="s">
        <v>265</v>
      </c>
    </row>
    <row r="3" spans="1:23">
      <c r="I3" s="2" t="s">
        <v>147</v>
      </c>
      <c r="J3" s="340"/>
      <c r="K3" s="340"/>
      <c r="L3" s="340"/>
      <c r="M3" s="340"/>
      <c r="N3" s="13"/>
      <c r="O3" s="13"/>
      <c r="P3" s="13"/>
      <c r="Q3" s="13"/>
      <c r="R3" s="13"/>
      <c r="S3" s="13"/>
      <c r="T3" s="13"/>
      <c r="U3" s="73"/>
      <c r="V3" s="73"/>
      <c r="W3" s="50" t="s">
        <v>157</v>
      </c>
    </row>
    <row r="4" spans="1:23">
      <c r="I4" s="5" t="str">
        <f>EKPC!J7</f>
        <v>For the 12 months ended 12/31/2025</v>
      </c>
      <c r="J4" s="340"/>
      <c r="K4" s="340"/>
      <c r="L4" s="340"/>
      <c r="M4" s="340"/>
      <c r="N4" s="1"/>
      <c r="O4" s="1"/>
      <c r="P4" s="1"/>
      <c r="Q4" s="13"/>
      <c r="R4" s="1"/>
      <c r="S4" s="1"/>
      <c r="T4" s="1"/>
      <c r="U4" s="1"/>
      <c r="V4" s="9"/>
      <c r="W4" s="50" t="str">
        <f>I4</f>
        <v>For the 12 months ended 12/31/2025</v>
      </c>
    </row>
    <row r="5" spans="1:23">
      <c r="A5" s="72" t="s">
        <v>206</v>
      </c>
      <c r="B5" s="80"/>
      <c r="C5" s="80"/>
      <c r="D5" s="72"/>
      <c r="E5" s="72"/>
      <c r="F5" s="72"/>
      <c r="G5" s="80"/>
      <c r="H5" s="72"/>
      <c r="I5" s="72"/>
      <c r="J5" s="340"/>
      <c r="K5" s="340"/>
      <c r="L5" s="340"/>
      <c r="M5" s="340"/>
      <c r="N5" s="1"/>
      <c r="O5" s="1"/>
      <c r="P5" s="1"/>
      <c r="Q5" s="13"/>
      <c r="R5" s="1"/>
      <c r="S5" s="1"/>
      <c r="T5" s="1"/>
      <c r="U5" s="1"/>
      <c r="V5" s="9"/>
      <c r="W5" s="50"/>
    </row>
    <row r="6" spans="1:23">
      <c r="A6" s="73" t="str">
        <f>CONCATENATE("Utilizing ",EKPC!J1)</f>
        <v>Utilizing Attachment H-24A</v>
      </c>
      <c r="B6" s="80"/>
      <c r="C6" s="80"/>
      <c r="D6" s="72"/>
      <c r="E6" s="72"/>
      <c r="F6" s="72"/>
      <c r="G6" s="80"/>
      <c r="H6" s="72"/>
      <c r="I6" s="72"/>
      <c r="J6" s="340"/>
      <c r="K6" s="340"/>
      <c r="L6" s="340"/>
      <c r="M6" s="340"/>
      <c r="N6" s="1"/>
      <c r="O6" s="1"/>
      <c r="P6" s="1"/>
      <c r="Q6" s="13"/>
      <c r="R6" s="1"/>
      <c r="S6" s="1"/>
      <c r="T6" s="1"/>
      <c r="U6" s="1"/>
      <c r="V6" s="9"/>
      <c r="W6" s="50"/>
    </row>
    <row r="7" spans="1:23">
      <c r="A7" s="74"/>
      <c r="B7" s="80"/>
      <c r="C7" s="80"/>
      <c r="D7" s="74"/>
      <c r="E7" s="74"/>
      <c r="F7" s="74"/>
      <c r="G7" s="80"/>
      <c r="H7" s="74"/>
      <c r="I7" s="74"/>
      <c r="J7" s="340"/>
      <c r="K7" s="340"/>
      <c r="L7" s="340"/>
      <c r="M7" s="340"/>
      <c r="N7" s="1"/>
      <c r="O7" s="1"/>
      <c r="P7" s="1"/>
      <c r="Q7" s="13"/>
      <c r="R7" s="1"/>
      <c r="S7" s="1"/>
      <c r="T7" s="1"/>
      <c r="U7" s="1"/>
      <c r="V7" s="9"/>
      <c r="W7" s="50"/>
    </row>
    <row r="8" spans="1:23">
      <c r="A8" s="680" t="str">
        <f>EKPC!A11</f>
        <v>East Kentucky Power Cooperative, Inc.</v>
      </c>
      <c r="B8" s="680"/>
      <c r="C8" s="680"/>
      <c r="D8" s="680"/>
      <c r="E8" s="680"/>
      <c r="F8" s="680"/>
      <c r="G8" s="680"/>
      <c r="H8" s="680"/>
      <c r="I8" s="680"/>
      <c r="K8" s="13"/>
      <c r="L8" s="13"/>
      <c r="M8" s="13"/>
      <c r="N8" s="13"/>
      <c r="O8" s="13"/>
      <c r="P8" s="13"/>
      <c r="Q8" s="11" t="str">
        <f>A8</f>
        <v>East Kentucky Power Cooperative, Inc.</v>
      </c>
      <c r="R8" s="13"/>
      <c r="S8" s="13"/>
      <c r="T8" s="13"/>
      <c r="U8" s="13"/>
      <c r="V8" s="73"/>
      <c r="W8" s="73"/>
    </row>
    <row r="9" spans="1:23">
      <c r="A9" s="74" t="s">
        <v>241</v>
      </c>
      <c r="B9" s="80"/>
      <c r="C9" s="80"/>
      <c r="D9" s="74"/>
      <c r="E9" s="74"/>
      <c r="F9" s="74"/>
      <c r="G9" s="80"/>
      <c r="H9" s="82"/>
      <c r="I9" s="74"/>
      <c r="K9" s="13"/>
      <c r="L9" s="13"/>
      <c r="M9" s="13"/>
      <c r="N9" s="74"/>
      <c r="O9" s="74"/>
      <c r="P9" s="74"/>
      <c r="Q9" s="11" t="str">
        <f>A9</f>
        <v>RTEP - Transmission Enhancement Charges</v>
      </c>
      <c r="R9" s="74"/>
      <c r="S9" s="74"/>
      <c r="T9" s="74"/>
      <c r="U9" s="74"/>
      <c r="V9" s="74"/>
      <c r="W9" s="74"/>
    </row>
    <row r="10" spans="1:23">
      <c r="A10" s="133"/>
      <c r="B10" s="80"/>
      <c r="C10" s="74"/>
      <c r="D10" s="74"/>
      <c r="E10" s="74"/>
      <c r="F10" s="74"/>
      <c r="G10" s="82"/>
      <c r="H10" s="74"/>
      <c r="I10" s="74"/>
      <c r="J10" s="117"/>
      <c r="K10" s="1"/>
      <c r="L10" s="1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5.75">
      <c r="A11" s="74" t="str">
        <f>CONCATENATE("To be completed in conjunction with ",EKPC!J1)</f>
        <v>To be completed in conjunction with Attachment H-24A</v>
      </c>
      <c r="B11" s="80"/>
      <c r="C11" s="80"/>
      <c r="D11" s="74"/>
      <c r="E11" s="74"/>
      <c r="F11" s="74"/>
      <c r="G11" s="82"/>
      <c r="H11" s="74"/>
      <c r="I11" s="74"/>
      <c r="K11" s="13"/>
      <c r="L11" s="13"/>
      <c r="M11" s="13"/>
      <c r="N11" s="13"/>
      <c r="O11" s="81"/>
      <c r="P11" s="13"/>
      <c r="Q11" s="241" t="s">
        <v>222</v>
      </c>
      <c r="R11" s="74"/>
      <c r="S11" s="74"/>
      <c r="T11" s="74"/>
      <c r="U11" s="74"/>
      <c r="V11" s="73"/>
      <c r="W11" s="73"/>
    </row>
    <row r="12" spans="1:23" ht="15.75">
      <c r="A12" s="27"/>
      <c r="C12" s="7"/>
      <c r="D12" s="7"/>
      <c r="E12" s="7"/>
      <c r="F12" s="7"/>
      <c r="G12" s="28"/>
      <c r="J12" s="117"/>
      <c r="K12" s="1"/>
      <c r="L12" s="1"/>
      <c r="M12" s="1"/>
      <c r="N12" s="32"/>
      <c r="O12" s="32"/>
      <c r="P12" s="1"/>
      <c r="Q12" s="7"/>
      <c r="R12" s="7"/>
      <c r="S12" s="7"/>
      <c r="T12" s="7"/>
      <c r="U12" s="7"/>
      <c r="V12" s="9"/>
      <c r="W12" s="9"/>
    </row>
    <row r="13" spans="1:23" ht="15.75">
      <c r="C13" s="241" t="s">
        <v>16</v>
      </c>
      <c r="D13" s="241"/>
      <c r="E13" s="241" t="s">
        <v>17</v>
      </c>
      <c r="F13" s="241"/>
      <c r="G13" s="241" t="s">
        <v>18</v>
      </c>
      <c r="H13" s="42"/>
      <c r="I13" s="586" t="s">
        <v>19</v>
      </c>
      <c r="J13" s="117"/>
      <c r="K13" s="1"/>
      <c r="L13" s="51">
        <v>-1</v>
      </c>
      <c r="M13" s="51">
        <v>-2</v>
      </c>
      <c r="N13" s="51">
        <v>-3</v>
      </c>
      <c r="O13" s="51">
        <v>-4</v>
      </c>
      <c r="P13" s="51">
        <v>-5</v>
      </c>
      <c r="Q13" s="51">
        <v>-6</v>
      </c>
      <c r="R13" s="51">
        <v>-7</v>
      </c>
      <c r="S13" s="51">
        <v>-8</v>
      </c>
      <c r="T13" s="51">
        <v>-9</v>
      </c>
      <c r="U13" s="51">
        <v>-10</v>
      </c>
      <c r="V13" s="51">
        <v>-11</v>
      </c>
      <c r="W13" s="51">
        <v>-12</v>
      </c>
    </row>
    <row r="14" spans="1:23" ht="63">
      <c r="A14" s="117" t="s">
        <v>6</v>
      </c>
      <c r="C14" s="7"/>
      <c r="D14" s="7"/>
      <c r="E14" s="35" t="str">
        <f>I1</f>
        <v>Attachment H-24A</v>
      </c>
      <c r="F14" s="35"/>
      <c r="G14" s="9"/>
      <c r="J14" s="412" t="s">
        <v>182</v>
      </c>
      <c r="K14" s="413"/>
      <c r="L14" s="413" t="s">
        <v>160</v>
      </c>
      <c r="M14" s="414" t="s">
        <v>263</v>
      </c>
      <c r="N14" s="52" t="s">
        <v>183</v>
      </c>
      <c r="O14" s="52" t="s">
        <v>177</v>
      </c>
      <c r="P14" s="415" t="s">
        <v>184</v>
      </c>
      <c r="Q14" s="52" t="s">
        <v>185</v>
      </c>
      <c r="R14" s="52" t="s">
        <v>181</v>
      </c>
      <c r="S14" s="415" t="s">
        <v>186</v>
      </c>
      <c r="T14" s="52" t="s">
        <v>187</v>
      </c>
      <c r="U14" s="53" t="s">
        <v>188</v>
      </c>
      <c r="V14" s="54" t="s">
        <v>189</v>
      </c>
      <c r="W14" s="53" t="s">
        <v>190</v>
      </c>
    </row>
    <row r="15" spans="1:23" ht="30" customHeight="1">
      <c r="A15" s="129" t="s">
        <v>8</v>
      </c>
      <c r="B15" s="130"/>
      <c r="C15" s="131"/>
      <c r="D15" s="131"/>
      <c r="E15" s="132" t="s">
        <v>23</v>
      </c>
      <c r="F15" s="132"/>
      <c r="G15" s="129" t="s">
        <v>22</v>
      </c>
      <c r="H15" s="130"/>
      <c r="I15" s="129" t="s">
        <v>11</v>
      </c>
      <c r="J15" s="55"/>
      <c r="K15" s="56"/>
      <c r="L15" s="56"/>
      <c r="M15" s="56"/>
      <c r="N15" s="57" t="s">
        <v>14</v>
      </c>
      <c r="O15" s="57" t="s">
        <v>191</v>
      </c>
      <c r="P15" s="58" t="s">
        <v>192</v>
      </c>
      <c r="Q15" s="57" t="s">
        <v>15</v>
      </c>
      <c r="R15" s="57" t="s">
        <v>193</v>
      </c>
      <c r="S15" s="58" t="s">
        <v>194</v>
      </c>
      <c r="T15" s="57" t="s">
        <v>195</v>
      </c>
      <c r="U15" s="58" t="s">
        <v>196</v>
      </c>
      <c r="V15" s="59" t="s">
        <v>158</v>
      </c>
      <c r="W15" s="60" t="s">
        <v>197</v>
      </c>
    </row>
    <row r="16" spans="1:23" ht="15.75">
      <c r="A16" s="33"/>
      <c r="C16" s="7" t="s">
        <v>262</v>
      </c>
      <c r="D16" s="7"/>
      <c r="E16" s="9"/>
      <c r="F16" s="9"/>
      <c r="G16" s="9"/>
      <c r="I16" s="9"/>
      <c r="J16" s="61"/>
      <c r="K16" s="7"/>
      <c r="L16" s="7"/>
      <c r="M16" s="7"/>
      <c r="N16" s="7"/>
      <c r="O16" s="7"/>
      <c r="P16" s="62"/>
      <c r="Q16" s="7"/>
      <c r="R16" s="7"/>
      <c r="S16" s="62"/>
      <c r="T16" s="7"/>
      <c r="U16" s="62"/>
      <c r="V16" s="9"/>
      <c r="W16" s="63"/>
    </row>
    <row r="17" spans="1:23">
      <c r="A17" s="34">
        <v>1</v>
      </c>
      <c r="C17" s="7" t="s">
        <v>167</v>
      </c>
      <c r="D17" s="7"/>
      <c r="E17" s="35" t="s">
        <v>645</v>
      </c>
      <c r="F17" s="35"/>
      <c r="G17" s="119">
        <f>EKPC!J76</f>
        <v>847146266</v>
      </c>
      <c r="J17" s="417" t="s">
        <v>1</v>
      </c>
      <c r="K17" s="1"/>
      <c r="L17" s="1"/>
      <c r="M17" s="1"/>
      <c r="N17" s="506">
        <v>0</v>
      </c>
      <c r="O17" s="47">
        <f>$I$32</f>
        <v>6.9356569648150942E-2</v>
      </c>
      <c r="P17" s="416">
        <f>N17*O17</f>
        <v>0</v>
      </c>
      <c r="Q17" s="463">
        <v>0</v>
      </c>
      <c r="R17" s="47">
        <f>$I$42</f>
        <v>5.2241135491624097E-2</v>
      </c>
      <c r="S17" s="416">
        <f>Q17*R17</f>
        <v>0</v>
      </c>
      <c r="T17" s="507">
        <v>0</v>
      </c>
      <c r="U17" s="416">
        <f>P17+S17+T17</f>
        <v>0</v>
      </c>
      <c r="V17" s="506">
        <v>0</v>
      </c>
      <c r="W17" s="416">
        <f>U17+V17</f>
        <v>0</v>
      </c>
    </row>
    <row r="18" spans="1:23">
      <c r="A18" s="34">
        <v>2</v>
      </c>
      <c r="C18" s="7" t="s">
        <v>168</v>
      </c>
      <c r="D18" s="7"/>
      <c r="E18" s="35" t="s">
        <v>646</v>
      </c>
      <c r="F18" s="35"/>
      <c r="G18" s="119">
        <f>EKPC!J92</f>
        <v>657709469</v>
      </c>
      <c r="J18" s="417" t="s">
        <v>198</v>
      </c>
      <c r="K18" s="1"/>
      <c r="L18" s="1"/>
      <c r="M18" s="1"/>
      <c r="N18" s="506">
        <v>0</v>
      </c>
      <c r="O18" s="47">
        <f>$I$32</f>
        <v>6.9356569648150942E-2</v>
      </c>
      <c r="P18" s="416">
        <f>N18*O18</f>
        <v>0</v>
      </c>
      <c r="Q18" s="463">
        <v>0</v>
      </c>
      <c r="R18" s="47">
        <f>$I$42</f>
        <v>5.2241135491624097E-2</v>
      </c>
      <c r="S18" s="416">
        <f>Q18*R18</f>
        <v>0</v>
      </c>
      <c r="T18" s="507">
        <v>0</v>
      </c>
      <c r="U18" s="416">
        <f>P18+S18+T18</f>
        <v>0</v>
      </c>
      <c r="V18" s="506">
        <v>0</v>
      </c>
      <c r="W18" s="416">
        <f>U18+V18</f>
        <v>0</v>
      </c>
    </row>
    <row r="19" spans="1:23">
      <c r="A19" s="34"/>
      <c r="E19" s="35"/>
      <c r="F19" s="35"/>
      <c r="J19" s="417" t="s">
        <v>199</v>
      </c>
      <c r="K19" s="1"/>
      <c r="L19" s="1"/>
      <c r="M19" s="1"/>
      <c r="N19" s="506">
        <v>0</v>
      </c>
      <c r="O19" s="47">
        <f>$I$32</f>
        <v>6.9356569648150942E-2</v>
      </c>
      <c r="P19" s="416">
        <f>N19*O19</f>
        <v>0</v>
      </c>
      <c r="Q19" s="463">
        <v>0</v>
      </c>
      <c r="R19" s="47">
        <f>$I$42</f>
        <v>5.2241135491624097E-2</v>
      </c>
      <c r="S19" s="416">
        <f>Q19*R19</f>
        <v>0</v>
      </c>
      <c r="T19" s="507">
        <v>0</v>
      </c>
      <c r="U19" s="416">
        <f>P19+S19+T19</f>
        <v>0</v>
      </c>
      <c r="V19" s="506">
        <v>0</v>
      </c>
      <c r="W19" s="416">
        <f>U19+V19</f>
        <v>0</v>
      </c>
    </row>
    <row r="20" spans="1:23">
      <c r="A20" s="34"/>
      <c r="C20" s="7" t="s">
        <v>148</v>
      </c>
      <c r="D20" s="7"/>
      <c r="E20" s="35"/>
      <c r="F20" s="35"/>
      <c r="G20" s="9"/>
      <c r="I20" s="9"/>
      <c r="J20" s="417"/>
      <c r="K20" s="1"/>
      <c r="L20" s="1"/>
      <c r="M20" s="1"/>
      <c r="N20" s="1"/>
      <c r="O20" s="1"/>
      <c r="P20" s="416"/>
      <c r="Q20" s="1"/>
      <c r="R20" s="1"/>
      <c r="S20" s="416"/>
      <c r="T20" s="1"/>
      <c r="U20" s="416"/>
      <c r="V20" s="1"/>
      <c r="W20" s="416"/>
    </row>
    <row r="21" spans="1:23">
      <c r="A21" s="34">
        <v>3</v>
      </c>
      <c r="C21" s="7" t="s">
        <v>169</v>
      </c>
      <c r="D21" s="7"/>
      <c r="E21" s="35" t="s">
        <v>647</v>
      </c>
      <c r="F21" s="35"/>
      <c r="G21" s="119">
        <f>EKPC!J144</f>
        <v>58329556</v>
      </c>
      <c r="J21" s="417"/>
      <c r="K21" s="1"/>
      <c r="L21" s="1"/>
      <c r="M21" s="1"/>
      <c r="N21" s="1"/>
      <c r="O21" s="1"/>
      <c r="P21" s="416"/>
      <c r="Q21" s="1"/>
      <c r="R21" s="1"/>
      <c r="S21" s="416"/>
      <c r="T21" s="1"/>
      <c r="U21" s="416"/>
      <c r="V21" s="1"/>
      <c r="W21" s="416"/>
    </row>
    <row r="22" spans="1:23">
      <c r="A22" s="34">
        <v>4</v>
      </c>
      <c r="C22" s="7" t="s">
        <v>170</v>
      </c>
      <c r="D22" s="7"/>
      <c r="E22" s="35" t="s">
        <v>171</v>
      </c>
      <c r="F22" s="35"/>
      <c r="G22" s="36">
        <f>IF(G21=0,0,G21/G17)</f>
        <v>6.8854173524740533E-2</v>
      </c>
      <c r="I22" s="37">
        <f>G22</f>
        <v>6.8854173524740533E-2</v>
      </c>
      <c r="J22" s="417"/>
      <c r="K22" s="1"/>
      <c r="L22" s="1"/>
      <c r="M22" s="1"/>
      <c r="N22" s="1"/>
      <c r="O22" s="1"/>
      <c r="P22" s="416"/>
      <c r="Q22" s="1"/>
      <c r="R22" s="1"/>
      <c r="S22" s="416"/>
      <c r="T22" s="1"/>
      <c r="U22" s="416"/>
      <c r="V22" s="1"/>
      <c r="W22" s="416"/>
    </row>
    <row r="23" spans="1:23">
      <c r="A23" s="34"/>
      <c r="E23" s="35"/>
      <c r="F23" s="35"/>
      <c r="J23" s="417"/>
      <c r="K23" s="1"/>
      <c r="L23" s="1"/>
      <c r="M23" s="1"/>
      <c r="N23" s="1"/>
      <c r="O23" s="1"/>
      <c r="P23" s="416"/>
      <c r="Q23" s="1"/>
      <c r="R23" s="1"/>
      <c r="S23" s="416"/>
      <c r="T23" s="1"/>
      <c r="U23" s="416"/>
      <c r="V23" s="1"/>
      <c r="W23" s="416"/>
    </row>
    <row r="24" spans="1:23">
      <c r="A24" s="34"/>
      <c r="C24" s="7" t="s">
        <v>210</v>
      </c>
      <c r="D24" s="7"/>
      <c r="E24" s="11"/>
      <c r="F24" s="35"/>
      <c r="J24" s="417"/>
      <c r="K24" s="1"/>
      <c r="L24" s="1"/>
      <c r="M24" s="1"/>
      <c r="N24" s="1"/>
      <c r="O24" s="1"/>
      <c r="P24" s="416"/>
      <c r="Q24" s="1"/>
      <c r="R24" s="1"/>
      <c r="S24" s="416"/>
      <c r="T24" s="1"/>
      <c r="U24" s="416"/>
      <c r="V24" s="1"/>
      <c r="W24" s="416"/>
    </row>
    <row r="25" spans="1:23">
      <c r="A25" s="40" t="s">
        <v>172</v>
      </c>
      <c r="C25" s="7" t="s">
        <v>211</v>
      </c>
      <c r="D25" s="7"/>
      <c r="E25" s="35" t="str">
        <f>CONCATENATE(EKPC!J1,", p 3, lines 10 &amp; 11, col 5 (Note H)")</f>
        <v>Attachment H-24A, p 3, lines 10 &amp; 11, col 5 (Note H)</v>
      </c>
      <c r="F25" s="35"/>
      <c r="G25" s="119">
        <f>EKPC!J148+EKPC!J149</f>
        <v>425603</v>
      </c>
      <c r="J25" s="417"/>
      <c r="K25" s="1"/>
      <c r="L25" s="6"/>
      <c r="M25" s="6"/>
      <c r="N25" s="6"/>
      <c r="O25" s="6"/>
      <c r="P25" s="418"/>
      <c r="Q25" s="6"/>
      <c r="R25" s="6"/>
      <c r="S25" s="418"/>
      <c r="T25" s="6"/>
      <c r="U25" s="418"/>
      <c r="V25" s="6"/>
      <c r="W25" s="418"/>
    </row>
    <row r="26" spans="1:23">
      <c r="A26" s="40" t="s">
        <v>173</v>
      </c>
      <c r="C26" s="7" t="s">
        <v>212</v>
      </c>
      <c r="D26" s="7"/>
      <c r="E26" s="35" t="s">
        <v>175</v>
      </c>
      <c r="F26" s="35"/>
      <c r="G26" s="36">
        <f>IF(G25=0,0,G25/G17)</f>
        <v>5.0239612341040527E-4</v>
      </c>
      <c r="I26" s="37">
        <f>G26</f>
        <v>5.0239612341040527E-4</v>
      </c>
      <c r="J26" s="417"/>
      <c r="K26" s="1"/>
      <c r="L26" s="6"/>
      <c r="M26" s="6"/>
      <c r="N26" s="6"/>
      <c r="O26" s="6"/>
      <c r="P26" s="418"/>
      <c r="Q26" s="6"/>
      <c r="R26" s="6"/>
      <c r="S26" s="418"/>
      <c r="T26" s="6"/>
      <c r="U26" s="418"/>
      <c r="V26" s="6"/>
      <c r="W26" s="418"/>
    </row>
    <row r="27" spans="1:23">
      <c r="A27" s="34"/>
      <c r="E27" s="35"/>
      <c r="F27" s="35"/>
      <c r="J27" s="417"/>
      <c r="K27" s="1"/>
      <c r="L27" s="6"/>
      <c r="M27" s="6"/>
      <c r="N27" s="6"/>
      <c r="O27" s="6"/>
      <c r="P27" s="418"/>
      <c r="Q27" s="6"/>
      <c r="R27" s="6"/>
      <c r="S27" s="418"/>
      <c r="T27" s="6"/>
      <c r="U27" s="418"/>
      <c r="V27" s="6"/>
      <c r="W27" s="418"/>
    </row>
    <row r="28" spans="1:23">
      <c r="A28" s="40"/>
      <c r="C28" s="7" t="s">
        <v>151</v>
      </c>
      <c r="D28" s="7"/>
      <c r="E28" s="11"/>
      <c r="F28" s="11"/>
      <c r="G28" s="9"/>
      <c r="I28" s="9"/>
      <c r="J28" s="417"/>
      <c r="K28" s="1"/>
      <c r="L28" s="6"/>
      <c r="M28" s="6"/>
      <c r="N28" s="6"/>
      <c r="O28" s="6"/>
      <c r="P28" s="418"/>
      <c r="Q28" s="6"/>
      <c r="R28" s="6"/>
      <c r="S28" s="418"/>
      <c r="T28" s="6"/>
      <c r="U28" s="418"/>
      <c r="V28" s="6"/>
      <c r="W28" s="418"/>
    </row>
    <row r="29" spans="1:23">
      <c r="A29" s="40" t="s">
        <v>176</v>
      </c>
      <c r="C29" s="7" t="s">
        <v>153</v>
      </c>
      <c r="D29" s="7"/>
      <c r="E29" s="35" t="s">
        <v>648</v>
      </c>
      <c r="F29" s="35"/>
      <c r="G29" s="119">
        <f>EKPC!J161</f>
        <v>0</v>
      </c>
      <c r="J29" s="417"/>
      <c r="K29" s="1"/>
      <c r="L29" s="6"/>
      <c r="M29" s="6"/>
      <c r="N29" s="6"/>
      <c r="O29" s="6"/>
      <c r="P29" s="418"/>
      <c r="Q29" s="6"/>
      <c r="R29" s="6"/>
      <c r="S29" s="418"/>
      <c r="T29" s="6"/>
      <c r="U29" s="418"/>
      <c r="V29" s="6"/>
      <c r="W29" s="418"/>
    </row>
    <row r="30" spans="1:23">
      <c r="A30" s="40" t="s">
        <v>178</v>
      </c>
      <c r="C30" s="7" t="s">
        <v>174</v>
      </c>
      <c r="D30" s="7"/>
      <c r="E30" s="35" t="s">
        <v>175</v>
      </c>
      <c r="F30" s="35"/>
      <c r="G30" s="36">
        <f>IF(G29=0,0,G29/G17)</f>
        <v>0</v>
      </c>
      <c r="I30" s="37">
        <f>G30</f>
        <v>0</v>
      </c>
      <c r="J30" s="417"/>
      <c r="K30" s="1"/>
      <c r="L30" s="6"/>
      <c r="M30" s="6"/>
      <c r="N30" s="6"/>
      <c r="O30" s="6"/>
      <c r="P30" s="418"/>
      <c r="Q30" s="6"/>
      <c r="R30" s="6"/>
      <c r="S30" s="418"/>
      <c r="T30" s="6"/>
      <c r="U30" s="418"/>
      <c r="V30" s="6"/>
      <c r="W30" s="418"/>
    </row>
    <row r="31" spans="1:23">
      <c r="A31" s="40"/>
      <c r="C31" s="7"/>
      <c r="D31" s="7"/>
      <c r="E31" s="35"/>
      <c r="F31" s="35"/>
      <c r="G31" s="9"/>
      <c r="I31" s="9"/>
      <c r="J31" s="417"/>
      <c r="K31" s="1"/>
      <c r="L31" s="6"/>
      <c r="M31" s="6"/>
      <c r="N31" s="6"/>
      <c r="O31" s="6"/>
      <c r="P31" s="418"/>
      <c r="Q31" s="6"/>
      <c r="R31" s="6"/>
      <c r="S31" s="418"/>
      <c r="T31" s="6"/>
      <c r="U31" s="418"/>
      <c r="V31" s="6"/>
      <c r="W31" s="418"/>
    </row>
    <row r="32" spans="1:23" ht="15.75">
      <c r="A32" s="41" t="s">
        <v>149</v>
      </c>
      <c r="B32" s="42"/>
      <c r="C32" s="32" t="s">
        <v>177</v>
      </c>
      <c r="D32" s="32"/>
      <c r="E32" s="31" t="s">
        <v>293</v>
      </c>
      <c r="F32" s="31"/>
      <c r="G32" s="43"/>
      <c r="I32" s="44">
        <f>I22+I26+I30</f>
        <v>6.9356569648150942E-2</v>
      </c>
      <c r="J32" s="417"/>
      <c r="K32" s="1"/>
      <c r="L32" s="6"/>
      <c r="M32" s="6"/>
      <c r="N32" s="6"/>
      <c r="O32" s="6"/>
      <c r="P32" s="418"/>
      <c r="Q32" s="6"/>
      <c r="R32" s="6"/>
      <c r="S32" s="418"/>
      <c r="T32" s="6"/>
      <c r="U32" s="418"/>
      <c r="V32" s="6"/>
      <c r="W32" s="418"/>
    </row>
    <row r="33" spans="1:23">
      <c r="A33" s="116"/>
      <c r="C33" s="7"/>
      <c r="D33" s="7"/>
      <c r="E33" s="35"/>
      <c r="F33" s="35"/>
      <c r="G33" s="9"/>
      <c r="I33" s="9"/>
      <c r="J33" s="417"/>
      <c r="K33" s="1"/>
      <c r="L33" s="6"/>
      <c r="M33" s="6"/>
      <c r="N33" s="6"/>
      <c r="O33" s="6"/>
      <c r="P33" s="418"/>
      <c r="Q33" s="6"/>
      <c r="R33" s="6"/>
      <c r="S33" s="418"/>
      <c r="T33" s="6"/>
      <c r="U33" s="418"/>
      <c r="V33" s="6"/>
      <c r="W33" s="418"/>
    </row>
    <row r="34" spans="1:23">
      <c r="A34" s="40"/>
      <c r="B34" s="45"/>
      <c r="C34" s="9" t="s">
        <v>155</v>
      </c>
      <c r="D34" s="9"/>
      <c r="E34" s="35"/>
      <c r="F34" s="35"/>
      <c r="G34" s="9"/>
      <c r="I34" s="9"/>
      <c r="J34" s="417"/>
      <c r="K34" s="1"/>
      <c r="L34" s="6"/>
      <c r="M34" s="6"/>
      <c r="N34" s="6"/>
      <c r="O34" s="6"/>
      <c r="P34" s="418"/>
      <c r="Q34" s="6"/>
      <c r="R34" s="6"/>
      <c r="S34" s="418"/>
      <c r="T34" s="6"/>
      <c r="U34" s="418"/>
      <c r="V34" s="6"/>
      <c r="W34" s="418"/>
    </row>
    <row r="35" spans="1:23">
      <c r="A35" s="40" t="s">
        <v>150</v>
      </c>
      <c r="B35" s="45"/>
      <c r="C35" s="9" t="s">
        <v>121</v>
      </c>
      <c r="D35" s="9"/>
      <c r="E35" s="35" t="s">
        <v>649</v>
      </c>
      <c r="F35" s="35"/>
      <c r="G35" s="119">
        <v>0</v>
      </c>
      <c r="I35" s="9"/>
      <c r="J35" s="417"/>
      <c r="K35" s="1"/>
      <c r="L35" s="6"/>
      <c r="M35" s="6"/>
      <c r="N35" s="6"/>
      <c r="O35" s="6"/>
      <c r="P35" s="418"/>
      <c r="Q35" s="6"/>
      <c r="R35" s="6"/>
      <c r="S35" s="418"/>
      <c r="T35" s="6"/>
      <c r="U35" s="418"/>
      <c r="V35" s="6"/>
      <c r="W35" s="418"/>
    </row>
    <row r="36" spans="1:23">
      <c r="A36" s="40" t="s">
        <v>152</v>
      </c>
      <c r="B36" s="45"/>
      <c r="C36" s="9" t="s">
        <v>179</v>
      </c>
      <c r="D36" s="9"/>
      <c r="E36" s="35" t="s">
        <v>674</v>
      </c>
      <c r="F36" s="35"/>
      <c r="G36" s="36">
        <f>IF(G35=0,0,G35/G18)</f>
        <v>0</v>
      </c>
      <c r="I36" s="37">
        <f>G36</f>
        <v>0</v>
      </c>
      <c r="J36" s="419"/>
      <c r="K36" s="268"/>
      <c r="L36" s="353"/>
      <c r="M36" s="353"/>
      <c r="N36" s="353"/>
      <c r="O36" s="353"/>
      <c r="P36" s="420"/>
      <c r="Q36" s="353"/>
      <c r="R36" s="353"/>
      <c r="S36" s="420"/>
      <c r="T36" s="353"/>
      <c r="U36" s="420"/>
      <c r="V36" s="353"/>
      <c r="W36" s="420"/>
    </row>
    <row r="37" spans="1:23">
      <c r="A37" s="40"/>
      <c r="C37" s="9"/>
      <c r="D37" s="9"/>
      <c r="E37" s="35"/>
      <c r="F37" s="35"/>
      <c r="G37" s="9"/>
      <c r="I37" s="9"/>
      <c r="J37" s="29" t="s">
        <v>200</v>
      </c>
      <c r="K37" s="421"/>
      <c r="L37" s="7" t="s">
        <v>201</v>
      </c>
      <c r="M37" s="7"/>
      <c r="N37" s="11"/>
      <c r="O37" s="11"/>
      <c r="P37" s="9"/>
      <c r="Q37" s="9"/>
      <c r="R37" s="9"/>
      <c r="S37" s="9"/>
      <c r="T37" s="9"/>
      <c r="U37" s="66">
        <f>SUM(U17:U36)</f>
        <v>0</v>
      </c>
      <c r="V37" s="66">
        <f>SUM(V17:V36)</f>
        <v>0</v>
      </c>
      <c r="W37" s="66">
        <f>SUM(W17:W36)</f>
        <v>0</v>
      </c>
    </row>
    <row r="38" spans="1:23">
      <c r="A38" s="40"/>
      <c r="C38" s="7" t="s">
        <v>60</v>
      </c>
      <c r="D38" s="7"/>
      <c r="E38" s="46"/>
      <c r="F38" s="4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40" t="s">
        <v>154</v>
      </c>
      <c r="C39" s="7" t="s">
        <v>156</v>
      </c>
      <c r="D39" s="7"/>
      <c r="E39" s="35" t="s">
        <v>650</v>
      </c>
      <c r="F39" s="35"/>
      <c r="G39" s="119">
        <f>EKPC!J175</f>
        <v>34359489.484153137</v>
      </c>
      <c r="I39" s="9"/>
      <c r="J39" s="65">
        <v>3</v>
      </c>
      <c r="K39" s="6"/>
      <c r="L39" s="1" t="s">
        <v>651</v>
      </c>
      <c r="M39" s="6"/>
      <c r="N39" s="6"/>
      <c r="O39" s="6"/>
      <c r="P39" s="6"/>
      <c r="Q39" s="6"/>
      <c r="R39" s="6"/>
      <c r="S39" s="6"/>
      <c r="T39" s="6"/>
      <c r="U39" s="66"/>
      <c r="V39" s="6"/>
      <c r="W39" s="66">
        <f>W37</f>
        <v>0</v>
      </c>
    </row>
    <row r="40" spans="1:23">
      <c r="A40" s="40" t="s">
        <v>213</v>
      </c>
      <c r="B40" s="45"/>
      <c r="C40" s="9" t="s">
        <v>180</v>
      </c>
      <c r="D40" s="9"/>
      <c r="E40" s="35" t="s">
        <v>675</v>
      </c>
      <c r="F40" s="35"/>
      <c r="G40" s="47">
        <f>IF(G39=0,0,G39/G18)</f>
        <v>5.2241135491624097E-2</v>
      </c>
      <c r="I40" s="37">
        <f>G40</f>
        <v>5.2241135491624097E-2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>
      <c r="A41" s="40"/>
      <c r="C41" s="7"/>
      <c r="D41" s="7"/>
      <c r="E41" s="35"/>
      <c r="F41" s="35"/>
      <c r="G41" s="9"/>
      <c r="I41" s="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>
      <c r="A42" s="41" t="s">
        <v>214</v>
      </c>
      <c r="B42" s="42"/>
      <c r="C42" s="32" t="s">
        <v>181</v>
      </c>
      <c r="D42" s="32"/>
      <c r="E42" s="31" t="s">
        <v>264</v>
      </c>
      <c r="F42" s="31"/>
      <c r="G42" s="43"/>
      <c r="I42" s="44">
        <f>I36+I40</f>
        <v>5.2241135491624097E-2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602" customFormat="1">
      <c r="A44" s="599" t="s">
        <v>93</v>
      </c>
      <c r="B44" s="600"/>
      <c r="C44" s="600"/>
      <c r="D44" s="600"/>
      <c r="E44" s="600"/>
      <c r="F44" s="600"/>
      <c r="G44" s="600"/>
      <c r="H44" s="600"/>
      <c r="I44" s="600"/>
      <c r="J44" s="604" t="s">
        <v>93</v>
      </c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</row>
    <row r="45" spans="1:23" ht="36" customHeight="1">
      <c r="A45" s="378" t="s">
        <v>95</v>
      </c>
      <c r="C45" s="681" t="s">
        <v>642</v>
      </c>
      <c r="D45" s="681"/>
      <c r="E45" s="681"/>
      <c r="F45" s="681"/>
      <c r="G45" s="681"/>
      <c r="H45" s="681"/>
      <c r="I45" s="681"/>
      <c r="J45" s="422" t="s">
        <v>95</v>
      </c>
      <c r="K45" s="601"/>
      <c r="L45" s="677" t="s">
        <v>642</v>
      </c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</row>
    <row r="46" spans="1:23" ht="33.75" customHeight="1">
      <c r="A46" s="378" t="s">
        <v>96</v>
      </c>
      <c r="C46" s="682" t="s">
        <v>643</v>
      </c>
      <c r="D46" s="682"/>
      <c r="E46" s="682"/>
      <c r="F46" s="682"/>
      <c r="G46" s="682"/>
      <c r="H46" s="682"/>
      <c r="I46" s="682"/>
      <c r="J46" s="422" t="s">
        <v>96</v>
      </c>
      <c r="K46" s="1"/>
      <c r="L46" s="678" t="s">
        <v>643</v>
      </c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</row>
    <row r="47" spans="1:23" ht="30.75" customHeight="1">
      <c r="A47" s="378" t="s">
        <v>97</v>
      </c>
      <c r="C47" s="682" t="s">
        <v>202</v>
      </c>
      <c r="D47" s="682"/>
      <c r="E47" s="682"/>
      <c r="F47" s="682"/>
      <c r="G47" s="682"/>
      <c r="H47" s="682"/>
      <c r="I47" s="682"/>
      <c r="J47" s="422" t="s">
        <v>97</v>
      </c>
      <c r="K47" s="1"/>
      <c r="L47" s="678" t="s">
        <v>202</v>
      </c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</row>
    <row r="48" spans="1:23">
      <c r="A48" s="378" t="s">
        <v>98</v>
      </c>
      <c r="C48" s="683" t="s">
        <v>203</v>
      </c>
      <c r="D48" s="683"/>
      <c r="E48" s="683"/>
      <c r="F48" s="683"/>
      <c r="G48" s="683"/>
      <c r="H48" s="683"/>
      <c r="I48" s="683"/>
      <c r="J48" s="422" t="s">
        <v>98</v>
      </c>
      <c r="K48" s="1"/>
      <c r="L48" s="679" t="s">
        <v>203</v>
      </c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</row>
    <row r="49" spans="1:30" ht="15" customHeight="1">
      <c r="A49" s="378" t="s">
        <v>99</v>
      </c>
      <c r="C49" s="682" t="s">
        <v>546</v>
      </c>
      <c r="D49" s="682"/>
      <c r="E49" s="682"/>
      <c r="F49" s="682"/>
      <c r="G49" s="682"/>
      <c r="H49" s="682"/>
      <c r="I49" s="682"/>
      <c r="J49" s="422" t="s">
        <v>99</v>
      </c>
      <c r="K49" s="1"/>
      <c r="L49" s="675" t="s">
        <v>546</v>
      </c>
      <c r="M49" s="675"/>
      <c r="N49" s="675"/>
      <c r="O49" s="675"/>
      <c r="P49" s="675"/>
      <c r="Q49" s="675"/>
      <c r="R49" s="675"/>
      <c r="S49" s="675"/>
      <c r="T49" s="675"/>
      <c r="U49" s="675"/>
      <c r="V49" s="675"/>
      <c r="W49" s="675"/>
    </row>
    <row r="50" spans="1:30" ht="15" customHeight="1">
      <c r="A50" s="378" t="s">
        <v>100</v>
      </c>
      <c r="C50" s="682" t="s">
        <v>204</v>
      </c>
      <c r="D50" s="682"/>
      <c r="E50" s="682"/>
      <c r="F50" s="682"/>
      <c r="G50" s="682"/>
      <c r="H50" s="682"/>
      <c r="I50" s="682"/>
      <c r="J50" s="422" t="s">
        <v>100</v>
      </c>
      <c r="K50" s="1"/>
      <c r="L50" s="676" t="s">
        <v>204</v>
      </c>
      <c r="M50" s="676"/>
      <c r="N50" s="676"/>
      <c r="O50" s="676"/>
      <c r="P50" s="676"/>
      <c r="Q50" s="676"/>
      <c r="R50" s="676"/>
      <c r="S50" s="676"/>
      <c r="T50" s="676"/>
      <c r="U50" s="676"/>
      <c r="V50" s="676"/>
      <c r="W50" s="676"/>
      <c r="X50" s="30"/>
      <c r="Y50" s="26"/>
      <c r="Z50" s="30"/>
      <c r="AA50" s="26"/>
    </row>
    <row r="51" spans="1:30" ht="15" customHeight="1">
      <c r="A51" s="378" t="s">
        <v>101</v>
      </c>
      <c r="C51" s="682" t="s">
        <v>549</v>
      </c>
      <c r="D51" s="682"/>
      <c r="E51" s="682"/>
      <c r="F51" s="682"/>
      <c r="G51" s="682"/>
      <c r="H51" s="682"/>
      <c r="I51" s="682"/>
      <c r="J51" s="422" t="s">
        <v>101</v>
      </c>
      <c r="K51" s="1"/>
      <c r="L51" s="676" t="s">
        <v>205</v>
      </c>
      <c r="M51" s="676"/>
      <c r="N51" s="676"/>
      <c r="O51" s="676"/>
      <c r="P51" s="676"/>
      <c r="Q51" s="676"/>
      <c r="R51" s="676"/>
      <c r="S51" s="676"/>
      <c r="T51" s="676"/>
      <c r="U51" s="676"/>
      <c r="V51" s="676"/>
      <c r="W51" s="676"/>
      <c r="X51" s="30"/>
      <c r="Y51" s="26"/>
      <c r="Z51" s="30"/>
      <c r="AA51" s="26"/>
    </row>
    <row r="52" spans="1:30" ht="30.75" customHeight="1">
      <c r="A52" s="378" t="s">
        <v>102</v>
      </c>
      <c r="C52" s="682" t="s">
        <v>644</v>
      </c>
      <c r="D52" s="682"/>
      <c r="E52" s="682"/>
      <c r="F52" s="682"/>
      <c r="G52" s="682"/>
      <c r="H52" s="682"/>
      <c r="I52" s="682"/>
      <c r="J52" s="422" t="s">
        <v>102</v>
      </c>
      <c r="K52" s="1"/>
      <c r="L52" s="675" t="s">
        <v>261</v>
      </c>
      <c r="M52" s="675"/>
      <c r="N52" s="675"/>
      <c r="O52" s="675"/>
      <c r="P52" s="675"/>
      <c r="Q52" s="675"/>
      <c r="R52" s="675"/>
      <c r="S52" s="675"/>
      <c r="T52" s="675"/>
      <c r="U52" s="675"/>
      <c r="V52" s="675"/>
      <c r="W52" s="675"/>
      <c r="X52" s="30"/>
      <c r="Y52" s="26"/>
      <c r="Z52" s="30"/>
      <c r="AA52" s="26"/>
    </row>
    <row r="53" spans="1:30" ht="29.25" customHeight="1">
      <c r="J53" s="603"/>
      <c r="K53" s="67"/>
      <c r="L53" s="68"/>
      <c r="M53" s="40"/>
      <c r="N53" s="11"/>
      <c r="O53" s="11"/>
      <c r="P53" s="9"/>
      <c r="Q53" s="1"/>
      <c r="R53" s="1"/>
      <c r="S53" s="36"/>
      <c r="T53" s="1"/>
      <c r="V53" s="9"/>
      <c r="W53" s="49"/>
      <c r="X53" s="30"/>
      <c r="Y53" s="26"/>
      <c r="Z53" s="30"/>
      <c r="AA53" s="26"/>
    </row>
    <row r="54" spans="1:30" ht="15.75">
      <c r="J54" s="48"/>
      <c r="K54" s="67"/>
      <c r="L54" s="68"/>
      <c r="M54" s="40"/>
      <c r="N54" s="11"/>
      <c r="O54" s="11"/>
      <c r="P54" s="9"/>
      <c r="Q54" s="1"/>
      <c r="R54" s="1"/>
      <c r="S54" s="36"/>
      <c r="T54" s="1"/>
      <c r="V54" s="9"/>
      <c r="W54" s="38"/>
      <c r="X54" s="30"/>
      <c r="Y54" s="26"/>
      <c r="Z54" s="30"/>
      <c r="AA54" s="26"/>
    </row>
    <row r="55" spans="1:30"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30"/>
      <c r="Y55" s="26"/>
      <c r="Z55" s="30"/>
      <c r="AA55" s="26"/>
    </row>
    <row r="56" spans="1:30"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30"/>
      <c r="Y56" s="26"/>
      <c r="Z56" s="30"/>
      <c r="AA56" s="26"/>
    </row>
    <row r="57" spans="1:30"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30"/>
      <c r="Y57" s="26"/>
      <c r="Z57" s="30"/>
      <c r="AA57" s="26"/>
    </row>
    <row r="58" spans="1:30"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30"/>
      <c r="Y58" s="26"/>
      <c r="Z58" s="30"/>
      <c r="AA58" s="26"/>
    </row>
    <row r="59" spans="1:30"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30"/>
      <c r="Y59" s="26"/>
      <c r="Z59" s="30"/>
      <c r="AA59" s="26"/>
    </row>
    <row r="60" spans="1:30">
      <c r="X60" s="30"/>
      <c r="Y60" s="26"/>
      <c r="Z60" s="30"/>
      <c r="AA60" s="26"/>
    </row>
    <row r="61" spans="1:30" ht="15.75">
      <c r="I61" s="488"/>
      <c r="X61" s="39"/>
      <c r="Y61" s="26"/>
      <c r="Z61" s="30"/>
      <c r="AA61" s="26"/>
    </row>
    <row r="62" spans="1:30" ht="46.5" customHeight="1">
      <c r="X62" s="30"/>
      <c r="Y62" s="26"/>
      <c r="Z62" s="30"/>
      <c r="AA62" s="26"/>
    </row>
    <row r="63" spans="1:30">
      <c r="X63" s="30"/>
      <c r="Y63" s="26"/>
      <c r="Z63" s="30"/>
      <c r="AA63" s="26"/>
    </row>
    <row r="64" spans="1:30">
      <c r="X64" s="64"/>
      <c r="Y64" s="64"/>
      <c r="Z64" s="64"/>
      <c r="AA64" s="64"/>
      <c r="AB64" s="64"/>
      <c r="AC64" s="64"/>
      <c r="AD64" s="64"/>
    </row>
    <row r="65" spans="24:30">
      <c r="X65" s="64"/>
      <c r="Y65" s="64"/>
      <c r="Z65" s="64"/>
      <c r="AA65" s="64"/>
      <c r="AB65" s="64"/>
      <c r="AC65" s="64"/>
      <c r="AD65" s="64"/>
    </row>
    <row r="66" spans="24:30">
      <c r="X66" s="64"/>
      <c r="Y66" s="64"/>
      <c r="Z66" s="64"/>
      <c r="AA66" s="64"/>
      <c r="AB66" s="64"/>
      <c r="AC66" s="64"/>
      <c r="AD66" s="64"/>
    </row>
    <row r="67" spans="24:30">
      <c r="X67" s="64"/>
      <c r="Y67" s="64"/>
      <c r="Z67" s="64"/>
      <c r="AA67" s="64"/>
      <c r="AB67" s="64"/>
      <c r="AC67" s="64"/>
      <c r="AD67" s="64"/>
    </row>
    <row r="68" spans="24:30">
      <c r="X68" s="64"/>
      <c r="Y68" s="64"/>
      <c r="Z68" s="64"/>
      <c r="AA68" s="64"/>
      <c r="AB68" s="64"/>
      <c r="AC68" s="64"/>
      <c r="AD68" s="64"/>
    </row>
    <row r="69" spans="24:30">
      <c r="X69" s="64"/>
      <c r="Y69" s="64"/>
      <c r="Z69" s="64"/>
      <c r="AA69" s="64"/>
      <c r="AB69" s="64"/>
      <c r="AC69" s="64"/>
      <c r="AD69" s="64"/>
    </row>
    <row r="70" spans="24:30">
      <c r="X70" s="64"/>
      <c r="Y70" s="64"/>
      <c r="Z70" s="64"/>
      <c r="AA70" s="64"/>
      <c r="AB70" s="64"/>
      <c r="AC70" s="64"/>
      <c r="AD70" s="64"/>
    </row>
    <row r="71" spans="24:30">
      <c r="X71" s="64"/>
      <c r="Y71" s="64"/>
      <c r="Z71" s="64"/>
      <c r="AA71" s="64"/>
      <c r="AB71" s="64"/>
      <c r="AC71" s="64"/>
      <c r="AD71" s="64"/>
    </row>
    <row r="72" spans="24:30">
      <c r="X72" s="64"/>
      <c r="Y72" s="64"/>
      <c r="Z72" s="64"/>
      <c r="AA72" s="64"/>
      <c r="AB72" s="64"/>
      <c r="AC72" s="64"/>
      <c r="AD72" s="64"/>
    </row>
    <row r="73" spans="24:30">
      <c r="X73" s="64"/>
      <c r="Y73" s="64"/>
      <c r="Z73" s="64"/>
      <c r="AA73" s="64"/>
      <c r="AB73" s="64"/>
      <c r="AC73" s="64"/>
      <c r="AD73" s="64"/>
    </row>
    <row r="74" spans="24:30">
      <c r="X74" s="64"/>
      <c r="Y74" s="64"/>
      <c r="Z74" s="64"/>
      <c r="AA74" s="64"/>
      <c r="AB74" s="64"/>
      <c r="AC74" s="64"/>
      <c r="AD74" s="64"/>
    </row>
    <row r="75" spans="24:30">
      <c r="X75" s="64"/>
      <c r="Y75" s="64"/>
      <c r="Z75" s="64"/>
      <c r="AA75" s="64"/>
      <c r="AB75" s="64"/>
      <c r="AC75" s="64"/>
      <c r="AD75" s="64"/>
    </row>
    <row r="76" spans="24:30">
      <c r="X76" s="64"/>
      <c r="Y76" s="64"/>
      <c r="Z76" s="64"/>
      <c r="AA76" s="64"/>
      <c r="AB76" s="64"/>
      <c r="AC76" s="64"/>
      <c r="AD76" s="64"/>
    </row>
    <row r="77" spans="24:30">
      <c r="X77" s="64"/>
      <c r="Y77" s="64"/>
      <c r="Z77" s="64"/>
      <c r="AA77" s="64"/>
      <c r="AB77" s="64"/>
      <c r="AC77" s="64"/>
      <c r="AD77" s="64"/>
    </row>
    <row r="78" spans="24:30">
      <c r="X78" s="64"/>
      <c r="Y78" s="64"/>
      <c r="Z78" s="64"/>
      <c r="AA78" s="64"/>
      <c r="AB78" s="64"/>
      <c r="AC78" s="64"/>
      <c r="AD78" s="64"/>
    </row>
    <row r="79" spans="24:30">
      <c r="X79" s="64"/>
      <c r="Y79" s="64"/>
      <c r="Z79" s="64"/>
      <c r="AA79" s="64"/>
      <c r="AB79" s="64"/>
      <c r="AC79" s="64"/>
      <c r="AD79" s="64"/>
    </row>
    <row r="80" spans="24:30">
      <c r="X80" s="64"/>
      <c r="Y80" s="64"/>
      <c r="Z80" s="64"/>
      <c r="AA80" s="64"/>
      <c r="AB80" s="64"/>
      <c r="AC80" s="64"/>
      <c r="AD80" s="64"/>
    </row>
    <row r="81" spans="24:30">
      <c r="X81" s="64"/>
      <c r="Y81" s="64"/>
      <c r="Z81" s="64"/>
      <c r="AA81" s="64"/>
      <c r="AB81" s="64"/>
      <c r="AC81" s="64"/>
      <c r="AD81" s="64"/>
    </row>
    <row r="82" spans="24:30">
      <c r="X82" s="64"/>
      <c r="Y82" s="64"/>
      <c r="Z82" s="64"/>
      <c r="AA82" s="64"/>
      <c r="AB82" s="64"/>
      <c r="AC82" s="64"/>
      <c r="AD82" s="64"/>
    </row>
    <row r="83" spans="24:30">
      <c r="X83" s="64"/>
      <c r="Y83" s="64"/>
      <c r="Z83" s="64"/>
      <c r="AA83" s="64"/>
      <c r="AB83" s="64"/>
      <c r="AC83" s="64"/>
      <c r="AD83" s="64"/>
    </row>
    <row r="84" spans="24:30">
      <c r="X84" s="64"/>
      <c r="Y84" s="64"/>
      <c r="Z84" s="64"/>
      <c r="AA84" s="64"/>
      <c r="AB84" s="64"/>
      <c r="AC84" s="64"/>
      <c r="AD84" s="64"/>
    </row>
    <row r="85" spans="24:30">
      <c r="X85" s="64"/>
      <c r="Y85" s="64"/>
      <c r="Z85" s="64"/>
      <c r="AA85" s="64"/>
      <c r="AB85" s="64"/>
      <c r="AC85" s="64"/>
      <c r="AD85" s="64"/>
    </row>
    <row r="86" spans="24:30">
      <c r="X86" s="64"/>
      <c r="Y86" s="64"/>
      <c r="Z86" s="64"/>
      <c r="AA86" s="64"/>
      <c r="AB86" s="64"/>
      <c r="AC86" s="64"/>
      <c r="AD86" s="64"/>
    </row>
    <row r="87" spans="24:30">
      <c r="X87" s="64"/>
      <c r="Y87" s="64"/>
      <c r="Z87" s="64"/>
      <c r="AA87" s="64"/>
      <c r="AB87" s="64"/>
      <c r="AC87" s="64"/>
      <c r="AD87" s="64"/>
    </row>
    <row r="88" spans="24:30">
      <c r="X88" s="64"/>
      <c r="Y88" s="64"/>
      <c r="Z88" s="64"/>
      <c r="AA88" s="64"/>
      <c r="AB88" s="64"/>
      <c r="AC88" s="64"/>
      <c r="AD88" s="64"/>
    </row>
    <row r="89" spans="24:30">
      <c r="X89" s="64"/>
      <c r="Y89" s="64"/>
      <c r="Z89" s="64"/>
      <c r="AA89" s="64"/>
      <c r="AB89" s="64"/>
      <c r="AC89" s="64"/>
      <c r="AD89" s="64"/>
    </row>
    <row r="90" spans="24:30">
      <c r="X90" s="64"/>
      <c r="Y90" s="64"/>
      <c r="Z90" s="64"/>
      <c r="AA90" s="64"/>
      <c r="AB90" s="64"/>
      <c r="AC90" s="64"/>
      <c r="AD90" s="64"/>
    </row>
    <row r="91" spans="24:30">
      <c r="X91" s="64"/>
      <c r="Y91" s="64"/>
      <c r="Z91" s="64"/>
      <c r="AA91" s="64"/>
      <c r="AB91" s="64"/>
      <c r="AC91" s="64"/>
      <c r="AD91" s="64"/>
    </row>
    <row r="92" spans="24:30">
      <c r="X92" s="64"/>
      <c r="Y92" s="64"/>
      <c r="Z92" s="64"/>
      <c r="AA92" s="64"/>
      <c r="AB92" s="64"/>
      <c r="AC92" s="64"/>
      <c r="AD92" s="64"/>
    </row>
    <row r="93" spans="24:30" ht="27.75" customHeight="1">
      <c r="X93" s="64"/>
      <c r="Y93" s="64"/>
      <c r="Z93" s="64"/>
      <c r="AA93" s="64"/>
      <c r="AB93" s="64"/>
      <c r="AC93" s="64"/>
      <c r="AD93" s="64"/>
    </row>
    <row r="94" spans="24:30">
      <c r="X94" s="64"/>
      <c r="Y94" s="64"/>
      <c r="Z94" s="64"/>
      <c r="AA94" s="64"/>
      <c r="AB94" s="64"/>
      <c r="AC94" s="64"/>
      <c r="AD94" s="64"/>
    </row>
    <row r="95" spans="24:30">
      <c r="X95" s="64"/>
      <c r="Y95" s="64"/>
      <c r="Z95" s="64"/>
      <c r="AA95" s="64"/>
      <c r="AB95" s="64"/>
      <c r="AC95" s="64"/>
      <c r="AD95" s="64"/>
    </row>
    <row r="96" spans="24:30">
      <c r="X96" s="64"/>
      <c r="Y96" s="64"/>
      <c r="Z96" s="64"/>
      <c r="AA96" s="64"/>
      <c r="AB96" s="64"/>
      <c r="AC96" s="64"/>
      <c r="AD96" s="64"/>
    </row>
    <row r="97" spans="3:30">
      <c r="X97" s="64"/>
      <c r="Y97" s="64"/>
      <c r="Z97" s="64"/>
      <c r="AA97" s="64"/>
      <c r="AB97" s="64"/>
      <c r="AC97" s="64"/>
      <c r="AD97" s="64"/>
    </row>
    <row r="98" spans="3:30" ht="30" customHeight="1">
      <c r="X98" s="64"/>
      <c r="Y98" s="64"/>
      <c r="Z98" s="64"/>
      <c r="AA98" s="64"/>
      <c r="AB98" s="64"/>
      <c r="AC98" s="64"/>
      <c r="AD98" s="64"/>
    </row>
    <row r="99" spans="3:30" ht="30" customHeight="1">
      <c r="X99" s="64"/>
      <c r="Y99" s="64"/>
      <c r="Z99" s="64"/>
      <c r="AA99" s="64"/>
      <c r="AB99" s="64"/>
      <c r="AC99" s="64"/>
      <c r="AD99" s="64"/>
    </row>
    <row r="100" spans="3:30" ht="30" customHeight="1">
      <c r="X100" s="64"/>
      <c r="Y100" s="64"/>
      <c r="Z100" s="64"/>
      <c r="AA100" s="64"/>
      <c r="AB100" s="64"/>
      <c r="AC100" s="64"/>
      <c r="AD100" s="64"/>
    </row>
    <row r="101" spans="3:30">
      <c r="X101" s="64"/>
      <c r="Y101" s="64"/>
      <c r="Z101" s="64"/>
      <c r="AA101" s="64"/>
      <c r="AB101" s="64"/>
      <c r="AC101" s="64"/>
      <c r="AD101" s="64"/>
    </row>
    <row r="102" spans="3:30">
      <c r="X102" s="64"/>
      <c r="Y102" s="64"/>
      <c r="Z102" s="64"/>
      <c r="AA102" s="64"/>
      <c r="AB102" s="64"/>
      <c r="AC102" s="64"/>
      <c r="AD102" s="64"/>
    </row>
    <row r="103" spans="3:30">
      <c r="X103" s="64"/>
      <c r="Y103" s="64"/>
      <c r="Z103" s="64"/>
      <c r="AA103" s="64"/>
      <c r="AB103" s="64"/>
      <c r="AC103" s="64"/>
      <c r="AD103" s="64"/>
    </row>
    <row r="104" spans="3:30">
      <c r="C104" s="64"/>
      <c r="D104" s="64"/>
      <c r="E104" s="64"/>
      <c r="F104" s="64"/>
      <c r="G104" s="64"/>
      <c r="H104" s="64"/>
      <c r="I104" s="64"/>
      <c r="X104" s="64"/>
      <c r="Y104" s="64"/>
      <c r="Z104" s="64"/>
      <c r="AA104" s="64"/>
      <c r="AB104" s="64"/>
      <c r="AC104" s="64"/>
      <c r="AD104" s="64"/>
    </row>
    <row r="105" spans="3:30">
      <c r="C105" s="64"/>
      <c r="D105" s="64"/>
      <c r="E105" s="64"/>
      <c r="F105" s="64"/>
      <c r="G105" s="64"/>
      <c r="H105" s="64"/>
      <c r="I105" s="64"/>
      <c r="X105" s="64"/>
      <c r="Y105" s="64"/>
      <c r="Z105" s="64"/>
      <c r="AA105" s="64"/>
      <c r="AB105" s="64"/>
      <c r="AC105" s="64"/>
      <c r="AD105" s="64"/>
    </row>
    <row r="106" spans="3:30">
      <c r="C106" s="64"/>
      <c r="D106" s="64"/>
      <c r="E106" s="64"/>
      <c r="F106" s="64"/>
      <c r="G106" s="64"/>
      <c r="H106" s="64"/>
      <c r="I106" s="64"/>
    </row>
    <row r="107" spans="3:30">
      <c r="C107" s="64"/>
      <c r="D107" s="64"/>
      <c r="E107" s="64"/>
      <c r="F107" s="64"/>
      <c r="G107" s="64"/>
      <c r="H107" s="64"/>
      <c r="I107" s="64"/>
    </row>
    <row r="108" spans="3:30">
      <c r="C108" s="64"/>
      <c r="D108" s="64"/>
      <c r="E108" s="64"/>
      <c r="F108" s="64"/>
      <c r="G108" s="64"/>
      <c r="H108" s="64"/>
      <c r="I108" s="64"/>
    </row>
    <row r="109" spans="3:30">
      <c r="C109" s="64"/>
      <c r="D109" s="64"/>
      <c r="E109" s="64"/>
      <c r="F109" s="64"/>
      <c r="G109" s="64"/>
      <c r="H109" s="64"/>
      <c r="I109" s="64"/>
    </row>
    <row r="110" spans="3:30">
      <c r="C110" s="64"/>
      <c r="D110" s="64"/>
      <c r="E110" s="64"/>
      <c r="F110" s="64"/>
      <c r="G110" s="64"/>
      <c r="H110" s="64"/>
      <c r="I110" s="64"/>
    </row>
    <row r="111" spans="3:30">
      <c r="C111" s="64"/>
      <c r="D111" s="64"/>
      <c r="E111" s="64"/>
      <c r="F111" s="64"/>
      <c r="G111" s="64"/>
      <c r="H111" s="64"/>
      <c r="I111" s="64"/>
    </row>
    <row r="112" spans="3:30">
      <c r="C112" s="64"/>
      <c r="D112" s="64"/>
      <c r="E112" s="64"/>
      <c r="F112" s="64"/>
      <c r="G112" s="64"/>
      <c r="H112" s="64"/>
      <c r="I112" s="64"/>
    </row>
    <row r="113" spans="3:9">
      <c r="C113" s="64"/>
      <c r="D113" s="64"/>
      <c r="E113" s="64"/>
      <c r="F113" s="64"/>
      <c r="G113" s="64"/>
      <c r="H113" s="64"/>
      <c r="I113" s="64"/>
    </row>
    <row r="114" spans="3:9">
      <c r="C114" s="64"/>
      <c r="D114" s="64"/>
      <c r="E114" s="64"/>
      <c r="F114" s="64"/>
      <c r="G114" s="64"/>
      <c r="H114" s="64"/>
      <c r="I114" s="64"/>
    </row>
    <row r="115" spans="3:9">
      <c r="C115" s="64"/>
      <c r="D115" s="64"/>
      <c r="E115" s="64"/>
      <c r="F115" s="64"/>
      <c r="G115" s="64"/>
      <c r="H115" s="64"/>
      <c r="I115" s="64"/>
    </row>
    <row r="116" spans="3:9">
      <c r="C116" s="64"/>
      <c r="D116" s="64"/>
      <c r="E116" s="64"/>
      <c r="F116" s="64"/>
      <c r="G116" s="64"/>
      <c r="H116" s="64"/>
      <c r="I116" s="64"/>
    </row>
    <row r="117" spans="3:9">
      <c r="C117" s="64"/>
      <c r="D117" s="64"/>
      <c r="E117" s="64"/>
      <c r="F117" s="64"/>
      <c r="G117" s="64"/>
      <c r="H117" s="64"/>
      <c r="I117" s="64"/>
    </row>
    <row r="118" spans="3:9">
      <c r="C118" s="64"/>
      <c r="D118" s="64"/>
      <c r="E118" s="64"/>
      <c r="F118" s="64"/>
      <c r="G118" s="64"/>
      <c r="H118" s="64"/>
      <c r="I118" s="64"/>
    </row>
    <row r="119" spans="3:9">
      <c r="C119" s="64"/>
      <c r="D119" s="64"/>
      <c r="E119" s="64"/>
      <c r="F119" s="64"/>
      <c r="G119" s="64"/>
      <c r="H119" s="64"/>
      <c r="I119" s="64"/>
    </row>
    <row r="120" spans="3:9">
      <c r="C120" s="64"/>
      <c r="D120" s="64"/>
      <c r="E120" s="64"/>
      <c r="F120" s="64"/>
      <c r="G120" s="64"/>
      <c r="H120" s="64"/>
      <c r="I120" s="64"/>
    </row>
    <row r="121" spans="3:9">
      <c r="C121" s="64"/>
      <c r="D121" s="64"/>
      <c r="E121" s="64"/>
      <c r="F121" s="64"/>
      <c r="G121" s="64"/>
      <c r="H121" s="64"/>
      <c r="I121" s="64"/>
    </row>
    <row r="122" spans="3:9">
      <c r="C122" s="64"/>
      <c r="D122" s="64"/>
      <c r="E122" s="64"/>
      <c r="F122" s="64"/>
      <c r="G122" s="64"/>
      <c r="H122" s="64"/>
      <c r="I122" s="64"/>
    </row>
    <row r="123" spans="3:9">
      <c r="C123" s="64"/>
      <c r="D123" s="64"/>
      <c r="E123" s="64"/>
      <c r="F123" s="64"/>
      <c r="G123" s="64"/>
      <c r="H123" s="64"/>
      <c r="I123" s="64"/>
    </row>
    <row r="124" spans="3:9">
      <c r="C124" s="64"/>
      <c r="D124" s="64"/>
      <c r="E124" s="64"/>
      <c r="F124" s="64"/>
      <c r="G124" s="64"/>
      <c r="H124" s="64"/>
      <c r="I124" s="64"/>
    </row>
    <row r="125" spans="3:9">
      <c r="C125" s="64"/>
      <c r="D125" s="64"/>
      <c r="E125" s="64"/>
      <c r="F125" s="64"/>
      <c r="G125" s="64"/>
      <c r="H125" s="64"/>
      <c r="I125" s="64"/>
    </row>
    <row r="126" spans="3:9">
      <c r="C126" s="64"/>
      <c r="D126" s="64"/>
      <c r="E126" s="64"/>
      <c r="F126" s="64"/>
      <c r="G126" s="64"/>
      <c r="H126" s="64"/>
      <c r="I126" s="64"/>
    </row>
    <row r="127" spans="3:9">
      <c r="C127" s="64"/>
      <c r="D127" s="64"/>
      <c r="E127" s="64"/>
      <c r="F127" s="64"/>
      <c r="G127" s="64"/>
      <c r="H127" s="64"/>
      <c r="I127" s="64"/>
    </row>
    <row r="128" spans="3:9">
      <c r="C128" s="64"/>
      <c r="D128" s="64"/>
      <c r="E128" s="64"/>
      <c r="F128" s="64"/>
      <c r="G128" s="64"/>
      <c r="H128" s="64"/>
      <c r="I128" s="64"/>
    </row>
    <row r="129" spans="3:9">
      <c r="C129" s="64"/>
      <c r="D129" s="64"/>
      <c r="E129" s="64"/>
      <c r="F129" s="64"/>
      <c r="G129" s="64"/>
      <c r="H129" s="64"/>
      <c r="I129" s="64"/>
    </row>
    <row r="130" spans="3:9">
      <c r="C130" s="64"/>
      <c r="D130" s="64"/>
      <c r="E130" s="64"/>
      <c r="F130" s="64"/>
      <c r="G130" s="64"/>
      <c r="H130" s="64"/>
      <c r="I130" s="64"/>
    </row>
    <row r="131" spans="3:9">
      <c r="C131" s="64"/>
      <c r="D131" s="64"/>
      <c r="E131" s="64"/>
      <c r="F131" s="64"/>
      <c r="G131" s="64"/>
      <c r="H131" s="64"/>
      <c r="I131" s="64"/>
    </row>
    <row r="132" spans="3:9">
      <c r="C132" s="64"/>
      <c r="D132" s="64"/>
      <c r="E132" s="64"/>
      <c r="F132" s="64"/>
      <c r="G132" s="64"/>
      <c r="H132" s="64"/>
      <c r="I132" s="64"/>
    </row>
    <row r="133" spans="3:9">
      <c r="C133" s="64"/>
      <c r="D133" s="64"/>
      <c r="E133" s="64"/>
      <c r="F133" s="64"/>
      <c r="G133" s="64"/>
      <c r="H133" s="64"/>
      <c r="I133" s="64"/>
    </row>
    <row r="134" spans="3:9">
      <c r="C134" s="64"/>
      <c r="D134" s="64"/>
      <c r="E134" s="64"/>
      <c r="F134" s="64"/>
      <c r="G134" s="64"/>
      <c r="H134" s="64"/>
      <c r="I134" s="64"/>
    </row>
    <row r="135" spans="3:9">
      <c r="C135" s="64"/>
      <c r="D135" s="64"/>
      <c r="E135" s="64"/>
      <c r="F135" s="64"/>
      <c r="G135" s="64"/>
      <c r="H135" s="64"/>
      <c r="I135" s="64"/>
    </row>
    <row r="136" spans="3:9">
      <c r="C136" s="64"/>
      <c r="D136" s="64"/>
      <c r="E136" s="64"/>
      <c r="F136" s="64"/>
      <c r="G136" s="64"/>
      <c r="H136" s="64"/>
      <c r="I136" s="64"/>
    </row>
    <row r="137" spans="3:9">
      <c r="C137" s="64"/>
      <c r="D137" s="64"/>
      <c r="E137" s="64"/>
      <c r="F137" s="64"/>
      <c r="G137" s="64"/>
      <c r="H137" s="64"/>
      <c r="I137" s="64"/>
    </row>
    <row r="138" spans="3:9">
      <c r="C138" s="64"/>
      <c r="D138" s="64"/>
      <c r="E138" s="64"/>
      <c r="F138" s="64"/>
      <c r="G138" s="64"/>
      <c r="H138" s="64"/>
      <c r="I138" s="64"/>
    </row>
    <row r="139" spans="3:9">
      <c r="C139" s="64"/>
      <c r="D139" s="64"/>
      <c r="E139" s="64"/>
      <c r="F139" s="64"/>
      <c r="G139" s="64"/>
      <c r="H139" s="64"/>
      <c r="I139" s="64"/>
    </row>
    <row r="140" spans="3:9">
      <c r="C140" s="64"/>
      <c r="D140" s="64"/>
      <c r="E140" s="64"/>
      <c r="F140" s="64"/>
      <c r="G140" s="64"/>
      <c r="H140" s="64"/>
      <c r="I140" s="64"/>
    </row>
    <row r="141" spans="3:9">
      <c r="C141" s="64"/>
      <c r="D141" s="64"/>
      <c r="E141" s="64"/>
      <c r="F141" s="64"/>
      <c r="G141" s="64"/>
      <c r="H141" s="64"/>
      <c r="I141" s="64"/>
    </row>
    <row r="142" spans="3:9">
      <c r="C142" s="64"/>
      <c r="D142" s="64"/>
      <c r="E142" s="64"/>
      <c r="F142" s="64"/>
      <c r="G142" s="64"/>
      <c r="H142" s="64"/>
      <c r="I142" s="64"/>
    </row>
    <row r="143" spans="3:9">
      <c r="C143" s="64"/>
      <c r="D143" s="64"/>
      <c r="E143" s="64"/>
      <c r="F143" s="64"/>
      <c r="G143" s="64"/>
      <c r="H143" s="64"/>
      <c r="I143" s="64"/>
    </row>
    <row r="144" spans="3:9">
      <c r="C144" s="64"/>
      <c r="D144" s="64"/>
      <c r="E144" s="64"/>
      <c r="F144" s="64"/>
      <c r="G144" s="64"/>
      <c r="H144" s="64"/>
      <c r="I144" s="64"/>
    </row>
    <row r="145" spans="3:9">
      <c r="C145" s="64"/>
      <c r="D145" s="64"/>
      <c r="E145" s="64"/>
      <c r="F145" s="64"/>
      <c r="G145" s="64"/>
      <c r="H145" s="64"/>
      <c r="I145" s="64"/>
    </row>
    <row r="146" spans="3:9">
      <c r="C146" s="64"/>
      <c r="D146" s="64"/>
      <c r="E146" s="64"/>
      <c r="F146" s="64"/>
      <c r="G146" s="64"/>
      <c r="H146" s="64"/>
      <c r="I146" s="64"/>
    </row>
    <row r="147" spans="3:9">
      <c r="C147" s="64"/>
      <c r="D147" s="64"/>
      <c r="E147" s="64"/>
      <c r="F147" s="64"/>
      <c r="G147" s="64"/>
      <c r="H147" s="64"/>
      <c r="I147" s="64"/>
    </row>
    <row r="148" spans="3:9">
      <c r="C148" s="64"/>
      <c r="D148" s="64"/>
      <c r="E148" s="64"/>
      <c r="F148" s="64"/>
      <c r="G148" s="64"/>
      <c r="H148" s="64"/>
      <c r="I148" s="64"/>
    </row>
    <row r="149" spans="3:9">
      <c r="C149" s="64"/>
      <c r="D149" s="64"/>
      <c r="E149" s="64"/>
      <c r="F149" s="64"/>
      <c r="G149" s="64"/>
      <c r="H149" s="64"/>
      <c r="I149" s="64"/>
    </row>
    <row r="150" spans="3:9">
      <c r="C150" s="64"/>
      <c r="D150" s="64"/>
      <c r="E150" s="64"/>
      <c r="F150" s="64"/>
      <c r="G150" s="64"/>
      <c r="H150" s="64"/>
      <c r="I150" s="64"/>
    </row>
    <row r="151" spans="3:9">
      <c r="C151" s="64"/>
      <c r="D151" s="64"/>
      <c r="E151" s="64"/>
      <c r="F151" s="64"/>
      <c r="G151" s="64"/>
      <c r="H151" s="64"/>
      <c r="I151" s="64"/>
    </row>
    <row r="152" spans="3:9">
      <c r="C152" s="64"/>
      <c r="D152" s="64"/>
      <c r="E152" s="64"/>
      <c r="F152" s="64"/>
      <c r="G152" s="64"/>
      <c r="H152" s="64"/>
      <c r="I152" s="64"/>
    </row>
    <row r="153" spans="3:9">
      <c r="C153" s="64"/>
      <c r="D153" s="64"/>
      <c r="E153" s="64"/>
      <c r="F153" s="64"/>
      <c r="G153" s="64"/>
      <c r="H153" s="64"/>
      <c r="I153" s="64"/>
    </row>
    <row r="154" spans="3:9">
      <c r="C154" s="64"/>
      <c r="D154" s="64"/>
      <c r="E154" s="64"/>
      <c r="F154" s="64"/>
      <c r="G154" s="64"/>
      <c r="H154" s="64"/>
      <c r="I154" s="64"/>
    </row>
    <row r="155" spans="3:9">
      <c r="C155" s="64"/>
      <c r="D155" s="64"/>
      <c r="E155" s="64"/>
      <c r="F155" s="64"/>
      <c r="G155" s="64"/>
      <c r="H155" s="64"/>
      <c r="I155" s="64"/>
    </row>
    <row r="156" spans="3:9">
      <c r="C156" s="64"/>
      <c r="D156" s="64"/>
      <c r="E156" s="64"/>
      <c r="F156" s="64"/>
      <c r="G156" s="64"/>
      <c r="H156" s="64"/>
      <c r="I156" s="64"/>
    </row>
    <row r="157" spans="3:9">
      <c r="C157" s="64"/>
      <c r="D157" s="64"/>
      <c r="E157" s="64"/>
      <c r="F157" s="64"/>
      <c r="G157" s="64"/>
      <c r="H157" s="64"/>
      <c r="I157" s="64"/>
    </row>
    <row r="158" spans="3:9">
      <c r="C158" s="64"/>
      <c r="D158" s="64"/>
      <c r="E158" s="64"/>
      <c r="F158" s="64"/>
      <c r="G158" s="64"/>
      <c r="H158" s="64"/>
      <c r="I158" s="64"/>
    </row>
    <row r="159" spans="3:9">
      <c r="C159" s="64"/>
      <c r="D159" s="64"/>
      <c r="E159" s="64"/>
      <c r="F159" s="64"/>
      <c r="G159" s="64"/>
      <c r="H159" s="64"/>
      <c r="I159" s="64"/>
    </row>
    <row r="160" spans="3:9">
      <c r="C160" s="64"/>
      <c r="D160" s="64"/>
      <c r="E160" s="64"/>
      <c r="F160" s="64"/>
      <c r="G160" s="64"/>
      <c r="H160" s="64"/>
      <c r="I160" s="64"/>
    </row>
    <row r="161" spans="3:9">
      <c r="C161" s="64"/>
      <c r="D161" s="64"/>
      <c r="E161" s="64"/>
      <c r="F161" s="64"/>
      <c r="G161" s="64"/>
      <c r="H161" s="64"/>
      <c r="I161" s="64"/>
    </row>
    <row r="162" spans="3:9">
      <c r="C162" s="64"/>
      <c r="D162" s="64"/>
      <c r="E162" s="64"/>
      <c r="F162" s="64"/>
      <c r="G162" s="64"/>
      <c r="H162" s="64"/>
      <c r="I162" s="64"/>
    </row>
    <row r="163" spans="3:9">
      <c r="C163" s="64"/>
      <c r="D163" s="64"/>
      <c r="E163" s="64"/>
      <c r="F163" s="64"/>
      <c r="G163" s="64"/>
      <c r="H163" s="64"/>
      <c r="I163" s="64"/>
    </row>
    <row r="164" spans="3:9">
      <c r="C164" s="64"/>
      <c r="D164" s="64"/>
      <c r="E164" s="64"/>
      <c r="F164" s="64"/>
      <c r="G164" s="64"/>
      <c r="H164" s="64"/>
      <c r="I164" s="64"/>
    </row>
    <row r="165" spans="3:9">
      <c r="C165" s="64"/>
      <c r="D165" s="64"/>
      <c r="E165" s="64"/>
      <c r="F165" s="64"/>
      <c r="G165" s="64"/>
      <c r="H165" s="64"/>
      <c r="I165" s="64"/>
    </row>
    <row r="166" spans="3:9">
      <c r="C166" s="64"/>
      <c r="D166" s="64"/>
      <c r="E166" s="64"/>
      <c r="F166" s="64"/>
      <c r="G166" s="64"/>
      <c r="H166" s="64"/>
      <c r="I166" s="64"/>
    </row>
    <row r="167" spans="3:9">
      <c r="C167" s="64"/>
      <c r="D167" s="64"/>
      <c r="E167" s="64"/>
      <c r="F167" s="64"/>
      <c r="G167" s="64"/>
      <c r="H167" s="64"/>
      <c r="I167" s="64"/>
    </row>
    <row r="168" spans="3:9">
      <c r="C168" s="64"/>
      <c r="D168" s="64"/>
      <c r="E168" s="64"/>
      <c r="F168" s="64"/>
      <c r="G168" s="64"/>
      <c r="H168" s="64"/>
      <c r="I168" s="64"/>
    </row>
    <row r="169" spans="3:9">
      <c r="C169" s="64"/>
      <c r="D169" s="64"/>
      <c r="E169" s="64"/>
      <c r="F169" s="64"/>
      <c r="G169" s="64"/>
      <c r="H169" s="64"/>
      <c r="I169" s="64"/>
    </row>
    <row r="170" spans="3:9">
      <c r="C170" s="64"/>
      <c r="D170" s="64"/>
      <c r="E170" s="64"/>
      <c r="F170" s="64"/>
      <c r="G170" s="64"/>
      <c r="H170" s="64"/>
      <c r="I170" s="64"/>
    </row>
    <row r="171" spans="3:9">
      <c r="C171" s="64"/>
      <c r="D171" s="64"/>
      <c r="E171" s="64"/>
      <c r="F171" s="64"/>
      <c r="G171" s="64"/>
      <c r="H171" s="64"/>
      <c r="I171" s="64"/>
    </row>
    <row r="172" spans="3:9">
      <c r="C172" s="64"/>
      <c r="D172" s="64"/>
      <c r="E172" s="64"/>
      <c r="F172" s="64"/>
      <c r="G172" s="64"/>
      <c r="H172" s="64"/>
      <c r="I172" s="64"/>
    </row>
    <row r="173" spans="3:9">
      <c r="C173" s="64"/>
      <c r="D173" s="64"/>
      <c r="E173" s="64"/>
      <c r="F173" s="64"/>
      <c r="G173" s="64"/>
      <c r="H173" s="64"/>
      <c r="I173" s="64"/>
    </row>
    <row r="174" spans="3:9">
      <c r="C174" s="64"/>
      <c r="D174" s="64"/>
      <c r="E174" s="64"/>
      <c r="F174" s="64"/>
      <c r="G174" s="64"/>
      <c r="H174" s="64"/>
      <c r="I174" s="64"/>
    </row>
    <row r="175" spans="3:9">
      <c r="C175" s="64"/>
      <c r="D175" s="64"/>
      <c r="E175" s="64"/>
      <c r="F175" s="64"/>
      <c r="G175" s="64"/>
      <c r="H175" s="64"/>
      <c r="I175" s="64"/>
    </row>
    <row r="176" spans="3:9">
      <c r="C176" s="64"/>
      <c r="D176" s="64"/>
      <c r="E176" s="64"/>
      <c r="F176" s="64"/>
      <c r="G176" s="64"/>
      <c r="H176" s="64"/>
      <c r="I176" s="64"/>
    </row>
    <row r="177" spans="3:9">
      <c r="C177" s="64"/>
      <c r="D177" s="64"/>
      <c r="E177" s="64"/>
      <c r="F177" s="64"/>
      <c r="G177" s="64"/>
      <c r="H177" s="64"/>
      <c r="I177" s="64"/>
    </row>
    <row r="178" spans="3:9">
      <c r="C178" s="64"/>
      <c r="D178" s="64"/>
      <c r="E178" s="64"/>
      <c r="F178" s="64"/>
      <c r="G178" s="64"/>
      <c r="H178" s="64"/>
      <c r="I178" s="64"/>
    </row>
    <row r="179" spans="3:9">
      <c r="C179" s="64"/>
      <c r="D179" s="64"/>
      <c r="E179" s="64"/>
      <c r="F179" s="64"/>
      <c r="G179" s="64"/>
      <c r="H179" s="64"/>
      <c r="I179" s="64"/>
    </row>
    <row r="180" spans="3:9">
      <c r="C180" s="64"/>
      <c r="D180" s="64"/>
      <c r="E180" s="64"/>
      <c r="F180" s="64"/>
      <c r="G180" s="64"/>
      <c r="H180" s="64"/>
      <c r="I180" s="64"/>
    </row>
    <row r="181" spans="3:9">
      <c r="C181" s="64"/>
      <c r="D181" s="64"/>
      <c r="E181" s="64"/>
      <c r="F181" s="64"/>
      <c r="G181" s="64"/>
      <c r="H181" s="64"/>
      <c r="I181" s="64"/>
    </row>
    <row r="182" spans="3:9">
      <c r="C182" s="64"/>
      <c r="D182" s="64"/>
      <c r="E182" s="64"/>
      <c r="F182" s="64"/>
      <c r="G182" s="64"/>
      <c r="H182" s="64"/>
      <c r="I182" s="64"/>
    </row>
    <row r="183" spans="3:9">
      <c r="C183" s="64"/>
      <c r="D183" s="64"/>
      <c r="E183" s="64"/>
      <c r="F183" s="64"/>
      <c r="G183" s="64"/>
      <c r="H183" s="64"/>
      <c r="I183" s="64"/>
    </row>
    <row r="184" spans="3:9">
      <c r="C184" s="64"/>
      <c r="D184" s="64"/>
      <c r="E184" s="64"/>
      <c r="F184" s="64"/>
      <c r="G184" s="64"/>
      <c r="H184" s="64"/>
      <c r="I184" s="64"/>
    </row>
    <row r="185" spans="3:9">
      <c r="C185" s="64"/>
      <c r="D185" s="64"/>
      <c r="E185" s="64"/>
      <c r="F185" s="64"/>
      <c r="G185" s="64"/>
      <c r="H185" s="64"/>
      <c r="I185" s="64"/>
    </row>
    <row r="186" spans="3:9">
      <c r="C186" s="64"/>
      <c r="D186" s="64"/>
      <c r="E186" s="64"/>
      <c r="F186" s="64"/>
      <c r="G186" s="64"/>
      <c r="H186" s="64"/>
      <c r="I186" s="64"/>
    </row>
    <row r="187" spans="3:9">
      <c r="C187" s="64"/>
      <c r="D187" s="64"/>
      <c r="E187" s="64"/>
      <c r="F187" s="64"/>
      <c r="G187" s="64"/>
      <c r="H187" s="64"/>
      <c r="I187" s="64"/>
    </row>
    <row r="188" spans="3:9">
      <c r="C188" s="64"/>
      <c r="D188" s="64"/>
      <c r="E188" s="64"/>
      <c r="F188" s="64"/>
      <c r="G188" s="64"/>
      <c r="H188" s="64"/>
      <c r="I188" s="64"/>
    </row>
    <row r="189" spans="3:9">
      <c r="C189" s="64"/>
      <c r="D189" s="64"/>
      <c r="E189" s="64"/>
      <c r="F189" s="64"/>
      <c r="G189" s="64"/>
      <c r="H189" s="64"/>
      <c r="I189" s="64"/>
    </row>
    <row r="190" spans="3:9">
      <c r="C190" s="64"/>
      <c r="D190" s="64"/>
      <c r="E190" s="64"/>
      <c r="F190" s="64"/>
      <c r="G190" s="64"/>
      <c r="H190" s="64"/>
      <c r="I190" s="64"/>
    </row>
    <row r="191" spans="3:9">
      <c r="C191" s="64"/>
      <c r="D191" s="64"/>
      <c r="E191" s="64"/>
      <c r="F191" s="64"/>
      <c r="G191" s="64"/>
      <c r="H191" s="64"/>
      <c r="I191" s="64"/>
    </row>
    <row r="192" spans="3:9">
      <c r="C192" s="64"/>
      <c r="D192" s="64"/>
      <c r="E192" s="64"/>
      <c r="F192" s="64"/>
      <c r="G192" s="64"/>
      <c r="H192" s="64"/>
      <c r="I192" s="64"/>
    </row>
    <row r="193" spans="3:9">
      <c r="C193" s="64"/>
      <c r="D193" s="64"/>
      <c r="E193" s="64"/>
      <c r="F193" s="64"/>
      <c r="G193" s="64"/>
      <c r="H193" s="64"/>
      <c r="I193" s="64"/>
    </row>
    <row r="194" spans="3:9">
      <c r="C194" s="64"/>
      <c r="D194" s="64"/>
      <c r="E194" s="64"/>
      <c r="F194" s="64"/>
      <c r="G194" s="64"/>
      <c r="H194" s="64"/>
      <c r="I194" s="64"/>
    </row>
    <row r="195" spans="3:9">
      <c r="C195" s="64"/>
      <c r="D195" s="64"/>
      <c r="E195" s="64"/>
      <c r="F195" s="64"/>
      <c r="G195" s="64"/>
      <c r="H195" s="64"/>
      <c r="I195" s="64"/>
    </row>
    <row r="196" spans="3:9">
      <c r="C196" s="64"/>
      <c r="D196" s="64"/>
      <c r="E196" s="64"/>
      <c r="F196" s="64"/>
      <c r="G196" s="64"/>
      <c r="H196" s="64"/>
      <c r="I196" s="64"/>
    </row>
    <row r="197" spans="3:9">
      <c r="C197" s="64"/>
      <c r="D197" s="64"/>
      <c r="E197" s="64"/>
      <c r="F197" s="64"/>
      <c r="G197" s="64"/>
      <c r="H197" s="64"/>
      <c r="I197" s="64"/>
    </row>
    <row r="198" spans="3:9">
      <c r="C198" s="64"/>
      <c r="D198" s="64"/>
      <c r="E198" s="64"/>
      <c r="F198" s="64"/>
      <c r="G198" s="64"/>
      <c r="H198" s="64"/>
      <c r="I198" s="64"/>
    </row>
    <row r="199" spans="3:9">
      <c r="C199" s="64"/>
      <c r="D199" s="64"/>
      <c r="E199" s="64"/>
      <c r="F199" s="64"/>
      <c r="G199" s="64"/>
      <c r="H199" s="64"/>
      <c r="I199" s="64"/>
    </row>
    <row r="200" spans="3:9">
      <c r="C200" s="64"/>
      <c r="D200" s="64"/>
      <c r="E200" s="64"/>
      <c r="F200" s="64"/>
      <c r="G200" s="64"/>
      <c r="H200" s="64"/>
      <c r="I200" s="64"/>
    </row>
    <row r="201" spans="3:9">
      <c r="C201" s="64"/>
      <c r="D201" s="64"/>
      <c r="E201" s="64"/>
      <c r="F201" s="64"/>
      <c r="G201" s="64"/>
      <c r="H201" s="64"/>
      <c r="I201" s="64"/>
    </row>
    <row r="202" spans="3:9">
      <c r="C202" s="64"/>
      <c r="D202" s="64"/>
      <c r="E202" s="64"/>
      <c r="F202" s="64"/>
      <c r="G202" s="64"/>
      <c r="H202" s="64"/>
      <c r="I202" s="64"/>
    </row>
    <row r="203" spans="3:9">
      <c r="C203" s="64"/>
      <c r="D203" s="64"/>
      <c r="E203" s="64"/>
      <c r="F203" s="64"/>
      <c r="G203" s="64"/>
      <c r="H203" s="64"/>
      <c r="I203" s="64"/>
    </row>
    <row r="204" spans="3:9">
      <c r="C204" s="64"/>
      <c r="D204" s="64"/>
      <c r="E204" s="64"/>
      <c r="F204" s="64"/>
      <c r="G204" s="64"/>
      <c r="H204" s="64"/>
      <c r="I204" s="64"/>
    </row>
    <row r="205" spans="3:9">
      <c r="C205" s="64"/>
      <c r="D205" s="64"/>
      <c r="E205" s="64"/>
      <c r="F205" s="64"/>
      <c r="G205" s="64"/>
      <c r="H205" s="64"/>
      <c r="I205" s="64"/>
    </row>
    <row r="206" spans="3:9">
      <c r="C206" s="64"/>
      <c r="D206" s="64"/>
      <c r="E206" s="64"/>
      <c r="F206" s="64"/>
      <c r="G206" s="64"/>
      <c r="H206" s="64"/>
      <c r="I206" s="64"/>
    </row>
    <row r="207" spans="3:9">
      <c r="C207" s="64"/>
      <c r="D207" s="64"/>
      <c r="E207" s="64"/>
      <c r="F207" s="64"/>
      <c r="G207" s="64"/>
      <c r="H207" s="64"/>
      <c r="I207" s="64"/>
    </row>
    <row r="208" spans="3:9">
      <c r="C208" s="64"/>
      <c r="D208" s="64"/>
      <c r="E208" s="64"/>
      <c r="F208" s="64"/>
      <c r="G208" s="64"/>
      <c r="H208" s="64"/>
      <c r="I208" s="64"/>
    </row>
    <row r="209" spans="3:9">
      <c r="C209" s="64"/>
      <c r="D209" s="64"/>
      <c r="E209" s="64"/>
      <c r="F209" s="64"/>
      <c r="G209" s="64"/>
      <c r="H209" s="64"/>
      <c r="I209" s="64"/>
    </row>
    <row r="210" spans="3:9">
      <c r="C210" s="64"/>
      <c r="D210" s="64"/>
      <c r="E210" s="64"/>
      <c r="F210" s="64"/>
      <c r="G210" s="64"/>
      <c r="H210" s="64"/>
      <c r="I210" s="64"/>
    </row>
    <row r="211" spans="3:9">
      <c r="C211" s="64"/>
      <c r="D211" s="64"/>
      <c r="E211" s="64"/>
      <c r="F211" s="64"/>
      <c r="G211" s="64"/>
      <c r="H211" s="64"/>
      <c r="I211" s="64"/>
    </row>
    <row r="212" spans="3:9">
      <c r="C212" s="64"/>
      <c r="D212" s="64"/>
      <c r="E212" s="64"/>
      <c r="F212" s="64"/>
      <c r="G212" s="64"/>
      <c r="H212" s="64"/>
      <c r="I212" s="64"/>
    </row>
    <row r="213" spans="3:9">
      <c r="C213" s="64"/>
      <c r="D213" s="64"/>
      <c r="E213" s="64"/>
      <c r="F213" s="64"/>
      <c r="G213" s="64"/>
      <c r="H213" s="64"/>
      <c r="I213" s="64"/>
    </row>
    <row r="214" spans="3:9">
      <c r="C214" s="64"/>
      <c r="D214" s="64"/>
      <c r="E214" s="64"/>
      <c r="F214" s="64"/>
      <c r="G214" s="64"/>
      <c r="H214" s="64"/>
      <c r="I214" s="64"/>
    </row>
    <row r="215" spans="3:9">
      <c r="C215" s="64"/>
      <c r="D215" s="64"/>
      <c r="E215" s="64"/>
      <c r="F215" s="64"/>
      <c r="G215" s="64"/>
      <c r="H215" s="64"/>
      <c r="I215" s="64"/>
    </row>
    <row r="216" spans="3:9">
      <c r="C216" s="64"/>
      <c r="D216" s="64"/>
      <c r="E216" s="64"/>
      <c r="F216" s="64"/>
      <c r="G216" s="64"/>
      <c r="H216" s="64"/>
      <c r="I216" s="64"/>
    </row>
    <row r="217" spans="3:9">
      <c r="C217" s="64"/>
      <c r="D217" s="64"/>
      <c r="E217" s="64"/>
      <c r="F217" s="64"/>
      <c r="G217" s="64"/>
      <c r="H217" s="64"/>
      <c r="I217" s="64"/>
    </row>
    <row r="218" spans="3:9">
      <c r="C218" s="64"/>
      <c r="D218" s="64"/>
      <c r="E218" s="64"/>
      <c r="F218" s="64"/>
      <c r="G218" s="64"/>
      <c r="H218" s="64"/>
      <c r="I218" s="64"/>
    </row>
    <row r="219" spans="3:9">
      <c r="C219" s="64"/>
      <c r="D219" s="64"/>
      <c r="E219" s="64"/>
      <c r="F219" s="64"/>
      <c r="G219" s="64"/>
      <c r="H219" s="64"/>
      <c r="I219" s="64"/>
    </row>
    <row r="220" spans="3:9">
      <c r="C220" s="64"/>
      <c r="D220" s="64"/>
      <c r="E220" s="64"/>
      <c r="F220" s="64"/>
      <c r="G220" s="64"/>
      <c r="H220" s="64"/>
      <c r="I220" s="64"/>
    </row>
    <row r="221" spans="3:9">
      <c r="C221" s="64"/>
      <c r="D221" s="64"/>
      <c r="E221" s="64"/>
      <c r="F221" s="64"/>
      <c r="G221" s="64"/>
      <c r="H221" s="64"/>
      <c r="I221" s="64"/>
    </row>
    <row r="222" spans="3:9">
      <c r="C222" s="64"/>
      <c r="D222" s="64"/>
      <c r="E222" s="64"/>
      <c r="F222" s="64"/>
      <c r="G222" s="64"/>
      <c r="H222" s="64"/>
      <c r="I222" s="64"/>
    </row>
    <row r="223" spans="3:9">
      <c r="C223" s="64"/>
      <c r="D223" s="64"/>
      <c r="E223" s="64"/>
      <c r="F223" s="64"/>
      <c r="G223" s="64"/>
      <c r="H223" s="64"/>
      <c r="I223" s="64"/>
    </row>
    <row r="224" spans="3:9">
      <c r="C224" s="64"/>
      <c r="D224" s="64"/>
      <c r="E224" s="64"/>
      <c r="F224" s="64"/>
      <c r="G224" s="64"/>
      <c r="H224" s="64"/>
      <c r="I224" s="64"/>
    </row>
    <row r="225" spans="3:9">
      <c r="C225" s="64"/>
      <c r="D225" s="64"/>
      <c r="E225" s="64"/>
      <c r="F225" s="64"/>
      <c r="G225" s="64"/>
      <c r="H225" s="64"/>
      <c r="I225" s="64"/>
    </row>
    <row r="226" spans="3:9">
      <c r="C226" s="64"/>
      <c r="D226" s="64"/>
      <c r="E226" s="64"/>
      <c r="F226" s="64"/>
      <c r="G226" s="64"/>
      <c r="H226" s="64"/>
      <c r="I226" s="64"/>
    </row>
    <row r="227" spans="3:9">
      <c r="C227" s="64"/>
      <c r="D227" s="64"/>
      <c r="E227" s="64"/>
      <c r="F227" s="64"/>
      <c r="G227" s="64"/>
      <c r="H227" s="64"/>
      <c r="I227" s="64"/>
    </row>
    <row r="228" spans="3:9">
      <c r="C228" s="64"/>
      <c r="D228" s="64"/>
      <c r="E228" s="64"/>
      <c r="F228" s="64"/>
      <c r="G228" s="64"/>
      <c r="H228" s="64"/>
      <c r="I228" s="64"/>
    </row>
    <row r="229" spans="3:9">
      <c r="C229" s="64"/>
      <c r="D229" s="64"/>
      <c r="E229" s="64"/>
      <c r="F229" s="64"/>
      <c r="G229" s="64"/>
      <c r="H229" s="64"/>
      <c r="I229" s="64"/>
    </row>
    <row r="230" spans="3:9">
      <c r="C230" s="64"/>
      <c r="D230" s="64"/>
      <c r="E230" s="64"/>
      <c r="F230" s="64"/>
      <c r="G230" s="64"/>
      <c r="H230" s="64"/>
      <c r="I230" s="64"/>
    </row>
    <row r="231" spans="3:9">
      <c r="C231" s="64"/>
      <c r="D231" s="64"/>
      <c r="E231" s="64"/>
      <c r="F231" s="64"/>
      <c r="G231" s="64"/>
      <c r="H231" s="64"/>
      <c r="I231" s="64"/>
    </row>
    <row r="232" spans="3:9">
      <c r="C232" s="64"/>
      <c r="D232" s="64"/>
      <c r="E232" s="64"/>
      <c r="F232" s="64"/>
      <c r="G232" s="64"/>
      <c r="H232" s="64"/>
      <c r="I232" s="64"/>
    </row>
    <row r="233" spans="3:9">
      <c r="C233" s="64"/>
      <c r="D233" s="64"/>
      <c r="E233" s="64"/>
      <c r="F233" s="64"/>
      <c r="G233" s="64"/>
      <c r="H233" s="64"/>
      <c r="I233" s="64"/>
    </row>
    <row r="234" spans="3:9">
      <c r="C234" s="64"/>
      <c r="D234" s="64"/>
      <c r="E234" s="64"/>
      <c r="F234" s="64"/>
      <c r="G234" s="64"/>
      <c r="H234" s="64"/>
      <c r="I234" s="64"/>
    </row>
    <row r="235" spans="3:9">
      <c r="C235" s="64"/>
      <c r="D235" s="64"/>
      <c r="E235" s="64"/>
      <c r="F235" s="64"/>
      <c r="G235" s="64"/>
      <c r="H235" s="64"/>
      <c r="I235" s="64"/>
    </row>
    <row r="236" spans="3:9">
      <c r="C236" s="64"/>
      <c r="D236" s="64"/>
      <c r="E236" s="64"/>
      <c r="F236" s="64"/>
      <c r="G236" s="64"/>
      <c r="H236" s="64"/>
      <c r="I236" s="64"/>
    </row>
    <row r="237" spans="3:9">
      <c r="C237" s="64"/>
      <c r="D237" s="64"/>
      <c r="E237" s="64"/>
      <c r="F237" s="64"/>
      <c r="G237" s="64"/>
      <c r="H237" s="64"/>
      <c r="I237" s="64"/>
    </row>
    <row r="238" spans="3:9">
      <c r="C238" s="64"/>
      <c r="D238" s="64"/>
      <c r="E238" s="64"/>
      <c r="F238" s="64"/>
      <c r="G238" s="64"/>
      <c r="H238" s="64"/>
      <c r="I238" s="64"/>
    </row>
    <row r="239" spans="3:9">
      <c r="C239" s="64"/>
      <c r="D239" s="64"/>
      <c r="E239" s="64"/>
      <c r="F239" s="64"/>
      <c r="G239" s="64"/>
      <c r="H239" s="64"/>
      <c r="I239" s="64"/>
    </row>
    <row r="240" spans="3:9">
      <c r="C240" s="64"/>
      <c r="D240" s="64"/>
      <c r="E240" s="64"/>
      <c r="F240" s="64"/>
      <c r="G240" s="64"/>
      <c r="H240" s="64"/>
      <c r="I240" s="64"/>
    </row>
    <row r="241" spans="3:9">
      <c r="C241" s="64"/>
      <c r="D241" s="64"/>
      <c r="E241" s="64"/>
      <c r="F241" s="64"/>
      <c r="G241" s="64"/>
      <c r="H241" s="64"/>
      <c r="I241" s="64"/>
    </row>
    <row r="242" spans="3:9">
      <c r="C242" s="64"/>
      <c r="D242" s="64"/>
      <c r="E242" s="64"/>
      <c r="F242" s="64"/>
      <c r="G242" s="64"/>
      <c r="H242" s="64"/>
      <c r="I242" s="64"/>
    </row>
    <row r="243" spans="3:9">
      <c r="C243" s="64"/>
      <c r="D243" s="64"/>
      <c r="E243" s="64"/>
      <c r="F243" s="64"/>
      <c r="G243" s="64"/>
      <c r="H243" s="64"/>
      <c r="I243" s="64"/>
    </row>
    <row r="244" spans="3:9">
      <c r="C244" s="64"/>
      <c r="D244" s="64"/>
      <c r="E244" s="64"/>
      <c r="F244" s="64"/>
      <c r="G244" s="64"/>
      <c r="H244" s="64"/>
      <c r="I244" s="64"/>
    </row>
    <row r="245" spans="3:9">
      <c r="C245" s="64"/>
      <c r="D245" s="64"/>
      <c r="E245" s="64"/>
      <c r="F245" s="64"/>
      <c r="G245" s="64"/>
      <c r="H245" s="64"/>
      <c r="I245" s="64"/>
    </row>
    <row r="246" spans="3:9">
      <c r="C246" s="64"/>
      <c r="D246" s="64"/>
      <c r="E246" s="64"/>
      <c r="F246" s="64"/>
      <c r="G246" s="64"/>
      <c r="H246" s="64"/>
      <c r="I246" s="64"/>
    </row>
    <row r="247" spans="3:9">
      <c r="C247" s="64"/>
      <c r="D247" s="64"/>
      <c r="E247" s="64"/>
      <c r="F247" s="64"/>
      <c r="G247" s="64"/>
      <c r="H247" s="64"/>
      <c r="I247" s="64"/>
    </row>
    <row r="248" spans="3:9">
      <c r="C248" s="64"/>
      <c r="D248" s="64"/>
      <c r="E248" s="64"/>
      <c r="F248" s="64"/>
      <c r="G248" s="64"/>
      <c r="H248" s="64"/>
      <c r="I248" s="64"/>
    </row>
    <row r="249" spans="3:9">
      <c r="C249" s="64"/>
      <c r="D249" s="64"/>
      <c r="E249" s="64"/>
      <c r="F249" s="64"/>
      <c r="G249" s="64"/>
      <c r="H249" s="64"/>
      <c r="I249" s="64"/>
    </row>
    <row r="250" spans="3:9">
      <c r="C250" s="64"/>
      <c r="D250" s="64"/>
      <c r="E250" s="64"/>
      <c r="F250" s="64"/>
      <c r="G250" s="64"/>
      <c r="H250" s="64"/>
      <c r="I250" s="64"/>
    </row>
    <row r="251" spans="3:9">
      <c r="C251" s="64"/>
      <c r="D251" s="64"/>
      <c r="E251" s="64"/>
      <c r="F251" s="64"/>
      <c r="G251" s="64"/>
      <c r="H251" s="64"/>
      <c r="I251" s="64"/>
    </row>
    <row r="252" spans="3:9">
      <c r="C252" s="64"/>
      <c r="D252" s="64"/>
      <c r="E252" s="64"/>
      <c r="F252" s="64"/>
      <c r="G252" s="64"/>
      <c r="H252" s="64"/>
      <c r="I252" s="64"/>
    </row>
    <row r="253" spans="3:9">
      <c r="C253" s="64"/>
      <c r="D253" s="64"/>
      <c r="E253" s="64"/>
      <c r="F253" s="64"/>
      <c r="G253" s="64"/>
      <c r="H253" s="64"/>
      <c r="I253" s="64"/>
    </row>
    <row r="254" spans="3:9">
      <c r="C254" s="64"/>
      <c r="D254" s="64"/>
      <c r="E254" s="64"/>
      <c r="F254" s="64"/>
      <c r="G254" s="64"/>
      <c r="H254" s="64"/>
      <c r="I254" s="64"/>
    </row>
    <row r="255" spans="3:9">
      <c r="C255" s="64"/>
      <c r="D255" s="64"/>
      <c r="E255" s="64"/>
      <c r="F255" s="64"/>
      <c r="G255" s="64"/>
      <c r="H255" s="64"/>
      <c r="I255" s="64"/>
    </row>
    <row r="256" spans="3:9">
      <c r="C256" s="64"/>
      <c r="D256" s="64"/>
      <c r="E256" s="64"/>
      <c r="F256" s="64"/>
      <c r="G256" s="64"/>
      <c r="H256" s="64"/>
      <c r="I256" s="64"/>
    </row>
    <row r="257" spans="3:9">
      <c r="C257" s="64"/>
      <c r="D257" s="64"/>
      <c r="E257" s="64"/>
      <c r="F257" s="64"/>
      <c r="G257" s="64"/>
      <c r="H257" s="64"/>
      <c r="I257" s="64"/>
    </row>
    <row r="258" spans="3:9">
      <c r="C258" s="64"/>
      <c r="D258" s="64"/>
      <c r="E258" s="64"/>
      <c r="F258" s="64"/>
      <c r="G258" s="64"/>
      <c r="H258" s="64"/>
      <c r="I258" s="64"/>
    </row>
    <row r="259" spans="3:9">
      <c r="C259" s="64"/>
      <c r="D259" s="64"/>
      <c r="E259" s="64"/>
      <c r="F259" s="64"/>
      <c r="G259" s="64"/>
      <c r="H259" s="64"/>
      <c r="I259" s="64"/>
    </row>
    <row r="260" spans="3:9">
      <c r="C260" s="64"/>
      <c r="D260" s="64"/>
      <c r="E260" s="64"/>
      <c r="F260" s="64"/>
      <c r="G260" s="64"/>
      <c r="H260" s="64"/>
      <c r="I260" s="64"/>
    </row>
    <row r="261" spans="3:9">
      <c r="C261" s="64"/>
      <c r="D261" s="64"/>
      <c r="E261" s="64"/>
      <c r="F261" s="64"/>
      <c r="G261" s="64"/>
      <c r="H261" s="64"/>
      <c r="I261" s="64"/>
    </row>
    <row r="262" spans="3:9">
      <c r="C262" s="64"/>
      <c r="D262" s="64"/>
      <c r="E262" s="64"/>
      <c r="F262" s="64"/>
      <c r="G262" s="64"/>
      <c r="H262" s="64"/>
      <c r="I262" s="64"/>
    </row>
    <row r="263" spans="3:9">
      <c r="C263" s="64"/>
      <c r="D263" s="64"/>
      <c r="E263" s="64"/>
      <c r="F263" s="64"/>
      <c r="G263" s="64"/>
      <c r="H263" s="64"/>
      <c r="I263" s="64"/>
    </row>
    <row r="264" spans="3:9">
      <c r="C264" s="64"/>
      <c r="D264" s="64"/>
      <c r="E264" s="64"/>
      <c r="F264" s="64"/>
      <c r="G264" s="64"/>
      <c r="H264" s="64"/>
      <c r="I264" s="64"/>
    </row>
    <row r="265" spans="3:9">
      <c r="C265" s="64"/>
      <c r="D265" s="64"/>
      <c r="E265" s="64"/>
      <c r="F265" s="64"/>
      <c r="G265" s="64"/>
      <c r="H265" s="64"/>
      <c r="I265" s="64"/>
    </row>
    <row r="266" spans="3:9">
      <c r="C266" s="64"/>
      <c r="D266" s="64"/>
      <c r="E266" s="64"/>
      <c r="F266" s="64"/>
      <c r="G266" s="64"/>
      <c r="H266" s="64"/>
      <c r="I266" s="64"/>
    </row>
    <row r="267" spans="3:9">
      <c r="C267" s="64"/>
      <c r="D267" s="64"/>
      <c r="E267" s="64"/>
      <c r="F267" s="64"/>
      <c r="G267" s="64"/>
      <c r="H267" s="64"/>
      <c r="I267" s="64"/>
    </row>
    <row r="268" spans="3:9">
      <c r="C268" s="64"/>
      <c r="D268" s="64"/>
      <c r="E268" s="64"/>
      <c r="F268" s="64"/>
      <c r="G268" s="64"/>
      <c r="H268" s="64"/>
      <c r="I268" s="64"/>
    </row>
    <row r="269" spans="3:9">
      <c r="C269" s="64"/>
      <c r="D269" s="64"/>
      <c r="E269" s="64"/>
      <c r="F269" s="64"/>
      <c r="G269" s="64"/>
      <c r="H269" s="64"/>
      <c r="I269" s="64"/>
    </row>
    <row r="270" spans="3:9">
      <c r="C270" s="64"/>
      <c r="D270" s="64"/>
      <c r="E270" s="64"/>
      <c r="F270" s="64"/>
      <c r="G270" s="64"/>
      <c r="H270" s="64"/>
      <c r="I270" s="64"/>
    </row>
    <row r="271" spans="3:9">
      <c r="C271" s="64"/>
      <c r="D271" s="64"/>
      <c r="E271" s="64"/>
      <c r="F271" s="64"/>
      <c r="G271" s="64"/>
      <c r="H271" s="64"/>
      <c r="I271" s="64"/>
    </row>
    <row r="272" spans="3:9">
      <c r="C272" s="64"/>
      <c r="D272" s="64"/>
      <c r="E272" s="64"/>
      <c r="F272" s="64"/>
      <c r="G272" s="64"/>
      <c r="H272" s="64"/>
      <c r="I272" s="64"/>
    </row>
    <row r="273" spans="3:9">
      <c r="C273" s="64"/>
      <c r="D273" s="64"/>
      <c r="E273" s="64"/>
      <c r="F273" s="64"/>
      <c r="G273" s="64"/>
      <c r="H273" s="64"/>
      <c r="I273" s="64"/>
    </row>
    <row r="274" spans="3:9">
      <c r="C274" s="64"/>
      <c r="D274" s="64"/>
      <c r="E274" s="64"/>
      <c r="F274" s="64"/>
      <c r="G274" s="64"/>
      <c r="H274" s="64"/>
      <c r="I274" s="64"/>
    </row>
    <row r="275" spans="3:9">
      <c r="C275" s="64"/>
      <c r="D275" s="64"/>
      <c r="E275" s="64"/>
      <c r="F275" s="64"/>
      <c r="G275" s="64"/>
      <c r="H275" s="64"/>
      <c r="I275" s="64"/>
    </row>
    <row r="276" spans="3:9">
      <c r="C276" s="64"/>
      <c r="D276" s="64"/>
      <c r="E276" s="64"/>
      <c r="F276" s="64"/>
      <c r="G276" s="64"/>
      <c r="H276" s="64"/>
      <c r="I276" s="64"/>
    </row>
    <row r="277" spans="3:9">
      <c r="C277" s="64"/>
      <c r="D277" s="64"/>
      <c r="E277" s="64"/>
      <c r="F277" s="64"/>
      <c r="G277" s="64"/>
      <c r="H277" s="64"/>
      <c r="I277" s="64"/>
    </row>
    <row r="278" spans="3:9">
      <c r="C278" s="64"/>
      <c r="D278" s="64"/>
      <c r="E278" s="64"/>
      <c r="F278" s="64"/>
      <c r="G278" s="64"/>
      <c r="H278" s="64"/>
      <c r="I278" s="64"/>
    </row>
    <row r="279" spans="3:9">
      <c r="C279" s="64"/>
      <c r="D279" s="64"/>
      <c r="E279" s="64"/>
      <c r="F279" s="64"/>
      <c r="G279" s="64"/>
      <c r="H279" s="64"/>
      <c r="I279" s="64"/>
    </row>
    <row r="280" spans="3:9">
      <c r="C280" s="64"/>
      <c r="D280" s="64"/>
      <c r="E280" s="64"/>
      <c r="F280" s="64"/>
      <c r="G280" s="64"/>
      <c r="H280" s="64"/>
      <c r="I280" s="64"/>
    </row>
    <row r="281" spans="3:9">
      <c r="C281" s="64"/>
      <c r="D281" s="64"/>
      <c r="E281" s="64"/>
      <c r="F281" s="64"/>
      <c r="G281" s="64"/>
      <c r="H281" s="64"/>
      <c r="I281" s="64"/>
    </row>
    <row r="282" spans="3:9">
      <c r="C282" s="64"/>
      <c r="D282" s="64"/>
      <c r="E282" s="64"/>
      <c r="F282" s="64"/>
      <c r="G282" s="64"/>
      <c r="H282" s="64"/>
      <c r="I282" s="64"/>
    </row>
    <row r="283" spans="3:9">
      <c r="C283" s="64"/>
      <c r="D283" s="64"/>
      <c r="E283" s="64"/>
      <c r="F283" s="64"/>
      <c r="G283" s="64"/>
      <c r="H283" s="64"/>
      <c r="I283" s="64"/>
    </row>
    <row r="284" spans="3:9">
      <c r="C284" s="64"/>
      <c r="D284" s="64"/>
      <c r="E284" s="64"/>
      <c r="F284" s="64"/>
      <c r="G284" s="64"/>
      <c r="H284" s="64"/>
      <c r="I284" s="64"/>
    </row>
    <row r="285" spans="3:9">
      <c r="C285" s="64"/>
      <c r="D285" s="64"/>
      <c r="E285" s="64"/>
      <c r="F285" s="64"/>
      <c r="G285" s="64"/>
      <c r="H285" s="64"/>
      <c r="I285" s="64"/>
    </row>
    <row r="286" spans="3:9">
      <c r="C286" s="64"/>
      <c r="D286" s="64"/>
      <c r="E286" s="64"/>
      <c r="F286" s="64"/>
      <c r="G286" s="64"/>
      <c r="H286" s="64"/>
      <c r="I286" s="64"/>
    </row>
    <row r="287" spans="3:9">
      <c r="C287" s="64"/>
      <c r="D287" s="64"/>
      <c r="E287" s="64"/>
      <c r="F287" s="64"/>
      <c r="G287" s="64"/>
      <c r="H287" s="64"/>
      <c r="I287" s="64"/>
    </row>
    <row r="288" spans="3:9">
      <c r="C288" s="64"/>
      <c r="D288" s="64"/>
      <c r="E288" s="64"/>
      <c r="F288" s="64"/>
      <c r="G288" s="64"/>
      <c r="H288" s="64"/>
      <c r="I288" s="64"/>
    </row>
    <row r="289" spans="3:9">
      <c r="C289" s="64"/>
      <c r="D289" s="64"/>
      <c r="E289" s="64"/>
      <c r="F289" s="64"/>
      <c r="G289" s="64"/>
      <c r="H289" s="64"/>
      <c r="I289" s="64"/>
    </row>
    <row r="290" spans="3:9">
      <c r="C290" s="64"/>
      <c r="D290" s="64"/>
      <c r="E290" s="64"/>
      <c r="F290" s="64"/>
      <c r="G290" s="64"/>
      <c r="H290" s="64"/>
      <c r="I290" s="64"/>
    </row>
    <row r="291" spans="3:9">
      <c r="C291" s="64"/>
      <c r="D291" s="64"/>
      <c r="E291" s="64"/>
      <c r="F291" s="64"/>
      <c r="G291" s="64"/>
      <c r="H291" s="64"/>
      <c r="I291" s="64"/>
    </row>
    <row r="292" spans="3:9">
      <c r="C292" s="64"/>
      <c r="D292" s="64"/>
      <c r="E292" s="64"/>
      <c r="F292" s="64"/>
      <c r="G292" s="64"/>
      <c r="H292" s="64"/>
      <c r="I292" s="64"/>
    </row>
    <row r="293" spans="3:9">
      <c r="C293" s="64"/>
      <c r="D293" s="64"/>
      <c r="E293" s="64"/>
      <c r="F293" s="64"/>
      <c r="G293" s="64"/>
      <c r="H293" s="64"/>
      <c r="I293" s="64"/>
    </row>
    <row r="294" spans="3:9">
      <c r="C294" s="64"/>
      <c r="D294" s="64"/>
      <c r="E294" s="64"/>
      <c r="F294" s="64"/>
      <c r="G294" s="64"/>
      <c r="H294" s="64"/>
      <c r="I294" s="64"/>
    </row>
  </sheetData>
  <mergeCells count="17">
    <mergeCell ref="A8:I8"/>
    <mergeCell ref="C45:I45"/>
    <mergeCell ref="C46:I46"/>
    <mergeCell ref="C47:I47"/>
    <mergeCell ref="C52:I52"/>
    <mergeCell ref="C48:I48"/>
    <mergeCell ref="C49:I49"/>
    <mergeCell ref="C50:I50"/>
    <mergeCell ref="C51:I51"/>
    <mergeCell ref="L52:W52"/>
    <mergeCell ref="L51:W51"/>
    <mergeCell ref="L45:W45"/>
    <mergeCell ref="L46:W46"/>
    <mergeCell ref="L47:W47"/>
    <mergeCell ref="L48:W48"/>
    <mergeCell ref="L49:W49"/>
    <mergeCell ref="L50:W50"/>
  </mergeCells>
  <printOptions horizontalCentered="1"/>
  <pageMargins left="0.25" right="0.25" top="0.72" bottom="0.5" header="0.5" footer="0.5"/>
  <pageSetup scale="40" fitToWidth="2" pageOrder="overThenDown" orientation="portrait" verticalDpi="300" r:id="rId1"/>
  <headerFooter alignWithMargins="0"/>
  <rowBreaks count="1" manualBreakCount="1">
    <brk id="53" max="16383" man="1"/>
  </rowBreaks>
  <colBreaks count="1" manualBreakCount="1">
    <brk id="9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view="pageBreakPreview" zoomScale="80" zoomScaleNormal="70" zoomScaleSheetLayoutView="80" workbookViewId="0"/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13">
      <c r="E1" s="2" t="str">
        <f>EKPC!J1</f>
        <v>Attachment H-24A</v>
      </c>
      <c r="H1" s="26"/>
      <c r="I1" s="26"/>
      <c r="J1" s="26"/>
      <c r="K1" s="26"/>
      <c r="L1" s="26"/>
      <c r="M1" s="26"/>
    </row>
    <row r="2" spans="1:13">
      <c r="E2" s="2" t="s">
        <v>394</v>
      </c>
      <c r="H2" s="521"/>
      <c r="I2" s="521"/>
      <c r="J2" s="521"/>
      <c r="K2" s="521"/>
      <c r="L2" s="522"/>
      <c r="M2" s="522"/>
    </row>
    <row r="3" spans="1:13">
      <c r="E3" s="2" t="s">
        <v>147</v>
      </c>
      <c r="G3" s="521"/>
    </row>
    <row r="4" spans="1:13">
      <c r="E4" s="5" t="str">
        <f>EKPC!J7</f>
        <v>For the 12 months ended 12/31/2025</v>
      </c>
      <c r="G4" s="521"/>
    </row>
    <row r="5" spans="1:13">
      <c r="A5" s="72" t="s">
        <v>206</v>
      </c>
      <c r="B5" s="80"/>
      <c r="C5" s="80"/>
      <c r="D5" s="72"/>
      <c r="E5" s="72"/>
      <c r="F5" s="72"/>
      <c r="G5" s="521"/>
    </row>
    <row r="6" spans="1:13">
      <c r="A6" s="73" t="str">
        <f>CONCATENATE("Utilizing ",EKPC!J1)</f>
        <v>Utilizing Attachment H-24A</v>
      </c>
      <c r="B6" s="80"/>
      <c r="C6" s="80"/>
      <c r="D6" s="72"/>
      <c r="E6" s="72"/>
      <c r="F6" s="72"/>
      <c r="G6" s="521"/>
      <c r="H6" s="523"/>
      <c r="I6" s="523"/>
      <c r="J6" s="523"/>
      <c r="K6" s="523"/>
      <c r="L6" s="523"/>
      <c r="M6" s="523"/>
    </row>
    <row r="7" spans="1:13">
      <c r="A7" s="74"/>
      <c r="B7" s="80"/>
      <c r="C7" s="80"/>
      <c r="D7" s="74"/>
      <c r="E7" s="488"/>
      <c r="F7" s="74"/>
      <c r="G7" s="521"/>
    </row>
    <row r="8" spans="1:13">
      <c r="A8" s="680" t="str">
        <f>EKPC!A11</f>
        <v>East Kentucky Power Cooperative, Inc.</v>
      </c>
      <c r="B8" s="680"/>
      <c r="C8" s="680"/>
      <c r="D8" s="680"/>
      <c r="E8" s="680"/>
      <c r="F8" s="680"/>
    </row>
    <row r="9" spans="1:13">
      <c r="A9" s="352" t="s">
        <v>577</v>
      </c>
      <c r="B9" s="80"/>
      <c r="C9" s="80"/>
      <c r="D9" s="74"/>
      <c r="E9" s="74"/>
      <c r="F9" s="74"/>
    </row>
    <row r="10" spans="1:13">
      <c r="A10" s="74" t="str">
        <f>CONCATENATE("To be completed in conjunction with ",EKPC!J1)</f>
        <v>To be completed in conjunction with Attachment H-24A</v>
      </c>
      <c r="B10" s="80"/>
      <c r="C10" s="80"/>
      <c r="D10" s="74"/>
      <c r="E10" s="74"/>
      <c r="F10" s="74"/>
    </row>
    <row r="11" spans="1:13">
      <c r="A11" s="117" t="s">
        <v>6</v>
      </c>
      <c r="B11" s="1"/>
      <c r="C11" s="7"/>
      <c r="D11" s="7"/>
      <c r="E11" s="486"/>
      <c r="F11" s="7"/>
    </row>
    <row r="12" spans="1:13">
      <c r="A12" s="129" t="s">
        <v>8</v>
      </c>
      <c r="B12" s="1"/>
      <c r="C12" s="8" t="s">
        <v>16</v>
      </c>
      <c r="D12" s="8"/>
      <c r="E12" s="8" t="s">
        <v>17</v>
      </c>
      <c r="F12" s="8"/>
    </row>
    <row r="13" spans="1:13">
      <c r="A13" s="1"/>
      <c r="B13" s="1"/>
      <c r="C13" s="1"/>
      <c r="D13" s="1"/>
      <c r="E13" s="1"/>
    </row>
    <row r="14" spans="1:13" ht="15.75">
      <c r="A14" s="1"/>
      <c r="B14" s="1"/>
      <c r="C14" s="304" t="s">
        <v>398</v>
      </c>
      <c r="D14" s="1"/>
      <c r="E14" s="1"/>
      <c r="F14" s="35"/>
    </row>
    <row r="15" spans="1:13">
      <c r="A15" s="1"/>
      <c r="B15" s="1"/>
      <c r="C15" s="1"/>
      <c r="D15" s="1"/>
      <c r="E15" s="1"/>
    </row>
    <row r="16" spans="1:13" ht="30.75">
      <c r="A16" s="487">
        <f>1</f>
        <v>1</v>
      </c>
      <c r="B16" s="1"/>
      <c r="C16" s="280" t="s">
        <v>665</v>
      </c>
      <c r="D16" s="1"/>
      <c r="E16" s="663">
        <f>0+$E$17</f>
        <v>0</v>
      </c>
      <c r="I16" s="524"/>
    </row>
    <row r="17" spans="1:31" ht="33.75" customHeight="1">
      <c r="A17" s="423">
        <f t="shared" ref="A17:A24" si="0">+A16+1</f>
        <v>2</v>
      </c>
      <c r="B17" s="1"/>
      <c r="C17" s="280" t="s">
        <v>666</v>
      </c>
      <c r="D17" s="1"/>
      <c r="E17" s="663">
        <v>0</v>
      </c>
      <c r="G17" s="524"/>
    </row>
    <row r="18" spans="1:31">
      <c r="A18" s="423">
        <f t="shared" si="0"/>
        <v>3</v>
      </c>
      <c r="B18" s="1"/>
      <c r="C18" s="280" t="s">
        <v>667</v>
      </c>
      <c r="D18" s="1"/>
      <c r="E18" s="664">
        <f>E16-E17</f>
        <v>0</v>
      </c>
    </row>
    <row r="19" spans="1:31">
      <c r="A19" s="423">
        <f t="shared" si="0"/>
        <v>4</v>
      </c>
      <c r="B19" s="1"/>
      <c r="C19" s="280" t="s">
        <v>668</v>
      </c>
      <c r="D19" s="1"/>
      <c r="E19" s="665"/>
      <c r="G19" s="525"/>
      <c r="H19" s="53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1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</row>
    <row r="20" spans="1:31">
      <c r="A20" s="423">
        <f t="shared" si="0"/>
        <v>5</v>
      </c>
      <c r="B20" s="1"/>
      <c r="C20" s="280" t="s">
        <v>599</v>
      </c>
      <c r="D20" s="1"/>
      <c r="E20" s="664">
        <f>E18-E19</f>
        <v>0</v>
      </c>
      <c r="G20" s="526"/>
      <c r="H20" s="526"/>
      <c r="I20" s="526"/>
      <c r="J20" s="526"/>
      <c r="K20" s="528"/>
      <c r="L20" s="526"/>
      <c r="M20" s="526"/>
      <c r="N20" s="526"/>
      <c r="O20" s="526"/>
      <c r="P20" s="526"/>
      <c r="Q20" s="526"/>
      <c r="R20" s="526"/>
      <c r="S20" s="526"/>
      <c r="T20" s="526"/>
    </row>
    <row r="21" spans="1:31" ht="15.75">
      <c r="A21" s="423">
        <f t="shared" si="0"/>
        <v>6</v>
      </c>
      <c r="B21" s="1"/>
      <c r="C21" s="280" t="s">
        <v>408</v>
      </c>
      <c r="D21" s="1"/>
      <c r="E21" s="666">
        <f>(0*3+0*3+0*3+0*3+0*3+0*3)/18</f>
        <v>0</v>
      </c>
      <c r="G21" s="524"/>
    </row>
    <row r="22" spans="1:31">
      <c r="A22" s="423">
        <f t="shared" si="0"/>
        <v>7</v>
      </c>
      <c r="B22" s="1"/>
      <c r="C22" s="280" t="s">
        <v>407</v>
      </c>
      <c r="D22" s="1"/>
      <c r="E22" s="495"/>
    </row>
    <row r="23" spans="1:31">
      <c r="A23" s="423">
        <f t="shared" si="0"/>
        <v>8</v>
      </c>
      <c r="B23" s="1"/>
      <c r="C23" s="280" t="s">
        <v>596</v>
      </c>
      <c r="D23" s="1"/>
      <c r="E23" s="288">
        <f>E20*E21*E22</f>
        <v>0</v>
      </c>
    </row>
    <row r="24" spans="1:31" ht="15" customHeight="1" thickBot="1">
      <c r="A24" s="423">
        <f t="shared" si="0"/>
        <v>9</v>
      </c>
      <c r="B24" s="1"/>
      <c r="C24" s="280" t="s">
        <v>600</v>
      </c>
      <c r="D24" s="1"/>
      <c r="E24" s="291">
        <f>E20+E23</f>
        <v>0</v>
      </c>
    </row>
    <row r="25" spans="1:31" ht="15.75" thickTop="1">
      <c r="A25" s="423"/>
      <c r="B25" s="1"/>
      <c r="C25" s="280"/>
      <c r="D25" s="1"/>
      <c r="E25" s="288"/>
    </row>
    <row r="26" spans="1:31">
      <c r="A26" s="423"/>
      <c r="B26" s="684" t="s">
        <v>142</v>
      </c>
      <c r="C26" s="684"/>
      <c r="D26" s="268"/>
      <c r="E26" s="268"/>
    </row>
    <row r="27" spans="1:31">
      <c r="A27" s="423"/>
      <c r="B27" s="404" t="s">
        <v>16</v>
      </c>
      <c r="C27" s="552" t="s">
        <v>625</v>
      </c>
      <c r="D27" s="281"/>
      <c r="E27" s="281"/>
    </row>
    <row r="28" spans="1:31" ht="15.75">
      <c r="A28" s="423"/>
      <c r="B28" s="292" t="s">
        <v>17</v>
      </c>
      <c r="C28" s="1" t="s">
        <v>626</v>
      </c>
      <c r="D28" s="1"/>
      <c r="E28" s="1"/>
      <c r="H28" s="482"/>
      <c r="I28" s="42"/>
      <c r="J28" s="42"/>
      <c r="K28" s="42"/>
      <c r="L28" s="42"/>
    </row>
    <row r="29" spans="1:31" ht="15" customHeight="1">
      <c r="A29" s="423"/>
      <c r="B29" s="293" t="s">
        <v>18</v>
      </c>
      <c r="C29" s="552" t="s">
        <v>627</v>
      </c>
      <c r="D29" s="552"/>
      <c r="E29" s="552"/>
    </row>
    <row r="30" spans="1:31">
      <c r="A30" s="423"/>
      <c r="B30" s="293" t="s">
        <v>19</v>
      </c>
      <c r="C30" s="1" t="s">
        <v>673</v>
      </c>
      <c r="D30" s="1"/>
      <c r="E30" s="1"/>
    </row>
    <row r="31" spans="1:31">
      <c r="A31" s="423"/>
      <c r="B31" s="293" t="s">
        <v>20</v>
      </c>
      <c r="C31" s="280" t="s">
        <v>628</v>
      </c>
      <c r="D31" s="1"/>
      <c r="E31" s="1"/>
    </row>
    <row r="32" spans="1:31">
      <c r="E32" s="2" t="str">
        <f>E1</f>
        <v>Attachment H-24A</v>
      </c>
      <c r="H32" s="26"/>
      <c r="I32" s="26"/>
    </row>
    <row r="33" spans="1:9">
      <c r="C33" s="485"/>
      <c r="E33" s="2" t="s">
        <v>394</v>
      </c>
      <c r="H33" s="521"/>
      <c r="I33" s="521"/>
    </row>
    <row r="34" spans="1:9">
      <c r="E34" s="2" t="s">
        <v>157</v>
      </c>
      <c r="G34" s="521"/>
    </row>
    <row r="35" spans="1:9">
      <c r="E35" s="5" t="str">
        <f>E4</f>
        <v>For the 12 months ended 12/31/2025</v>
      </c>
      <c r="G35" s="521"/>
    </row>
    <row r="36" spans="1:9">
      <c r="A36" s="72" t="s">
        <v>206</v>
      </c>
      <c r="B36" s="80"/>
      <c r="C36" s="80"/>
      <c r="D36" s="72"/>
      <c r="E36" s="72"/>
      <c r="F36" s="72"/>
      <c r="G36" s="521"/>
    </row>
    <row r="37" spans="1:9">
      <c r="A37" s="73" t="str">
        <f>CONCATENATE("Utilizing ",EKPC!J1)</f>
        <v>Utilizing Attachment H-24A</v>
      </c>
      <c r="B37" s="80"/>
      <c r="C37" s="80"/>
      <c r="D37" s="72"/>
      <c r="E37" s="72"/>
      <c r="F37" s="72"/>
      <c r="G37" s="521"/>
      <c r="H37" s="523"/>
      <c r="I37" s="523"/>
    </row>
    <row r="38" spans="1:9">
      <c r="A38" s="74"/>
      <c r="B38" s="80"/>
      <c r="C38" s="80"/>
      <c r="D38" s="74"/>
      <c r="E38" s="74"/>
      <c r="F38" s="74"/>
      <c r="G38" s="521"/>
    </row>
    <row r="39" spans="1:9">
      <c r="A39" s="680" t="str">
        <f>A8</f>
        <v>East Kentucky Power Cooperative, Inc.</v>
      </c>
      <c r="B39" s="680"/>
      <c r="C39" s="680"/>
      <c r="D39" s="680"/>
      <c r="E39" s="680"/>
      <c r="F39" s="680"/>
    </row>
    <row r="40" spans="1:9">
      <c r="A40" s="352" t="s">
        <v>578</v>
      </c>
      <c r="B40" s="80"/>
      <c r="C40" s="80"/>
      <c r="D40" s="74"/>
      <c r="E40" s="74"/>
      <c r="F40" s="74"/>
    </row>
    <row r="41" spans="1:9">
      <c r="A41" s="74" t="str">
        <f>CONCATENATE("To be completed in conjunction with ",EKPC!J1)</f>
        <v>To be completed in conjunction with Attachment H-24A</v>
      </c>
      <c r="B41" s="80"/>
      <c r="C41" s="80"/>
      <c r="D41" s="74"/>
      <c r="E41" s="74"/>
      <c r="F41" s="74"/>
    </row>
    <row r="42" spans="1:9">
      <c r="A42" s="117" t="s">
        <v>6</v>
      </c>
      <c r="B42" s="1"/>
      <c r="C42" s="7"/>
      <c r="D42" s="7"/>
      <c r="E42" s="1"/>
      <c r="F42" s="7"/>
    </row>
    <row r="43" spans="1:9">
      <c r="A43" s="129" t="s">
        <v>8</v>
      </c>
      <c r="B43" s="1"/>
      <c r="C43" s="8" t="s">
        <v>16</v>
      </c>
      <c r="D43" s="8"/>
      <c r="E43" s="8" t="s">
        <v>17</v>
      </c>
      <c r="F43" s="8"/>
    </row>
    <row r="44" spans="1:9">
      <c r="A44" s="1"/>
      <c r="B44" s="1"/>
      <c r="C44" s="1"/>
      <c r="D44" s="1"/>
      <c r="E44" s="1"/>
    </row>
    <row r="45" spans="1:9" ht="15.75">
      <c r="A45" s="1"/>
      <c r="B45" s="1"/>
      <c r="C45" s="304" t="s">
        <v>399</v>
      </c>
      <c r="D45" s="1"/>
      <c r="E45" s="1"/>
    </row>
    <row r="46" spans="1:9" ht="30.75">
      <c r="A46" s="423">
        <f>+A24+1</f>
        <v>10</v>
      </c>
      <c r="B46" s="1"/>
      <c r="C46" s="280" t="s">
        <v>669</v>
      </c>
      <c r="D46" s="1"/>
      <c r="E46" s="665">
        <f>0+$E$47</f>
        <v>0</v>
      </c>
      <c r="G46" s="524"/>
    </row>
    <row r="47" spans="1:9" ht="30.75">
      <c r="A47" s="423">
        <f t="shared" ref="A47:A54" si="1">+A46+1</f>
        <v>11</v>
      </c>
      <c r="B47" s="1"/>
      <c r="C47" s="280" t="s">
        <v>670</v>
      </c>
      <c r="D47" s="1"/>
      <c r="E47" s="667">
        <v>0</v>
      </c>
      <c r="G47" s="524"/>
    </row>
    <row r="48" spans="1:9">
      <c r="A48" s="423">
        <f t="shared" si="1"/>
        <v>12</v>
      </c>
      <c r="B48" s="1"/>
      <c r="C48" s="280" t="s">
        <v>607</v>
      </c>
      <c r="D48" s="1"/>
      <c r="E48" s="668">
        <f>E46-E47</f>
        <v>0</v>
      </c>
    </row>
    <row r="49" spans="1:7" ht="15.75">
      <c r="A49" s="423">
        <f t="shared" si="1"/>
        <v>13</v>
      </c>
      <c r="B49" s="1"/>
      <c r="C49" s="280" t="s">
        <v>671</v>
      </c>
      <c r="D49" s="1"/>
      <c r="E49" s="669">
        <v>0</v>
      </c>
      <c r="G49" s="524"/>
    </row>
    <row r="50" spans="1:7">
      <c r="A50" s="289">
        <f t="shared" si="1"/>
        <v>14</v>
      </c>
      <c r="B50" s="1"/>
      <c r="C50" s="280" t="s">
        <v>428</v>
      </c>
      <c r="D50" s="1"/>
      <c r="E50" s="664">
        <f>E48-E49</f>
        <v>0</v>
      </c>
    </row>
    <row r="51" spans="1:7">
      <c r="A51" s="289">
        <f t="shared" si="1"/>
        <v>15</v>
      </c>
      <c r="B51" s="1"/>
      <c r="C51" s="280" t="s">
        <v>531</v>
      </c>
      <c r="D51" s="1"/>
      <c r="E51" s="290">
        <f>E21</f>
        <v>0</v>
      </c>
    </row>
    <row r="52" spans="1:7">
      <c r="A52" s="289">
        <f t="shared" si="1"/>
        <v>16</v>
      </c>
      <c r="B52" s="1"/>
      <c r="C52" s="280" t="s">
        <v>407</v>
      </c>
      <c r="D52" s="1"/>
      <c r="E52" s="294">
        <f>E22</f>
        <v>0</v>
      </c>
      <c r="G52" s="467"/>
    </row>
    <row r="53" spans="1:7">
      <c r="A53" s="289">
        <f t="shared" si="1"/>
        <v>17</v>
      </c>
      <c r="B53" s="1"/>
      <c r="C53" s="280" t="s">
        <v>597</v>
      </c>
      <c r="D53" s="1"/>
      <c r="E53" s="288">
        <f>E50*E51*E52</f>
        <v>0</v>
      </c>
    </row>
    <row r="54" spans="1:7" ht="15.75" thickBot="1">
      <c r="A54" s="289">
        <f t="shared" si="1"/>
        <v>18</v>
      </c>
      <c r="B54" s="1"/>
      <c r="C54" s="280" t="s">
        <v>598</v>
      </c>
      <c r="D54" s="1"/>
      <c r="E54" s="291">
        <f>E50+E53</f>
        <v>0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684" t="s">
        <v>142</v>
      </c>
      <c r="C56" s="684"/>
      <c r="D56" s="268"/>
      <c r="E56" s="268"/>
    </row>
    <row r="57" spans="1:7" ht="15" customHeight="1">
      <c r="A57" s="1"/>
      <c r="B57" s="293" t="s">
        <v>401</v>
      </c>
      <c r="C57" s="552" t="s">
        <v>629</v>
      </c>
      <c r="D57" s="552"/>
      <c r="E57" s="552"/>
    </row>
    <row r="58" spans="1:7">
      <c r="A58" s="1"/>
      <c r="B58" s="293" t="s">
        <v>402</v>
      </c>
      <c r="C58" s="1" t="s">
        <v>630</v>
      </c>
      <c r="D58" s="1"/>
      <c r="E58" s="1"/>
    </row>
    <row r="59" spans="1:7" ht="15" customHeight="1">
      <c r="A59" s="1"/>
      <c r="B59" s="293" t="s">
        <v>403</v>
      </c>
      <c r="C59" s="553" t="s">
        <v>631</v>
      </c>
      <c r="D59" s="554"/>
      <c r="E59" s="554"/>
    </row>
    <row r="60" spans="1:7">
      <c r="A60" s="1"/>
      <c r="B60" s="293" t="s">
        <v>429</v>
      </c>
      <c r="C60" s="1" t="s">
        <v>672</v>
      </c>
    </row>
    <row r="61" spans="1:7">
      <c r="A61" s="1"/>
      <c r="B61" s="293" t="s">
        <v>430</v>
      </c>
      <c r="C61" s="280" t="s">
        <v>632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281"/>
    </row>
    <row r="67" spans="3:16" ht="14.25" customHeight="1"/>
    <row r="68" spans="3:16">
      <c r="H68" s="297" t="s">
        <v>395</v>
      </c>
      <c r="I68" s="298"/>
      <c r="J68" s="298"/>
      <c r="K68" s="298"/>
      <c r="L68" s="298"/>
      <c r="M68" s="298"/>
      <c r="N68" s="298"/>
      <c r="O68" s="298"/>
      <c r="P68" s="501"/>
    </row>
    <row r="69" spans="3:16">
      <c r="H69" s="299" t="s">
        <v>530</v>
      </c>
      <c r="I69" s="295"/>
      <c r="J69" s="295"/>
      <c r="K69" s="295"/>
      <c r="L69" s="295"/>
      <c r="M69" s="295"/>
      <c r="N69" s="295"/>
      <c r="O69" s="295"/>
      <c r="P69" s="502"/>
    </row>
    <row r="70" spans="3:16">
      <c r="H70" s="300" t="s">
        <v>605</v>
      </c>
      <c r="I70" s="295"/>
      <c r="J70" s="295"/>
      <c r="K70" s="295"/>
      <c r="L70" s="295"/>
      <c r="M70" s="295"/>
      <c r="N70" s="295"/>
      <c r="O70" s="295"/>
      <c r="P70" s="502"/>
    </row>
    <row r="71" spans="3:16">
      <c r="H71" s="300" t="s">
        <v>406</v>
      </c>
      <c r="I71" s="295"/>
      <c r="J71" s="295"/>
      <c r="K71" s="295"/>
      <c r="L71" s="295"/>
      <c r="M71" s="295"/>
      <c r="N71" s="295"/>
      <c r="O71" s="295"/>
      <c r="P71" s="502"/>
    </row>
    <row r="72" spans="3:16">
      <c r="H72" s="300" t="s">
        <v>606</v>
      </c>
      <c r="I72" s="295"/>
      <c r="J72" s="295"/>
      <c r="K72" s="295"/>
      <c r="L72" s="295"/>
      <c r="M72" s="295"/>
      <c r="N72" s="295"/>
      <c r="O72" s="295"/>
      <c r="P72" s="502"/>
    </row>
    <row r="73" spans="3:16">
      <c r="H73" s="300" t="s">
        <v>396</v>
      </c>
      <c r="I73" s="295"/>
      <c r="J73" s="295"/>
      <c r="K73" s="295"/>
      <c r="L73" s="295"/>
      <c r="M73" s="295"/>
      <c r="N73" s="295"/>
      <c r="O73" s="295"/>
      <c r="P73" s="502"/>
    </row>
    <row r="74" spans="3:16">
      <c r="H74" s="300" t="s">
        <v>397</v>
      </c>
      <c r="I74" s="295"/>
      <c r="J74" s="295"/>
      <c r="K74" s="295"/>
      <c r="L74" s="295"/>
      <c r="M74" s="295"/>
      <c r="N74" s="295"/>
      <c r="O74" s="295"/>
      <c r="P74" s="502"/>
    </row>
    <row r="75" spans="3:16">
      <c r="H75" s="301">
        <f>IF(OR(MOD(K77,400)=0,AND(MOD(K77,4)=0,MOD(K77,100)&lt;&gt;0)),DATEVALUE(RIGHT(EKPC!J7,10))-366-365, DATEVALUE(RIGHT(EKPC!J7,10))-365-365)</f>
        <v>45292</v>
      </c>
      <c r="I75" s="295" t="str">
        <f>TEXT(H75,"mm/dd/yyyy")</f>
        <v>01/01/2024</v>
      </c>
      <c r="J75" s="295"/>
      <c r="K75" s="503">
        <f>K76-1</f>
        <v>2023</v>
      </c>
      <c r="L75" s="295"/>
      <c r="M75" s="295"/>
      <c r="N75" s="295"/>
      <c r="O75" s="295"/>
      <c r="P75" s="502"/>
    </row>
    <row r="76" spans="3:16">
      <c r="H76" s="301">
        <f>IF(OR(MOD(K77,400)=0,AND(MOD(K77,4)=0,MOD(K77,100)&lt;&gt;0)),DATEVALUE(RIGHT(EKPC!J7,10))-366, DATEVALUE(RIGHT(EKPC!J7,10))-365)</f>
        <v>45657</v>
      </c>
      <c r="I76" s="295" t="str">
        <f>TEXT(H76,"mm/dd/yyyy")</f>
        <v>12/31/2024</v>
      </c>
      <c r="J76" s="295"/>
      <c r="K76" s="503">
        <f>K77-1</f>
        <v>2024</v>
      </c>
      <c r="L76" s="295"/>
      <c r="M76" s="295"/>
      <c r="N76" s="295"/>
      <c r="O76" s="295"/>
      <c r="P76" s="502"/>
    </row>
    <row r="77" spans="3:16">
      <c r="H77" s="301">
        <f>DATEVALUE(RIGHT(EKPC!J7,10))</f>
        <v>46022</v>
      </c>
      <c r="I77" s="295" t="str">
        <f>TEXT(H77,"mm/dd/yyyy")</f>
        <v>12/31/2025</v>
      </c>
      <c r="J77" s="295"/>
      <c r="K77" s="503" t="str">
        <f>RIGHT(EKPC!J7,4)</f>
        <v>2025</v>
      </c>
      <c r="L77" s="295"/>
      <c r="M77" s="295"/>
      <c r="N77" s="295"/>
      <c r="O77" s="295"/>
      <c r="P77" s="502"/>
    </row>
    <row r="78" spans="3:16">
      <c r="H78" s="301">
        <f>IF(OR(MOD(K78,400)=0,AND(MOD(K78,4)=0,MOD(K78,100)&lt;&gt;0)),DATEVALUE(RIGHT(EKPC!J7,10))+366, DATEVALUE(RIGHT(EKPC!J7,10))+365)</f>
        <v>46387</v>
      </c>
      <c r="I78" s="295" t="str">
        <f>TEXT(H78,"mm/dd/yyyy")</f>
        <v>12/31/2026</v>
      </c>
      <c r="J78" s="295"/>
      <c r="K78" s="503">
        <f>K77+1</f>
        <v>2026</v>
      </c>
      <c r="L78" s="295"/>
      <c r="M78" s="295"/>
      <c r="N78" s="295"/>
      <c r="O78" s="295"/>
      <c r="P78" s="502"/>
    </row>
    <row r="79" spans="3:16">
      <c r="H79" s="301"/>
      <c r="I79" s="295"/>
      <c r="J79" s="295"/>
      <c r="K79" s="295"/>
      <c r="L79" s="295"/>
      <c r="M79" s="295"/>
      <c r="N79" s="295"/>
      <c r="O79" s="295"/>
      <c r="P79" s="502"/>
    </row>
    <row r="80" spans="3:16">
      <c r="H80" s="300" t="s">
        <v>400</v>
      </c>
      <c r="I80" s="295"/>
      <c r="J80" s="295"/>
      <c r="K80" s="295"/>
      <c r="L80" s="295"/>
      <c r="M80" s="295"/>
      <c r="N80" s="295"/>
      <c r="O80" s="295"/>
      <c r="P80" s="502"/>
    </row>
    <row r="81" spans="8:16">
      <c r="H81" s="302" t="s">
        <v>409</v>
      </c>
      <c r="I81" s="296"/>
      <c r="J81" s="296"/>
      <c r="K81" s="296"/>
      <c r="L81" s="296"/>
      <c r="M81" s="296"/>
      <c r="N81" s="296"/>
      <c r="O81" s="296"/>
      <c r="P81" s="504"/>
    </row>
    <row r="82" spans="8:16" ht="15.75">
      <c r="H82" s="505" t="s">
        <v>535</v>
      </c>
      <c r="I82" s="505"/>
      <c r="J82" s="505"/>
      <c r="K82" s="505"/>
      <c r="L82" s="505"/>
      <c r="M82" s="295"/>
      <c r="N82" s="295"/>
      <c r="O82" s="295"/>
      <c r="P82" s="295"/>
    </row>
    <row r="151" spans="11:11">
      <c r="K151" t="s">
        <v>611</v>
      </c>
    </row>
  </sheetData>
  <mergeCells count="4">
    <mergeCell ref="A39:F39"/>
    <mergeCell ref="B56:C56"/>
    <mergeCell ref="A8:F8"/>
    <mergeCell ref="B26:C26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51"/>
  <sheetViews>
    <sheetView zoomScale="80" zoomScaleNormal="80" zoomScaleSheetLayoutView="90" workbookViewId="0">
      <selection sqref="A1:XFD1"/>
    </sheetView>
  </sheetViews>
  <sheetFormatPr defaultColWidth="8.77734375" defaultRowHeight="12.75"/>
  <cols>
    <col min="1" max="1" width="6.109375" style="140" customWidth="1"/>
    <col min="2" max="2" width="8.77734375" style="140"/>
    <col min="3" max="3" width="0.88671875" style="140" customWidth="1"/>
    <col min="4" max="4" width="8.77734375" style="140"/>
    <col min="5" max="5" width="1.5546875" style="140" customWidth="1"/>
    <col min="6" max="6" width="46.109375" style="140" customWidth="1"/>
    <col min="7" max="7" width="6" style="140" customWidth="1"/>
    <col min="8" max="8" width="9.6640625" style="140" customWidth="1"/>
    <col min="9" max="16384" width="8.77734375" style="140"/>
  </cols>
  <sheetData>
    <row r="1" spans="1:11" ht="15">
      <c r="A1" s="424"/>
      <c r="B1" s="424"/>
      <c r="C1" s="424"/>
      <c r="D1" s="424"/>
      <c r="E1" s="424"/>
      <c r="F1" s="424"/>
      <c r="G1" s="424"/>
      <c r="H1" s="112" t="str">
        <f>EKPC!J1</f>
        <v>Attachment H-24A</v>
      </c>
    </row>
    <row r="2" spans="1:11" ht="15">
      <c r="A2" s="424"/>
      <c r="B2" s="424"/>
      <c r="C2" s="424"/>
      <c r="D2" s="424"/>
      <c r="E2" s="424"/>
      <c r="F2" s="424"/>
      <c r="G2" s="424"/>
      <c r="H2" s="85" t="s">
        <v>365</v>
      </c>
    </row>
    <row r="3" spans="1:11" ht="15">
      <c r="A3" s="424"/>
      <c r="B3" s="424"/>
      <c r="C3" s="424"/>
      <c r="D3" s="424"/>
      <c r="E3" s="424"/>
      <c r="F3" s="424"/>
      <c r="G3" s="424"/>
      <c r="H3" s="424"/>
      <c r="K3" s="85"/>
    </row>
    <row r="4" spans="1:11" ht="15">
      <c r="A4" s="686" t="str">
        <f>EKPC!A11</f>
        <v>East Kentucky Power Cooperative, Inc.</v>
      </c>
      <c r="B4" s="686"/>
      <c r="C4" s="686"/>
      <c r="D4" s="686"/>
      <c r="E4" s="686"/>
      <c r="F4" s="686"/>
      <c r="G4" s="686"/>
      <c r="H4" s="686"/>
      <c r="K4" s="488"/>
    </row>
    <row r="5" spans="1:11" ht="15">
      <c r="A5" s="687" t="s">
        <v>579</v>
      </c>
      <c r="B5" s="687"/>
      <c r="C5" s="687"/>
      <c r="D5" s="687"/>
      <c r="E5" s="687"/>
      <c r="F5" s="687"/>
      <c r="G5" s="687"/>
      <c r="H5" s="687"/>
    </row>
    <row r="6" spans="1:11" ht="15">
      <c r="A6" s="688" t="str">
        <f>CONCATENATE("Rates effective for year ending December 31, ",TEXT(RIGHT(EKPC!J7,10),"YYYY"))</f>
        <v>Rates effective for year ending December 31, 2025</v>
      </c>
      <c r="B6" s="688"/>
      <c r="C6" s="688"/>
      <c r="D6" s="688"/>
      <c r="E6" s="688"/>
      <c r="F6" s="688"/>
      <c r="G6" s="688"/>
      <c r="H6" s="688"/>
    </row>
    <row r="7" spans="1:11" ht="15">
      <c r="A7" s="424"/>
      <c r="B7" s="424"/>
      <c r="C7" s="424"/>
      <c r="D7" s="424"/>
      <c r="E7" s="424"/>
      <c r="F7" s="424"/>
      <c r="G7" s="424"/>
      <c r="H7" s="424"/>
    </row>
    <row r="8" spans="1:11" ht="15">
      <c r="A8" s="424"/>
      <c r="B8" s="425" t="s">
        <v>294</v>
      </c>
      <c r="C8" s="425"/>
      <c r="D8" s="425" t="s">
        <v>295</v>
      </c>
      <c r="E8" s="425"/>
      <c r="F8" s="425"/>
      <c r="G8" s="425"/>
      <c r="H8" s="425" t="s">
        <v>209</v>
      </c>
    </row>
    <row r="9" spans="1:11" ht="15">
      <c r="A9" s="425" t="s">
        <v>6</v>
      </c>
      <c r="B9" s="425" t="s">
        <v>296</v>
      </c>
      <c r="C9" s="425"/>
      <c r="D9" s="425" t="s">
        <v>296</v>
      </c>
      <c r="E9" s="425"/>
      <c r="F9" s="425"/>
      <c r="G9" s="425"/>
      <c r="H9" s="425" t="s">
        <v>297</v>
      </c>
    </row>
    <row r="10" spans="1:11" ht="15">
      <c r="A10" s="426" t="s">
        <v>8</v>
      </c>
      <c r="B10" s="426" t="s">
        <v>298</v>
      </c>
      <c r="C10" s="426"/>
      <c r="D10" s="426" t="s">
        <v>298</v>
      </c>
      <c r="E10" s="426"/>
      <c r="F10" s="426" t="s">
        <v>299</v>
      </c>
      <c r="G10" s="426"/>
      <c r="H10" s="426" t="s">
        <v>300</v>
      </c>
    </row>
    <row r="11" spans="1:11" ht="15">
      <c r="A11" s="424"/>
      <c r="B11" s="403" t="s">
        <v>289</v>
      </c>
      <c r="C11" s="425"/>
      <c r="D11" s="403" t="s">
        <v>290</v>
      </c>
      <c r="E11" s="425"/>
      <c r="F11" s="425" t="s">
        <v>291</v>
      </c>
      <c r="G11" s="425"/>
      <c r="H11" s="403" t="s">
        <v>301</v>
      </c>
    </row>
    <row r="12" spans="1:11" ht="15">
      <c r="A12" s="424"/>
      <c r="B12" s="403"/>
      <c r="C12" s="425"/>
      <c r="D12" s="403"/>
      <c r="E12" s="425"/>
      <c r="F12" s="425"/>
      <c r="G12" s="425"/>
      <c r="H12" s="425" t="s">
        <v>86</v>
      </c>
    </row>
    <row r="13" spans="1:11" ht="15.75">
      <c r="A13" s="424"/>
      <c r="B13" s="427" t="s">
        <v>456</v>
      </c>
      <c r="C13" s="427"/>
      <c r="D13" s="352"/>
      <c r="E13" s="352"/>
      <c r="F13" s="352"/>
      <c r="G13" s="352"/>
      <c r="H13" s="352"/>
    </row>
    <row r="14" spans="1:11" ht="15">
      <c r="A14" s="424"/>
      <c r="B14" s="424"/>
      <c r="C14" s="424"/>
      <c r="D14" s="424"/>
      <c r="E14" s="424"/>
      <c r="F14" s="424"/>
      <c r="G14" s="424"/>
      <c r="H14" s="428"/>
    </row>
    <row r="15" spans="1:11" ht="15">
      <c r="A15" s="425">
        <v>1</v>
      </c>
      <c r="B15" s="425">
        <v>350</v>
      </c>
      <c r="C15" s="424"/>
      <c r="D15" s="425">
        <v>350010</v>
      </c>
      <c r="E15" s="424"/>
      <c r="F15" s="424" t="s">
        <v>557</v>
      </c>
      <c r="G15" s="424"/>
      <c r="H15" s="492">
        <v>0</v>
      </c>
    </row>
    <row r="16" spans="1:11" ht="15">
      <c r="A16" s="425">
        <v>2</v>
      </c>
      <c r="B16" s="425">
        <v>353</v>
      </c>
      <c r="C16" s="424"/>
      <c r="D16" s="425">
        <v>353000</v>
      </c>
      <c r="E16" s="424"/>
      <c r="F16" s="424" t="s">
        <v>302</v>
      </c>
      <c r="G16" s="424"/>
      <c r="H16" s="492">
        <v>2.1800000000000002</v>
      </c>
    </row>
    <row r="17" spans="1:9" ht="15">
      <c r="A17" s="425">
        <v>3</v>
      </c>
      <c r="B17" s="425">
        <v>353</v>
      </c>
      <c r="C17" s="424"/>
      <c r="D17" s="425">
        <v>353010</v>
      </c>
      <c r="E17" s="424"/>
      <c r="F17" s="424" t="s">
        <v>324</v>
      </c>
      <c r="G17" s="424"/>
      <c r="H17" s="492">
        <v>6.31</v>
      </c>
    </row>
    <row r="18" spans="1:9" ht="15">
      <c r="A18" s="425">
        <v>4</v>
      </c>
      <c r="B18" s="425">
        <v>354</v>
      </c>
      <c r="C18" s="424"/>
      <c r="D18" s="425">
        <v>354000</v>
      </c>
      <c r="E18" s="424"/>
      <c r="F18" s="424" t="s">
        <v>325</v>
      </c>
      <c r="G18" s="424"/>
      <c r="H18" s="492">
        <v>1.66</v>
      </c>
    </row>
    <row r="19" spans="1:9" ht="15">
      <c r="A19" s="425">
        <v>5</v>
      </c>
      <c r="B19" s="425">
        <v>355</v>
      </c>
      <c r="C19" s="424"/>
      <c r="D19" s="425">
        <v>355000</v>
      </c>
      <c r="E19" s="424"/>
      <c r="F19" s="424" t="s">
        <v>303</v>
      </c>
      <c r="G19" s="424"/>
      <c r="H19" s="492">
        <v>2.82</v>
      </c>
    </row>
    <row r="20" spans="1:9" ht="15">
      <c r="A20" s="425">
        <v>6</v>
      </c>
      <c r="B20" s="425">
        <v>356</v>
      </c>
      <c r="C20" s="424"/>
      <c r="D20" s="425">
        <v>356000</v>
      </c>
      <c r="E20" s="424"/>
      <c r="F20" s="424" t="s">
        <v>304</v>
      </c>
      <c r="G20" s="424"/>
      <c r="H20" s="492">
        <v>2.9</v>
      </c>
    </row>
    <row r="21" spans="1:9" ht="15">
      <c r="A21" s="425">
        <v>7</v>
      </c>
      <c r="B21" s="425">
        <v>359</v>
      </c>
      <c r="C21" s="425"/>
      <c r="D21" s="425">
        <v>359000</v>
      </c>
      <c r="E21" s="424"/>
      <c r="F21" s="424" t="s">
        <v>336</v>
      </c>
      <c r="G21" s="424"/>
      <c r="H21" s="492">
        <v>1.92</v>
      </c>
    </row>
    <row r="22" spans="1:9" ht="15">
      <c r="A22" s="425"/>
      <c r="B22" s="425"/>
      <c r="C22" s="425"/>
      <c r="D22" s="425"/>
      <c r="E22" s="424"/>
      <c r="F22" s="424"/>
      <c r="G22" s="424"/>
      <c r="H22" s="492"/>
    </row>
    <row r="23" spans="1:9" ht="15.75">
      <c r="A23" s="425"/>
      <c r="B23" s="427" t="s">
        <v>305</v>
      </c>
      <c r="C23" s="352"/>
      <c r="D23" s="352"/>
      <c r="E23" s="352"/>
      <c r="F23" s="352"/>
      <c r="G23" s="352"/>
      <c r="H23" s="493"/>
    </row>
    <row r="24" spans="1:9" ht="15">
      <c r="A24" s="425"/>
      <c r="B24" s="425"/>
      <c r="C24" s="425"/>
      <c r="D24" s="425"/>
      <c r="E24" s="424"/>
      <c r="F24" s="424"/>
      <c r="G24" s="424"/>
      <c r="H24" s="492"/>
    </row>
    <row r="25" spans="1:9" ht="15">
      <c r="A25" s="425">
        <v>8</v>
      </c>
      <c r="B25" s="425">
        <v>303</v>
      </c>
      <c r="C25" s="142"/>
      <c r="D25" s="425">
        <v>303000</v>
      </c>
      <c r="E25" s="424"/>
      <c r="F25" s="424" t="s">
        <v>307</v>
      </c>
      <c r="G25" s="424"/>
      <c r="H25" s="492">
        <v>11.42</v>
      </c>
      <c r="I25" s="143"/>
    </row>
    <row r="26" spans="1:9" ht="15">
      <c r="A26" s="425">
        <v>9</v>
      </c>
      <c r="B26" s="425">
        <v>390</v>
      </c>
      <c r="C26" s="142"/>
      <c r="D26" s="425">
        <v>390000</v>
      </c>
      <c r="E26" s="424"/>
      <c r="F26" s="424" t="s">
        <v>326</v>
      </c>
      <c r="G26" s="424"/>
      <c r="H26" s="492">
        <v>0.99</v>
      </c>
    </row>
    <row r="27" spans="1:9" ht="15">
      <c r="A27" s="425">
        <v>10</v>
      </c>
      <c r="B27" s="425">
        <v>391</v>
      </c>
      <c r="C27" s="142"/>
      <c r="D27" s="425">
        <v>391000</v>
      </c>
      <c r="E27" s="424"/>
      <c r="F27" s="424" t="s">
        <v>327</v>
      </c>
      <c r="G27" s="424"/>
      <c r="H27" s="514">
        <v>5</v>
      </c>
    </row>
    <row r="28" spans="1:9" ht="15">
      <c r="A28" s="425">
        <v>11</v>
      </c>
      <c r="B28" s="425">
        <v>391</v>
      </c>
      <c r="C28" s="142"/>
      <c r="D28" s="425">
        <v>391001</v>
      </c>
      <c r="E28" s="424"/>
      <c r="F28" s="424" t="s">
        <v>328</v>
      </c>
      <c r="G28" s="424"/>
      <c r="H28" s="492">
        <v>6.67</v>
      </c>
    </row>
    <row r="29" spans="1:9" ht="15">
      <c r="A29" s="425">
        <v>12</v>
      </c>
      <c r="B29" s="425">
        <v>392</v>
      </c>
      <c r="C29" s="142"/>
      <c r="D29" s="425">
        <v>392000</v>
      </c>
      <c r="E29" s="424"/>
      <c r="F29" s="424" t="s">
        <v>306</v>
      </c>
      <c r="G29" s="424"/>
      <c r="H29" s="494">
        <v>5.84</v>
      </c>
    </row>
    <row r="30" spans="1:9" ht="15">
      <c r="A30" s="425">
        <v>13</v>
      </c>
      <c r="B30" s="425">
        <v>393</v>
      </c>
      <c r="C30" s="142"/>
      <c r="D30" s="425">
        <v>393000</v>
      </c>
      <c r="E30" s="424"/>
      <c r="F30" s="424" t="s">
        <v>308</v>
      </c>
      <c r="G30" s="424"/>
      <c r="H30" s="494">
        <v>4</v>
      </c>
    </row>
    <row r="31" spans="1:9" ht="15">
      <c r="A31" s="425">
        <v>14</v>
      </c>
      <c r="B31" s="425">
        <v>394</v>
      </c>
      <c r="C31" s="142"/>
      <c r="D31" s="425">
        <v>394000</v>
      </c>
      <c r="E31" s="424"/>
      <c r="F31" s="424" t="s">
        <v>329</v>
      </c>
      <c r="G31" s="424"/>
      <c r="H31" s="492">
        <v>5</v>
      </c>
    </row>
    <row r="32" spans="1:9" ht="15">
      <c r="A32" s="425">
        <v>15</v>
      </c>
      <c r="B32" s="425">
        <v>395</v>
      </c>
      <c r="C32" s="142"/>
      <c r="D32" s="425">
        <v>395000</v>
      </c>
      <c r="E32" s="424"/>
      <c r="F32" s="424" t="s">
        <v>330</v>
      </c>
      <c r="G32" s="424"/>
      <c r="H32" s="492">
        <v>5</v>
      </c>
    </row>
    <row r="33" spans="1:8" ht="15">
      <c r="A33" s="425">
        <v>16</v>
      </c>
      <c r="B33" s="425">
        <v>396</v>
      </c>
      <c r="C33" s="142"/>
      <c r="D33" s="425">
        <v>396000</v>
      </c>
      <c r="E33" s="424"/>
      <c r="F33" s="424" t="s">
        <v>331</v>
      </c>
      <c r="G33" s="424"/>
      <c r="H33" s="492">
        <v>2.02</v>
      </c>
    </row>
    <row r="34" spans="1:8" ht="15">
      <c r="A34" s="425">
        <v>17</v>
      </c>
      <c r="B34" s="425">
        <v>397</v>
      </c>
      <c r="C34" s="142"/>
      <c r="D34" s="425">
        <v>397000</v>
      </c>
      <c r="E34" s="424"/>
      <c r="F34" s="424" t="s">
        <v>332</v>
      </c>
      <c r="G34" s="424"/>
      <c r="H34" s="492">
        <v>6.67</v>
      </c>
    </row>
    <row r="35" spans="1:8" ht="15">
      <c r="A35" s="425">
        <v>18</v>
      </c>
      <c r="B35" s="425">
        <v>397</v>
      </c>
      <c r="C35" s="425"/>
      <c r="D35" s="425">
        <v>397000</v>
      </c>
      <c r="E35" s="424"/>
      <c r="F35" s="424" t="s">
        <v>333</v>
      </c>
      <c r="G35" s="424"/>
      <c r="H35" s="492">
        <v>6.67</v>
      </c>
    </row>
    <row r="36" spans="1:8" ht="15">
      <c r="A36" s="425">
        <v>19</v>
      </c>
      <c r="B36" s="425">
        <v>397</v>
      </c>
      <c r="C36" s="425"/>
      <c r="D36" s="425">
        <v>397001</v>
      </c>
      <c r="E36" s="424"/>
      <c r="F36" s="424" t="s">
        <v>334</v>
      </c>
      <c r="G36" s="424"/>
      <c r="H36" s="492">
        <v>6.67</v>
      </c>
    </row>
    <row r="37" spans="1:8" ht="15">
      <c r="A37" s="425">
        <v>20</v>
      </c>
      <c r="B37" s="425">
        <v>398</v>
      </c>
      <c r="C37" s="425"/>
      <c r="D37" s="425">
        <v>398000</v>
      </c>
      <c r="E37" s="424"/>
      <c r="F37" s="424" t="s">
        <v>335</v>
      </c>
      <c r="G37" s="424"/>
      <c r="H37" s="492">
        <v>5</v>
      </c>
    </row>
    <row r="38" spans="1:8" ht="15">
      <c r="A38" s="424"/>
      <c r="B38" s="425"/>
      <c r="C38" s="425"/>
      <c r="D38" s="425"/>
      <c r="E38" s="424"/>
      <c r="F38" s="424"/>
      <c r="G38" s="424"/>
      <c r="H38" s="429"/>
    </row>
    <row r="39" spans="1:8" ht="15">
      <c r="A39" s="424"/>
      <c r="B39" s="685" t="s">
        <v>431</v>
      </c>
      <c r="C39" s="685"/>
      <c r="D39" s="685"/>
      <c r="E39" s="685"/>
      <c r="F39" s="685"/>
      <c r="G39" s="424"/>
      <c r="H39" s="424"/>
    </row>
    <row r="40" spans="1:8" ht="15">
      <c r="A40" s="424"/>
      <c r="B40" s="403" t="s">
        <v>16</v>
      </c>
      <c r="C40" s="425"/>
      <c r="D40" s="476" t="s">
        <v>612</v>
      </c>
      <c r="E40" s="424"/>
      <c r="F40" s="424"/>
      <c r="G40" s="424"/>
      <c r="H40" s="424"/>
    </row>
    <row r="41" spans="1:8" ht="15">
      <c r="B41" s="141"/>
      <c r="C41" s="141"/>
      <c r="D41" s="529" t="s">
        <v>613</v>
      </c>
    </row>
    <row r="42" spans="1:8">
      <c r="B42" s="141"/>
      <c r="C42" s="141"/>
      <c r="D42" s="141"/>
    </row>
    <row r="43" spans="1:8">
      <c r="B43" s="141"/>
      <c r="C43" s="141"/>
      <c r="D43" s="141"/>
    </row>
    <row r="44" spans="1:8">
      <c r="B44" s="141"/>
      <c r="C44" s="141"/>
      <c r="D44" s="141"/>
    </row>
    <row r="45" spans="1:8">
      <c r="B45" s="141"/>
      <c r="C45" s="141"/>
      <c r="D45" s="141"/>
    </row>
    <row r="46" spans="1:8">
      <c r="B46" s="141"/>
      <c r="C46" s="141"/>
      <c r="D46" s="141"/>
    </row>
    <row r="47" spans="1:8">
      <c r="B47" s="141"/>
      <c r="C47" s="141"/>
      <c r="D47" s="141"/>
    </row>
    <row r="48" spans="1:8">
      <c r="B48" s="141"/>
      <c r="C48" s="141"/>
      <c r="D48" s="141"/>
    </row>
    <row r="49" spans="2:4">
      <c r="B49" s="141"/>
      <c r="C49" s="141"/>
      <c r="D49" s="141"/>
    </row>
    <row r="50" spans="2:4">
      <c r="B50" s="141"/>
      <c r="C50" s="141"/>
      <c r="D50" s="141"/>
    </row>
    <row r="51" spans="2:4">
      <c r="B51" s="141"/>
      <c r="C51" s="141"/>
      <c r="D51" s="141"/>
    </row>
    <row r="52" spans="2:4">
      <c r="B52" s="141"/>
      <c r="C52" s="141"/>
      <c r="D52" s="141"/>
    </row>
    <row r="53" spans="2:4">
      <c r="B53" s="141"/>
      <c r="C53" s="141"/>
      <c r="D53" s="141"/>
    </row>
    <row r="54" spans="2:4">
      <c r="B54" s="141"/>
      <c r="C54" s="141"/>
      <c r="D54" s="141"/>
    </row>
    <row r="55" spans="2:4">
      <c r="B55" s="141"/>
      <c r="C55" s="141"/>
      <c r="D55" s="141"/>
    </row>
    <row r="56" spans="2:4">
      <c r="B56" s="141"/>
      <c r="C56" s="141"/>
      <c r="D56" s="141"/>
    </row>
    <row r="57" spans="2:4">
      <c r="B57" s="141"/>
      <c r="C57" s="141"/>
      <c r="D57" s="141"/>
    </row>
    <row r="58" spans="2:4">
      <c r="B58" s="141"/>
      <c r="C58" s="141"/>
      <c r="D58" s="141"/>
    </row>
    <row r="59" spans="2:4">
      <c r="B59" s="141"/>
      <c r="C59" s="141"/>
      <c r="D59" s="141"/>
    </row>
    <row r="60" spans="2:4">
      <c r="B60" s="141"/>
      <c r="C60" s="141"/>
      <c r="D60" s="141"/>
    </row>
    <row r="61" spans="2:4">
      <c r="B61" s="141"/>
      <c r="C61" s="141"/>
      <c r="D61" s="141"/>
    </row>
    <row r="62" spans="2:4">
      <c r="B62" s="141"/>
      <c r="C62" s="141"/>
      <c r="D62" s="141"/>
    </row>
    <row r="63" spans="2:4">
      <c r="B63" s="141"/>
      <c r="C63" s="141"/>
      <c r="D63" s="141"/>
    </row>
    <row r="64" spans="2:4">
      <c r="B64" s="141"/>
      <c r="C64" s="141"/>
      <c r="D64" s="141"/>
    </row>
    <row r="65" spans="2:4">
      <c r="B65" s="141"/>
      <c r="C65" s="141"/>
      <c r="D65" s="141"/>
    </row>
    <row r="66" spans="2:4">
      <c r="B66" s="141"/>
      <c r="C66" s="141"/>
      <c r="D66" s="141"/>
    </row>
    <row r="67" spans="2:4">
      <c r="B67" s="141"/>
      <c r="C67" s="141"/>
      <c r="D67" s="141"/>
    </row>
    <row r="68" spans="2:4">
      <c r="B68" s="141"/>
      <c r="C68" s="141"/>
      <c r="D68" s="141"/>
    </row>
    <row r="69" spans="2:4">
      <c r="B69" s="141"/>
      <c r="C69" s="141"/>
      <c r="D69" s="141"/>
    </row>
    <row r="70" spans="2:4">
      <c r="B70" s="141"/>
      <c r="C70" s="141"/>
      <c r="D70" s="141"/>
    </row>
    <row r="71" spans="2:4">
      <c r="B71" s="141"/>
      <c r="C71" s="141"/>
      <c r="D71" s="141"/>
    </row>
    <row r="72" spans="2:4">
      <c r="B72" s="141"/>
      <c r="C72" s="141"/>
      <c r="D72" s="141"/>
    </row>
    <row r="73" spans="2:4">
      <c r="B73" s="141"/>
      <c r="C73" s="141"/>
      <c r="D73" s="141"/>
    </row>
    <row r="74" spans="2:4">
      <c r="B74" s="141"/>
      <c r="C74" s="141"/>
      <c r="D74" s="141"/>
    </row>
    <row r="75" spans="2:4">
      <c r="B75" s="141"/>
      <c r="C75" s="141"/>
      <c r="D75" s="141"/>
    </row>
    <row r="76" spans="2:4">
      <c r="B76" s="141"/>
      <c r="C76" s="141"/>
      <c r="D76" s="141"/>
    </row>
    <row r="77" spans="2:4">
      <c r="B77" s="141"/>
      <c r="C77" s="141"/>
      <c r="D77" s="141"/>
    </row>
    <row r="78" spans="2:4">
      <c r="B78" s="141"/>
      <c r="C78" s="141"/>
      <c r="D78" s="141"/>
    </row>
    <row r="79" spans="2:4">
      <c r="B79" s="141"/>
      <c r="C79" s="141"/>
      <c r="D79" s="141"/>
    </row>
    <row r="80" spans="2:4">
      <c r="B80" s="141"/>
      <c r="C80" s="141"/>
      <c r="D80" s="141"/>
    </row>
    <row r="81" spans="2:4">
      <c r="B81" s="141"/>
      <c r="C81" s="141"/>
      <c r="D81" s="141"/>
    </row>
    <row r="82" spans="2:4">
      <c r="B82" s="141"/>
      <c r="C82" s="141"/>
      <c r="D82" s="141"/>
    </row>
    <row r="83" spans="2:4">
      <c r="B83" s="141"/>
      <c r="C83" s="141"/>
      <c r="D83" s="141"/>
    </row>
    <row r="84" spans="2:4">
      <c r="B84" s="141"/>
      <c r="C84" s="141"/>
      <c r="D84" s="141"/>
    </row>
    <row r="85" spans="2:4">
      <c r="B85" s="141"/>
      <c r="C85" s="141"/>
      <c r="D85" s="141"/>
    </row>
    <row r="86" spans="2:4">
      <c r="B86" s="141"/>
      <c r="C86" s="141"/>
      <c r="D86" s="141"/>
    </row>
    <row r="87" spans="2:4">
      <c r="B87" s="141"/>
      <c r="C87" s="141"/>
      <c r="D87" s="141"/>
    </row>
    <row r="88" spans="2:4">
      <c r="B88" s="141"/>
      <c r="C88" s="141"/>
      <c r="D88" s="141"/>
    </row>
    <row r="89" spans="2:4">
      <c r="B89" s="141"/>
      <c r="C89" s="141"/>
      <c r="D89" s="141"/>
    </row>
    <row r="90" spans="2:4">
      <c r="B90" s="141"/>
      <c r="C90" s="141"/>
      <c r="D90" s="141"/>
    </row>
    <row r="91" spans="2:4">
      <c r="B91" s="141"/>
      <c r="C91" s="141"/>
      <c r="D91" s="141"/>
    </row>
    <row r="92" spans="2:4">
      <c r="B92" s="141"/>
      <c r="C92" s="141"/>
      <c r="D92" s="141"/>
    </row>
    <row r="93" spans="2:4">
      <c r="B93" s="141"/>
      <c r="C93" s="141"/>
      <c r="D93" s="141"/>
    </row>
    <row r="94" spans="2:4">
      <c r="B94" s="141"/>
      <c r="C94" s="141"/>
      <c r="D94" s="141"/>
    </row>
    <row r="95" spans="2:4">
      <c r="B95" s="141"/>
      <c r="C95" s="141"/>
      <c r="D95" s="141"/>
    </row>
    <row r="96" spans="2:4">
      <c r="B96" s="141"/>
      <c r="C96" s="141"/>
      <c r="D96" s="141"/>
    </row>
    <row r="97" spans="2:4">
      <c r="B97" s="141"/>
      <c r="C97" s="141"/>
      <c r="D97" s="141"/>
    </row>
    <row r="98" spans="2:4">
      <c r="B98" s="141"/>
      <c r="C98" s="141"/>
      <c r="D98" s="141"/>
    </row>
    <row r="99" spans="2:4">
      <c r="B99" s="141"/>
      <c r="C99" s="141"/>
      <c r="D99" s="141"/>
    </row>
    <row r="100" spans="2:4">
      <c r="B100" s="141"/>
      <c r="C100" s="141"/>
      <c r="D100" s="141"/>
    </row>
    <row r="101" spans="2:4">
      <c r="B101" s="141"/>
      <c r="C101" s="141"/>
      <c r="D101" s="141"/>
    </row>
    <row r="102" spans="2:4">
      <c r="B102" s="141"/>
      <c r="C102" s="141"/>
      <c r="D102" s="141"/>
    </row>
    <row r="103" spans="2:4">
      <c r="B103" s="141"/>
      <c r="C103" s="141"/>
      <c r="D103" s="141"/>
    </row>
    <row r="151" spans="11:11">
      <c r="K151" s="140" t="s">
        <v>611</v>
      </c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1"/>
  <sheetViews>
    <sheetView zoomScale="80" zoomScaleNormal="80" zoomScaleSheetLayoutView="110" workbookViewId="0">
      <selection activeCell="B7" sqref="B7:I7"/>
    </sheetView>
  </sheetViews>
  <sheetFormatPr defaultRowHeight="15"/>
  <cols>
    <col min="1" max="1" width="5" customWidth="1"/>
    <col min="2" max="2" width="11.44140625" customWidth="1"/>
    <col min="3" max="3" width="14.77734375" customWidth="1"/>
    <col min="9" max="9" width="13.21875" bestFit="1" customWidth="1"/>
  </cols>
  <sheetData>
    <row r="1" spans="1:12">
      <c r="H1" s="1"/>
      <c r="I1" s="6" t="str">
        <f>EKPC!J1</f>
        <v>Attachment H-24A</v>
      </c>
    </row>
    <row r="2" spans="1:12">
      <c r="H2" s="1"/>
      <c r="I2" s="75" t="s">
        <v>532</v>
      </c>
    </row>
    <row r="3" spans="1:12">
      <c r="H3" s="1"/>
      <c r="I3" s="75" t="s">
        <v>374</v>
      </c>
      <c r="L3" s="488"/>
    </row>
    <row r="4" spans="1:12">
      <c r="B4" s="245"/>
      <c r="C4" s="245"/>
      <c r="D4" s="245"/>
      <c r="E4" s="245"/>
      <c r="F4" s="245"/>
      <c r="G4" s="623"/>
      <c r="H4" s="624"/>
      <c r="I4" s="622" t="str">
        <f>EKPC!J7</f>
        <v>For the 12 months ended 12/31/2025</v>
      </c>
    </row>
    <row r="5" spans="1:12">
      <c r="B5" s="245"/>
      <c r="C5" s="245"/>
      <c r="D5" s="245"/>
      <c r="E5" s="245"/>
      <c r="F5" s="245"/>
      <c r="G5" s="75"/>
      <c r="H5" s="245"/>
      <c r="L5" s="75"/>
    </row>
    <row r="6" spans="1:12">
      <c r="B6" s="13" t="s">
        <v>312</v>
      </c>
      <c r="C6" s="253"/>
      <c r="D6" s="253"/>
      <c r="E6" s="253"/>
      <c r="F6" s="253"/>
      <c r="G6" s="253"/>
      <c r="H6" s="253"/>
      <c r="I6" s="253"/>
    </row>
    <row r="7" spans="1:12">
      <c r="B7" s="689" t="str">
        <f>EKPC!A9</f>
        <v>Utilizing EKPC 2024 Form FF1 Data (ver. FINAL - AUDITED)</v>
      </c>
      <c r="C7" s="689"/>
      <c r="D7" s="689"/>
      <c r="E7" s="689"/>
      <c r="F7" s="689"/>
      <c r="G7" s="689"/>
      <c r="H7" s="689"/>
      <c r="I7" s="689"/>
    </row>
    <row r="8" spans="1:12">
      <c r="B8" s="245"/>
      <c r="C8" s="245"/>
      <c r="D8" s="245"/>
      <c r="E8" s="245"/>
      <c r="F8" s="245"/>
      <c r="G8" s="75"/>
      <c r="H8" s="245"/>
      <c r="I8" s="75"/>
    </row>
    <row r="9" spans="1:12" ht="15.75">
      <c r="B9" s="430" t="s">
        <v>387</v>
      </c>
      <c r="C9" s="253"/>
      <c r="D9" s="253"/>
      <c r="E9" s="253"/>
      <c r="F9" s="253"/>
      <c r="G9" s="253"/>
      <c r="H9" s="253"/>
      <c r="I9" s="253"/>
    </row>
    <row r="10" spans="1:12" ht="15.75">
      <c r="B10" s="430" t="s">
        <v>344</v>
      </c>
      <c r="C10" s="253"/>
      <c r="D10" s="253"/>
      <c r="E10" s="253"/>
      <c r="F10" s="253"/>
      <c r="G10" s="253"/>
      <c r="H10" s="253"/>
      <c r="I10" s="253"/>
    </row>
    <row r="11" spans="1:12" ht="15.75">
      <c r="B11" s="431"/>
      <c r="C11" s="432"/>
      <c r="D11" s="432"/>
      <c r="E11" s="433"/>
      <c r="F11" s="433"/>
      <c r="G11" s="432"/>
      <c r="H11" s="432"/>
      <c r="I11" s="432"/>
    </row>
    <row r="12" spans="1:12" ht="33" customHeight="1">
      <c r="A12" s="434" t="s">
        <v>182</v>
      </c>
      <c r="B12" s="435"/>
      <c r="C12" s="436" t="s">
        <v>345</v>
      </c>
      <c r="D12" s="436"/>
      <c r="E12" s="436" t="s">
        <v>346</v>
      </c>
      <c r="F12" s="436"/>
      <c r="G12" s="437" t="s">
        <v>580</v>
      </c>
      <c r="H12" s="435"/>
      <c r="I12" s="437" t="s">
        <v>581</v>
      </c>
    </row>
    <row r="13" spans="1:12">
      <c r="A13" s="8">
        <v>1</v>
      </c>
      <c r="B13" s="432" t="s">
        <v>145</v>
      </c>
      <c r="C13" s="625">
        <v>71058475</v>
      </c>
      <c r="D13" s="516"/>
      <c r="E13" s="438">
        <f>C13/C16</f>
        <v>0.44961668342747002</v>
      </c>
      <c r="F13" s="438"/>
      <c r="G13" s="480">
        <f>G16*E13</f>
        <v>0</v>
      </c>
      <c r="H13" s="432"/>
      <c r="I13" s="432"/>
    </row>
    <row r="14" spans="1:12">
      <c r="A14" s="8">
        <f>+A13+1</f>
        <v>2</v>
      </c>
      <c r="B14" s="432" t="s">
        <v>22</v>
      </c>
      <c r="C14" s="626">
        <v>86925940</v>
      </c>
      <c r="D14" s="516"/>
      <c r="E14" s="438">
        <f>C14/C16</f>
        <v>0.55001676923991483</v>
      </c>
      <c r="F14" s="438"/>
      <c r="G14" s="480">
        <f>E14*G16</f>
        <v>0</v>
      </c>
      <c r="H14" s="439"/>
      <c r="I14" s="432"/>
    </row>
    <row r="15" spans="1:12" ht="17.25">
      <c r="A15" s="8">
        <f>+A14+1</f>
        <v>3</v>
      </c>
      <c r="B15" s="432" t="s">
        <v>146</v>
      </c>
      <c r="C15" s="627">
        <v>57930</v>
      </c>
      <c r="D15" s="516"/>
      <c r="E15" s="440">
        <f>C15/C16</f>
        <v>3.6654733261519244E-4</v>
      </c>
      <c r="F15" s="440"/>
      <c r="G15" s="481">
        <f>E15*G16</f>
        <v>0</v>
      </c>
      <c r="H15" s="432"/>
      <c r="I15" s="432"/>
    </row>
    <row r="16" spans="1:12" ht="18" thickBot="1">
      <c r="A16" s="8">
        <f>+A15+1</f>
        <v>4</v>
      </c>
      <c r="B16" s="432" t="s">
        <v>347</v>
      </c>
      <c r="C16" s="441">
        <f>SUM(C13:C15)</f>
        <v>158042345</v>
      </c>
      <c r="D16" s="432"/>
      <c r="E16" s="442">
        <f>SUM(E13:E15)</f>
        <v>1</v>
      </c>
      <c r="F16" s="442"/>
      <c r="G16" s="461">
        <v>0</v>
      </c>
      <c r="H16" s="432"/>
      <c r="I16" s="443">
        <f>G14+C14</f>
        <v>86925940</v>
      </c>
    </row>
    <row r="17" spans="2:9" ht="15.75" thickTop="1">
      <c r="B17" s="432"/>
      <c r="C17" s="432"/>
      <c r="D17" s="432"/>
      <c r="E17" s="432"/>
      <c r="F17" s="432"/>
      <c r="G17" s="432"/>
      <c r="H17" s="432"/>
      <c r="I17" s="432"/>
    </row>
    <row r="18" spans="2:9">
      <c r="B18" s="432"/>
      <c r="C18" s="432"/>
      <c r="D18" s="432"/>
      <c r="E18" s="432"/>
      <c r="F18" s="432"/>
      <c r="G18" s="432"/>
      <c r="H18" s="432"/>
      <c r="I18" s="432"/>
    </row>
    <row r="19" spans="2:9">
      <c r="B19" s="444" t="s">
        <v>142</v>
      </c>
      <c r="C19" s="445"/>
      <c r="D19" s="445"/>
      <c r="E19" s="445"/>
      <c r="F19" s="446"/>
      <c r="G19" s="432"/>
      <c r="H19" s="432"/>
      <c r="I19" s="432"/>
    </row>
    <row r="20" spans="2:9" ht="15.75">
      <c r="B20" s="432" t="s">
        <v>553</v>
      </c>
      <c r="C20" s="447"/>
      <c r="D20" s="447"/>
      <c r="E20" s="447"/>
      <c r="F20" s="448"/>
      <c r="G20" s="432"/>
      <c r="H20" s="432"/>
      <c r="I20" s="432"/>
    </row>
    <row r="21" spans="2:9">
      <c r="B21" s="432" t="s">
        <v>388</v>
      </c>
    </row>
    <row r="22" spans="2:9">
      <c r="B22" s="432" t="s">
        <v>652</v>
      </c>
      <c r="D22" s="1"/>
    </row>
    <row r="151" spans="11:11">
      <c r="K151" t="s">
        <v>611</v>
      </c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51"/>
  <sheetViews>
    <sheetView zoomScale="80" zoomScaleNormal="80" zoomScaleSheetLayoutView="90" workbookViewId="0">
      <selection activeCell="D17" sqref="D17"/>
    </sheetView>
  </sheetViews>
  <sheetFormatPr defaultColWidth="8.77734375" defaultRowHeight="15"/>
  <cols>
    <col min="1" max="1" width="8.77734375" style="1"/>
    <col min="2" max="2" width="37.21875" style="1" bestFit="1" customWidth="1"/>
    <col min="3" max="3" width="14.77734375" style="1" customWidth="1"/>
    <col min="4" max="4" width="22.44140625" style="1" customWidth="1"/>
    <col min="5" max="5" width="23.88671875" style="1" customWidth="1"/>
    <col min="6" max="16384" width="8.77734375" style="1"/>
  </cols>
  <sheetData>
    <row r="1" spans="1:7">
      <c r="E1" s="50" t="str">
        <f>EKPC!J1</f>
        <v>Attachment H-24A</v>
      </c>
    </row>
    <row r="2" spans="1:7">
      <c r="E2" s="134" t="s">
        <v>532</v>
      </c>
    </row>
    <row r="3" spans="1:7">
      <c r="B3"/>
      <c r="C3" s="13"/>
      <c r="D3" s="13"/>
      <c r="E3" s="134" t="s">
        <v>373</v>
      </c>
    </row>
    <row r="4" spans="1:7" ht="18">
      <c r="B4" s="21"/>
      <c r="C4" s="13"/>
      <c r="D4" s="13"/>
      <c r="E4" s="134" t="str">
        <f>EKPC!$J$7</f>
        <v>For the 12 months ended 12/31/2025</v>
      </c>
    </row>
    <row r="5" spans="1:7" ht="18">
      <c r="B5" s="21"/>
      <c r="C5" s="13"/>
      <c r="D5" s="13"/>
      <c r="E5" s="134"/>
      <c r="G5" s="488"/>
    </row>
    <row r="6" spans="1:7" ht="15.75">
      <c r="B6" s="690" t="str">
        <f>EKPC!A11</f>
        <v>East Kentucky Power Cooperative, Inc.</v>
      </c>
      <c r="C6" s="690"/>
      <c r="D6" s="690"/>
      <c r="E6" s="690"/>
    </row>
    <row r="7" spans="1:7" ht="15.75">
      <c r="B7" s="690" t="str">
        <f>EKPC!A9</f>
        <v>Utilizing EKPC 2024 Form FF1 Data (ver. FINAL - AUDITED)</v>
      </c>
      <c r="C7" s="690"/>
      <c r="D7" s="690"/>
      <c r="E7" s="690"/>
    </row>
    <row r="9" spans="1:7">
      <c r="E9" s="134"/>
    </row>
    <row r="10" spans="1:7" ht="15.75">
      <c r="B10" s="12" t="s">
        <v>380</v>
      </c>
      <c r="C10" s="13"/>
      <c r="D10" s="13"/>
      <c r="E10" s="13"/>
    </row>
    <row r="12" spans="1:7">
      <c r="C12" s="11"/>
      <c r="D12" s="11"/>
    </row>
    <row r="13" spans="1:7" ht="34.5">
      <c r="A13" s="322" t="s">
        <v>182</v>
      </c>
      <c r="B13" s="132" t="s">
        <v>464</v>
      </c>
      <c r="C13" s="118" t="s">
        <v>215</v>
      </c>
      <c r="D13" s="118" t="s">
        <v>159</v>
      </c>
      <c r="E13" s="118" t="s">
        <v>375</v>
      </c>
    </row>
    <row r="14" spans="1:7">
      <c r="C14" s="11"/>
      <c r="D14" s="11"/>
      <c r="E14" s="11"/>
    </row>
    <row r="15" spans="1:7" ht="15.75">
      <c r="A15" s="310"/>
      <c r="B15" s="135"/>
      <c r="C15" s="119"/>
      <c r="D15" s="119"/>
      <c r="E15" s="119"/>
    </row>
    <row r="16" spans="1:7">
      <c r="C16" s="119"/>
      <c r="D16" s="516"/>
      <c r="E16" s="119"/>
    </row>
    <row r="17" spans="1:7">
      <c r="A17" s="310" t="s">
        <v>416</v>
      </c>
      <c r="B17" s="1" t="s">
        <v>323</v>
      </c>
      <c r="C17" s="115">
        <v>0</v>
      </c>
      <c r="D17" s="628">
        <v>27461.55</v>
      </c>
      <c r="E17" s="115">
        <f t="shared" ref="E17:E22" si="0">SUM(C17:D17)</f>
        <v>27461.55</v>
      </c>
      <c r="G17" s="515"/>
    </row>
    <row r="18" spans="1:7">
      <c r="A18" s="331">
        <f t="shared" ref="A18:A23" si="1">A17+1</f>
        <v>2</v>
      </c>
      <c r="C18" s="478">
        <v>0</v>
      </c>
      <c r="D18" s="119">
        <v>0</v>
      </c>
      <c r="E18" s="119">
        <f t="shared" si="0"/>
        <v>0</v>
      </c>
    </row>
    <row r="19" spans="1:7">
      <c r="A19" s="331">
        <f t="shared" si="1"/>
        <v>3</v>
      </c>
      <c r="C19" s="478">
        <v>0</v>
      </c>
      <c r="D19" s="119">
        <v>0</v>
      </c>
      <c r="E19" s="119">
        <f t="shared" si="0"/>
        <v>0</v>
      </c>
    </row>
    <row r="20" spans="1:7">
      <c r="A20" s="331">
        <f t="shared" si="1"/>
        <v>4</v>
      </c>
      <c r="C20" s="478">
        <v>0</v>
      </c>
      <c r="D20" s="119">
        <v>0</v>
      </c>
      <c r="E20" s="119">
        <f t="shared" si="0"/>
        <v>0</v>
      </c>
    </row>
    <row r="21" spans="1:7">
      <c r="A21" s="331">
        <f t="shared" si="1"/>
        <v>5</v>
      </c>
      <c r="C21" s="478">
        <v>0</v>
      </c>
      <c r="D21" s="119">
        <v>0</v>
      </c>
      <c r="E21" s="119">
        <f t="shared" si="0"/>
        <v>0</v>
      </c>
    </row>
    <row r="22" spans="1:7" ht="17.25">
      <c r="A22" s="331">
        <f t="shared" si="1"/>
        <v>6</v>
      </c>
      <c r="C22" s="479">
        <v>0</v>
      </c>
      <c r="D22" s="491">
        <v>0</v>
      </c>
      <c r="E22" s="120">
        <f t="shared" si="0"/>
        <v>0</v>
      </c>
    </row>
    <row r="23" spans="1:7" ht="17.25">
      <c r="A23" s="331">
        <f t="shared" si="1"/>
        <v>7</v>
      </c>
      <c r="B23" s="23" t="s">
        <v>386</v>
      </c>
      <c r="C23" s="121">
        <f>SUM(C17:C22)</f>
        <v>0</v>
      </c>
      <c r="D23" s="121">
        <f>SUM(D17:D22)</f>
        <v>27461.55</v>
      </c>
      <c r="E23" s="121">
        <f>SUM(E17:E22)</f>
        <v>27461.55</v>
      </c>
    </row>
    <row r="27" spans="1:7">
      <c r="B27" s="267" t="s">
        <v>382</v>
      </c>
      <c r="C27" s="246"/>
      <c r="D27" s="246"/>
    </row>
    <row r="28" spans="1:7">
      <c r="B28" s="271" t="s">
        <v>550</v>
      </c>
      <c r="C28" s="6"/>
    </row>
    <row r="29" spans="1:7">
      <c r="B29" s="271"/>
    </row>
    <row r="151" spans="11:11">
      <c r="K151" s="1" t="s">
        <v>611</v>
      </c>
    </row>
  </sheetData>
  <mergeCells count="2">
    <mergeCell ref="B6:E6"/>
    <mergeCell ref="B7:E7"/>
  </mergeCells>
  <pageMargins left="1" right="1" top="1" bottom="0.5" header="0.25" footer="0.25"/>
  <pageSetup scale="8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40"/>
  <sheetViews>
    <sheetView topLeftCell="A3" zoomScale="70" zoomScaleNormal="70" zoomScaleSheetLayoutView="80" workbookViewId="0">
      <selection activeCell="G27" sqref="G27"/>
    </sheetView>
  </sheetViews>
  <sheetFormatPr defaultColWidth="7.109375" defaultRowHeight="12.75"/>
  <cols>
    <col min="1" max="1" width="7.109375" style="84"/>
    <col min="2" max="2" width="48.6640625" style="84" customWidth="1"/>
    <col min="3" max="3" width="20.21875" style="84" bestFit="1" customWidth="1"/>
    <col min="4" max="4" width="14.77734375" style="84" customWidth="1"/>
    <col min="5" max="5" width="15.44140625" style="84" customWidth="1"/>
    <col min="6" max="6" width="11.6640625" style="84" customWidth="1"/>
    <col min="7" max="7" width="10.109375" style="84" customWidth="1"/>
    <col min="8" max="8" width="19.109375" style="84" customWidth="1"/>
    <col min="9" max="9" width="16.77734375" style="84" customWidth="1"/>
    <col min="10" max="10" width="8.77734375" style="84" bestFit="1" customWidth="1"/>
    <col min="11" max="17" width="25.5546875" style="84" customWidth="1"/>
    <col min="18" max="19" width="25.5546875" style="84" bestFit="1" customWidth="1"/>
    <col min="20" max="20" width="29.21875" style="84" bestFit="1" customWidth="1"/>
    <col min="21" max="28" width="13" style="84" customWidth="1"/>
    <col min="29" max="29" width="13" style="84" bestFit="1" customWidth="1"/>
    <col min="30" max="33" width="13" style="84" customWidth="1"/>
    <col min="34" max="34" width="16.77734375" style="84" bestFit="1" customWidth="1"/>
    <col min="35" max="35" width="8.21875" style="84" customWidth="1"/>
    <col min="36" max="53" width="16.21875" style="84" bestFit="1" customWidth="1"/>
    <col min="54" max="54" width="16.77734375" style="84" bestFit="1" customWidth="1"/>
    <col min="55" max="55" width="7.77734375" style="84" bestFit="1" customWidth="1"/>
    <col min="56" max="56" width="8.21875" style="84" bestFit="1" customWidth="1"/>
    <col min="57" max="57" width="9.88671875" style="84" bestFit="1" customWidth="1"/>
    <col min="58" max="58" width="6.33203125" style="84" customWidth="1"/>
    <col min="59" max="59" width="9.88671875" style="84" bestFit="1" customWidth="1"/>
    <col min="60" max="60" width="6.33203125" style="84" customWidth="1"/>
    <col min="61" max="61" width="9.88671875" style="84" bestFit="1" customWidth="1"/>
    <col min="62" max="63" width="6.33203125" style="84" customWidth="1"/>
    <col min="64" max="64" width="9.88671875" style="84" bestFit="1" customWidth="1"/>
    <col min="65" max="65" width="6.33203125" style="84" customWidth="1"/>
    <col min="66" max="66" width="9.88671875" style="84" bestFit="1" customWidth="1"/>
    <col min="67" max="67" width="6.33203125" style="84" customWidth="1"/>
    <col min="68" max="68" width="9.88671875" style="84" bestFit="1" customWidth="1"/>
    <col min="69" max="69" width="6.33203125" style="84" customWidth="1"/>
    <col min="70" max="70" width="9.88671875" style="84" bestFit="1" customWidth="1"/>
    <col min="71" max="71" width="8.21875" style="84" bestFit="1" customWidth="1"/>
    <col min="72" max="16384" width="7.109375" style="84"/>
  </cols>
  <sheetData>
    <row r="1" spans="1:7" ht="15">
      <c r="A1" s="24"/>
      <c r="B1" s="1"/>
      <c r="C1" s="1"/>
      <c r="D1" s="1"/>
      <c r="E1" s="50" t="str">
        <f>EKPC!J1</f>
        <v>Attachment H-24A</v>
      </c>
    </row>
    <row r="2" spans="1:7" ht="15">
      <c r="A2" s="24"/>
      <c r="B2" s="1"/>
      <c r="C2" s="1"/>
      <c r="D2" s="1"/>
      <c r="E2" s="134" t="s">
        <v>532</v>
      </c>
    </row>
    <row r="3" spans="1:7" ht="15">
      <c r="A3" s="24"/>
      <c r="B3" s="345"/>
      <c r="C3" s="13"/>
      <c r="D3" s="13"/>
      <c r="E3" s="134" t="s">
        <v>372</v>
      </c>
    </row>
    <row r="4" spans="1:7" ht="15.75">
      <c r="A4" s="24"/>
      <c r="B4" s="12"/>
      <c r="C4" s="13"/>
      <c r="D4" s="13"/>
      <c r="E4" s="134" t="str">
        <f>EKPC!$J$7</f>
        <v>For the 12 months ended 12/31/2025</v>
      </c>
    </row>
    <row r="5" spans="1:7" ht="15.75">
      <c r="A5" s="24"/>
      <c r="B5" s="12"/>
      <c r="C5" s="13"/>
      <c r="D5" s="13"/>
      <c r="E5" s="134"/>
      <c r="G5" s="488"/>
    </row>
    <row r="6" spans="1:7" ht="15.75">
      <c r="A6" s="24"/>
      <c r="B6" s="690" t="str">
        <f>EKPC!A11</f>
        <v>East Kentucky Power Cooperative, Inc.</v>
      </c>
      <c r="C6" s="690"/>
      <c r="D6" s="690"/>
      <c r="E6" s="690"/>
    </row>
    <row r="7" spans="1:7" ht="15.75">
      <c r="A7" s="24"/>
      <c r="B7" s="690" t="str">
        <f>EKPC!A9</f>
        <v>Utilizing EKPC 2024 Form FF1 Data (ver. FINAL - AUDITED)</v>
      </c>
      <c r="C7" s="690"/>
      <c r="D7" s="690"/>
      <c r="E7" s="690"/>
    </row>
    <row r="8" spans="1:7" ht="15">
      <c r="A8" s="24"/>
      <c r="B8" s="24"/>
      <c r="C8" s="24"/>
      <c r="D8" s="451"/>
      <c r="E8" s="24"/>
    </row>
    <row r="9" spans="1:7" ht="15.75">
      <c r="A9" s="24"/>
      <c r="B9" s="690" t="s">
        <v>528</v>
      </c>
      <c r="C9" s="690"/>
      <c r="D9" s="690"/>
      <c r="E9" s="690"/>
      <c r="F9" s="345"/>
    </row>
    <row r="10" spans="1:7" ht="15">
      <c r="A10" s="24"/>
      <c r="B10" s="1"/>
      <c r="C10" s="1"/>
      <c r="D10" s="24"/>
      <c r="E10" s="24"/>
      <c r="F10" s="345"/>
    </row>
    <row r="11" spans="1:7" ht="15.75">
      <c r="A11" s="24"/>
      <c r="B11" s="15"/>
      <c r="C11" s="15"/>
      <c r="D11" s="24"/>
      <c r="E11" s="24"/>
      <c r="F11" s="345"/>
    </row>
    <row r="12" spans="1:7" ht="15">
      <c r="A12" s="24"/>
      <c r="B12" s="14"/>
      <c r="C12" s="14"/>
      <c r="D12" s="24"/>
      <c r="E12" s="24"/>
      <c r="F12" s="345"/>
    </row>
    <row r="13" spans="1:7" ht="20.25">
      <c r="A13" s="452" t="s">
        <v>182</v>
      </c>
      <c r="B13" s="14"/>
      <c r="C13" s="17" t="s">
        <v>238</v>
      </c>
      <c r="D13" s="17" t="s">
        <v>313</v>
      </c>
      <c r="E13" s="24"/>
      <c r="F13" s="345"/>
    </row>
    <row r="14" spans="1:7" ht="15">
      <c r="A14" s="24"/>
      <c r="B14" s="14"/>
      <c r="C14" s="14"/>
      <c r="D14" s="24"/>
      <c r="E14" s="24"/>
      <c r="F14" s="345"/>
    </row>
    <row r="15" spans="1:7" ht="15.75">
      <c r="A15" s="321" t="s">
        <v>471</v>
      </c>
      <c r="B15" s="312" t="s">
        <v>558</v>
      </c>
      <c r="C15" s="311" t="s">
        <v>559</v>
      </c>
      <c r="D15" s="629">
        <v>360211</v>
      </c>
      <c r="E15" s="516"/>
      <c r="F15" s="345"/>
    </row>
    <row r="16" spans="1:7" ht="15">
      <c r="A16" s="24"/>
      <c r="B16" s="18"/>
      <c r="C16" s="311"/>
      <c r="D16" s="70"/>
      <c r="E16" s="24"/>
      <c r="F16" s="345"/>
    </row>
    <row r="17" spans="1:7" ht="17.25">
      <c r="A17" s="321" t="s">
        <v>200</v>
      </c>
      <c r="B17" s="19" t="s">
        <v>161</v>
      </c>
      <c r="C17" s="19"/>
      <c r="D17" s="508">
        <v>0</v>
      </c>
      <c r="E17" s="24"/>
      <c r="F17" s="1"/>
    </row>
    <row r="18" spans="1:7" ht="15">
      <c r="A18" s="24"/>
      <c r="B18" s="18"/>
      <c r="D18" s="70"/>
      <c r="E18" s="24"/>
      <c r="F18" s="345"/>
    </row>
    <row r="19" spans="1:7" ht="17.25">
      <c r="A19" s="321" t="s">
        <v>472</v>
      </c>
      <c r="B19" s="20" t="s">
        <v>469</v>
      </c>
      <c r="C19" s="311" t="s">
        <v>461</v>
      </c>
      <c r="D19" s="449">
        <f>D15-D17</f>
        <v>360211</v>
      </c>
      <c r="E19" s="24"/>
      <c r="F19" s="345"/>
    </row>
    <row r="20" spans="1:7" ht="15">
      <c r="A20" s="24"/>
      <c r="B20" s="18"/>
      <c r="C20" s="311"/>
      <c r="D20" s="70"/>
      <c r="E20" s="24"/>
      <c r="F20" s="345"/>
    </row>
    <row r="21" spans="1:7" ht="15">
      <c r="A21" s="24"/>
      <c r="B21" s="18"/>
      <c r="C21" s="311"/>
      <c r="D21" s="70"/>
      <c r="E21" s="24"/>
      <c r="F21" s="345"/>
    </row>
    <row r="22" spans="1:7" ht="15.75">
      <c r="A22" s="321" t="s">
        <v>473</v>
      </c>
      <c r="B22" s="313" t="s">
        <v>470</v>
      </c>
      <c r="C22" s="311" t="s">
        <v>460</v>
      </c>
      <c r="D22" s="629">
        <v>1835435</v>
      </c>
      <c r="E22" s="516"/>
      <c r="F22" s="345"/>
      <c r="G22" s="345"/>
    </row>
    <row r="23" spans="1:7" ht="15.75">
      <c r="A23" s="321"/>
      <c r="B23" s="313"/>
      <c r="C23" s="311"/>
      <c r="D23" s="450"/>
      <c r="E23" s="24"/>
      <c r="F23" s="345"/>
      <c r="G23" s="345"/>
    </row>
    <row r="24" spans="1:7" ht="15">
      <c r="A24" s="321" t="s">
        <v>172</v>
      </c>
      <c r="B24" s="303" t="s">
        <v>427</v>
      </c>
      <c r="C24" s="311" t="s">
        <v>463</v>
      </c>
      <c r="D24" s="450">
        <f>-D22*(1-EKPC!J219)</f>
        <v>-1449537.5945505577</v>
      </c>
      <c r="E24" s="345"/>
      <c r="F24" s="345"/>
      <c r="G24" s="345"/>
    </row>
    <row r="25" spans="1:7" ht="15">
      <c r="A25" s="321"/>
      <c r="B25" s="303"/>
      <c r="C25" s="311"/>
      <c r="D25" s="450"/>
      <c r="E25" s="345"/>
      <c r="F25" s="345"/>
      <c r="G25" s="345"/>
    </row>
    <row r="26" spans="1:7" ht="15">
      <c r="A26" s="321">
        <v>6</v>
      </c>
      <c r="B26" s="500" t="s">
        <v>602</v>
      </c>
      <c r="C26" s="311" t="s">
        <v>477</v>
      </c>
      <c r="D26" s="630">
        <v>17813.5</v>
      </c>
      <c r="E26" s="516"/>
      <c r="F26"/>
      <c r="G26" s="345"/>
    </row>
    <row r="27" spans="1:7" ht="15">
      <c r="A27" s="321"/>
      <c r="B27" s="303"/>
      <c r="C27" s="311"/>
      <c r="D27" s="450"/>
      <c r="E27" s="345"/>
      <c r="F27" s="345"/>
      <c r="G27" s="345"/>
    </row>
    <row r="28" spans="1:7" ht="17.25">
      <c r="A28" s="321">
        <v>7</v>
      </c>
      <c r="B28" s="19" t="s">
        <v>457</v>
      </c>
      <c r="C28" s="311"/>
      <c r="D28" s="449">
        <f>D22+D24+D26</f>
        <v>403710.90544944233</v>
      </c>
      <c r="E28" s="24"/>
    </row>
    <row r="29" spans="1:7" ht="15">
      <c r="A29" s="24"/>
      <c r="B29" s="19"/>
      <c r="C29" s="311"/>
      <c r="D29" s="450"/>
      <c r="E29" s="24"/>
    </row>
    <row r="30" spans="1:7" ht="15">
      <c r="A30" s="24"/>
      <c r="B30" s="19"/>
      <c r="C30" s="19"/>
      <c r="D30" s="14"/>
      <c r="E30" s="24"/>
    </row>
    <row r="31" spans="1:7" ht="15">
      <c r="A31" s="24"/>
      <c r="B31" s="14"/>
      <c r="C31" s="14"/>
      <c r="D31" s="24"/>
      <c r="E31" s="345"/>
      <c r="F31" s="345"/>
      <c r="G31" s="345"/>
    </row>
    <row r="32" spans="1:7" ht="15">
      <c r="A32" s="24"/>
      <c r="B32" s="399" t="s">
        <v>382</v>
      </c>
      <c r="C32" s="400"/>
      <c r="D32" s="400"/>
      <c r="E32" s="400"/>
    </row>
    <row r="33" spans="1:5" ht="15">
      <c r="A33" s="24"/>
      <c r="B33" s="24" t="s">
        <v>653</v>
      </c>
      <c r="C33" s="24"/>
      <c r="D33" s="24"/>
      <c r="E33" s="24"/>
    </row>
    <row r="34" spans="1:5" ht="15.75">
      <c r="A34" s="24"/>
      <c r="B34" s="401" t="s">
        <v>603</v>
      </c>
      <c r="C34" s="24"/>
      <c r="D34" s="402"/>
      <c r="E34" s="24"/>
    </row>
    <row r="35" spans="1:5" ht="31.15" customHeight="1">
      <c r="A35" s="24"/>
      <c r="B35" s="691" t="s">
        <v>654</v>
      </c>
      <c r="C35" s="691"/>
      <c r="D35" s="691"/>
      <c r="E35" s="691"/>
    </row>
    <row r="36" spans="1:5" ht="15">
      <c r="A36" s="24"/>
      <c r="B36" s="401" t="s">
        <v>604</v>
      </c>
    </row>
    <row r="41" spans="1:5" ht="15">
      <c r="D41"/>
    </row>
    <row r="140" spans="11:11">
      <c r="K140" s="84" t="s">
        <v>611</v>
      </c>
    </row>
  </sheetData>
  <mergeCells count="4">
    <mergeCell ref="B6:E6"/>
    <mergeCell ref="B7:E7"/>
    <mergeCell ref="B9:E9"/>
    <mergeCell ref="B35:E35"/>
  </mergeCells>
  <phoneticPr fontId="21" type="noConversion"/>
  <pageMargins left="1" right="1" top="1" bottom="0.5" header="0.5" footer="0.5"/>
  <pageSetup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151"/>
  <sheetViews>
    <sheetView zoomScale="70" zoomScaleNormal="70" workbookViewId="0">
      <selection activeCell="F24" sqref="F24"/>
    </sheetView>
  </sheetViews>
  <sheetFormatPr defaultColWidth="8.77734375" defaultRowHeight="15"/>
  <cols>
    <col min="1" max="1" width="8.77734375" style="1"/>
    <col min="2" max="2" width="56.109375" style="1" customWidth="1"/>
    <col min="3" max="3" width="1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50" t="str">
        <f>EKPC!J1</f>
        <v>Attachment H-24A</v>
      </c>
    </row>
    <row r="2" spans="1:7">
      <c r="E2" s="134" t="s">
        <v>532</v>
      </c>
    </row>
    <row r="3" spans="1:7">
      <c r="B3"/>
      <c r="C3" s="13"/>
      <c r="D3" s="13"/>
      <c r="E3" s="134" t="s">
        <v>371</v>
      </c>
    </row>
    <row r="4" spans="1:7" ht="18">
      <c r="B4" s="21"/>
      <c r="C4" s="13"/>
      <c r="D4" s="13"/>
      <c r="E4" s="134" t="str">
        <f>EKPC!$J$7</f>
        <v>For the 12 months ended 12/31/2025</v>
      </c>
      <c r="F4" s="114"/>
    </row>
    <row r="5" spans="1:7" ht="18">
      <c r="B5" s="21"/>
      <c r="C5" s="13"/>
      <c r="D5" s="13"/>
      <c r="E5" s="134"/>
      <c r="F5" s="114"/>
      <c r="G5" s="488"/>
    </row>
    <row r="6" spans="1:7" ht="15.75">
      <c r="A6" s="690" t="str">
        <f>EKPC!A11</f>
        <v>East Kentucky Power Cooperative, Inc.</v>
      </c>
      <c r="B6" s="690"/>
      <c r="C6" s="690"/>
      <c r="D6" s="690"/>
      <c r="E6" s="314"/>
      <c r="F6" s="114"/>
    </row>
    <row r="7" spans="1:7" ht="15.75">
      <c r="A7" s="690" t="str">
        <f>EKPC!A9</f>
        <v>Utilizing EKPC 2024 Form FF1 Data (ver. FINAL - AUDITED)</v>
      </c>
      <c r="B7" s="690"/>
      <c r="C7" s="690"/>
      <c r="D7" s="690"/>
      <c r="E7" s="314"/>
      <c r="F7" s="114"/>
    </row>
    <row r="8" spans="1:7" ht="15.75">
      <c r="B8" s="12"/>
      <c r="C8" s="13"/>
      <c r="D8" s="134"/>
      <c r="F8" s="114"/>
    </row>
    <row r="9" spans="1:7" ht="15.75">
      <c r="A9" s="690" t="s">
        <v>144</v>
      </c>
      <c r="B9" s="690"/>
      <c r="C9" s="690"/>
      <c r="D9" s="690"/>
      <c r="F9" s="114"/>
    </row>
    <row r="10" spans="1:7" ht="15.75">
      <c r="B10" s="12"/>
      <c r="C10" s="13"/>
      <c r="D10" s="13"/>
      <c r="F10" s="114"/>
    </row>
    <row r="11" spans="1:7" ht="15.75">
      <c r="B11" s="15"/>
      <c r="C11" s="309"/>
      <c r="D11" s="14"/>
      <c r="F11" s="114"/>
    </row>
    <row r="12" spans="1:7" ht="20.25">
      <c r="B12" s="14"/>
      <c r="C12" s="69"/>
      <c r="D12" s="16"/>
      <c r="F12" s="114"/>
    </row>
    <row r="13" spans="1:7" ht="21" thickBot="1">
      <c r="A13" s="132" t="s">
        <v>182</v>
      </c>
      <c r="B13" s="14"/>
      <c r="C13" s="17"/>
      <c r="D13" s="17" t="s">
        <v>313</v>
      </c>
      <c r="F13" s="114"/>
    </row>
    <row r="14" spans="1:7" ht="21" thickBot="1">
      <c r="B14" s="25" t="s">
        <v>162</v>
      </c>
      <c r="C14" s="17"/>
      <c r="D14" s="17"/>
      <c r="F14" s="114"/>
    </row>
    <row r="15" spans="1:7" ht="17.25" customHeight="1">
      <c r="A15" s="310" t="s">
        <v>471</v>
      </c>
      <c r="B15" s="18" t="s">
        <v>454</v>
      </c>
      <c r="C15" s="70"/>
      <c r="D15" s="629">
        <v>52996152</v>
      </c>
      <c r="E15" s="516"/>
    </row>
    <row r="16" spans="1:7" ht="15.75">
      <c r="A16" s="11"/>
      <c r="B16" s="19"/>
      <c r="C16" s="14"/>
      <c r="D16" s="14"/>
      <c r="F16" s="114"/>
    </row>
    <row r="17" spans="1:7" ht="17.25">
      <c r="A17" s="310" t="s">
        <v>200</v>
      </c>
      <c r="B17" s="335" t="s">
        <v>474</v>
      </c>
      <c r="C17" s="281"/>
      <c r="D17" s="22">
        <v>0</v>
      </c>
      <c r="F17" s="114"/>
    </row>
    <row r="18" spans="1:7" ht="15.75">
      <c r="A18" s="11"/>
      <c r="B18" s="19"/>
      <c r="C18" s="14"/>
      <c r="D18" s="14"/>
      <c r="F18" s="114"/>
    </row>
    <row r="19" spans="1:7" ht="17.25" customHeight="1">
      <c r="A19" s="310" t="s">
        <v>472</v>
      </c>
      <c r="B19" s="20" t="s">
        <v>655</v>
      </c>
      <c r="C19" s="71"/>
      <c r="D19" s="71">
        <f>D15-D17</f>
        <v>52996152</v>
      </c>
      <c r="F19" s="114"/>
    </row>
    <row r="20" spans="1:7" ht="14.25" customHeight="1">
      <c r="A20" s="11"/>
      <c r="B20" s="20"/>
      <c r="C20" s="71"/>
      <c r="D20" s="71"/>
      <c r="F20" s="114"/>
    </row>
    <row r="21" spans="1:7" ht="10.5" customHeight="1">
      <c r="A21" s="11"/>
      <c r="B21" s="20"/>
      <c r="C21" s="71"/>
      <c r="D21" s="71"/>
      <c r="F21" s="114"/>
    </row>
    <row r="22" spans="1:7" ht="16.5" thickBot="1">
      <c r="A22" s="11"/>
      <c r="B22" s="19"/>
      <c r="C22" s="14"/>
      <c r="D22" s="14"/>
      <c r="F22" s="114"/>
    </row>
    <row r="23" spans="1:7" ht="16.5" thickBot="1">
      <c r="A23" s="11"/>
      <c r="B23" s="25" t="s">
        <v>163</v>
      </c>
      <c r="C23" s="14"/>
      <c r="D23" s="14"/>
      <c r="F23" s="114"/>
    </row>
    <row r="24" spans="1:7" ht="17.25" customHeight="1">
      <c r="A24" s="310" t="s">
        <v>473</v>
      </c>
      <c r="B24" s="18" t="s">
        <v>547</v>
      </c>
      <c r="C24" s="70"/>
      <c r="D24" s="629">
        <v>75530836</v>
      </c>
      <c r="E24" s="516"/>
    </row>
    <row r="25" spans="1:7" ht="15.75">
      <c r="A25" s="11"/>
      <c r="B25" s="19"/>
      <c r="C25" s="14"/>
      <c r="D25" s="14"/>
      <c r="F25" s="114"/>
    </row>
    <row r="26" spans="1:7" ht="17.25">
      <c r="A26" s="310" t="s">
        <v>172</v>
      </c>
      <c r="B26" s="335" t="s">
        <v>474</v>
      </c>
      <c r="C26" s="22"/>
      <c r="D26" s="22">
        <f>D17</f>
        <v>0</v>
      </c>
      <c r="F26" s="114"/>
      <c r="G26"/>
    </row>
    <row r="27" spans="1:7" ht="15.75">
      <c r="A27" s="11"/>
      <c r="B27" s="19"/>
      <c r="C27" s="14"/>
      <c r="D27" s="14"/>
      <c r="F27" s="114"/>
    </row>
    <row r="28" spans="1:7" ht="17.25" customHeight="1">
      <c r="A28" s="310" t="s">
        <v>173</v>
      </c>
      <c r="B28" s="20" t="s">
        <v>656</v>
      </c>
      <c r="C28" s="71"/>
      <c r="D28" s="71">
        <f>D24+D26</f>
        <v>75530836</v>
      </c>
      <c r="F28" s="114"/>
    </row>
    <row r="29" spans="1:7" ht="14.25" customHeight="1">
      <c r="A29" s="11"/>
      <c r="B29" s="20"/>
      <c r="C29" s="71"/>
      <c r="D29" s="71"/>
    </row>
    <row r="30" spans="1:7" ht="10.5" customHeight="1">
      <c r="A30" s="11"/>
      <c r="B30" s="20"/>
      <c r="C30" s="71"/>
      <c r="D30" s="71"/>
    </row>
    <row r="31" spans="1:7" ht="16.5" thickBot="1">
      <c r="A31" s="11"/>
      <c r="B31" s="19"/>
      <c r="C31" s="14"/>
      <c r="D31" s="14"/>
      <c r="F31" s="114"/>
    </row>
    <row r="32" spans="1:7" ht="16.5" thickBot="1">
      <c r="A32" s="11"/>
      <c r="B32" s="25" t="s">
        <v>164</v>
      </c>
      <c r="C32" s="14"/>
      <c r="D32" s="14"/>
      <c r="F32" s="238"/>
      <c r="G32" s="517"/>
    </row>
    <row r="33" spans="1:25" ht="17.25" customHeight="1">
      <c r="A33" s="310" t="s">
        <v>176</v>
      </c>
      <c r="B33" s="18" t="s">
        <v>548</v>
      </c>
      <c r="C33" s="70"/>
      <c r="D33" s="629">
        <f>12289249-7207772.2</f>
        <v>5081476.8</v>
      </c>
      <c r="E33" s="516"/>
      <c r="G33" s="5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11"/>
      <c r="B34" s="19"/>
      <c r="C34" s="14"/>
      <c r="D34" s="1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310" t="s">
        <v>178</v>
      </c>
      <c r="B35" s="14" t="s">
        <v>519</v>
      </c>
      <c r="C35" s="281"/>
      <c r="D35" s="22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11"/>
      <c r="B36" s="19"/>
      <c r="C36" s="14"/>
      <c r="D36" s="14"/>
      <c r="F36"/>
      <c r="G36"/>
    </row>
    <row r="37" spans="1:25" ht="17.25" customHeight="1">
      <c r="A37" s="310" t="s">
        <v>149</v>
      </c>
      <c r="B37" s="20" t="s">
        <v>384</v>
      </c>
      <c r="C37" s="71"/>
      <c r="D37" s="497">
        <f>D33-D35</f>
        <v>5081476.8</v>
      </c>
    </row>
    <row r="38" spans="1:25" ht="17.25" customHeight="1">
      <c r="A38" s="11"/>
      <c r="B38" s="19"/>
      <c r="C38" s="14"/>
      <c r="D38" s="14"/>
      <c r="F38" s="114"/>
    </row>
    <row r="39" spans="1:25" ht="17.25" customHeight="1">
      <c r="A39" s="310" t="s">
        <v>150</v>
      </c>
      <c r="B39" s="20" t="s">
        <v>601</v>
      </c>
      <c r="C39" s="338" t="s">
        <v>461</v>
      </c>
      <c r="D39" s="273">
        <v>0</v>
      </c>
      <c r="F39" s="30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11"/>
      <c r="B40" s="19"/>
      <c r="C40" s="14"/>
      <c r="D40" s="1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1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310" t="s">
        <v>152</v>
      </c>
      <c r="B42" s="272" t="s">
        <v>383</v>
      </c>
      <c r="C42" s="338" t="s">
        <v>460</v>
      </c>
      <c r="D42" s="273">
        <f>D37-D39</f>
        <v>5081476.8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280"/>
      <c r="C43" s="280"/>
      <c r="D43" s="280"/>
    </row>
    <row r="44" spans="1:25" ht="17.25" customHeight="1">
      <c r="B44" s="268" t="s">
        <v>381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584</v>
      </c>
      <c r="C45"/>
      <c r="D45"/>
      <c r="E45"/>
      <c r="F45" s="308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1" t="s">
        <v>657</v>
      </c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5">
      <c r="C48"/>
      <c r="D48"/>
      <c r="E48"/>
      <c r="F48"/>
      <c r="G48"/>
      <c r="H48"/>
      <c r="I48"/>
      <c r="J48"/>
      <c r="K48"/>
      <c r="L48"/>
      <c r="M48"/>
      <c r="N48"/>
      <c r="O48"/>
    </row>
    <row r="151" spans="11:11">
      <c r="K151" s="1" t="s">
        <v>611</v>
      </c>
    </row>
  </sheetData>
  <mergeCells count="3">
    <mergeCell ref="A6:D6"/>
    <mergeCell ref="A7:D7"/>
    <mergeCell ref="A9:D9"/>
  </mergeCells>
  <phoneticPr fontId="0" type="noConversion"/>
  <pageMargins left="1" right="0.5" top="1" bottom="0.5" header="0.25" footer="0.25"/>
  <pageSetup scale="67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51"/>
  <sheetViews>
    <sheetView zoomScale="70" zoomScaleNormal="70" workbookViewId="0">
      <selection activeCell="H15" sqref="H15:H16"/>
    </sheetView>
  </sheetViews>
  <sheetFormatPr defaultColWidth="7.109375" defaultRowHeight="15"/>
  <cols>
    <col min="1" max="1" width="7.109375" style="24"/>
    <col min="2" max="2" width="60.5546875" style="24" customWidth="1"/>
    <col min="3" max="3" width="14.77734375" style="24" customWidth="1"/>
    <col min="4" max="4" width="11.6640625" style="24" customWidth="1"/>
    <col min="5" max="5" width="17.6640625" style="231" customWidth="1"/>
    <col min="6" max="6" width="11.6640625" style="24" customWidth="1"/>
    <col min="7" max="7" width="10.109375" style="24" customWidth="1"/>
    <col min="8" max="8" width="14.77734375" style="24" customWidth="1"/>
    <col min="9" max="9" width="16.77734375" style="24" customWidth="1"/>
    <col min="10" max="10" width="8.77734375" style="24" bestFit="1" customWidth="1"/>
    <col min="11" max="17" width="25.5546875" style="24" customWidth="1"/>
    <col min="18" max="19" width="25.5546875" style="24" bestFit="1" customWidth="1"/>
    <col min="20" max="20" width="29.21875" style="24" bestFit="1" customWidth="1"/>
    <col min="21" max="28" width="13" style="24" customWidth="1"/>
    <col min="29" max="29" width="13" style="24" bestFit="1" customWidth="1"/>
    <col min="30" max="33" width="13" style="24" customWidth="1"/>
    <col min="34" max="34" width="16.77734375" style="24" bestFit="1" customWidth="1"/>
    <col min="35" max="35" width="8.21875" style="24" customWidth="1"/>
    <col min="36" max="53" width="16.21875" style="24" bestFit="1" customWidth="1"/>
    <col min="54" max="54" width="16.77734375" style="24" bestFit="1" customWidth="1"/>
    <col min="55" max="55" width="7.77734375" style="24" bestFit="1" customWidth="1"/>
    <col min="56" max="56" width="8.21875" style="24" bestFit="1" customWidth="1"/>
    <col min="57" max="57" width="9.88671875" style="24" bestFit="1" customWidth="1"/>
    <col min="58" max="58" width="6.33203125" style="24" customWidth="1"/>
    <col min="59" max="59" width="9.88671875" style="24" bestFit="1" customWidth="1"/>
    <col min="60" max="60" width="6.33203125" style="24" customWidth="1"/>
    <col min="61" max="61" width="9.88671875" style="24" bestFit="1" customWidth="1"/>
    <col min="62" max="63" width="6.33203125" style="24" customWidth="1"/>
    <col min="64" max="64" width="9.88671875" style="24" bestFit="1" customWidth="1"/>
    <col min="65" max="65" width="6.33203125" style="24" customWidth="1"/>
    <col min="66" max="66" width="9.88671875" style="24" bestFit="1" customWidth="1"/>
    <col min="67" max="67" width="6.33203125" style="24" customWidth="1"/>
    <col min="68" max="68" width="9.88671875" style="24" bestFit="1" customWidth="1"/>
    <col min="69" max="69" width="6.33203125" style="24" customWidth="1"/>
    <col min="70" max="70" width="9.88671875" style="24" bestFit="1" customWidth="1"/>
    <col min="71" max="71" width="8.21875" style="24" bestFit="1" customWidth="1"/>
    <col min="72" max="16384" width="7.109375" style="24"/>
  </cols>
  <sheetData>
    <row r="1" spans="1:11">
      <c r="B1" s="1"/>
      <c r="C1" s="1"/>
      <c r="D1" s="50" t="str">
        <f>EKPC!J1</f>
        <v>Attachment H-24A</v>
      </c>
    </row>
    <row r="2" spans="1:11">
      <c r="B2" s="1"/>
      <c r="C2" s="1"/>
      <c r="D2" s="134" t="s">
        <v>532</v>
      </c>
    </row>
    <row r="3" spans="1:11">
      <c r="B3" s="345"/>
      <c r="C3" s="13"/>
      <c r="D3" s="134" t="s">
        <v>370</v>
      </c>
    </row>
    <row r="4" spans="1:11" ht="15.75">
      <c r="B4" s="12"/>
      <c r="C4" s="13"/>
      <c r="D4" s="134" t="str">
        <f>EKPC!$J$7</f>
        <v>For the 12 months ended 12/31/2025</v>
      </c>
    </row>
    <row r="5" spans="1:11" ht="15.75">
      <c r="B5" s="12"/>
      <c r="C5" s="13"/>
      <c r="D5" s="13"/>
      <c r="E5" s="134"/>
    </row>
    <row r="6" spans="1:11" ht="15.75">
      <c r="B6" s="690" t="str">
        <f>EKPC!A11</f>
        <v>East Kentucky Power Cooperative, Inc.</v>
      </c>
      <c r="C6" s="690"/>
      <c r="D6" s="690"/>
      <c r="E6" s="488"/>
    </row>
    <row r="7" spans="1:11" ht="15.75">
      <c r="B7" s="690" t="str">
        <f>EKPC!A9</f>
        <v>Utilizing EKPC 2024 Form FF1 Data (ver. FINAL - AUDITED)</v>
      </c>
      <c r="C7" s="690"/>
      <c r="D7" s="690"/>
      <c r="E7" s="254"/>
    </row>
    <row r="8" spans="1:11" ht="15.75">
      <c r="B8" s="12"/>
      <c r="C8" s="134"/>
    </row>
    <row r="9" spans="1:11" ht="15.75">
      <c r="B9" s="12"/>
      <c r="C9" s="5"/>
    </row>
    <row r="10" spans="1:11" ht="15.75">
      <c r="B10" s="12" t="s">
        <v>253</v>
      </c>
      <c r="C10" s="13"/>
    </row>
    <row r="11" spans="1:11" ht="15.75">
      <c r="B11" s="12"/>
      <c r="C11" s="13"/>
    </row>
    <row r="12" spans="1:11">
      <c r="B12" s="1"/>
      <c r="C12" s="1"/>
    </row>
    <row r="13" spans="1:11">
      <c r="B13" s="1"/>
      <c r="C13" s="1"/>
    </row>
    <row r="14" spans="1:11">
      <c r="B14" s="14"/>
      <c r="C14" s="16"/>
      <c r="E14" s="382" t="s">
        <v>389</v>
      </c>
      <c r="H14" s="24" t="s">
        <v>610</v>
      </c>
    </row>
    <row r="15" spans="1:11" ht="20.25">
      <c r="A15" s="323" t="s">
        <v>182</v>
      </c>
      <c r="B15" s="14"/>
      <c r="C15" s="518" t="s">
        <v>313</v>
      </c>
      <c r="D15" s="516"/>
      <c r="E15" s="530">
        <v>32521415.539999999</v>
      </c>
      <c r="F15" s="24" t="s">
        <v>314</v>
      </c>
      <c r="G15" s="516"/>
      <c r="H15" s="530">
        <v>25405261.219999999</v>
      </c>
      <c r="I15" s="24" t="s">
        <v>314</v>
      </c>
      <c r="K15" s="466"/>
    </row>
    <row r="16" spans="1:11" ht="20.25">
      <c r="B16" s="14"/>
      <c r="C16" s="17"/>
      <c r="D16" s="516"/>
      <c r="E16" s="530">
        <v>15459373.630000003</v>
      </c>
      <c r="F16" s="24" t="s">
        <v>315</v>
      </c>
      <c r="G16" s="516"/>
      <c r="H16" s="530">
        <v>12018060.100000001</v>
      </c>
      <c r="I16" s="24" t="s">
        <v>315</v>
      </c>
      <c r="K16" s="466"/>
    </row>
    <row r="17" spans="1:12">
      <c r="A17" s="321" t="s">
        <v>471</v>
      </c>
      <c r="B17" s="18" t="s">
        <v>385</v>
      </c>
      <c r="C17" s="70">
        <f>$H$15</f>
        <v>25405261.219999999</v>
      </c>
      <c r="D17" s="516"/>
      <c r="E17" s="510">
        <f>E15-E16</f>
        <v>17062041.909999996</v>
      </c>
      <c r="F17" s="24" t="s">
        <v>316</v>
      </c>
      <c r="H17" s="510">
        <f>H15-H16</f>
        <v>13387201.119999997</v>
      </c>
      <c r="I17" s="24" t="s">
        <v>316</v>
      </c>
      <c r="K17" s="466"/>
    </row>
    <row r="18" spans="1:12" ht="15.75">
      <c r="A18" s="321" t="s">
        <v>200</v>
      </c>
      <c r="B18" s="18" t="s">
        <v>165</v>
      </c>
      <c r="C18" s="235">
        <v>0</v>
      </c>
      <c r="E18" s="232"/>
    </row>
    <row r="19" spans="1:12" ht="17.25">
      <c r="A19" s="321" t="s">
        <v>472</v>
      </c>
      <c r="B19" s="18" t="s">
        <v>166</v>
      </c>
      <c r="C19" s="498">
        <v>0</v>
      </c>
      <c r="E19"/>
      <c r="F19"/>
      <c r="G19"/>
      <c r="H19"/>
      <c r="I19"/>
      <c r="J19"/>
      <c r="K19"/>
      <c r="L19"/>
    </row>
    <row r="20" spans="1:12">
      <c r="A20" s="311"/>
      <c r="B20" s="19"/>
      <c r="C20" s="14"/>
      <c r="D20" s="14"/>
      <c r="E20"/>
      <c r="F20"/>
      <c r="G20"/>
      <c r="H20"/>
      <c r="I20"/>
      <c r="J20"/>
      <c r="K20"/>
      <c r="L20"/>
    </row>
    <row r="21" spans="1:12" ht="17.25" customHeight="1" thickBot="1">
      <c r="A21" s="321" t="s">
        <v>473</v>
      </c>
      <c r="B21" s="137" t="s">
        <v>432</v>
      </c>
      <c r="C21" s="462">
        <f>SUM(C17:C20)</f>
        <v>25405261.219999999</v>
      </c>
      <c r="E21" s="511"/>
      <c r="F21" s="382"/>
    </row>
    <row r="22" spans="1:12" ht="15.75" thickTop="1">
      <c r="B22" s="14"/>
      <c r="C22" s="274"/>
      <c r="E22" s="512"/>
      <c r="F22" s="382"/>
    </row>
    <row r="23" spans="1:12">
      <c r="B23" s="405" t="s">
        <v>382</v>
      </c>
      <c r="C23" s="400"/>
      <c r="D23" s="400"/>
    </row>
    <row r="24" spans="1:12" ht="29.25" customHeight="1">
      <c r="B24" s="691" t="s">
        <v>573</v>
      </c>
      <c r="C24" s="691"/>
      <c r="D24" s="691"/>
      <c r="E24"/>
      <c r="F24"/>
      <c r="G24"/>
      <c r="H24"/>
      <c r="I24"/>
      <c r="J24"/>
      <c r="K24"/>
      <c r="L24"/>
    </row>
    <row r="25" spans="1:12">
      <c r="B25" s="24" t="s">
        <v>658</v>
      </c>
      <c r="E25"/>
      <c r="F25"/>
      <c r="G25"/>
      <c r="H25"/>
      <c r="I25"/>
      <c r="J25"/>
      <c r="K25"/>
      <c r="L25"/>
    </row>
    <row r="27" spans="1:12" ht="15.75">
      <c r="E27" s="276"/>
    </row>
    <row r="151" spans="11:11">
      <c r="K151" s="24" t="s">
        <v>611</v>
      </c>
    </row>
  </sheetData>
  <mergeCells count="3">
    <mergeCell ref="B6:D6"/>
    <mergeCell ref="B7:D7"/>
    <mergeCell ref="B24:D24"/>
  </mergeCells>
  <pageMargins left="1" right="1" top="1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151"/>
  <sheetViews>
    <sheetView topLeftCell="A9" zoomScale="70" zoomScaleNormal="70" workbookViewId="0">
      <selection activeCell="G15" sqref="G15"/>
    </sheetView>
  </sheetViews>
  <sheetFormatPr defaultColWidth="7.109375" defaultRowHeight="15"/>
  <cols>
    <col min="1" max="1" width="7.109375" style="317"/>
    <col min="2" max="2" width="51.33203125" style="14" customWidth="1"/>
    <col min="3" max="3" width="14.77734375" style="14" customWidth="1"/>
    <col min="4" max="4" width="1.77734375" style="14" customWidth="1"/>
    <col min="5" max="5" width="24.88671875" style="14" customWidth="1"/>
    <col min="6" max="6" width="7.109375" style="14"/>
    <col min="7" max="7" width="8.44140625" style="14" bestFit="1" customWidth="1"/>
    <col min="8" max="8" width="10.21875" style="14" bestFit="1" customWidth="1"/>
    <col min="9" max="9" width="13.44140625" style="233" bestFit="1" customWidth="1"/>
    <col min="10" max="10" width="7.109375" style="14"/>
    <col min="11" max="11" width="2.5546875" customWidth="1"/>
    <col min="12" max="12" width="14.5546875" style="14" bestFit="1" customWidth="1"/>
    <col min="13" max="13" width="7.109375" style="14"/>
    <col min="14" max="14" width="15.21875" style="14" customWidth="1"/>
    <col min="15" max="15" width="14.6640625" style="14" customWidth="1"/>
    <col min="16" max="16384" width="7.109375" style="14"/>
  </cols>
  <sheetData>
    <row r="1" spans="1:18" s="1" customFormat="1">
      <c r="A1" s="316"/>
      <c r="F1" s="50" t="str">
        <f>EKPC!J1</f>
        <v>Attachment H-24A</v>
      </c>
      <c r="I1" s="233"/>
      <c r="K1"/>
    </row>
    <row r="2" spans="1:18" s="1" customFormat="1">
      <c r="A2" s="316"/>
      <c r="B2" s="515"/>
      <c r="F2" s="134" t="s">
        <v>532</v>
      </c>
      <c r="I2" s="233"/>
      <c r="K2"/>
    </row>
    <row r="3" spans="1:18" s="1" customFormat="1">
      <c r="A3" s="316"/>
      <c r="B3"/>
      <c r="C3"/>
      <c r="D3" s="13"/>
      <c r="E3" s="13"/>
      <c r="F3" s="134" t="s">
        <v>369</v>
      </c>
      <c r="I3" s="233"/>
      <c r="K3"/>
    </row>
    <row r="4" spans="1:18" s="1" customFormat="1" ht="18">
      <c r="A4" s="316"/>
      <c r="B4" s="21"/>
      <c r="C4" s="21"/>
      <c r="D4" s="13"/>
      <c r="E4" s="13"/>
      <c r="F4" s="134" t="str">
        <f>EKPC!$J$7</f>
        <v>For the 12 months ended 12/31/2025</v>
      </c>
      <c r="I4" s="233"/>
      <c r="K4"/>
    </row>
    <row r="5" spans="1:18" s="1" customFormat="1" ht="18">
      <c r="A5" s="316"/>
      <c r="B5" s="21"/>
      <c r="C5" s="21"/>
      <c r="D5" s="13"/>
      <c r="E5" s="13"/>
      <c r="F5" s="134"/>
      <c r="I5" s="233"/>
      <c r="K5"/>
    </row>
    <row r="6" spans="1:18" s="1" customFormat="1" ht="15.75">
      <c r="A6" s="316"/>
      <c r="B6" s="690" t="str">
        <f>EKPC!A11</f>
        <v>East Kentucky Power Cooperative, Inc.</v>
      </c>
      <c r="C6" s="690"/>
      <c r="D6" s="690"/>
      <c r="E6" s="690"/>
      <c r="F6" s="690"/>
      <c r="H6" s="499"/>
      <c r="I6" s="233"/>
      <c r="K6"/>
    </row>
    <row r="7" spans="1:18" s="1" customFormat="1" ht="15.75">
      <c r="A7" s="316"/>
      <c r="B7" s="690" t="str">
        <f>EKPC!A9</f>
        <v>Utilizing EKPC 2024 Form FF1 Data (ver. FINAL - AUDITED)</v>
      </c>
      <c r="C7" s="690"/>
      <c r="D7" s="690"/>
      <c r="E7" s="690"/>
      <c r="F7" s="690"/>
      <c r="I7" s="233"/>
      <c r="K7"/>
    </row>
    <row r="8" spans="1:18" s="1" customFormat="1" ht="15.75">
      <c r="A8" s="316"/>
      <c r="B8" s="12"/>
      <c r="C8" s="12"/>
      <c r="D8" s="12"/>
      <c r="E8" s="134"/>
      <c r="I8" s="233"/>
      <c r="K8"/>
    </row>
    <row r="9" spans="1:18" s="1" customFormat="1" ht="15.75">
      <c r="A9" s="316"/>
      <c r="B9" s="12"/>
      <c r="C9" s="12"/>
      <c r="D9" s="12"/>
      <c r="E9" s="134"/>
      <c r="I9" s="233"/>
      <c r="K9"/>
    </row>
    <row r="10" spans="1:18" s="1" customFormat="1" ht="15.75">
      <c r="A10" s="316"/>
      <c r="B10" s="12" t="s">
        <v>518</v>
      </c>
      <c r="C10" s="12"/>
      <c r="D10" s="12"/>
      <c r="E10" s="13"/>
      <c r="I10" s="233"/>
      <c r="K10"/>
    </row>
    <row r="12" spans="1:18" ht="15.75">
      <c r="B12" s="15"/>
      <c r="C12" s="15"/>
      <c r="D12" s="15"/>
    </row>
    <row r="13" spans="1:18" ht="20.25">
      <c r="A13" s="318"/>
      <c r="E13" s="69" t="s">
        <v>112</v>
      </c>
      <c r="F13" s="122"/>
      <c r="G13" s="122"/>
      <c r="H13" s="122"/>
      <c r="J13" s="123"/>
    </row>
    <row r="14" spans="1:18" ht="20.25">
      <c r="A14" s="324" t="s">
        <v>182</v>
      </c>
      <c r="E14" s="17" t="s">
        <v>313</v>
      </c>
      <c r="F14" s="582"/>
      <c r="G14"/>
      <c r="H14"/>
      <c r="I14"/>
      <c r="J14"/>
      <c r="L14"/>
      <c r="M14"/>
      <c r="N14"/>
      <c r="O14"/>
      <c r="P14"/>
      <c r="Q14"/>
      <c r="R14"/>
    </row>
    <row r="15" spans="1:18">
      <c r="A15" s="319">
        <v>1</v>
      </c>
      <c r="B15" s="375" t="s">
        <v>514</v>
      </c>
      <c r="C15" s="307"/>
      <c r="D15" s="124"/>
      <c r="E15" s="629">
        <v>1143490692</v>
      </c>
      <c r="F15" s="516"/>
      <c r="G15" s="515"/>
      <c r="H15"/>
      <c r="I15"/>
      <c r="J15"/>
      <c r="L15"/>
      <c r="M15"/>
      <c r="N15"/>
      <c r="O15"/>
      <c r="P15"/>
      <c r="Q15"/>
      <c r="R15"/>
    </row>
    <row r="16" spans="1:18">
      <c r="A16" s="319"/>
      <c r="B16" s="231"/>
      <c r="E16" s="631"/>
      <c r="G16"/>
      <c r="H16"/>
      <c r="I16"/>
      <c r="J16"/>
      <c r="L16"/>
      <c r="M16"/>
      <c r="N16"/>
      <c r="O16"/>
      <c r="P16"/>
      <c r="Q16"/>
      <c r="R16"/>
    </row>
    <row r="17" spans="1:18">
      <c r="A17" s="319">
        <v>2</v>
      </c>
      <c r="B17" s="231" t="s">
        <v>207</v>
      </c>
      <c r="C17" s="319"/>
      <c r="E17" s="477">
        <v>0</v>
      </c>
      <c r="G17"/>
      <c r="H17"/>
      <c r="I17"/>
      <c r="J17"/>
      <c r="L17"/>
      <c r="M17"/>
      <c r="N17"/>
      <c r="O17"/>
      <c r="P17"/>
      <c r="Q17"/>
      <c r="R17"/>
    </row>
    <row r="18" spans="1:18">
      <c r="A18" s="319"/>
      <c r="B18" s="231"/>
      <c r="C18" s="319"/>
      <c r="E18" s="631"/>
      <c r="G18"/>
      <c r="H18"/>
      <c r="I18"/>
      <c r="J18"/>
      <c r="L18"/>
      <c r="M18"/>
      <c r="N18"/>
      <c r="O18"/>
      <c r="P18"/>
      <c r="Q18"/>
      <c r="R18"/>
    </row>
    <row r="19" spans="1:18">
      <c r="A19" s="319">
        <v>3</v>
      </c>
      <c r="B19" s="382" t="s">
        <v>475</v>
      </c>
      <c r="C19" s="319" t="s">
        <v>461</v>
      </c>
      <c r="E19" s="632">
        <v>179238</v>
      </c>
      <c r="F19" s="516"/>
      <c r="G19" s="515"/>
      <c r="H19"/>
      <c r="I19"/>
      <c r="J19"/>
      <c r="L19"/>
      <c r="M19"/>
      <c r="N19"/>
      <c r="O19"/>
      <c r="P19"/>
      <c r="Q19"/>
      <c r="R19"/>
    </row>
    <row r="20" spans="1:18">
      <c r="A20" s="319">
        <v>4</v>
      </c>
      <c r="B20" s="231" t="s">
        <v>309</v>
      </c>
      <c r="C20" s="319"/>
      <c r="E20" s="633">
        <v>1</v>
      </c>
      <c r="G20"/>
      <c r="H20"/>
      <c r="I20"/>
      <c r="J20"/>
      <c r="L20"/>
      <c r="M20"/>
      <c r="N20"/>
      <c r="O20"/>
      <c r="P20"/>
      <c r="Q20"/>
      <c r="R20"/>
    </row>
    <row r="21" spans="1:18" ht="17.25">
      <c r="A21" s="319">
        <v>5</v>
      </c>
      <c r="B21" s="377" t="s">
        <v>659</v>
      </c>
      <c r="C21" s="319"/>
      <c r="D21" s="125"/>
      <c r="E21" s="634">
        <f>ROUND(E19*E20,0)+E17</f>
        <v>179238</v>
      </c>
      <c r="G21"/>
      <c r="H21"/>
      <c r="I21"/>
      <c r="J21"/>
      <c r="L21"/>
      <c r="M21"/>
      <c r="N21"/>
      <c r="O21"/>
      <c r="P21"/>
      <c r="Q21"/>
      <c r="R21"/>
    </row>
    <row r="22" spans="1:18">
      <c r="A22" s="319"/>
      <c r="B22" s="231"/>
      <c r="C22" s="319"/>
      <c r="E22" s="635"/>
      <c r="G22"/>
      <c r="H22"/>
      <c r="I22"/>
      <c r="J22"/>
      <c r="L22"/>
      <c r="M22"/>
      <c r="N22"/>
      <c r="O22"/>
      <c r="P22"/>
      <c r="Q22"/>
      <c r="R22"/>
    </row>
    <row r="23" spans="1:18">
      <c r="A23" s="319"/>
      <c r="B23" s="231"/>
      <c r="C23" s="319"/>
      <c r="E23" s="635"/>
      <c r="G23"/>
      <c r="H23"/>
      <c r="I23"/>
      <c r="J23"/>
      <c r="L23"/>
      <c r="M23"/>
      <c r="N23"/>
      <c r="O23"/>
      <c r="P23"/>
      <c r="Q23"/>
      <c r="R23"/>
    </row>
    <row r="24" spans="1:18" ht="17.25">
      <c r="A24" s="319">
        <v>6</v>
      </c>
      <c r="B24" s="376" t="s">
        <v>478</v>
      </c>
      <c r="C24" s="123" t="s">
        <v>460</v>
      </c>
      <c r="E24" s="634">
        <f>E23+E21</f>
        <v>179238</v>
      </c>
      <c r="G24"/>
      <c r="H24"/>
      <c r="I24"/>
      <c r="J24"/>
      <c r="L24"/>
      <c r="M24"/>
      <c r="N24"/>
      <c r="O24"/>
      <c r="P24"/>
      <c r="Q24"/>
      <c r="R24"/>
    </row>
    <row r="25" spans="1:18">
      <c r="A25" s="319"/>
      <c r="C25" s="319"/>
      <c r="E25" s="635"/>
      <c r="G25"/>
      <c r="H25"/>
      <c r="I25"/>
      <c r="J25"/>
      <c r="L25"/>
      <c r="M25"/>
      <c r="N25"/>
      <c r="O25"/>
      <c r="P25"/>
      <c r="Q25"/>
      <c r="R25"/>
    </row>
    <row r="26" spans="1:18" ht="15.75">
      <c r="A26" s="319"/>
      <c r="B26" s="15"/>
      <c r="C26" s="15"/>
      <c r="D26" s="15"/>
      <c r="E26" s="631"/>
      <c r="G26"/>
      <c r="H26"/>
      <c r="I26"/>
      <c r="J26"/>
      <c r="L26"/>
      <c r="M26"/>
      <c r="N26"/>
      <c r="O26"/>
      <c r="P26"/>
      <c r="Q26"/>
      <c r="R26"/>
    </row>
    <row r="27" spans="1:18" ht="20.25">
      <c r="A27" s="319"/>
      <c r="C27" s="319"/>
      <c r="E27" s="636" t="s">
        <v>392</v>
      </c>
      <c r="F27" s="122"/>
      <c r="G27"/>
      <c r="H27"/>
      <c r="I27"/>
      <c r="J27"/>
      <c r="L27"/>
      <c r="M27"/>
      <c r="N27"/>
      <c r="O27"/>
      <c r="P27"/>
      <c r="Q27"/>
      <c r="R27"/>
    </row>
    <row r="28" spans="1:18" ht="20.25">
      <c r="A28" s="319"/>
      <c r="C28" s="319"/>
      <c r="E28" s="637" t="s">
        <v>313</v>
      </c>
      <c r="F28" s="582"/>
      <c r="G28"/>
      <c r="H28"/>
      <c r="I28"/>
      <c r="J28"/>
      <c r="L28"/>
      <c r="M28"/>
      <c r="N28"/>
      <c r="O28"/>
      <c r="P28"/>
      <c r="Q28"/>
      <c r="R28"/>
    </row>
    <row r="29" spans="1:18" ht="15.75">
      <c r="A29" s="319">
        <v>7</v>
      </c>
      <c r="B29" s="18" t="s">
        <v>570</v>
      </c>
      <c r="C29" s="123" t="s">
        <v>463</v>
      </c>
      <c r="D29" s="18"/>
      <c r="E29" s="629">
        <f>23267069.45+(1373261.3+227202.28+3392.18)</f>
        <v>24870925.210000001</v>
      </c>
      <c r="F29" s="583"/>
      <c r="G29" s="515"/>
      <c r="H29" s="42"/>
      <c r="I29" s="42"/>
      <c r="J29" s="42"/>
      <c r="K29" s="42"/>
      <c r="L29" s="527"/>
      <c r="M29"/>
      <c r="N29"/>
      <c r="O29"/>
      <c r="P29"/>
      <c r="Q29"/>
      <c r="R29"/>
    </row>
    <row r="30" spans="1:18" ht="17.25">
      <c r="A30" s="319"/>
      <c r="B30" s="18" t="s">
        <v>246</v>
      </c>
      <c r="C30" s="123"/>
      <c r="D30" s="18"/>
      <c r="E30" s="634"/>
      <c r="G30"/>
      <c r="H30"/>
      <c r="I30"/>
      <c r="J30"/>
      <c r="L30"/>
      <c r="M30"/>
      <c r="N30"/>
      <c r="O30"/>
      <c r="P30"/>
      <c r="Q30"/>
      <c r="R30"/>
    </row>
    <row r="31" spans="1:18">
      <c r="A31" s="319">
        <v>8</v>
      </c>
      <c r="B31" s="124" t="s">
        <v>568</v>
      </c>
      <c r="C31" s="123"/>
      <c r="D31" s="124"/>
      <c r="E31" s="638">
        <f>13160505-193990+73408+5699161.11</f>
        <v>18739084.109999999</v>
      </c>
      <c r="F31" s="583"/>
      <c r="G31" s="515"/>
      <c r="H31"/>
      <c r="I31"/>
      <c r="J31"/>
      <c r="L31"/>
      <c r="M31"/>
      <c r="N31"/>
      <c r="O31"/>
      <c r="P31"/>
      <c r="Q31"/>
      <c r="R31"/>
    </row>
    <row r="32" spans="1:18" ht="15.75">
      <c r="A32" s="319">
        <v>9</v>
      </c>
      <c r="B32" s="124" t="s">
        <v>364</v>
      </c>
      <c r="C32" s="123"/>
      <c r="D32" s="124"/>
      <c r="E32" s="632">
        <v>0</v>
      </c>
      <c r="G32"/>
      <c r="H32"/>
      <c r="I32"/>
      <c r="J32"/>
      <c r="L32"/>
      <c r="M32"/>
      <c r="N32"/>
      <c r="O32"/>
      <c r="P32"/>
      <c r="Q32"/>
      <c r="R32"/>
    </row>
    <row r="33" spans="1:18">
      <c r="A33" s="319">
        <v>10</v>
      </c>
      <c r="B33" s="124" t="s">
        <v>146</v>
      </c>
      <c r="C33" s="123"/>
      <c r="D33" s="124"/>
      <c r="E33" s="632">
        <v>0</v>
      </c>
      <c r="G33"/>
      <c r="H33"/>
      <c r="I33"/>
      <c r="J33"/>
      <c r="L33"/>
      <c r="M33"/>
      <c r="N33"/>
      <c r="O33"/>
      <c r="P33"/>
      <c r="Q33"/>
      <c r="R33"/>
    </row>
    <row r="34" spans="1:18">
      <c r="A34" s="319">
        <v>11</v>
      </c>
      <c r="B34" s="124" t="s">
        <v>554</v>
      </c>
      <c r="C34" s="123"/>
      <c r="D34" s="124"/>
      <c r="E34" s="632">
        <f>43200+55518.96</f>
        <v>98718.959999999992</v>
      </c>
      <c r="F34" s="516"/>
      <c r="G34" s="515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/>
    </row>
    <row r="35" spans="1:18" ht="17.25">
      <c r="A35" s="319">
        <v>12</v>
      </c>
      <c r="B35" s="124" t="s">
        <v>555</v>
      </c>
      <c r="C35" s="123"/>
      <c r="D35" s="124"/>
      <c r="E35" s="639">
        <v>600</v>
      </c>
      <c r="F35" s="516"/>
      <c r="G35" s="515"/>
      <c r="H35" s="333"/>
      <c r="I35" s="333"/>
      <c r="J35" s="333"/>
      <c r="K35" s="333"/>
      <c r="L35" s="333"/>
      <c r="M35" s="333"/>
      <c r="N35" s="333"/>
      <c r="O35" s="333"/>
      <c r="P35"/>
      <c r="Q35"/>
      <c r="R35"/>
    </row>
    <row r="36" spans="1:18" ht="17.25">
      <c r="A36" s="319">
        <v>13</v>
      </c>
      <c r="B36" s="18" t="s">
        <v>366</v>
      </c>
      <c r="C36" s="123"/>
      <c r="D36" s="124"/>
      <c r="E36" s="634">
        <f>E29-SUM(E31:E35)</f>
        <v>6032522.1400000006</v>
      </c>
      <c r="G36"/>
      <c r="H36"/>
      <c r="I36"/>
      <c r="J36"/>
      <c r="L36"/>
      <c r="M36"/>
      <c r="N36"/>
      <c r="O36"/>
      <c r="P36"/>
      <c r="Q36"/>
      <c r="R36"/>
    </row>
    <row r="37" spans="1:18">
      <c r="A37" s="319"/>
      <c r="C37" s="319"/>
      <c r="D37" s="124"/>
      <c r="E37" s="631"/>
      <c r="G37"/>
      <c r="H37"/>
      <c r="I37"/>
      <c r="J37"/>
      <c r="L37"/>
      <c r="M37"/>
      <c r="N37"/>
      <c r="O37"/>
      <c r="P37"/>
      <c r="Q37"/>
      <c r="R37"/>
    </row>
    <row r="38" spans="1:18" ht="17.25">
      <c r="A38" s="319">
        <v>14</v>
      </c>
      <c r="B38" s="14" t="s">
        <v>455</v>
      </c>
      <c r="C38" s="319"/>
      <c r="E38" s="640">
        <v>3782675.08</v>
      </c>
      <c r="F38" s="516"/>
      <c r="G38" s="515"/>
      <c r="H38"/>
      <c r="I38"/>
      <c r="J38"/>
      <c r="L38"/>
      <c r="M38"/>
      <c r="N38"/>
      <c r="O38"/>
      <c r="P38"/>
      <c r="Q38"/>
      <c r="R38"/>
    </row>
    <row r="39" spans="1:18">
      <c r="A39" s="319"/>
      <c r="C39" s="319"/>
      <c r="E39" s="631"/>
      <c r="G39"/>
      <c r="H39"/>
      <c r="I39"/>
      <c r="J39"/>
      <c r="L39"/>
      <c r="M39"/>
      <c r="N39"/>
      <c r="O39"/>
      <c r="P39"/>
      <c r="Q39"/>
      <c r="R39"/>
    </row>
    <row r="40" spans="1:18" ht="17.25">
      <c r="A40" s="319">
        <v>15</v>
      </c>
      <c r="B40" s="124" t="s">
        <v>571</v>
      </c>
      <c r="C40" s="123"/>
      <c r="E40" s="634">
        <f>E36-E38</f>
        <v>2249847.0600000005</v>
      </c>
      <c r="G40"/>
      <c r="H40"/>
      <c r="I40"/>
      <c r="J40"/>
      <c r="L40"/>
      <c r="M40"/>
      <c r="N40"/>
      <c r="O40"/>
      <c r="P40"/>
      <c r="Q40"/>
      <c r="R40"/>
    </row>
    <row r="41" spans="1:18">
      <c r="A41" s="319"/>
      <c r="C41" s="319"/>
      <c r="E41" s="631"/>
      <c r="I41" s="234"/>
    </row>
    <row r="42" spans="1:18">
      <c r="A42" s="319"/>
      <c r="C42" s="319"/>
      <c r="E42" s="631"/>
      <c r="I42" s="234"/>
    </row>
    <row r="43" spans="1:18" ht="15.75">
      <c r="A43" s="319"/>
      <c r="C43" s="319"/>
      <c r="E43" s="641" t="s">
        <v>391</v>
      </c>
      <c r="I43" s="334"/>
    </row>
    <row r="44" spans="1:18">
      <c r="A44" s="319">
        <v>16</v>
      </c>
      <c r="B44" s="14" t="s">
        <v>583</v>
      </c>
      <c r="C44" s="319" t="s">
        <v>477</v>
      </c>
      <c r="E44" s="642">
        <v>93289.5</v>
      </c>
      <c r="F44" s="516"/>
      <c r="G44" s="515"/>
      <c r="I44" s="334"/>
    </row>
    <row r="45" spans="1:18" ht="15.75">
      <c r="A45" s="319"/>
      <c r="C45" s="319"/>
      <c r="E45" s="277"/>
      <c r="I45" s="334"/>
    </row>
    <row r="46" spans="1:18" ht="15.75">
      <c r="A46" s="319">
        <v>17</v>
      </c>
      <c r="B46" s="14" t="s">
        <v>476</v>
      </c>
      <c r="C46" s="319" t="s">
        <v>574</v>
      </c>
      <c r="E46" s="315">
        <f>E40-E44</f>
        <v>2156557.5600000005</v>
      </c>
      <c r="I46" s="334"/>
    </row>
    <row r="47" spans="1:18" ht="15.75">
      <c r="E47" s="277"/>
      <c r="I47" s="334"/>
    </row>
    <row r="48" spans="1:18">
      <c r="I48" s="334"/>
    </row>
    <row r="49" spans="2:9">
      <c r="B49" s="275" t="s">
        <v>382</v>
      </c>
      <c r="C49" s="275"/>
      <c r="D49" s="124"/>
      <c r="F49" s="126"/>
      <c r="I49" s="235"/>
    </row>
    <row r="50" spans="2:9">
      <c r="B50" s="122" t="s">
        <v>608</v>
      </c>
      <c r="C50" s="122"/>
      <c r="D50" s="124"/>
      <c r="F50" s="126"/>
      <c r="I50" s="334"/>
    </row>
    <row r="51" spans="2:9">
      <c r="B51" s="369" t="s">
        <v>660</v>
      </c>
      <c r="C51" s="369"/>
      <c r="D51" s="124"/>
      <c r="F51" s="126"/>
      <c r="I51" s="334"/>
    </row>
    <row r="52" spans="2:9" ht="30" customHeight="1">
      <c r="B52" s="555" t="s">
        <v>582</v>
      </c>
      <c r="C52" s="555"/>
      <c r="D52" s="555"/>
      <c r="E52" s="555"/>
      <c r="F52" s="126"/>
      <c r="I52" s="334"/>
    </row>
    <row r="53" spans="2:9" ht="15" customHeight="1">
      <c r="B53" s="370" t="s">
        <v>661</v>
      </c>
      <c r="C53" s="370"/>
      <c r="E53" s="17"/>
      <c r="I53" s="235"/>
    </row>
    <row r="54" spans="2:9" ht="15.75">
      <c r="B54" s="371" t="s">
        <v>662</v>
      </c>
      <c r="C54" s="371"/>
      <c r="D54" s="126"/>
      <c r="E54" s="136"/>
      <c r="G54" s="145"/>
      <c r="I54" s="235"/>
    </row>
    <row r="55" spans="2:9" ht="15.75">
      <c r="B55" s="126"/>
      <c r="C55" s="126"/>
      <c r="D55" s="126"/>
      <c r="E55" s="136"/>
      <c r="G55" s="145"/>
      <c r="I55" s="235"/>
    </row>
    <row r="56" spans="2:9" ht="15.75">
      <c r="B56" s="126"/>
      <c r="C56" s="126"/>
      <c r="D56" s="126"/>
      <c r="E56" s="136"/>
      <c r="G56" s="145"/>
      <c r="I56" s="235"/>
    </row>
    <row r="57" spans="2:9" ht="15.75">
      <c r="B57" s="126"/>
      <c r="C57" s="126"/>
      <c r="D57" s="126"/>
      <c r="E57" s="136"/>
      <c r="G57" s="145"/>
      <c r="I57" s="235"/>
    </row>
    <row r="58" spans="2:9" ht="15.75">
      <c r="B58" s="126"/>
      <c r="C58" s="126"/>
      <c r="D58" s="126"/>
      <c r="E58" s="136"/>
      <c r="G58" s="145"/>
      <c r="I58" s="235"/>
    </row>
    <row r="59" spans="2:9" ht="15.75">
      <c r="B59" s="126"/>
      <c r="C59" s="126"/>
      <c r="D59" s="126"/>
      <c r="E59" s="136"/>
      <c r="G59" s="145"/>
      <c r="I59" s="235"/>
    </row>
    <row r="60" spans="2:9" ht="15.75">
      <c r="B60" s="126"/>
      <c r="C60" s="126"/>
      <c r="D60" s="126"/>
      <c r="E60" s="136"/>
      <c r="G60" s="145"/>
      <c r="I60" s="235"/>
    </row>
    <row r="61" spans="2:9" ht="15.75">
      <c r="E61" s="146"/>
      <c r="G61" s="145"/>
      <c r="I61" s="235"/>
    </row>
    <row r="62" spans="2:9" ht="15.75">
      <c r="B62" s="147"/>
      <c r="C62" s="147"/>
      <c r="D62" s="126"/>
      <c r="E62" s="148"/>
      <c r="G62" s="145"/>
      <c r="I62" s="235"/>
    </row>
    <row r="63" spans="2:9" ht="15.75">
      <c r="B63" s="126"/>
      <c r="C63" s="126"/>
      <c r="D63" s="126"/>
      <c r="E63" s="146"/>
      <c r="G63" s="145"/>
      <c r="I63" s="235"/>
    </row>
    <row r="64" spans="2:9" ht="15.75">
      <c r="B64" s="126"/>
      <c r="C64" s="126"/>
      <c r="D64" s="126"/>
      <c r="E64" s="136"/>
      <c r="G64" s="145"/>
      <c r="I64" s="235"/>
    </row>
    <row r="65" spans="2:9" ht="17.25">
      <c r="B65" s="126"/>
      <c r="C65" s="126"/>
      <c r="D65" s="126"/>
      <c r="E65" s="138"/>
      <c r="G65" s="145"/>
      <c r="I65" s="235"/>
    </row>
    <row r="66" spans="2:9" ht="15.75">
      <c r="B66" s="126"/>
      <c r="C66" s="126"/>
      <c r="D66" s="126"/>
      <c r="E66" s="149"/>
      <c r="G66" s="145"/>
      <c r="I66" s="235"/>
    </row>
    <row r="67" spans="2:9" ht="15.75">
      <c r="E67" s="149"/>
      <c r="G67" s="145"/>
      <c r="I67" s="235"/>
    </row>
    <row r="68" spans="2:9" ht="15.75">
      <c r="E68" s="149"/>
      <c r="G68" s="145"/>
      <c r="I68" s="235"/>
    </row>
    <row r="69" spans="2:9" ht="15.75">
      <c r="E69" s="149"/>
      <c r="G69" s="145"/>
      <c r="I69" s="235"/>
    </row>
    <row r="70" spans="2:9" ht="15.75">
      <c r="B70" s="126"/>
      <c r="C70" s="126"/>
      <c r="D70" s="126"/>
      <c r="E70" s="136"/>
      <c r="G70" s="145"/>
      <c r="I70" s="235"/>
    </row>
    <row r="71" spans="2:9" ht="15.75">
      <c r="B71" s="126"/>
      <c r="C71" s="126"/>
      <c r="D71" s="126"/>
      <c r="E71" s="136"/>
      <c r="G71" s="145"/>
      <c r="I71" s="235"/>
    </row>
    <row r="72" spans="2:9" ht="15.75">
      <c r="B72" s="126"/>
      <c r="C72" s="126"/>
      <c r="D72" s="126"/>
      <c r="E72" s="136"/>
      <c r="G72" s="145"/>
      <c r="I72" s="235"/>
    </row>
    <row r="73" spans="2:9" ht="15.75">
      <c r="B73" s="126"/>
      <c r="C73" s="126"/>
      <c r="D73" s="126"/>
      <c r="E73" s="136"/>
      <c r="G73" s="145"/>
      <c r="I73" s="235"/>
    </row>
    <row r="74" spans="2:9" ht="15.75">
      <c r="B74" s="126"/>
      <c r="C74" s="126"/>
      <c r="D74" s="126"/>
      <c r="E74" s="136"/>
      <c r="G74" s="145"/>
      <c r="I74" s="235"/>
    </row>
    <row r="75" spans="2:9" ht="15.75">
      <c r="B75" s="126"/>
      <c r="C75" s="126"/>
      <c r="D75" s="126"/>
      <c r="E75" s="136"/>
      <c r="G75" s="145"/>
      <c r="I75" s="235"/>
    </row>
    <row r="76" spans="2:9" ht="17.25">
      <c r="B76" s="126"/>
      <c r="C76" s="126"/>
      <c r="D76" s="126"/>
      <c r="E76" s="138"/>
      <c r="G76" s="145"/>
      <c r="I76" s="235"/>
    </row>
    <row r="77" spans="2:9">
      <c r="B77" s="126"/>
      <c r="C77" s="126"/>
      <c r="D77" s="126"/>
      <c r="E77" s="148"/>
      <c r="I77" s="235"/>
    </row>
    <row r="78" spans="2:9">
      <c r="I78" s="235"/>
    </row>
    <row r="79" spans="2:9">
      <c r="I79" s="235"/>
    </row>
    <row r="80" spans="2:9">
      <c r="I80" s="235"/>
    </row>
    <row r="151" spans="11:11">
      <c r="K151" t="s">
        <v>611</v>
      </c>
    </row>
  </sheetData>
  <mergeCells count="2">
    <mergeCell ref="B6:F6"/>
    <mergeCell ref="B7:F7"/>
  </mergeCells>
  <phoneticPr fontId="21" type="noConversion"/>
  <pageMargins left="1" right="1" top="1" bottom="1" header="0.5" footer="0.5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8"/>
  <sheetViews>
    <sheetView zoomScale="70" zoomScaleNormal="70" workbookViewId="0">
      <selection activeCell="C25" sqref="C25"/>
    </sheetView>
  </sheetViews>
  <sheetFormatPr defaultRowHeight="14.25"/>
  <cols>
    <col min="1" max="1" width="7" style="76" customWidth="1"/>
    <col min="2" max="2" width="43.6640625" style="76" customWidth="1"/>
    <col min="3" max="3" width="14.77734375" style="76" customWidth="1"/>
    <col min="4" max="4" width="8.33203125" style="76" customWidth="1"/>
    <col min="5" max="5" width="15" style="76" customWidth="1"/>
    <col min="6" max="6" width="13.5546875" style="76" customWidth="1"/>
    <col min="7" max="7" width="16.77734375" style="76" bestFit="1" customWidth="1"/>
    <col min="8" max="8" width="5.77734375" style="76" customWidth="1"/>
    <col min="9" max="241" width="8.77734375" style="76"/>
    <col min="242" max="242" width="54.6640625" style="76" customWidth="1"/>
    <col min="243" max="243" width="13.77734375" style="76" customWidth="1"/>
    <col min="244" max="244" width="0" style="76" hidden="1" customWidth="1"/>
    <col min="245" max="245" width="6.6640625" style="76" customWidth="1"/>
    <col min="246" max="246" width="15" style="76" customWidth="1"/>
    <col min="247" max="247" width="3.6640625" style="76" bestFit="1" customWidth="1"/>
    <col min="248" max="248" width="15.44140625" style="76" bestFit="1" customWidth="1"/>
    <col min="249" max="249" width="3.77734375" style="76" customWidth="1"/>
    <col min="250" max="250" width="11.21875" style="76" bestFit="1" customWidth="1"/>
    <col min="251" max="251" width="3.6640625" style="76" customWidth="1"/>
    <col min="252" max="252" width="13.5546875" style="76" customWidth="1"/>
    <col min="253" max="253" width="1" style="76" customWidth="1"/>
    <col min="254" max="254" width="14.21875" style="76" bestFit="1" customWidth="1"/>
    <col min="255" max="255" width="3.33203125" style="76" customWidth="1"/>
    <col min="256" max="256" width="20.44140625" style="76" customWidth="1"/>
    <col min="257" max="497" width="8.77734375" style="76"/>
    <col min="498" max="498" width="54.6640625" style="76" customWidth="1"/>
    <col min="499" max="499" width="13.77734375" style="76" customWidth="1"/>
    <col min="500" max="500" width="0" style="76" hidden="1" customWidth="1"/>
    <col min="501" max="501" width="6.6640625" style="76" customWidth="1"/>
    <col min="502" max="502" width="15" style="76" customWidth="1"/>
    <col min="503" max="503" width="3.6640625" style="76" bestFit="1" customWidth="1"/>
    <col min="504" max="504" width="15.44140625" style="76" bestFit="1" customWidth="1"/>
    <col min="505" max="505" width="3.77734375" style="76" customWidth="1"/>
    <col min="506" max="506" width="11.21875" style="76" bestFit="1" customWidth="1"/>
    <col min="507" max="507" width="3.6640625" style="76" customWidth="1"/>
    <col min="508" max="508" width="13.5546875" style="76" customWidth="1"/>
    <col min="509" max="509" width="1" style="76" customWidth="1"/>
    <col min="510" max="510" width="14.21875" style="76" bestFit="1" customWidth="1"/>
    <col min="511" max="511" width="3.33203125" style="76" customWidth="1"/>
    <col min="512" max="512" width="20.44140625" style="76" customWidth="1"/>
    <col min="513" max="753" width="8.77734375" style="76"/>
    <col min="754" max="754" width="54.6640625" style="76" customWidth="1"/>
    <col min="755" max="755" width="13.77734375" style="76" customWidth="1"/>
    <col min="756" max="756" width="0" style="76" hidden="1" customWidth="1"/>
    <col min="757" max="757" width="6.6640625" style="76" customWidth="1"/>
    <col min="758" max="758" width="15" style="76" customWidth="1"/>
    <col min="759" max="759" width="3.6640625" style="76" bestFit="1" customWidth="1"/>
    <col min="760" max="760" width="15.44140625" style="76" bestFit="1" customWidth="1"/>
    <col min="761" max="761" width="3.77734375" style="76" customWidth="1"/>
    <col min="762" max="762" width="11.21875" style="76" bestFit="1" customWidth="1"/>
    <col min="763" max="763" width="3.6640625" style="76" customWidth="1"/>
    <col min="764" max="764" width="13.5546875" style="76" customWidth="1"/>
    <col min="765" max="765" width="1" style="76" customWidth="1"/>
    <col min="766" max="766" width="14.21875" style="76" bestFit="1" customWidth="1"/>
    <col min="767" max="767" width="3.33203125" style="76" customWidth="1"/>
    <col min="768" max="768" width="20.44140625" style="76" customWidth="1"/>
    <col min="769" max="1009" width="8.77734375" style="76"/>
    <col min="1010" max="1010" width="54.6640625" style="76" customWidth="1"/>
    <col min="1011" max="1011" width="13.77734375" style="76" customWidth="1"/>
    <col min="1012" max="1012" width="0" style="76" hidden="1" customWidth="1"/>
    <col min="1013" max="1013" width="6.6640625" style="76" customWidth="1"/>
    <col min="1014" max="1014" width="15" style="76" customWidth="1"/>
    <col min="1015" max="1015" width="3.6640625" style="76" bestFit="1" customWidth="1"/>
    <col min="1016" max="1016" width="15.44140625" style="76" bestFit="1" customWidth="1"/>
    <col min="1017" max="1017" width="3.77734375" style="76" customWidth="1"/>
    <col min="1018" max="1018" width="11.21875" style="76" bestFit="1" customWidth="1"/>
    <col min="1019" max="1019" width="3.6640625" style="76" customWidth="1"/>
    <col min="1020" max="1020" width="13.5546875" style="76" customWidth="1"/>
    <col min="1021" max="1021" width="1" style="76" customWidth="1"/>
    <col min="1022" max="1022" width="14.21875" style="76" bestFit="1" customWidth="1"/>
    <col min="1023" max="1023" width="3.33203125" style="76" customWidth="1"/>
    <col min="1024" max="1024" width="20.44140625" style="76" customWidth="1"/>
    <col min="1025" max="1265" width="8.77734375" style="76"/>
    <col min="1266" max="1266" width="54.6640625" style="76" customWidth="1"/>
    <col min="1267" max="1267" width="13.77734375" style="76" customWidth="1"/>
    <col min="1268" max="1268" width="0" style="76" hidden="1" customWidth="1"/>
    <col min="1269" max="1269" width="6.6640625" style="76" customWidth="1"/>
    <col min="1270" max="1270" width="15" style="76" customWidth="1"/>
    <col min="1271" max="1271" width="3.6640625" style="76" bestFit="1" customWidth="1"/>
    <col min="1272" max="1272" width="15.44140625" style="76" bestFit="1" customWidth="1"/>
    <col min="1273" max="1273" width="3.77734375" style="76" customWidth="1"/>
    <col min="1274" max="1274" width="11.21875" style="76" bestFit="1" customWidth="1"/>
    <col min="1275" max="1275" width="3.6640625" style="76" customWidth="1"/>
    <col min="1276" max="1276" width="13.5546875" style="76" customWidth="1"/>
    <col min="1277" max="1277" width="1" style="76" customWidth="1"/>
    <col min="1278" max="1278" width="14.21875" style="76" bestFit="1" customWidth="1"/>
    <col min="1279" max="1279" width="3.33203125" style="76" customWidth="1"/>
    <col min="1280" max="1280" width="20.44140625" style="76" customWidth="1"/>
    <col min="1281" max="1521" width="8.77734375" style="76"/>
    <col min="1522" max="1522" width="54.6640625" style="76" customWidth="1"/>
    <col min="1523" max="1523" width="13.77734375" style="76" customWidth="1"/>
    <col min="1524" max="1524" width="0" style="76" hidden="1" customWidth="1"/>
    <col min="1525" max="1525" width="6.6640625" style="76" customWidth="1"/>
    <col min="1526" max="1526" width="15" style="76" customWidth="1"/>
    <col min="1527" max="1527" width="3.6640625" style="76" bestFit="1" customWidth="1"/>
    <col min="1528" max="1528" width="15.44140625" style="76" bestFit="1" customWidth="1"/>
    <col min="1529" max="1529" width="3.77734375" style="76" customWidth="1"/>
    <col min="1530" max="1530" width="11.21875" style="76" bestFit="1" customWidth="1"/>
    <col min="1531" max="1531" width="3.6640625" style="76" customWidth="1"/>
    <col min="1532" max="1532" width="13.5546875" style="76" customWidth="1"/>
    <col min="1533" max="1533" width="1" style="76" customWidth="1"/>
    <col min="1534" max="1534" width="14.21875" style="76" bestFit="1" customWidth="1"/>
    <col min="1535" max="1535" width="3.33203125" style="76" customWidth="1"/>
    <col min="1536" max="1536" width="20.44140625" style="76" customWidth="1"/>
    <col min="1537" max="1777" width="8.77734375" style="76"/>
    <col min="1778" max="1778" width="54.6640625" style="76" customWidth="1"/>
    <col min="1779" max="1779" width="13.77734375" style="76" customWidth="1"/>
    <col min="1780" max="1780" width="0" style="76" hidden="1" customWidth="1"/>
    <col min="1781" max="1781" width="6.6640625" style="76" customWidth="1"/>
    <col min="1782" max="1782" width="15" style="76" customWidth="1"/>
    <col min="1783" max="1783" width="3.6640625" style="76" bestFit="1" customWidth="1"/>
    <col min="1784" max="1784" width="15.44140625" style="76" bestFit="1" customWidth="1"/>
    <col min="1785" max="1785" width="3.77734375" style="76" customWidth="1"/>
    <col min="1786" max="1786" width="11.21875" style="76" bestFit="1" customWidth="1"/>
    <col min="1787" max="1787" width="3.6640625" style="76" customWidth="1"/>
    <col min="1788" max="1788" width="13.5546875" style="76" customWidth="1"/>
    <col min="1789" max="1789" width="1" style="76" customWidth="1"/>
    <col min="1790" max="1790" width="14.21875" style="76" bestFit="1" customWidth="1"/>
    <col min="1791" max="1791" width="3.33203125" style="76" customWidth="1"/>
    <col min="1792" max="1792" width="20.44140625" style="76" customWidth="1"/>
    <col min="1793" max="2033" width="8.77734375" style="76"/>
    <col min="2034" max="2034" width="54.6640625" style="76" customWidth="1"/>
    <col min="2035" max="2035" width="13.77734375" style="76" customWidth="1"/>
    <col min="2036" max="2036" width="0" style="76" hidden="1" customWidth="1"/>
    <col min="2037" max="2037" width="6.6640625" style="76" customWidth="1"/>
    <col min="2038" max="2038" width="15" style="76" customWidth="1"/>
    <col min="2039" max="2039" width="3.6640625" style="76" bestFit="1" customWidth="1"/>
    <col min="2040" max="2040" width="15.44140625" style="76" bestFit="1" customWidth="1"/>
    <col min="2041" max="2041" width="3.77734375" style="76" customWidth="1"/>
    <col min="2042" max="2042" width="11.21875" style="76" bestFit="1" customWidth="1"/>
    <col min="2043" max="2043" width="3.6640625" style="76" customWidth="1"/>
    <col min="2044" max="2044" width="13.5546875" style="76" customWidth="1"/>
    <col min="2045" max="2045" width="1" style="76" customWidth="1"/>
    <col min="2046" max="2046" width="14.21875" style="76" bestFit="1" customWidth="1"/>
    <col min="2047" max="2047" width="3.33203125" style="76" customWidth="1"/>
    <col min="2048" max="2048" width="20.44140625" style="76" customWidth="1"/>
    <col min="2049" max="2289" width="8.77734375" style="76"/>
    <col min="2290" max="2290" width="54.6640625" style="76" customWidth="1"/>
    <col min="2291" max="2291" width="13.77734375" style="76" customWidth="1"/>
    <col min="2292" max="2292" width="0" style="76" hidden="1" customWidth="1"/>
    <col min="2293" max="2293" width="6.6640625" style="76" customWidth="1"/>
    <col min="2294" max="2294" width="15" style="76" customWidth="1"/>
    <col min="2295" max="2295" width="3.6640625" style="76" bestFit="1" customWidth="1"/>
    <col min="2296" max="2296" width="15.44140625" style="76" bestFit="1" customWidth="1"/>
    <col min="2297" max="2297" width="3.77734375" style="76" customWidth="1"/>
    <col min="2298" max="2298" width="11.21875" style="76" bestFit="1" customWidth="1"/>
    <col min="2299" max="2299" width="3.6640625" style="76" customWidth="1"/>
    <col min="2300" max="2300" width="13.5546875" style="76" customWidth="1"/>
    <col min="2301" max="2301" width="1" style="76" customWidth="1"/>
    <col min="2302" max="2302" width="14.21875" style="76" bestFit="1" customWidth="1"/>
    <col min="2303" max="2303" width="3.33203125" style="76" customWidth="1"/>
    <col min="2304" max="2304" width="20.44140625" style="76" customWidth="1"/>
    <col min="2305" max="2545" width="8.77734375" style="76"/>
    <col min="2546" max="2546" width="54.6640625" style="76" customWidth="1"/>
    <col min="2547" max="2547" width="13.77734375" style="76" customWidth="1"/>
    <col min="2548" max="2548" width="0" style="76" hidden="1" customWidth="1"/>
    <col min="2549" max="2549" width="6.6640625" style="76" customWidth="1"/>
    <col min="2550" max="2550" width="15" style="76" customWidth="1"/>
    <col min="2551" max="2551" width="3.6640625" style="76" bestFit="1" customWidth="1"/>
    <col min="2552" max="2552" width="15.44140625" style="76" bestFit="1" customWidth="1"/>
    <col min="2553" max="2553" width="3.77734375" style="76" customWidth="1"/>
    <col min="2554" max="2554" width="11.21875" style="76" bestFit="1" customWidth="1"/>
    <col min="2555" max="2555" width="3.6640625" style="76" customWidth="1"/>
    <col min="2556" max="2556" width="13.5546875" style="76" customWidth="1"/>
    <col min="2557" max="2557" width="1" style="76" customWidth="1"/>
    <col min="2558" max="2558" width="14.21875" style="76" bestFit="1" customWidth="1"/>
    <col min="2559" max="2559" width="3.33203125" style="76" customWidth="1"/>
    <col min="2560" max="2560" width="20.44140625" style="76" customWidth="1"/>
    <col min="2561" max="2801" width="8.77734375" style="76"/>
    <col min="2802" max="2802" width="54.6640625" style="76" customWidth="1"/>
    <col min="2803" max="2803" width="13.77734375" style="76" customWidth="1"/>
    <col min="2804" max="2804" width="0" style="76" hidden="1" customWidth="1"/>
    <col min="2805" max="2805" width="6.6640625" style="76" customWidth="1"/>
    <col min="2806" max="2806" width="15" style="76" customWidth="1"/>
    <col min="2807" max="2807" width="3.6640625" style="76" bestFit="1" customWidth="1"/>
    <col min="2808" max="2808" width="15.44140625" style="76" bestFit="1" customWidth="1"/>
    <col min="2809" max="2809" width="3.77734375" style="76" customWidth="1"/>
    <col min="2810" max="2810" width="11.21875" style="76" bestFit="1" customWidth="1"/>
    <col min="2811" max="2811" width="3.6640625" style="76" customWidth="1"/>
    <col min="2812" max="2812" width="13.5546875" style="76" customWidth="1"/>
    <col min="2813" max="2813" width="1" style="76" customWidth="1"/>
    <col min="2814" max="2814" width="14.21875" style="76" bestFit="1" customWidth="1"/>
    <col min="2815" max="2815" width="3.33203125" style="76" customWidth="1"/>
    <col min="2816" max="2816" width="20.44140625" style="76" customWidth="1"/>
    <col min="2817" max="3057" width="8.77734375" style="76"/>
    <col min="3058" max="3058" width="54.6640625" style="76" customWidth="1"/>
    <col min="3059" max="3059" width="13.77734375" style="76" customWidth="1"/>
    <col min="3060" max="3060" width="0" style="76" hidden="1" customWidth="1"/>
    <col min="3061" max="3061" width="6.6640625" style="76" customWidth="1"/>
    <col min="3062" max="3062" width="15" style="76" customWidth="1"/>
    <col min="3063" max="3063" width="3.6640625" style="76" bestFit="1" customWidth="1"/>
    <col min="3064" max="3064" width="15.44140625" style="76" bestFit="1" customWidth="1"/>
    <col min="3065" max="3065" width="3.77734375" style="76" customWidth="1"/>
    <col min="3066" max="3066" width="11.21875" style="76" bestFit="1" customWidth="1"/>
    <col min="3067" max="3067" width="3.6640625" style="76" customWidth="1"/>
    <col min="3068" max="3068" width="13.5546875" style="76" customWidth="1"/>
    <col min="3069" max="3069" width="1" style="76" customWidth="1"/>
    <col min="3070" max="3070" width="14.21875" style="76" bestFit="1" customWidth="1"/>
    <col min="3071" max="3071" width="3.33203125" style="76" customWidth="1"/>
    <col min="3072" max="3072" width="20.44140625" style="76" customWidth="1"/>
    <col min="3073" max="3313" width="8.77734375" style="76"/>
    <col min="3314" max="3314" width="54.6640625" style="76" customWidth="1"/>
    <col min="3315" max="3315" width="13.77734375" style="76" customWidth="1"/>
    <col min="3316" max="3316" width="0" style="76" hidden="1" customWidth="1"/>
    <col min="3317" max="3317" width="6.6640625" style="76" customWidth="1"/>
    <col min="3318" max="3318" width="15" style="76" customWidth="1"/>
    <col min="3319" max="3319" width="3.6640625" style="76" bestFit="1" customWidth="1"/>
    <col min="3320" max="3320" width="15.44140625" style="76" bestFit="1" customWidth="1"/>
    <col min="3321" max="3321" width="3.77734375" style="76" customWidth="1"/>
    <col min="3322" max="3322" width="11.21875" style="76" bestFit="1" customWidth="1"/>
    <col min="3323" max="3323" width="3.6640625" style="76" customWidth="1"/>
    <col min="3324" max="3324" width="13.5546875" style="76" customWidth="1"/>
    <col min="3325" max="3325" width="1" style="76" customWidth="1"/>
    <col min="3326" max="3326" width="14.21875" style="76" bestFit="1" customWidth="1"/>
    <col min="3327" max="3327" width="3.33203125" style="76" customWidth="1"/>
    <col min="3328" max="3328" width="20.44140625" style="76" customWidth="1"/>
    <col min="3329" max="3569" width="8.77734375" style="76"/>
    <col min="3570" max="3570" width="54.6640625" style="76" customWidth="1"/>
    <col min="3571" max="3571" width="13.77734375" style="76" customWidth="1"/>
    <col min="3572" max="3572" width="0" style="76" hidden="1" customWidth="1"/>
    <col min="3573" max="3573" width="6.6640625" style="76" customWidth="1"/>
    <col min="3574" max="3574" width="15" style="76" customWidth="1"/>
    <col min="3575" max="3575" width="3.6640625" style="76" bestFit="1" customWidth="1"/>
    <col min="3576" max="3576" width="15.44140625" style="76" bestFit="1" customWidth="1"/>
    <col min="3577" max="3577" width="3.77734375" style="76" customWidth="1"/>
    <col min="3578" max="3578" width="11.21875" style="76" bestFit="1" customWidth="1"/>
    <col min="3579" max="3579" width="3.6640625" style="76" customWidth="1"/>
    <col min="3580" max="3580" width="13.5546875" style="76" customWidth="1"/>
    <col min="3581" max="3581" width="1" style="76" customWidth="1"/>
    <col min="3582" max="3582" width="14.21875" style="76" bestFit="1" customWidth="1"/>
    <col min="3583" max="3583" width="3.33203125" style="76" customWidth="1"/>
    <col min="3584" max="3584" width="20.44140625" style="76" customWidth="1"/>
    <col min="3585" max="3825" width="8.77734375" style="76"/>
    <col min="3826" max="3826" width="54.6640625" style="76" customWidth="1"/>
    <col min="3827" max="3827" width="13.77734375" style="76" customWidth="1"/>
    <col min="3828" max="3828" width="0" style="76" hidden="1" customWidth="1"/>
    <col min="3829" max="3829" width="6.6640625" style="76" customWidth="1"/>
    <col min="3830" max="3830" width="15" style="76" customWidth="1"/>
    <col min="3831" max="3831" width="3.6640625" style="76" bestFit="1" customWidth="1"/>
    <col min="3832" max="3832" width="15.44140625" style="76" bestFit="1" customWidth="1"/>
    <col min="3833" max="3833" width="3.77734375" style="76" customWidth="1"/>
    <col min="3834" max="3834" width="11.21875" style="76" bestFit="1" customWidth="1"/>
    <col min="3835" max="3835" width="3.6640625" style="76" customWidth="1"/>
    <col min="3836" max="3836" width="13.5546875" style="76" customWidth="1"/>
    <col min="3837" max="3837" width="1" style="76" customWidth="1"/>
    <col min="3838" max="3838" width="14.21875" style="76" bestFit="1" customWidth="1"/>
    <col min="3839" max="3839" width="3.33203125" style="76" customWidth="1"/>
    <col min="3840" max="3840" width="20.44140625" style="76" customWidth="1"/>
    <col min="3841" max="4081" width="8.77734375" style="76"/>
    <col min="4082" max="4082" width="54.6640625" style="76" customWidth="1"/>
    <col min="4083" max="4083" width="13.77734375" style="76" customWidth="1"/>
    <col min="4084" max="4084" width="0" style="76" hidden="1" customWidth="1"/>
    <col min="4085" max="4085" width="6.6640625" style="76" customWidth="1"/>
    <col min="4086" max="4086" width="15" style="76" customWidth="1"/>
    <col min="4087" max="4087" width="3.6640625" style="76" bestFit="1" customWidth="1"/>
    <col min="4088" max="4088" width="15.44140625" style="76" bestFit="1" customWidth="1"/>
    <col min="4089" max="4089" width="3.77734375" style="76" customWidth="1"/>
    <col min="4090" max="4090" width="11.21875" style="76" bestFit="1" customWidth="1"/>
    <col min="4091" max="4091" width="3.6640625" style="76" customWidth="1"/>
    <col min="4092" max="4092" width="13.5546875" style="76" customWidth="1"/>
    <col min="4093" max="4093" width="1" style="76" customWidth="1"/>
    <col min="4094" max="4094" width="14.21875" style="76" bestFit="1" customWidth="1"/>
    <col min="4095" max="4095" width="3.33203125" style="76" customWidth="1"/>
    <col min="4096" max="4096" width="20.44140625" style="76" customWidth="1"/>
    <col min="4097" max="4337" width="8.77734375" style="76"/>
    <col min="4338" max="4338" width="54.6640625" style="76" customWidth="1"/>
    <col min="4339" max="4339" width="13.77734375" style="76" customWidth="1"/>
    <col min="4340" max="4340" width="0" style="76" hidden="1" customWidth="1"/>
    <col min="4341" max="4341" width="6.6640625" style="76" customWidth="1"/>
    <col min="4342" max="4342" width="15" style="76" customWidth="1"/>
    <col min="4343" max="4343" width="3.6640625" style="76" bestFit="1" customWidth="1"/>
    <col min="4344" max="4344" width="15.44140625" style="76" bestFit="1" customWidth="1"/>
    <col min="4345" max="4345" width="3.77734375" style="76" customWidth="1"/>
    <col min="4346" max="4346" width="11.21875" style="76" bestFit="1" customWidth="1"/>
    <col min="4347" max="4347" width="3.6640625" style="76" customWidth="1"/>
    <col min="4348" max="4348" width="13.5546875" style="76" customWidth="1"/>
    <col min="4349" max="4349" width="1" style="76" customWidth="1"/>
    <col min="4350" max="4350" width="14.21875" style="76" bestFit="1" customWidth="1"/>
    <col min="4351" max="4351" width="3.33203125" style="76" customWidth="1"/>
    <col min="4352" max="4352" width="20.44140625" style="76" customWidth="1"/>
    <col min="4353" max="4593" width="8.77734375" style="76"/>
    <col min="4594" max="4594" width="54.6640625" style="76" customWidth="1"/>
    <col min="4595" max="4595" width="13.77734375" style="76" customWidth="1"/>
    <col min="4596" max="4596" width="0" style="76" hidden="1" customWidth="1"/>
    <col min="4597" max="4597" width="6.6640625" style="76" customWidth="1"/>
    <col min="4598" max="4598" width="15" style="76" customWidth="1"/>
    <col min="4599" max="4599" width="3.6640625" style="76" bestFit="1" customWidth="1"/>
    <col min="4600" max="4600" width="15.44140625" style="76" bestFit="1" customWidth="1"/>
    <col min="4601" max="4601" width="3.77734375" style="76" customWidth="1"/>
    <col min="4602" max="4602" width="11.21875" style="76" bestFit="1" customWidth="1"/>
    <col min="4603" max="4603" width="3.6640625" style="76" customWidth="1"/>
    <col min="4604" max="4604" width="13.5546875" style="76" customWidth="1"/>
    <col min="4605" max="4605" width="1" style="76" customWidth="1"/>
    <col min="4606" max="4606" width="14.21875" style="76" bestFit="1" customWidth="1"/>
    <col min="4607" max="4607" width="3.33203125" style="76" customWidth="1"/>
    <col min="4608" max="4608" width="20.44140625" style="76" customWidth="1"/>
    <col min="4609" max="4849" width="8.77734375" style="76"/>
    <col min="4850" max="4850" width="54.6640625" style="76" customWidth="1"/>
    <col min="4851" max="4851" width="13.77734375" style="76" customWidth="1"/>
    <col min="4852" max="4852" width="0" style="76" hidden="1" customWidth="1"/>
    <col min="4853" max="4853" width="6.6640625" style="76" customWidth="1"/>
    <col min="4854" max="4854" width="15" style="76" customWidth="1"/>
    <col min="4855" max="4855" width="3.6640625" style="76" bestFit="1" customWidth="1"/>
    <col min="4856" max="4856" width="15.44140625" style="76" bestFit="1" customWidth="1"/>
    <col min="4857" max="4857" width="3.77734375" style="76" customWidth="1"/>
    <col min="4858" max="4858" width="11.21875" style="76" bestFit="1" customWidth="1"/>
    <col min="4859" max="4859" width="3.6640625" style="76" customWidth="1"/>
    <col min="4860" max="4860" width="13.5546875" style="76" customWidth="1"/>
    <col min="4861" max="4861" width="1" style="76" customWidth="1"/>
    <col min="4862" max="4862" width="14.21875" style="76" bestFit="1" customWidth="1"/>
    <col min="4863" max="4863" width="3.33203125" style="76" customWidth="1"/>
    <col min="4864" max="4864" width="20.44140625" style="76" customWidth="1"/>
    <col min="4865" max="5105" width="8.77734375" style="76"/>
    <col min="5106" max="5106" width="54.6640625" style="76" customWidth="1"/>
    <col min="5107" max="5107" width="13.77734375" style="76" customWidth="1"/>
    <col min="5108" max="5108" width="0" style="76" hidden="1" customWidth="1"/>
    <col min="5109" max="5109" width="6.6640625" style="76" customWidth="1"/>
    <col min="5110" max="5110" width="15" style="76" customWidth="1"/>
    <col min="5111" max="5111" width="3.6640625" style="76" bestFit="1" customWidth="1"/>
    <col min="5112" max="5112" width="15.44140625" style="76" bestFit="1" customWidth="1"/>
    <col min="5113" max="5113" width="3.77734375" style="76" customWidth="1"/>
    <col min="5114" max="5114" width="11.21875" style="76" bestFit="1" customWidth="1"/>
    <col min="5115" max="5115" width="3.6640625" style="76" customWidth="1"/>
    <col min="5116" max="5116" width="13.5546875" style="76" customWidth="1"/>
    <col min="5117" max="5117" width="1" style="76" customWidth="1"/>
    <col min="5118" max="5118" width="14.21875" style="76" bestFit="1" customWidth="1"/>
    <col min="5119" max="5119" width="3.33203125" style="76" customWidth="1"/>
    <col min="5120" max="5120" width="20.44140625" style="76" customWidth="1"/>
    <col min="5121" max="5361" width="8.77734375" style="76"/>
    <col min="5362" max="5362" width="54.6640625" style="76" customWidth="1"/>
    <col min="5363" max="5363" width="13.77734375" style="76" customWidth="1"/>
    <col min="5364" max="5364" width="0" style="76" hidden="1" customWidth="1"/>
    <col min="5365" max="5365" width="6.6640625" style="76" customWidth="1"/>
    <col min="5366" max="5366" width="15" style="76" customWidth="1"/>
    <col min="5367" max="5367" width="3.6640625" style="76" bestFit="1" customWidth="1"/>
    <col min="5368" max="5368" width="15.44140625" style="76" bestFit="1" customWidth="1"/>
    <col min="5369" max="5369" width="3.77734375" style="76" customWidth="1"/>
    <col min="5370" max="5370" width="11.21875" style="76" bestFit="1" customWidth="1"/>
    <col min="5371" max="5371" width="3.6640625" style="76" customWidth="1"/>
    <col min="5372" max="5372" width="13.5546875" style="76" customWidth="1"/>
    <col min="5373" max="5373" width="1" style="76" customWidth="1"/>
    <col min="5374" max="5374" width="14.21875" style="76" bestFit="1" customWidth="1"/>
    <col min="5375" max="5375" width="3.33203125" style="76" customWidth="1"/>
    <col min="5376" max="5376" width="20.44140625" style="76" customWidth="1"/>
    <col min="5377" max="5617" width="8.77734375" style="76"/>
    <col min="5618" max="5618" width="54.6640625" style="76" customWidth="1"/>
    <col min="5619" max="5619" width="13.77734375" style="76" customWidth="1"/>
    <col min="5620" max="5620" width="0" style="76" hidden="1" customWidth="1"/>
    <col min="5621" max="5621" width="6.6640625" style="76" customWidth="1"/>
    <col min="5622" max="5622" width="15" style="76" customWidth="1"/>
    <col min="5623" max="5623" width="3.6640625" style="76" bestFit="1" customWidth="1"/>
    <col min="5624" max="5624" width="15.44140625" style="76" bestFit="1" customWidth="1"/>
    <col min="5625" max="5625" width="3.77734375" style="76" customWidth="1"/>
    <col min="5626" max="5626" width="11.21875" style="76" bestFit="1" customWidth="1"/>
    <col min="5627" max="5627" width="3.6640625" style="76" customWidth="1"/>
    <col min="5628" max="5628" width="13.5546875" style="76" customWidth="1"/>
    <col min="5629" max="5629" width="1" style="76" customWidth="1"/>
    <col min="5630" max="5630" width="14.21875" style="76" bestFit="1" customWidth="1"/>
    <col min="5631" max="5631" width="3.33203125" style="76" customWidth="1"/>
    <col min="5632" max="5632" width="20.44140625" style="76" customWidth="1"/>
    <col min="5633" max="5873" width="8.77734375" style="76"/>
    <col min="5874" max="5874" width="54.6640625" style="76" customWidth="1"/>
    <col min="5875" max="5875" width="13.77734375" style="76" customWidth="1"/>
    <col min="5876" max="5876" width="0" style="76" hidden="1" customWidth="1"/>
    <col min="5877" max="5877" width="6.6640625" style="76" customWidth="1"/>
    <col min="5878" max="5878" width="15" style="76" customWidth="1"/>
    <col min="5879" max="5879" width="3.6640625" style="76" bestFit="1" customWidth="1"/>
    <col min="5880" max="5880" width="15.44140625" style="76" bestFit="1" customWidth="1"/>
    <col min="5881" max="5881" width="3.77734375" style="76" customWidth="1"/>
    <col min="5882" max="5882" width="11.21875" style="76" bestFit="1" customWidth="1"/>
    <col min="5883" max="5883" width="3.6640625" style="76" customWidth="1"/>
    <col min="5884" max="5884" width="13.5546875" style="76" customWidth="1"/>
    <col min="5885" max="5885" width="1" style="76" customWidth="1"/>
    <col min="5886" max="5886" width="14.21875" style="76" bestFit="1" customWidth="1"/>
    <col min="5887" max="5887" width="3.33203125" style="76" customWidth="1"/>
    <col min="5888" max="5888" width="20.44140625" style="76" customWidth="1"/>
    <col min="5889" max="6129" width="8.77734375" style="76"/>
    <col min="6130" max="6130" width="54.6640625" style="76" customWidth="1"/>
    <col min="6131" max="6131" width="13.77734375" style="76" customWidth="1"/>
    <col min="6132" max="6132" width="0" style="76" hidden="1" customWidth="1"/>
    <col min="6133" max="6133" width="6.6640625" style="76" customWidth="1"/>
    <col min="6134" max="6134" width="15" style="76" customWidth="1"/>
    <col min="6135" max="6135" width="3.6640625" style="76" bestFit="1" customWidth="1"/>
    <col min="6136" max="6136" width="15.44140625" style="76" bestFit="1" customWidth="1"/>
    <col min="6137" max="6137" width="3.77734375" style="76" customWidth="1"/>
    <col min="6138" max="6138" width="11.21875" style="76" bestFit="1" customWidth="1"/>
    <col min="6139" max="6139" width="3.6640625" style="76" customWidth="1"/>
    <col min="6140" max="6140" width="13.5546875" style="76" customWidth="1"/>
    <col min="6141" max="6141" width="1" style="76" customWidth="1"/>
    <col min="6142" max="6142" width="14.21875" style="76" bestFit="1" customWidth="1"/>
    <col min="6143" max="6143" width="3.33203125" style="76" customWidth="1"/>
    <col min="6144" max="6144" width="20.44140625" style="76" customWidth="1"/>
    <col min="6145" max="6385" width="8.77734375" style="76"/>
    <col min="6386" max="6386" width="54.6640625" style="76" customWidth="1"/>
    <col min="6387" max="6387" width="13.77734375" style="76" customWidth="1"/>
    <col min="6388" max="6388" width="0" style="76" hidden="1" customWidth="1"/>
    <col min="6389" max="6389" width="6.6640625" style="76" customWidth="1"/>
    <col min="6390" max="6390" width="15" style="76" customWidth="1"/>
    <col min="6391" max="6391" width="3.6640625" style="76" bestFit="1" customWidth="1"/>
    <col min="6392" max="6392" width="15.44140625" style="76" bestFit="1" customWidth="1"/>
    <col min="6393" max="6393" width="3.77734375" style="76" customWidth="1"/>
    <col min="6394" max="6394" width="11.21875" style="76" bestFit="1" customWidth="1"/>
    <col min="6395" max="6395" width="3.6640625" style="76" customWidth="1"/>
    <col min="6396" max="6396" width="13.5546875" style="76" customWidth="1"/>
    <col min="6397" max="6397" width="1" style="76" customWidth="1"/>
    <col min="6398" max="6398" width="14.21875" style="76" bestFit="1" customWidth="1"/>
    <col min="6399" max="6399" width="3.33203125" style="76" customWidth="1"/>
    <col min="6400" max="6400" width="20.44140625" style="76" customWidth="1"/>
    <col min="6401" max="6641" width="8.77734375" style="76"/>
    <col min="6642" max="6642" width="54.6640625" style="76" customWidth="1"/>
    <col min="6643" max="6643" width="13.77734375" style="76" customWidth="1"/>
    <col min="6644" max="6644" width="0" style="76" hidden="1" customWidth="1"/>
    <col min="6645" max="6645" width="6.6640625" style="76" customWidth="1"/>
    <col min="6646" max="6646" width="15" style="76" customWidth="1"/>
    <col min="6647" max="6647" width="3.6640625" style="76" bestFit="1" customWidth="1"/>
    <col min="6648" max="6648" width="15.44140625" style="76" bestFit="1" customWidth="1"/>
    <col min="6649" max="6649" width="3.77734375" style="76" customWidth="1"/>
    <col min="6650" max="6650" width="11.21875" style="76" bestFit="1" customWidth="1"/>
    <col min="6651" max="6651" width="3.6640625" style="76" customWidth="1"/>
    <col min="6652" max="6652" width="13.5546875" style="76" customWidth="1"/>
    <col min="6653" max="6653" width="1" style="76" customWidth="1"/>
    <col min="6654" max="6654" width="14.21875" style="76" bestFit="1" customWidth="1"/>
    <col min="6655" max="6655" width="3.33203125" style="76" customWidth="1"/>
    <col min="6656" max="6656" width="20.44140625" style="76" customWidth="1"/>
    <col min="6657" max="6897" width="8.77734375" style="76"/>
    <col min="6898" max="6898" width="54.6640625" style="76" customWidth="1"/>
    <col min="6899" max="6899" width="13.77734375" style="76" customWidth="1"/>
    <col min="6900" max="6900" width="0" style="76" hidden="1" customWidth="1"/>
    <col min="6901" max="6901" width="6.6640625" style="76" customWidth="1"/>
    <col min="6902" max="6902" width="15" style="76" customWidth="1"/>
    <col min="6903" max="6903" width="3.6640625" style="76" bestFit="1" customWidth="1"/>
    <col min="6904" max="6904" width="15.44140625" style="76" bestFit="1" customWidth="1"/>
    <col min="6905" max="6905" width="3.77734375" style="76" customWidth="1"/>
    <col min="6906" max="6906" width="11.21875" style="76" bestFit="1" customWidth="1"/>
    <col min="6907" max="6907" width="3.6640625" style="76" customWidth="1"/>
    <col min="6908" max="6908" width="13.5546875" style="76" customWidth="1"/>
    <col min="6909" max="6909" width="1" style="76" customWidth="1"/>
    <col min="6910" max="6910" width="14.21875" style="76" bestFit="1" customWidth="1"/>
    <col min="6911" max="6911" width="3.33203125" style="76" customWidth="1"/>
    <col min="6912" max="6912" width="20.44140625" style="76" customWidth="1"/>
    <col min="6913" max="7153" width="8.77734375" style="76"/>
    <col min="7154" max="7154" width="54.6640625" style="76" customWidth="1"/>
    <col min="7155" max="7155" width="13.77734375" style="76" customWidth="1"/>
    <col min="7156" max="7156" width="0" style="76" hidden="1" customWidth="1"/>
    <col min="7157" max="7157" width="6.6640625" style="76" customWidth="1"/>
    <col min="7158" max="7158" width="15" style="76" customWidth="1"/>
    <col min="7159" max="7159" width="3.6640625" style="76" bestFit="1" customWidth="1"/>
    <col min="7160" max="7160" width="15.44140625" style="76" bestFit="1" customWidth="1"/>
    <col min="7161" max="7161" width="3.77734375" style="76" customWidth="1"/>
    <col min="7162" max="7162" width="11.21875" style="76" bestFit="1" customWidth="1"/>
    <col min="7163" max="7163" width="3.6640625" style="76" customWidth="1"/>
    <col min="7164" max="7164" width="13.5546875" style="76" customWidth="1"/>
    <col min="7165" max="7165" width="1" style="76" customWidth="1"/>
    <col min="7166" max="7166" width="14.21875" style="76" bestFit="1" customWidth="1"/>
    <col min="7167" max="7167" width="3.33203125" style="76" customWidth="1"/>
    <col min="7168" max="7168" width="20.44140625" style="76" customWidth="1"/>
    <col min="7169" max="7409" width="8.77734375" style="76"/>
    <col min="7410" max="7410" width="54.6640625" style="76" customWidth="1"/>
    <col min="7411" max="7411" width="13.77734375" style="76" customWidth="1"/>
    <col min="7412" max="7412" width="0" style="76" hidden="1" customWidth="1"/>
    <col min="7413" max="7413" width="6.6640625" style="76" customWidth="1"/>
    <col min="7414" max="7414" width="15" style="76" customWidth="1"/>
    <col min="7415" max="7415" width="3.6640625" style="76" bestFit="1" customWidth="1"/>
    <col min="7416" max="7416" width="15.44140625" style="76" bestFit="1" customWidth="1"/>
    <col min="7417" max="7417" width="3.77734375" style="76" customWidth="1"/>
    <col min="7418" max="7418" width="11.21875" style="76" bestFit="1" customWidth="1"/>
    <col min="7419" max="7419" width="3.6640625" style="76" customWidth="1"/>
    <col min="7420" max="7420" width="13.5546875" style="76" customWidth="1"/>
    <col min="7421" max="7421" width="1" style="76" customWidth="1"/>
    <col min="7422" max="7422" width="14.21875" style="76" bestFit="1" customWidth="1"/>
    <col min="7423" max="7423" width="3.33203125" style="76" customWidth="1"/>
    <col min="7424" max="7424" width="20.44140625" style="76" customWidth="1"/>
    <col min="7425" max="7665" width="8.77734375" style="76"/>
    <col min="7666" max="7666" width="54.6640625" style="76" customWidth="1"/>
    <col min="7667" max="7667" width="13.77734375" style="76" customWidth="1"/>
    <col min="7668" max="7668" width="0" style="76" hidden="1" customWidth="1"/>
    <col min="7669" max="7669" width="6.6640625" style="76" customWidth="1"/>
    <col min="7670" max="7670" width="15" style="76" customWidth="1"/>
    <col min="7671" max="7671" width="3.6640625" style="76" bestFit="1" customWidth="1"/>
    <col min="7672" max="7672" width="15.44140625" style="76" bestFit="1" customWidth="1"/>
    <col min="7673" max="7673" width="3.77734375" style="76" customWidth="1"/>
    <col min="7674" max="7674" width="11.21875" style="76" bestFit="1" customWidth="1"/>
    <col min="7675" max="7675" width="3.6640625" style="76" customWidth="1"/>
    <col min="7676" max="7676" width="13.5546875" style="76" customWidth="1"/>
    <col min="7677" max="7677" width="1" style="76" customWidth="1"/>
    <col min="7678" max="7678" width="14.21875" style="76" bestFit="1" customWidth="1"/>
    <col min="7679" max="7679" width="3.33203125" style="76" customWidth="1"/>
    <col min="7680" max="7680" width="20.44140625" style="76" customWidth="1"/>
    <col min="7681" max="7921" width="8.77734375" style="76"/>
    <col min="7922" max="7922" width="54.6640625" style="76" customWidth="1"/>
    <col min="7923" max="7923" width="13.77734375" style="76" customWidth="1"/>
    <col min="7924" max="7924" width="0" style="76" hidden="1" customWidth="1"/>
    <col min="7925" max="7925" width="6.6640625" style="76" customWidth="1"/>
    <col min="7926" max="7926" width="15" style="76" customWidth="1"/>
    <col min="7927" max="7927" width="3.6640625" style="76" bestFit="1" customWidth="1"/>
    <col min="7928" max="7928" width="15.44140625" style="76" bestFit="1" customWidth="1"/>
    <col min="7929" max="7929" width="3.77734375" style="76" customWidth="1"/>
    <col min="7930" max="7930" width="11.21875" style="76" bestFit="1" customWidth="1"/>
    <col min="7931" max="7931" width="3.6640625" style="76" customWidth="1"/>
    <col min="7932" max="7932" width="13.5546875" style="76" customWidth="1"/>
    <col min="7933" max="7933" width="1" style="76" customWidth="1"/>
    <col min="7934" max="7934" width="14.21875" style="76" bestFit="1" customWidth="1"/>
    <col min="7935" max="7935" width="3.33203125" style="76" customWidth="1"/>
    <col min="7936" max="7936" width="20.44140625" style="76" customWidth="1"/>
    <col min="7937" max="8177" width="8.77734375" style="76"/>
    <col min="8178" max="8178" width="54.6640625" style="76" customWidth="1"/>
    <col min="8179" max="8179" width="13.77734375" style="76" customWidth="1"/>
    <col min="8180" max="8180" width="0" style="76" hidden="1" customWidth="1"/>
    <col min="8181" max="8181" width="6.6640625" style="76" customWidth="1"/>
    <col min="8182" max="8182" width="15" style="76" customWidth="1"/>
    <col min="8183" max="8183" width="3.6640625" style="76" bestFit="1" customWidth="1"/>
    <col min="8184" max="8184" width="15.44140625" style="76" bestFit="1" customWidth="1"/>
    <col min="8185" max="8185" width="3.77734375" style="76" customWidth="1"/>
    <col min="8186" max="8186" width="11.21875" style="76" bestFit="1" customWidth="1"/>
    <col min="8187" max="8187" width="3.6640625" style="76" customWidth="1"/>
    <col min="8188" max="8188" width="13.5546875" style="76" customWidth="1"/>
    <col min="8189" max="8189" width="1" style="76" customWidth="1"/>
    <col min="8190" max="8190" width="14.21875" style="76" bestFit="1" customWidth="1"/>
    <col min="8191" max="8191" width="3.33203125" style="76" customWidth="1"/>
    <col min="8192" max="8192" width="20.44140625" style="76" customWidth="1"/>
    <col min="8193" max="8433" width="8.77734375" style="76"/>
    <col min="8434" max="8434" width="54.6640625" style="76" customWidth="1"/>
    <col min="8435" max="8435" width="13.77734375" style="76" customWidth="1"/>
    <col min="8436" max="8436" width="0" style="76" hidden="1" customWidth="1"/>
    <col min="8437" max="8437" width="6.6640625" style="76" customWidth="1"/>
    <col min="8438" max="8438" width="15" style="76" customWidth="1"/>
    <col min="8439" max="8439" width="3.6640625" style="76" bestFit="1" customWidth="1"/>
    <col min="8440" max="8440" width="15.44140625" style="76" bestFit="1" customWidth="1"/>
    <col min="8441" max="8441" width="3.77734375" style="76" customWidth="1"/>
    <col min="8442" max="8442" width="11.21875" style="76" bestFit="1" customWidth="1"/>
    <col min="8443" max="8443" width="3.6640625" style="76" customWidth="1"/>
    <col min="8444" max="8444" width="13.5546875" style="76" customWidth="1"/>
    <col min="8445" max="8445" width="1" style="76" customWidth="1"/>
    <col min="8446" max="8446" width="14.21875" style="76" bestFit="1" customWidth="1"/>
    <col min="8447" max="8447" width="3.33203125" style="76" customWidth="1"/>
    <col min="8448" max="8448" width="20.44140625" style="76" customWidth="1"/>
    <col min="8449" max="8689" width="8.77734375" style="76"/>
    <col min="8690" max="8690" width="54.6640625" style="76" customWidth="1"/>
    <col min="8691" max="8691" width="13.77734375" style="76" customWidth="1"/>
    <col min="8692" max="8692" width="0" style="76" hidden="1" customWidth="1"/>
    <col min="8693" max="8693" width="6.6640625" style="76" customWidth="1"/>
    <col min="8694" max="8694" width="15" style="76" customWidth="1"/>
    <col min="8695" max="8695" width="3.6640625" style="76" bestFit="1" customWidth="1"/>
    <col min="8696" max="8696" width="15.44140625" style="76" bestFit="1" customWidth="1"/>
    <col min="8697" max="8697" width="3.77734375" style="76" customWidth="1"/>
    <col min="8698" max="8698" width="11.21875" style="76" bestFit="1" customWidth="1"/>
    <col min="8699" max="8699" width="3.6640625" style="76" customWidth="1"/>
    <col min="8700" max="8700" width="13.5546875" style="76" customWidth="1"/>
    <col min="8701" max="8701" width="1" style="76" customWidth="1"/>
    <col min="8702" max="8702" width="14.21875" style="76" bestFit="1" customWidth="1"/>
    <col min="8703" max="8703" width="3.33203125" style="76" customWidth="1"/>
    <col min="8704" max="8704" width="20.44140625" style="76" customWidth="1"/>
    <col min="8705" max="8945" width="8.77734375" style="76"/>
    <col min="8946" max="8946" width="54.6640625" style="76" customWidth="1"/>
    <col min="8947" max="8947" width="13.77734375" style="76" customWidth="1"/>
    <col min="8948" max="8948" width="0" style="76" hidden="1" customWidth="1"/>
    <col min="8949" max="8949" width="6.6640625" style="76" customWidth="1"/>
    <col min="8950" max="8950" width="15" style="76" customWidth="1"/>
    <col min="8951" max="8951" width="3.6640625" style="76" bestFit="1" customWidth="1"/>
    <col min="8952" max="8952" width="15.44140625" style="76" bestFit="1" customWidth="1"/>
    <col min="8953" max="8953" width="3.77734375" style="76" customWidth="1"/>
    <col min="8954" max="8954" width="11.21875" style="76" bestFit="1" customWidth="1"/>
    <col min="8955" max="8955" width="3.6640625" style="76" customWidth="1"/>
    <col min="8956" max="8956" width="13.5546875" style="76" customWidth="1"/>
    <col min="8957" max="8957" width="1" style="76" customWidth="1"/>
    <col min="8958" max="8958" width="14.21875" style="76" bestFit="1" customWidth="1"/>
    <col min="8959" max="8959" width="3.33203125" style="76" customWidth="1"/>
    <col min="8960" max="8960" width="20.44140625" style="76" customWidth="1"/>
    <col min="8961" max="9201" width="8.77734375" style="76"/>
    <col min="9202" max="9202" width="54.6640625" style="76" customWidth="1"/>
    <col min="9203" max="9203" width="13.77734375" style="76" customWidth="1"/>
    <col min="9204" max="9204" width="0" style="76" hidden="1" customWidth="1"/>
    <col min="9205" max="9205" width="6.6640625" style="76" customWidth="1"/>
    <col min="9206" max="9206" width="15" style="76" customWidth="1"/>
    <col min="9207" max="9207" width="3.6640625" style="76" bestFit="1" customWidth="1"/>
    <col min="9208" max="9208" width="15.44140625" style="76" bestFit="1" customWidth="1"/>
    <col min="9209" max="9209" width="3.77734375" style="76" customWidth="1"/>
    <col min="9210" max="9210" width="11.21875" style="76" bestFit="1" customWidth="1"/>
    <col min="9211" max="9211" width="3.6640625" style="76" customWidth="1"/>
    <col min="9212" max="9212" width="13.5546875" style="76" customWidth="1"/>
    <col min="9213" max="9213" width="1" style="76" customWidth="1"/>
    <col min="9214" max="9214" width="14.21875" style="76" bestFit="1" customWidth="1"/>
    <col min="9215" max="9215" width="3.33203125" style="76" customWidth="1"/>
    <col min="9216" max="9216" width="20.44140625" style="76" customWidth="1"/>
    <col min="9217" max="9457" width="8.77734375" style="76"/>
    <col min="9458" max="9458" width="54.6640625" style="76" customWidth="1"/>
    <col min="9459" max="9459" width="13.77734375" style="76" customWidth="1"/>
    <col min="9460" max="9460" width="0" style="76" hidden="1" customWidth="1"/>
    <col min="9461" max="9461" width="6.6640625" style="76" customWidth="1"/>
    <col min="9462" max="9462" width="15" style="76" customWidth="1"/>
    <col min="9463" max="9463" width="3.6640625" style="76" bestFit="1" customWidth="1"/>
    <col min="9464" max="9464" width="15.44140625" style="76" bestFit="1" customWidth="1"/>
    <col min="9465" max="9465" width="3.77734375" style="76" customWidth="1"/>
    <col min="9466" max="9466" width="11.21875" style="76" bestFit="1" customWidth="1"/>
    <col min="9467" max="9467" width="3.6640625" style="76" customWidth="1"/>
    <col min="9468" max="9468" width="13.5546875" style="76" customWidth="1"/>
    <col min="9469" max="9469" width="1" style="76" customWidth="1"/>
    <col min="9470" max="9470" width="14.21875" style="76" bestFit="1" customWidth="1"/>
    <col min="9471" max="9471" width="3.33203125" style="76" customWidth="1"/>
    <col min="9472" max="9472" width="20.44140625" style="76" customWidth="1"/>
    <col min="9473" max="9713" width="8.77734375" style="76"/>
    <col min="9714" max="9714" width="54.6640625" style="76" customWidth="1"/>
    <col min="9715" max="9715" width="13.77734375" style="76" customWidth="1"/>
    <col min="9716" max="9716" width="0" style="76" hidden="1" customWidth="1"/>
    <col min="9717" max="9717" width="6.6640625" style="76" customWidth="1"/>
    <col min="9718" max="9718" width="15" style="76" customWidth="1"/>
    <col min="9719" max="9719" width="3.6640625" style="76" bestFit="1" customWidth="1"/>
    <col min="9720" max="9720" width="15.44140625" style="76" bestFit="1" customWidth="1"/>
    <col min="9721" max="9721" width="3.77734375" style="76" customWidth="1"/>
    <col min="9722" max="9722" width="11.21875" style="76" bestFit="1" customWidth="1"/>
    <col min="9723" max="9723" width="3.6640625" style="76" customWidth="1"/>
    <col min="9724" max="9724" width="13.5546875" style="76" customWidth="1"/>
    <col min="9725" max="9725" width="1" style="76" customWidth="1"/>
    <col min="9726" max="9726" width="14.21875" style="76" bestFit="1" customWidth="1"/>
    <col min="9727" max="9727" width="3.33203125" style="76" customWidth="1"/>
    <col min="9728" max="9728" width="20.44140625" style="76" customWidth="1"/>
    <col min="9729" max="9969" width="8.77734375" style="76"/>
    <col min="9970" max="9970" width="54.6640625" style="76" customWidth="1"/>
    <col min="9971" max="9971" width="13.77734375" style="76" customWidth="1"/>
    <col min="9972" max="9972" width="0" style="76" hidden="1" customWidth="1"/>
    <col min="9973" max="9973" width="6.6640625" style="76" customWidth="1"/>
    <col min="9974" max="9974" width="15" style="76" customWidth="1"/>
    <col min="9975" max="9975" width="3.6640625" style="76" bestFit="1" customWidth="1"/>
    <col min="9976" max="9976" width="15.44140625" style="76" bestFit="1" customWidth="1"/>
    <col min="9977" max="9977" width="3.77734375" style="76" customWidth="1"/>
    <col min="9978" max="9978" width="11.21875" style="76" bestFit="1" customWidth="1"/>
    <col min="9979" max="9979" width="3.6640625" style="76" customWidth="1"/>
    <col min="9980" max="9980" width="13.5546875" style="76" customWidth="1"/>
    <col min="9981" max="9981" width="1" style="76" customWidth="1"/>
    <col min="9982" max="9982" width="14.21875" style="76" bestFit="1" customWidth="1"/>
    <col min="9983" max="9983" width="3.33203125" style="76" customWidth="1"/>
    <col min="9984" max="9984" width="20.44140625" style="76" customWidth="1"/>
    <col min="9985" max="10225" width="8.77734375" style="76"/>
    <col min="10226" max="10226" width="54.6640625" style="76" customWidth="1"/>
    <col min="10227" max="10227" width="13.77734375" style="76" customWidth="1"/>
    <col min="10228" max="10228" width="0" style="76" hidden="1" customWidth="1"/>
    <col min="10229" max="10229" width="6.6640625" style="76" customWidth="1"/>
    <col min="10230" max="10230" width="15" style="76" customWidth="1"/>
    <col min="10231" max="10231" width="3.6640625" style="76" bestFit="1" customWidth="1"/>
    <col min="10232" max="10232" width="15.44140625" style="76" bestFit="1" customWidth="1"/>
    <col min="10233" max="10233" width="3.77734375" style="76" customWidth="1"/>
    <col min="10234" max="10234" width="11.21875" style="76" bestFit="1" customWidth="1"/>
    <col min="10235" max="10235" width="3.6640625" style="76" customWidth="1"/>
    <col min="10236" max="10236" width="13.5546875" style="76" customWidth="1"/>
    <col min="10237" max="10237" width="1" style="76" customWidth="1"/>
    <col min="10238" max="10238" width="14.21875" style="76" bestFit="1" customWidth="1"/>
    <col min="10239" max="10239" width="3.33203125" style="76" customWidth="1"/>
    <col min="10240" max="10240" width="20.44140625" style="76" customWidth="1"/>
    <col min="10241" max="10481" width="8.77734375" style="76"/>
    <col min="10482" max="10482" width="54.6640625" style="76" customWidth="1"/>
    <col min="10483" max="10483" width="13.77734375" style="76" customWidth="1"/>
    <col min="10484" max="10484" width="0" style="76" hidden="1" customWidth="1"/>
    <col min="10485" max="10485" width="6.6640625" style="76" customWidth="1"/>
    <col min="10486" max="10486" width="15" style="76" customWidth="1"/>
    <col min="10487" max="10487" width="3.6640625" style="76" bestFit="1" customWidth="1"/>
    <col min="10488" max="10488" width="15.44140625" style="76" bestFit="1" customWidth="1"/>
    <col min="10489" max="10489" width="3.77734375" style="76" customWidth="1"/>
    <col min="10490" max="10490" width="11.21875" style="76" bestFit="1" customWidth="1"/>
    <col min="10491" max="10491" width="3.6640625" style="76" customWidth="1"/>
    <col min="10492" max="10492" width="13.5546875" style="76" customWidth="1"/>
    <col min="10493" max="10493" width="1" style="76" customWidth="1"/>
    <col min="10494" max="10494" width="14.21875" style="76" bestFit="1" customWidth="1"/>
    <col min="10495" max="10495" width="3.33203125" style="76" customWidth="1"/>
    <col min="10496" max="10496" width="20.44140625" style="76" customWidth="1"/>
    <col min="10497" max="10737" width="8.77734375" style="76"/>
    <col min="10738" max="10738" width="54.6640625" style="76" customWidth="1"/>
    <col min="10739" max="10739" width="13.77734375" style="76" customWidth="1"/>
    <col min="10740" max="10740" width="0" style="76" hidden="1" customWidth="1"/>
    <col min="10741" max="10741" width="6.6640625" style="76" customWidth="1"/>
    <col min="10742" max="10742" width="15" style="76" customWidth="1"/>
    <col min="10743" max="10743" width="3.6640625" style="76" bestFit="1" customWidth="1"/>
    <col min="10744" max="10744" width="15.44140625" style="76" bestFit="1" customWidth="1"/>
    <col min="10745" max="10745" width="3.77734375" style="76" customWidth="1"/>
    <col min="10746" max="10746" width="11.21875" style="76" bestFit="1" customWidth="1"/>
    <col min="10747" max="10747" width="3.6640625" style="76" customWidth="1"/>
    <col min="10748" max="10748" width="13.5546875" style="76" customWidth="1"/>
    <col min="10749" max="10749" width="1" style="76" customWidth="1"/>
    <col min="10750" max="10750" width="14.21875" style="76" bestFit="1" customWidth="1"/>
    <col min="10751" max="10751" width="3.33203125" style="76" customWidth="1"/>
    <col min="10752" max="10752" width="20.44140625" style="76" customWidth="1"/>
    <col min="10753" max="10993" width="8.77734375" style="76"/>
    <col min="10994" max="10994" width="54.6640625" style="76" customWidth="1"/>
    <col min="10995" max="10995" width="13.77734375" style="76" customWidth="1"/>
    <col min="10996" max="10996" width="0" style="76" hidden="1" customWidth="1"/>
    <col min="10997" max="10997" width="6.6640625" style="76" customWidth="1"/>
    <col min="10998" max="10998" width="15" style="76" customWidth="1"/>
    <col min="10999" max="10999" width="3.6640625" style="76" bestFit="1" customWidth="1"/>
    <col min="11000" max="11000" width="15.44140625" style="76" bestFit="1" customWidth="1"/>
    <col min="11001" max="11001" width="3.77734375" style="76" customWidth="1"/>
    <col min="11002" max="11002" width="11.21875" style="76" bestFit="1" customWidth="1"/>
    <col min="11003" max="11003" width="3.6640625" style="76" customWidth="1"/>
    <col min="11004" max="11004" width="13.5546875" style="76" customWidth="1"/>
    <col min="11005" max="11005" width="1" style="76" customWidth="1"/>
    <col min="11006" max="11006" width="14.21875" style="76" bestFit="1" customWidth="1"/>
    <col min="11007" max="11007" width="3.33203125" style="76" customWidth="1"/>
    <col min="11008" max="11008" width="20.44140625" style="76" customWidth="1"/>
    <col min="11009" max="11249" width="8.77734375" style="76"/>
    <col min="11250" max="11250" width="54.6640625" style="76" customWidth="1"/>
    <col min="11251" max="11251" width="13.77734375" style="76" customWidth="1"/>
    <col min="11252" max="11252" width="0" style="76" hidden="1" customWidth="1"/>
    <col min="11253" max="11253" width="6.6640625" style="76" customWidth="1"/>
    <col min="11254" max="11254" width="15" style="76" customWidth="1"/>
    <col min="11255" max="11255" width="3.6640625" style="76" bestFit="1" customWidth="1"/>
    <col min="11256" max="11256" width="15.44140625" style="76" bestFit="1" customWidth="1"/>
    <col min="11257" max="11257" width="3.77734375" style="76" customWidth="1"/>
    <col min="11258" max="11258" width="11.21875" style="76" bestFit="1" customWidth="1"/>
    <col min="11259" max="11259" width="3.6640625" style="76" customWidth="1"/>
    <col min="11260" max="11260" width="13.5546875" style="76" customWidth="1"/>
    <col min="11261" max="11261" width="1" style="76" customWidth="1"/>
    <col min="11262" max="11262" width="14.21875" style="76" bestFit="1" customWidth="1"/>
    <col min="11263" max="11263" width="3.33203125" style="76" customWidth="1"/>
    <col min="11264" max="11264" width="20.44140625" style="76" customWidth="1"/>
    <col min="11265" max="11505" width="8.77734375" style="76"/>
    <col min="11506" max="11506" width="54.6640625" style="76" customWidth="1"/>
    <col min="11507" max="11507" width="13.77734375" style="76" customWidth="1"/>
    <col min="11508" max="11508" width="0" style="76" hidden="1" customWidth="1"/>
    <col min="11509" max="11509" width="6.6640625" style="76" customWidth="1"/>
    <col min="11510" max="11510" width="15" style="76" customWidth="1"/>
    <col min="11511" max="11511" width="3.6640625" style="76" bestFit="1" customWidth="1"/>
    <col min="11512" max="11512" width="15.44140625" style="76" bestFit="1" customWidth="1"/>
    <col min="11513" max="11513" width="3.77734375" style="76" customWidth="1"/>
    <col min="11514" max="11514" width="11.21875" style="76" bestFit="1" customWidth="1"/>
    <col min="11515" max="11515" width="3.6640625" style="76" customWidth="1"/>
    <col min="11516" max="11516" width="13.5546875" style="76" customWidth="1"/>
    <col min="11517" max="11517" width="1" style="76" customWidth="1"/>
    <col min="11518" max="11518" width="14.21875" style="76" bestFit="1" customWidth="1"/>
    <col min="11519" max="11519" width="3.33203125" style="76" customWidth="1"/>
    <col min="11520" max="11520" width="20.44140625" style="76" customWidth="1"/>
    <col min="11521" max="11761" width="8.77734375" style="76"/>
    <col min="11762" max="11762" width="54.6640625" style="76" customWidth="1"/>
    <col min="11763" max="11763" width="13.77734375" style="76" customWidth="1"/>
    <col min="11764" max="11764" width="0" style="76" hidden="1" customWidth="1"/>
    <col min="11765" max="11765" width="6.6640625" style="76" customWidth="1"/>
    <col min="11766" max="11766" width="15" style="76" customWidth="1"/>
    <col min="11767" max="11767" width="3.6640625" style="76" bestFit="1" customWidth="1"/>
    <col min="11768" max="11768" width="15.44140625" style="76" bestFit="1" customWidth="1"/>
    <col min="11769" max="11769" width="3.77734375" style="76" customWidth="1"/>
    <col min="11770" max="11770" width="11.21875" style="76" bestFit="1" customWidth="1"/>
    <col min="11771" max="11771" width="3.6640625" style="76" customWidth="1"/>
    <col min="11772" max="11772" width="13.5546875" style="76" customWidth="1"/>
    <col min="11773" max="11773" width="1" style="76" customWidth="1"/>
    <col min="11774" max="11774" width="14.21875" style="76" bestFit="1" customWidth="1"/>
    <col min="11775" max="11775" width="3.33203125" style="76" customWidth="1"/>
    <col min="11776" max="11776" width="20.44140625" style="76" customWidth="1"/>
    <col min="11777" max="12017" width="8.77734375" style="76"/>
    <col min="12018" max="12018" width="54.6640625" style="76" customWidth="1"/>
    <col min="12019" max="12019" width="13.77734375" style="76" customWidth="1"/>
    <col min="12020" max="12020" width="0" style="76" hidden="1" customWidth="1"/>
    <col min="12021" max="12021" width="6.6640625" style="76" customWidth="1"/>
    <col min="12022" max="12022" width="15" style="76" customWidth="1"/>
    <col min="12023" max="12023" width="3.6640625" style="76" bestFit="1" customWidth="1"/>
    <col min="12024" max="12024" width="15.44140625" style="76" bestFit="1" customWidth="1"/>
    <col min="12025" max="12025" width="3.77734375" style="76" customWidth="1"/>
    <col min="12026" max="12026" width="11.21875" style="76" bestFit="1" customWidth="1"/>
    <col min="12027" max="12027" width="3.6640625" style="76" customWidth="1"/>
    <col min="12028" max="12028" width="13.5546875" style="76" customWidth="1"/>
    <col min="12029" max="12029" width="1" style="76" customWidth="1"/>
    <col min="12030" max="12030" width="14.21875" style="76" bestFit="1" customWidth="1"/>
    <col min="12031" max="12031" width="3.33203125" style="76" customWidth="1"/>
    <col min="12032" max="12032" width="20.44140625" style="76" customWidth="1"/>
    <col min="12033" max="12273" width="8.77734375" style="76"/>
    <col min="12274" max="12274" width="54.6640625" style="76" customWidth="1"/>
    <col min="12275" max="12275" width="13.77734375" style="76" customWidth="1"/>
    <col min="12276" max="12276" width="0" style="76" hidden="1" customWidth="1"/>
    <col min="12277" max="12277" width="6.6640625" style="76" customWidth="1"/>
    <col min="12278" max="12278" width="15" style="76" customWidth="1"/>
    <col min="12279" max="12279" width="3.6640625" style="76" bestFit="1" customWidth="1"/>
    <col min="12280" max="12280" width="15.44140625" style="76" bestFit="1" customWidth="1"/>
    <col min="12281" max="12281" width="3.77734375" style="76" customWidth="1"/>
    <col min="12282" max="12282" width="11.21875" style="76" bestFit="1" customWidth="1"/>
    <col min="12283" max="12283" width="3.6640625" style="76" customWidth="1"/>
    <col min="12284" max="12284" width="13.5546875" style="76" customWidth="1"/>
    <col min="12285" max="12285" width="1" style="76" customWidth="1"/>
    <col min="12286" max="12286" width="14.21875" style="76" bestFit="1" customWidth="1"/>
    <col min="12287" max="12287" width="3.33203125" style="76" customWidth="1"/>
    <col min="12288" max="12288" width="20.44140625" style="76" customWidth="1"/>
    <col min="12289" max="12529" width="8.77734375" style="76"/>
    <col min="12530" max="12530" width="54.6640625" style="76" customWidth="1"/>
    <col min="12531" max="12531" width="13.77734375" style="76" customWidth="1"/>
    <col min="12532" max="12532" width="0" style="76" hidden="1" customWidth="1"/>
    <col min="12533" max="12533" width="6.6640625" style="76" customWidth="1"/>
    <col min="12534" max="12534" width="15" style="76" customWidth="1"/>
    <col min="12535" max="12535" width="3.6640625" style="76" bestFit="1" customWidth="1"/>
    <col min="12536" max="12536" width="15.44140625" style="76" bestFit="1" customWidth="1"/>
    <col min="12537" max="12537" width="3.77734375" style="76" customWidth="1"/>
    <col min="12538" max="12538" width="11.21875" style="76" bestFit="1" customWidth="1"/>
    <col min="12539" max="12539" width="3.6640625" style="76" customWidth="1"/>
    <col min="12540" max="12540" width="13.5546875" style="76" customWidth="1"/>
    <col min="12541" max="12541" width="1" style="76" customWidth="1"/>
    <col min="12542" max="12542" width="14.21875" style="76" bestFit="1" customWidth="1"/>
    <col min="12543" max="12543" width="3.33203125" style="76" customWidth="1"/>
    <col min="12544" max="12544" width="20.44140625" style="76" customWidth="1"/>
    <col min="12545" max="12785" width="8.77734375" style="76"/>
    <col min="12786" max="12786" width="54.6640625" style="76" customWidth="1"/>
    <col min="12787" max="12787" width="13.77734375" style="76" customWidth="1"/>
    <col min="12788" max="12788" width="0" style="76" hidden="1" customWidth="1"/>
    <col min="12789" max="12789" width="6.6640625" style="76" customWidth="1"/>
    <col min="12790" max="12790" width="15" style="76" customWidth="1"/>
    <col min="12791" max="12791" width="3.6640625" style="76" bestFit="1" customWidth="1"/>
    <col min="12792" max="12792" width="15.44140625" style="76" bestFit="1" customWidth="1"/>
    <col min="12793" max="12793" width="3.77734375" style="76" customWidth="1"/>
    <col min="12794" max="12794" width="11.21875" style="76" bestFit="1" customWidth="1"/>
    <col min="12795" max="12795" width="3.6640625" style="76" customWidth="1"/>
    <col min="12796" max="12796" width="13.5546875" style="76" customWidth="1"/>
    <col min="12797" max="12797" width="1" style="76" customWidth="1"/>
    <col min="12798" max="12798" width="14.21875" style="76" bestFit="1" customWidth="1"/>
    <col min="12799" max="12799" width="3.33203125" style="76" customWidth="1"/>
    <col min="12800" max="12800" width="20.44140625" style="76" customWidth="1"/>
    <col min="12801" max="13041" width="8.77734375" style="76"/>
    <col min="13042" max="13042" width="54.6640625" style="76" customWidth="1"/>
    <col min="13043" max="13043" width="13.77734375" style="76" customWidth="1"/>
    <col min="13044" max="13044" width="0" style="76" hidden="1" customWidth="1"/>
    <col min="13045" max="13045" width="6.6640625" style="76" customWidth="1"/>
    <col min="13046" max="13046" width="15" style="76" customWidth="1"/>
    <col min="13047" max="13047" width="3.6640625" style="76" bestFit="1" customWidth="1"/>
    <col min="13048" max="13048" width="15.44140625" style="76" bestFit="1" customWidth="1"/>
    <col min="13049" max="13049" width="3.77734375" style="76" customWidth="1"/>
    <col min="13050" max="13050" width="11.21875" style="76" bestFit="1" customWidth="1"/>
    <col min="13051" max="13051" width="3.6640625" style="76" customWidth="1"/>
    <col min="13052" max="13052" width="13.5546875" style="76" customWidth="1"/>
    <col min="13053" max="13053" width="1" style="76" customWidth="1"/>
    <col min="13054" max="13054" width="14.21875" style="76" bestFit="1" customWidth="1"/>
    <col min="13055" max="13055" width="3.33203125" style="76" customWidth="1"/>
    <col min="13056" max="13056" width="20.44140625" style="76" customWidth="1"/>
    <col min="13057" max="13297" width="8.77734375" style="76"/>
    <col min="13298" max="13298" width="54.6640625" style="76" customWidth="1"/>
    <col min="13299" max="13299" width="13.77734375" style="76" customWidth="1"/>
    <col min="13300" max="13300" width="0" style="76" hidden="1" customWidth="1"/>
    <col min="13301" max="13301" width="6.6640625" style="76" customWidth="1"/>
    <col min="13302" max="13302" width="15" style="76" customWidth="1"/>
    <col min="13303" max="13303" width="3.6640625" style="76" bestFit="1" customWidth="1"/>
    <col min="13304" max="13304" width="15.44140625" style="76" bestFit="1" customWidth="1"/>
    <col min="13305" max="13305" width="3.77734375" style="76" customWidth="1"/>
    <col min="13306" max="13306" width="11.21875" style="76" bestFit="1" customWidth="1"/>
    <col min="13307" max="13307" width="3.6640625" style="76" customWidth="1"/>
    <col min="13308" max="13308" width="13.5546875" style="76" customWidth="1"/>
    <col min="13309" max="13309" width="1" style="76" customWidth="1"/>
    <col min="13310" max="13310" width="14.21875" style="76" bestFit="1" customWidth="1"/>
    <col min="13311" max="13311" width="3.33203125" style="76" customWidth="1"/>
    <col min="13312" max="13312" width="20.44140625" style="76" customWidth="1"/>
    <col min="13313" max="13553" width="8.77734375" style="76"/>
    <col min="13554" max="13554" width="54.6640625" style="76" customWidth="1"/>
    <col min="13555" max="13555" width="13.77734375" style="76" customWidth="1"/>
    <col min="13556" max="13556" width="0" style="76" hidden="1" customWidth="1"/>
    <col min="13557" max="13557" width="6.6640625" style="76" customWidth="1"/>
    <col min="13558" max="13558" width="15" style="76" customWidth="1"/>
    <col min="13559" max="13559" width="3.6640625" style="76" bestFit="1" customWidth="1"/>
    <col min="13560" max="13560" width="15.44140625" style="76" bestFit="1" customWidth="1"/>
    <col min="13561" max="13561" width="3.77734375" style="76" customWidth="1"/>
    <col min="13562" max="13562" width="11.21875" style="76" bestFit="1" customWidth="1"/>
    <col min="13563" max="13563" width="3.6640625" style="76" customWidth="1"/>
    <col min="13564" max="13564" width="13.5546875" style="76" customWidth="1"/>
    <col min="13565" max="13565" width="1" style="76" customWidth="1"/>
    <col min="13566" max="13566" width="14.21875" style="76" bestFit="1" customWidth="1"/>
    <col min="13567" max="13567" width="3.33203125" style="76" customWidth="1"/>
    <col min="13568" max="13568" width="20.44140625" style="76" customWidth="1"/>
    <col min="13569" max="13809" width="8.77734375" style="76"/>
    <col min="13810" max="13810" width="54.6640625" style="76" customWidth="1"/>
    <col min="13811" max="13811" width="13.77734375" style="76" customWidth="1"/>
    <col min="13812" max="13812" width="0" style="76" hidden="1" customWidth="1"/>
    <col min="13813" max="13813" width="6.6640625" style="76" customWidth="1"/>
    <col min="13814" max="13814" width="15" style="76" customWidth="1"/>
    <col min="13815" max="13815" width="3.6640625" style="76" bestFit="1" customWidth="1"/>
    <col min="13816" max="13816" width="15.44140625" style="76" bestFit="1" customWidth="1"/>
    <col min="13817" max="13817" width="3.77734375" style="76" customWidth="1"/>
    <col min="13818" max="13818" width="11.21875" style="76" bestFit="1" customWidth="1"/>
    <col min="13819" max="13819" width="3.6640625" style="76" customWidth="1"/>
    <col min="13820" max="13820" width="13.5546875" style="76" customWidth="1"/>
    <col min="13821" max="13821" width="1" style="76" customWidth="1"/>
    <col min="13822" max="13822" width="14.21875" style="76" bestFit="1" customWidth="1"/>
    <col min="13823" max="13823" width="3.33203125" style="76" customWidth="1"/>
    <col min="13824" max="13824" width="20.44140625" style="76" customWidth="1"/>
    <col min="13825" max="14065" width="8.77734375" style="76"/>
    <col min="14066" max="14066" width="54.6640625" style="76" customWidth="1"/>
    <col min="14067" max="14067" width="13.77734375" style="76" customWidth="1"/>
    <col min="14068" max="14068" width="0" style="76" hidden="1" customWidth="1"/>
    <col min="14069" max="14069" width="6.6640625" style="76" customWidth="1"/>
    <col min="14070" max="14070" width="15" style="76" customWidth="1"/>
    <col min="14071" max="14071" width="3.6640625" style="76" bestFit="1" customWidth="1"/>
    <col min="14072" max="14072" width="15.44140625" style="76" bestFit="1" customWidth="1"/>
    <col min="14073" max="14073" width="3.77734375" style="76" customWidth="1"/>
    <col min="14074" max="14074" width="11.21875" style="76" bestFit="1" customWidth="1"/>
    <col min="14075" max="14075" width="3.6640625" style="76" customWidth="1"/>
    <col min="14076" max="14076" width="13.5546875" style="76" customWidth="1"/>
    <col min="14077" max="14077" width="1" style="76" customWidth="1"/>
    <col min="14078" max="14078" width="14.21875" style="76" bestFit="1" customWidth="1"/>
    <col min="14079" max="14079" width="3.33203125" style="76" customWidth="1"/>
    <col min="14080" max="14080" width="20.44140625" style="76" customWidth="1"/>
    <col min="14081" max="14321" width="8.77734375" style="76"/>
    <col min="14322" max="14322" width="54.6640625" style="76" customWidth="1"/>
    <col min="14323" max="14323" width="13.77734375" style="76" customWidth="1"/>
    <col min="14324" max="14324" width="0" style="76" hidden="1" customWidth="1"/>
    <col min="14325" max="14325" width="6.6640625" style="76" customWidth="1"/>
    <col min="14326" max="14326" width="15" style="76" customWidth="1"/>
    <col min="14327" max="14327" width="3.6640625" style="76" bestFit="1" customWidth="1"/>
    <col min="14328" max="14328" width="15.44140625" style="76" bestFit="1" customWidth="1"/>
    <col min="14329" max="14329" width="3.77734375" style="76" customWidth="1"/>
    <col min="14330" max="14330" width="11.21875" style="76" bestFit="1" customWidth="1"/>
    <col min="14331" max="14331" width="3.6640625" style="76" customWidth="1"/>
    <col min="14332" max="14332" width="13.5546875" style="76" customWidth="1"/>
    <col min="14333" max="14333" width="1" style="76" customWidth="1"/>
    <col min="14334" max="14334" width="14.21875" style="76" bestFit="1" customWidth="1"/>
    <col min="14335" max="14335" width="3.33203125" style="76" customWidth="1"/>
    <col min="14336" max="14336" width="20.44140625" style="76" customWidth="1"/>
    <col min="14337" max="14577" width="8.77734375" style="76"/>
    <col min="14578" max="14578" width="54.6640625" style="76" customWidth="1"/>
    <col min="14579" max="14579" width="13.77734375" style="76" customWidth="1"/>
    <col min="14580" max="14580" width="0" style="76" hidden="1" customWidth="1"/>
    <col min="14581" max="14581" width="6.6640625" style="76" customWidth="1"/>
    <col min="14582" max="14582" width="15" style="76" customWidth="1"/>
    <col min="14583" max="14583" width="3.6640625" style="76" bestFit="1" customWidth="1"/>
    <col min="14584" max="14584" width="15.44140625" style="76" bestFit="1" customWidth="1"/>
    <col min="14585" max="14585" width="3.77734375" style="76" customWidth="1"/>
    <col min="14586" max="14586" width="11.21875" style="76" bestFit="1" customWidth="1"/>
    <col min="14587" max="14587" width="3.6640625" style="76" customWidth="1"/>
    <col min="14588" max="14588" width="13.5546875" style="76" customWidth="1"/>
    <col min="14589" max="14589" width="1" style="76" customWidth="1"/>
    <col min="14590" max="14590" width="14.21875" style="76" bestFit="1" customWidth="1"/>
    <col min="14591" max="14591" width="3.33203125" style="76" customWidth="1"/>
    <col min="14592" max="14592" width="20.44140625" style="76" customWidth="1"/>
    <col min="14593" max="14833" width="8.77734375" style="76"/>
    <col min="14834" max="14834" width="54.6640625" style="76" customWidth="1"/>
    <col min="14835" max="14835" width="13.77734375" style="76" customWidth="1"/>
    <col min="14836" max="14836" width="0" style="76" hidden="1" customWidth="1"/>
    <col min="14837" max="14837" width="6.6640625" style="76" customWidth="1"/>
    <col min="14838" max="14838" width="15" style="76" customWidth="1"/>
    <col min="14839" max="14839" width="3.6640625" style="76" bestFit="1" customWidth="1"/>
    <col min="14840" max="14840" width="15.44140625" style="76" bestFit="1" customWidth="1"/>
    <col min="14841" max="14841" width="3.77734375" style="76" customWidth="1"/>
    <col min="14842" max="14842" width="11.21875" style="76" bestFit="1" customWidth="1"/>
    <col min="14843" max="14843" width="3.6640625" style="76" customWidth="1"/>
    <col min="14844" max="14844" width="13.5546875" style="76" customWidth="1"/>
    <col min="14845" max="14845" width="1" style="76" customWidth="1"/>
    <col min="14846" max="14846" width="14.21875" style="76" bestFit="1" customWidth="1"/>
    <col min="14847" max="14847" width="3.33203125" style="76" customWidth="1"/>
    <col min="14848" max="14848" width="20.44140625" style="76" customWidth="1"/>
    <col min="14849" max="15089" width="8.77734375" style="76"/>
    <col min="15090" max="15090" width="54.6640625" style="76" customWidth="1"/>
    <col min="15091" max="15091" width="13.77734375" style="76" customWidth="1"/>
    <col min="15092" max="15092" width="0" style="76" hidden="1" customWidth="1"/>
    <col min="15093" max="15093" width="6.6640625" style="76" customWidth="1"/>
    <col min="15094" max="15094" width="15" style="76" customWidth="1"/>
    <col min="15095" max="15095" width="3.6640625" style="76" bestFit="1" customWidth="1"/>
    <col min="15096" max="15096" width="15.44140625" style="76" bestFit="1" customWidth="1"/>
    <col min="15097" max="15097" width="3.77734375" style="76" customWidth="1"/>
    <col min="15098" max="15098" width="11.21875" style="76" bestFit="1" customWidth="1"/>
    <col min="15099" max="15099" width="3.6640625" style="76" customWidth="1"/>
    <col min="15100" max="15100" width="13.5546875" style="76" customWidth="1"/>
    <col min="15101" max="15101" width="1" style="76" customWidth="1"/>
    <col min="15102" max="15102" width="14.21875" style="76" bestFit="1" customWidth="1"/>
    <col min="15103" max="15103" width="3.33203125" style="76" customWidth="1"/>
    <col min="15104" max="15104" width="20.44140625" style="76" customWidth="1"/>
    <col min="15105" max="15345" width="8.77734375" style="76"/>
    <col min="15346" max="15346" width="54.6640625" style="76" customWidth="1"/>
    <col min="15347" max="15347" width="13.77734375" style="76" customWidth="1"/>
    <col min="15348" max="15348" width="0" style="76" hidden="1" customWidth="1"/>
    <col min="15349" max="15349" width="6.6640625" style="76" customWidth="1"/>
    <col min="15350" max="15350" width="15" style="76" customWidth="1"/>
    <col min="15351" max="15351" width="3.6640625" style="76" bestFit="1" customWidth="1"/>
    <col min="15352" max="15352" width="15.44140625" style="76" bestFit="1" customWidth="1"/>
    <col min="15353" max="15353" width="3.77734375" style="76" customWidth="1"/>
    <col min="15354" max="15354" width="11.21875" style="76" bestFit="1" customWidth="1"/>
    <col min="15355" max="15355" width="3.6640625" style="76" customWidth="1"/>
    <col min="15356" max="15356" width="13.5546875" style="76" customWidth="1"/>
    <col min="15357" max="15357" width="1" style="76" customWidth="1"/>
    <col min="15358" max="15358" width="14.21875" style="76" bestFit="1" customWidth="1"/>
    <col min="15359" max="15359" width="3.33203125" style="76" customWidth="1"/>
    <col min="15360" max="15360" width="20.44140625" style="76" customWidth="1"/>
    <col min="15361" max="15601" width="8.77734375" style="76"/>
    <col min="15602" max="15602" width="54.6640625" style="76" customWidth="1"/>
    <col min="15603" max="15603" width="13.77734375" style="76" customWidth="1"/>
    <col min="15604" max="15604" width="0" style="76" hidden="1" customWidth="1"/>
    <col min="15605" max="15605" width="6.6640625" style="76" customWidth="1"/>
    <col min="15606" max="15606" width="15" style="76" customWidth="1"/>
    <col min="15607" max="15607" width="3.6640625" style="76" bestFit="1" customWidth="1"/>
    <col min="15608" max="15608" width="15.44140625" style="76" bestFit="1" customWidth="1"/>
    <col min="15609" max="15609" width="3.77734375" style="76" customWidth="1"/>
    <col min="15610" max="15610" width="11.21875" style="76" bestFit="1" customWidth="1"/>
    <col min="15611" max="15611" width="3.6640625" style="76" customWidth="1"/>
    <col min="15612" max="15612" width="13.5546875" style="76" customWidth="1"/>
    <col min="15613" max="15613" width="1" style="76" customWidth="1"/>
    <col min="15614" max="15614" width="14.21875" style="76" bestFit="1" customWidth="1"/>
    <col min="15615" max="15615" width="3.33203125" style="76" customWidth="1"/>
    <col min="15616" max="15616" width="20.44140625" style="76" customWidth="1"/>
    <col min="15617" max="15857" width="8.77734375" style="76"/>
    <col min="15858" max="15858" width="54.6640625" style="76" customWidth="1"/>
    <col min="15859" max="15859" width="13.77734375" style="76" customWidth="1"/>
    <col min="15860" max="15860" width="0" style="76" hidden="1" customWidth="1"/>
    <col min="15861" max="15861" width="6.6640625" style="76" customWidth="1"/>
    <col min="15862" max="15862" width="15" style="76" customWidth="1"/>
    <col min="15863" max="15863" width="3.6640625" style="76" bestFit="1" customWidth="1"/>
    <col min="15864" max="15864" width="15.44140625" style="76" bestFit="1" customWidth="1"/>
    <col min="15865" max="15865" width="3.77734375" style="76" customWidth="1"/>
    <col min="15866" max="15866" width="11.21875" style="76" bestFit="1" customWidth="1"/>
    <col min="15867" max="15867" width="3.6640625" style="76" customWidth="1"/>
    <col min="15868" max="15868" width="13.5546875" style="76" customWidth="1"/>
    <col min="15869" max="15869" width="1" style="76" customWidth="1"/>
    <col min="15870" max="15870" width="14.21875" style="76" bestFit="1" customWidth="1"/>
    <col min="15871" max="15871" width="3.33203125" style="76" customWidth="1"/>
    <col min="15872" max="15872" width="20.44140625" style="76" customWidth="1"/>
    <col min="15873" max="16113" width="8.77734375" style="76"/>
    <col min="16114" max="16114" width="54.6640625" style="76" customWidth="1"/>
    <col min="16115" max="16115" width="13.77734375" style="76" customWidth="1"/>
    <col min="16116" max="16116" width="0" style="76" hidden="1" customWidth="1"/>
    <col min="16117" max="16117" width="6.6640625" style="76" customWidth="1"/>
    <col min="16118" max="16118" width="15" style="76" customWidth="1"/>
    <col min="16119" max="16119" width="3.6640625" style="76" bestFit="1" customWidth="1"/>
    <col min="16120" max="16120" width="15.44140625" style="76" bestFit="1" customWidth="1"/>
    <col min="16121" max="16121" width="3.77734375" style="76" customWidth="1"/>
    <col min="16122" max="16122" width="11.21875" style="76" bestFit="1" customWidth="1"/>
    <col min="16123" max="16123" width="3.6640625" style="76" customWidth="1"/>
    <col min="16124" max="16124" width="13.5546875" style="76" customWidth="1"/>
    <col min="16125" max="16125" width="1" style="76" customWidth="1"/>
    <col min="16126" max="16126" width="14.21875" style="76" bestFit="1" customWidth="1"/>
    <col min="16127" max="16127" width="3.33203125" style="76" customWidth="1"/>
    <col min="16128" max="16128" width="20.44140625" style="76" customWidth="1"/>
    <col min="16129" max="16368" width="8.77734375" style="76"/>
    <col min="16369" max="16384" width="8.77734375" style="76" customWidth="1"/>
  </cols>
  <sheetData>
    <row r="1" spans="1:11" s="139" customFormat="1" ht="15" customHeight="1">
      <c r="A1" s="316"/>
      <c r="B1" s="1"/>
      <c r="C1" s="1"/>
      <c r="D1" s="1"/>
      <c r="E1" s="1"/>
      <c r="F1" s="455"/>
      <c r="G1" s="50" t="str">
        <f>EKPC!J1</f>
        <v>Attachment H-24A</v>
      </c>
      <c r="H1" s="250"/>
      <c r="I1"/>
      <c r="J1"/>
      <c r="K1"/>
    </row>
    <row r="2" spans="1:11" s="139" customFormat="1" ht="15" customHeight="1">
      <c r="A2" s="316"/>
      <c r="B2" s="1"/>
      <c r="C2" s="1"/>
      <c r="D2" s="1"/>
      <c r="E2" s="1"/>
      <c r="F2" s="455"/>
      <c r="G2" s="134" t="s">
        <v>532</v>
      </c>
      <c r="H2" s="244"/>
      <c r="I2"/>
      <c r="J2"/>
      <c r="K2"/>
    </row>
    <row r="3" spans="1:11" s="139" customFormat="1" ht="15.75">
      <c r="A3" s="316"/>
      <c r="B3"/>
      <c r="C3"/>
      <c r="D3" s="13"/>
      <c r="E3" s="13"/>
      <c r="F3" s="455"/>
      <c r="G3" s="134" t="s">
        <v>367</v>
      </c>
      <c r="H3" s="244"/>
      <c r="I3"/>
      <c r="J3"/>
      <c r="K3"/>
    </row>
    <row r="4" spans="1:11" s="139" customFormat="1" ht="15.75">
      <c r="A4" s="316"/>
      <c r="B4" s="12"/>
      <c r="C4" s="12"/>
      <c r="D4" s="13"/>
      <c r="E4" s="13"/>
      <c r="F4" s="455"/>
      <c r="G4" s="134" t="str">
        <f>EKPC!$J$7</f>
        <v>For the 12 months ended 12/31/2025</v>
      </c>
      <c r="H4" s="244"/>
      <c r="I4"/>
      <c r="J4"/>
      <c r="K4"/>
    </row>
    <row r="5" spans="1:11" ht="15.75">
      <c r="A5" s="316"/>
      <c r="B5" s="12"/>
      <c r="C5" s="12"/>
      <c r="D5" s="13"/>
      <c r="E5" s="13"/>
      <c r="F5" s="134"/>
      <c r="G5" s="456"/>
      <c r="I5"/>
      <c r="J5"/>
      <c r="K5"/>
    </row>
    <row r="6" spans="1:11" ht="15">
      <c r="A6" s="316"/>
      <c r="B6" s="689" t="str">
        <f>EKPC!A11</f>
        <v>East Kentucky Power Cooperative, Inc.</v>
      </c>
      <c r="C6" s="689"/>
      <c r="D6" s="689"/>
      <c r="E6" s="689"/>
      <c r="F6" s="689"/>
      <c r="G6" s="134"/>
      <c r="I6"/>
      <c r="J6"/>
      <c r="K6"/>
    </row>
    <row r="7" spans="1:11" ht="15">
      <c r="A7" s="316"/>
      <c r="B7" s="689" t="str">
        <f>EKPC!A9</f>
        <v>Utilizing EKPC 2024 Form FF1 Data (ver. FINAL - AUDITED)</v>
      </c>
      <c r="C7" s="689"/>
      <c r="D7" s="689"/>
      <c r="E7" s="689"/>
      <c r="F7" s="689"/>
      <c r="G7" s="134"/>
      <c r="I7"/>
      <c r="J7"/>
      <c r="K7"/>
    </row>
    <row r="8" spans="1:11" ht="15">
      <c r="A8" s="456"/>
      <c r="B8" s="456"/>
      <c r="C8" s="456"/>
      <c r="D8" s="456"/>
      <c r="E8" s="456"/>
      <c r="F8" s="456"/>
      <c r="G8" s="134"/>
      <c r="I8"/>
      <c r="J8"/>
      <c r="K8"/>
    </row>
    <row r="9" spans="1:11" ht="15">
      <c r="A9" s="694" t="s">
        <v>3</v>
      </c>
      <c r="B9" s="694"/>
      <c r="C9" s="694"/>
      <c r="D9" s="694"/>
      <c r="E9" s="694"/>
      <c r="F9" s="694"/>
      <c r="G9" s="395"/>
      <c r="H9" s="251"/>
      <c r="I9"/>
      <c r="J9"/>
      <c r="K9"/>
    </row>
    <row r="10" spans="1:11" ht="15">
      <c r="A10" s="688" t="str">
        <f>CONCATENATE("As of December 31, ",TEXT(RIGHT(EKPC!J7,10),"YYYY"))</f>
        <v>As of December 31, 2025</v>
      </c>
      <c r="B10" s="688"/>
      <c r="C10" s="688"/>
      <c r="D10" s="688"/>
      <c r="E10" s="688"/>
      <c r="F10" s="688"/>
      <c r="G10" s="396"/>
      <c r="H10" s="252"/>
      <c r="I10"/>
      <c r="J10"/>
      <c r="K10"/>
    </row>
    <row r="11" spans="1:11" ht="15">
      <c r="A11" s="695" t="s">
        <v>208</v>
      </c>
      <c r="B11" s="695"/>
      <c r="C11" s="695"/>
      <c r="D11" s="695"/>
      <c r="E11" s="695"/>
      <c r="F11" s="695"/>
      <c r="G11" s="457"/>
      <c r="H11" s="344"/>
      <c r="I11"/>
      <c r="J11"/>
      <c r="K11"/>
    </row>
    <row r="12" spans="1:11" ht="15">
      <c r="A12" s="457"/>
      <c r="B12" s="457"/>
      <c r="C12" s="457"/>
      <c r="D12" s="457"/>
      <c r="E12" s="457"/>
      <c r="F12" s="457"/>
      <c r="G12" s="1"/>
      <c r="H12" s="345"/>
      <c r="I12"/>
      <c r="J12"/>
      <c r="K12"/>
    </row>
    <row r="13" spans="1:11" ht="15">
      <c r="A13" s="456"/>
      <c r="B13" s="456"/>
      <c r="C13" s="456"/>
      <c r="D13" s="456"/>
      <c r="E13" s="456"/>
      <c r="F13" s="456"/>
      <c r="G13" s="1"/>
      <c r="H13" s="345"/>
      <c r="I13"/>
      <c r="J13"/>
      <c r="K13"/>
    </row>
    <row r="14" spans="1:11" ht="15">
      <c r="A14" s="8" t="s">
        <v>6</v>
      </c>
      <c r="B14" s="7"/>
      <c r="C14" s="7"/>
      <c r="D14" s="7"/>
      <c r="E14" s="7"/>
      <c r="F14" s="7"/>
      <c r="G14" s="1"/>
      <c r="H14" s="345"/>
      <c r="I14"/>
      <c r="J14"/>
      <c r="K14"/>
    </row>
    <row r="15" spans="1:11" ht="15">
      <c r="A15" s="239" t="s">
        <v>8</v>
      </c>
      <c r="B15" s="240" t="s">
        <v>299</v>
      </c>
      <c r="C15" s="7"/>
      <c r="D15" s="7"/>
      <c r="E15" s="2"/>
      <c r="F15" s="7"/>
      <c r="G15" s="1"/>
      <c r="H15" s="345"/>
      <c r="I15"/>
      <c r="J15"/>
      <c r="K15"/>
    </row>
    <row r="16" spans="1:11" ht="15">
      <c r="A16" s="8"/>
      <c r="B16" s="7"/>
      <c r="C16" s="7"/>
      <c r="D16" s="7"/>
      <c r="E16" s="2"/>
      <c r="F16" s="7"/>
      <c r="G16" s="1"/>
      <c r="H16" s="345"/>
      <c r="I16"/>
      <c r="J16"/>
      <c r="K16"/>
    </row>
    <row r="17" spans="1:14" ht="15.75">
      <c r="A17" s="8"/>
      <c r="B17" s="692" t="s">
        <v>337</v>
      </c>
      <c r="C17" s="692"/>
      <c r="D17" s="7"/>
      <c r="E17" s="2"/>
      <c r="F17" s="7"/>
      <c r="G17" s="1"/>
      <c r="H17" s="345"/>
    </row>
    <row r="18" spans="1:14" ht="15">
      <c r="A18" s="8">
        <v>1</v>
      </c>
      <c r="B18" s="7" t="s">
        <v>413</v>
      </c>
      <c r="C18" s="643">
        <v>109561324</v>
      </c>
      <c r="D18" s="516"/>
      <c r="E18" s="515"/>
      <c r="F18" s="7"/>
      <c r="G18" s="1"/>
      <c r="H18" s="345"/>
    </row>
    <row r="19" spans="1:14" ht="15">
      <c r="A19" s="8">
        <f>A18+1</f>
        <v>2</v>
      </c>
      <c r="B19" s="7" t="s">
        <v>414</v>
      </c>
      <c r="C19" s="643">
        <v>2896267994</v>
      </c>
      <c r="D19" s="516"/>
      <c r="E19" s="515"/>
      <c r="F19" s="7"/>
      <c r="G19" s="1"/>
      <c r="H19" s="345"/>
    </row>
    <row r="20" spans="1:14" ht="15.75">
      <c r="A20" s="8">
        <f>A19+1</f>
        <v>3</v>
      </c>
      <c r="B20" s="32" t="s">
        <v>338</v>
      </c>
      <c r="C20" s="453">
        <f>C18/C19</f>
        <v>3.7828448274458956E-2</v>
      </c>
      <c r="D20" s="2"/>
      <c r="E20" s="2"/>
      <c r="F20" s="7"/>
      <c r="G20" s="1"/>
      <c r="H20" s="345"/>
    </row>
    <row r="21" spans="1:14" ht="15">
      <c r="A21" s="8"/>
      <c r="B21" s="7"/>
      <c r="C21" s="2"/>
      <c r="D21" s="2"/>
      <c r="E21" s="2"/>
      <c r="F21" s="7"/>
      <c r="G21" s="1"/>
      <c r="H21" s="345"/>
    </row>
    <row r="22" spans="1:14" ht="15.75">
      <c r="A22" s="8"/>
      <c r="B22" s="692" t="s">
        <v>376</v>
      </c>
      <c r="C22" s="692"/>
      <c r="D22" s="7"/>
      <c r="E22" s="7"/>
      <c r="F22" s="7"/>
      <c r="G22" s="1"/>
      <c r="H22" s="345"/>
    </row>
    <row r="23" spans="1:14" s="77" customFormat="1" ht="15.75">
      <c r="A23" s="458"/>
      <c r="B23" s="458"/>
      <c r="C23" s="31" t="s">
        <v>339</v>
      </c>
      <c r="D23" s="241" t="s">
        <v>340</v>
      </c>
      <c r="E23" s="241" t="s">
        <v>415</v>
      </c>
      <c r="F23" s="241" t="s">
        <v>341</v>
      </c>
      <c r="G23" s="1"/>
      <c r="H23" s="345"/>
    </row>
    <row r="24" spans="1:14" ht="15">
      <c r="A24" s="8">
        <f>A20+1</f>
        <v>4</v>
      </c>
      <c r="B24" s="7" t="s">
        <v>342</v>
      </c>
      <c r="C24" s="474">
        <f>C19</f>
        <v>2896267994</v>
      </c>
      <c r="D24" s="263">
        <f>C24/C26</f>
        <v>0.78721589839451311</v>
      </c>
      <c r="E24" s="46">
        <f>C20</f>
        <v>3.7828448274458956E-2</v>
      </c>
      <c r="F24" s="264">
        <f>D24*E24</f>
        <v>2.9779155893248577E-2</v>
      </c>
      <c r="G24" s="1"/>
      <c r="H24" s="345"/>
      <c r="I24" s="345"/>
      <c r="J24" s="345"/>
      <c r="K24" s="345"/>
      <c r="L24" s="345"/>
      <c r="M24" s="345"/>
      <c r="N24" s="345"/>
    </row>
    <row r="25" spans="1:14" ht="15.75" thickBot="1">
      <c r="A25" s="8">
        <f>A24+1</f>
        <v>5</v>
      </c>
      <c r="B25" s="9" t="s">
        <v>411</v>
      </c>
      <c r="C25" s="644">
        <v>782859930</v>
      </c>
      <c r="D25" s="263">
        <f>C25/C26</f>
        <v>0.21278410160548689</v>
      </c>
      <c r="E25" s="587">
        <f>0.5*F24/D25</f>
        <v>6.9975049048684859E-2</v>
      </c>
      <c r="F25" s="265">
        <f>D25*E25</f>
        <v>1.4889577946624287E-2</v>
      </c>
      <c r="G25" s="515"/>
      <c r="H25" s="345"/>
      <c r="I25" s="345"/>
      <c r="J25" s="345"/>
      <c r="K25" s="345"/>
      <c r="L25" s="345"/>
      <c r="M25" s="345"/>
      <c r="N25" s="345"/>
    </row>
    <row r="26" spans="1:14" s="77" customFormat="1" ht="21" customHeight="1" thickTop="1">
      <c r="A26" s="8">
        <f>A25+1</f>
        <v>6</v>
      </c>
      <c r="B26" s="9" t="s">
        <v>377</v>
      </c>
      <c r="C26" s="454">
        <f>C24+C25</f>
        <v>3679127924</v>
      </c>
      <c r="D26" s="459"/>
      <c r="E26" s="459"/>
      <c r="F26" s="284">
        <f>SUM(F24:F25)</f>
        <v>4.4668733839872868E-2</v>
      </c>
      <c r="G26" s="410"/>
      <c r="H26" s="283"/>
      <c r="I26" s="345"/>
      <c r="J26" s="345"/>
      <c r="K26" s="345"/>
      <c r="L26" s="345"/>
      <c r="M26" s="345"/>
      <c r="N26" s="345"/>
    </row>
    <row r="27" spans="1:14" ht="15.75">
      <c r="A27" s="456"/>
      <c r="B27" s="9"/>
      <c r="C27" s="516"/>
      <c r="D27" s="410"/>
      <c r="E27" s="410"/>
      <c r="F27" s="410"/>
      <c r="G27" s="410"/>
      <c r="H27" s="283"/>
      <c r="I27" s="345"/>
      <c r="J27" s="345"/>
      <c r="K27" s="345"/>
      <c r="L27" s="345"/>
      <c r="M27" s="345"/>
      <c r="N27" s="345"/>
    </row>
    <row r="28" spans="1:14" ht="15.75">
      <c r="A28" s="8">
        <f>A26+1</f>
        <v>7</v>
      </c>
      <c r="B28" s="31" t="s">
        <v>412</v>
      </c>
      <c r="C28" s="266"/>
      <c r="D28" s="410"/>
      <c r="E28" s="241" t="s">
        <v>379</v>
      </c>
      <c r="F28" s="588">
        <f>(F24+F25)/F24</f>
        <v>1.5</v>
      </c>
      <c r="G28" s="410"/>
      <c r="H28" s="283"/>
      <c r="I28" s="345"/>
      <c r="J28" s="345"/>
      <c r="K28" s="345"/>
      <c r="L28" s="345"/>
      <c r="M28" s="345"/>
      <c r="N28" s="345"/>
    </row>
    <row r="29" spans="1:14" ht="15">
      <c r="A29" s="8"/>
      <c r="B29" s="456"/>
      <c r="C29" s="456"/>
      <c r="D29" s="7"/>
      <c r="E29" s="7"/>
      <c r="F29" s="7"/>
      <c r="G29" s="1"/>
      <c r="H29" s="345"/>
      <c r="I29" s="345"/>
      <c r="J29" s="345"/>
      <c r="K29" s="345"/>
      <c r="L29" s="345"/>
      <c r="M29" s="345"/>
      <c r="N29" s="345"/>
    </row>
    <row r="30" spans="1:14" ht="15.75">
      <c r="A30" s="456"/>
      <c r="B30" s="693"/>
      <c r="C30" s="693"/>
      <c r="D30" s="456"/>
      <c r="E30" s="456"/>
      <c r="F30" s="456"/>
      <c r="G30" s="1"/>
      <c r="H30" s="345"/>
      <c r="I30" s="345"/>
      <c r="J30" s="345"/>
      <c r="K30" s="345"/>
      <c r="L30" s="345"/>
      <c r="M30" s="345"/>
      <c r="N30" s="345"/>
    </row>
    <row r="31" spans="1:14" ht="15.75">
      <c r="A31" s="7"/>
      <c r="B31" s="406" t="s">
        <v>142</v>
      </c>
      <c r="C31" s="407"/>
      <c r="D31" s="407"/>
      <c r="E31" s="407"/>
      <c r="F31" s="410"/>
      <c r="G31" s="410"/>
      <c r="H31" s="283"/>
      <c r="I31" s="345"/>
      <c r="J31" s="345"/>
      <c r="K31" s="345"/>
      <c r="L31" s="345"/>
      <c r="M31" s="345"/>
      <c r="N31" s="345"/>
    </row>
    <row r="32" spans="1:14" ht="15.75">
      <c r="A32" s="408" t="s">
        <v>416</v>
      </c>
      <c r="B32" s="409" t="s">
        <v>449</v>
      </c>
      <c r="C32" s="410"/>
      <c r="D32" s="410"/>
      <c r="E32" s="410"/>
      <c r="F32" s="410"/>
      <c r="G32" s="410"/>
      <c r="H32" s="283"/>
      <c r="I32" s="345"/>
      <c r="J32" s="345"/>
      <c r="K32" s="345"/>
      <c r="L32" s="345"/>
      <c r="M32" s="345"/>
      <c r="N32" s="345"/>
    </row>
    <row r="33" spans="1:14" ht="15.75">
      <c r="A33" s="408" t="s">
        <v>417</v>
      </c>
      <c r="B33" s="411" t="s">
        <v>663</v>
      </c>
      <c r="C33" s="410"/>
      <c r="D33" s="410"/>
      <c r="E33" s="410"/>
      <c r="F33" s="410"/>
      <c r="G33" s="410"/>
      <c r="H33" s="283"/>
      <c r="I33" s="345"/>
      <c r="J33" s="345"/>
      <c r="K33" s="345"/>
      <c r="L33" s="345"/>
      <c r="M33" s="345"/>
      <c r="N33" s="345"/>
    </row>
    <row r="34" spans="1:14" ht="15.75">
      <c r="A34" s="408" t="s">
        <v>418</v>
      </c>
      <c r="B34" s="411" t="s">
        <v>664</v>
      </c>
      <c r="C34" s="410"/>
      <c r="D34" s="410"/>
      <c r="E34" s="410"/>
      <c r="F34" s="410"/>
      <c r="G34" s="410"/>
      <c r="H34" s="283"/>
      <c r="I34" s="345"/>
      <c r="J34" s="345"/>
      <c r="K34" s="345"/>
      <c r="L34" s="345"/>
      <c r="M34" s="345"/>
      <c r="N34" s="345"/>
    </row>
    <row r="35" spans="1:14" ht="15">
      <c r="A35" s="408" t="s">
        <v>419</v>
      </c>
      <c r="B35" s="411" t="s">
        <v>616</v>
      </c>
      <c r="C35" s="7"/>
      <c r="D35" s="7"/>
      <c r="E35" s="7"/>
      <c r="F35" s="460"/>
      <c r="G35" s="1"/>
      <c r="H35" s="345"/>
      <c r="I35" s="345"/>
      <c r="J35" s="345"/>
      <c r="K35" s="345"/>
      <c r="L35" s="345"/>
      <c r="M35" s="345"/>
      <c r="N35" s="345"/>
    </row>
    <row r="36" spans="1:14" ht="15">
      <c r="A36" s="7"/>
      <c r="B36" s="7"/>
      <c r="C36" s="7"/>
      <c r="D36" s="7"/>
      <c r="E36" s="7"/>
      <c r="F36" s="7"/>
      <c r="G36" s="1"/>
      <c r="H36" s="345"/>
      <c r="I36" s="345"/>
      <c r="J36" s="345"/>
      <c r="K36" s="345"/>
      <c r="L36" s="345"/>
      <c r="M36" s="345"/>
      <c r="N36" s="345"/>
    </row>
    <row r="37" spans="1:14" ht="15">
      <c r="D37" s="7"/>
      <c r="E37" s="7"/>
      <c r="F37" s="7"/>
      <c r="G37" s="1"/>
      <c r="H37" s="345"/>
      <c r="I37" s="345"/>
      <c r="J37" s="345"/>
      <c r="K37" s="345"/>
      <c r="L37" s="345"/>
      <c r="M37" s="345"/>
      <c r="N37" s="345"/>
    </row>
    <row r="38" spans="1:14" ht="15">
      <c r="D38" s="7"/>
      <c r="E38" s="7"/>
      <c r="F38" s="7"/>
      <c r="G38" s="1"/>
      <c r="H38" s="345"/>
    </row>
    <row r="39" spans="1:14" ht="15">
      <c r="D39" s="7"/>
      <c r="E39" s="7"/>
      <c r="F39" s="7"/>
      <c r="G39" s="1"/>
      <c r="H39" s="345"/>
    </row>
    <row r="40" spans="1:14" ht="15">
      <c r="E40" s="79"/>
      <c r="F40" s="79"/>
      <c r="G40" s="345"/>
      <c r="H40" s="345"/>
    </row>
    <row r="41" spans="1:14" ht="15">
      <c r="G41" s="345"/>
      <c r="H41" s="345"/>
    </row>
    <row r="42" spans="1:14" ht="15">
      <c r="A42" s="78"/>
      <c r="G42" s="345"/>
      <c r="H42" s="345"/>
    </row>
    <row r="44" spans="1:14">
      <c r="A44" s="144"/>
    </row>
    <row r="45" spans="1:14">
      <c r="A45" s="144"/>
    </row>
    <row r="46" spans="1:14">
      <c r="A46" s="144"/>
    </row>
    <row r="47" spans="1:14">
      <c r="A47" s="144"/>
    </row>
    <row r="48" spans="1:14">
      <c r="A48" s="144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5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152"/>
  <sheetViews>
    <sheetView topLeftCell="A6" zoomScale="80" zoomScaleNormal="80" workbookViewId="0">
      <selection activeCell="F44" sqref="F44"/>
    </sheetView>
  </sheetViews>
  <sheetFormatPr defaultColWidth="9.21875" defaultRowHeight="15"/>
  <cols>
    <col min="1" max="1" width="6.44140625" customWidth="1"/>
    <col min="2" max="2" width="41.6640625" customWidth="1"/>
    <col min="3" max="3" width="14.77734375" customWidth="1"/>
    <col min="4" max="14" width="13.6640625" bestFit="1" customWidth="1"/>
    <col min="15" max="15" width="13.5546875" bestFit="1" customWidth="1"/>
    <col min="16" max="16" width="12.21875" customWidth="1"/>
    <col min="17" max="17" width="10.88671875" bestFit="1" customWidth="1"/>
  </cols>
  <sheetData>
    <row r="1" spans="1:18"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50" t="str">
        <f>EKPC!J1</f>
        <v>Attachment H-24A</v>
      </c>
    </row>
    <row r="2" spans="1:18" ht="20.25">
      <c r="B2" s="249" t="str">
        <f>EKPC!A11</f>
        <v>East Kentucky Power Cooperative, Inc.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134" t="s">
        <v>532</v>
      </c>
    </row>
    <row r="3" spans="1:18">
      <c r="B3" s="515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34" t="s">
        <v>368</v>
      </c>
    </row>
    <row r="4" spans="1:18">
      <c r="B4" s="388" t="s">
        <v>569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134" t="str">
        <f>EKPC!$J$7</f>
        <v>For the 12 months ended 12/31/2025</v>
      </c>
    </row>
    <row r="5" spans="1:18">
      <c r="B5" s="488"/>
      <c r="C5" s="3"/>
      <c r="D5" s="3"/>
      <c r="E5" s="3"/>
      <c r="F5" s="391"/>
      <c r="G5" s="3"/>
      <c r="H5" s="3"/>
      <c r="I5" s="3"/>
      <c r="J5" s="3"/>
      <c r="K5" s="3"/>
      <c r="L5" s="3"/>
      <c r="M5" s="3"/>
      <c r="N5" s="391"/>
      <c r="O5" s="83"/>
    </row>
    <row r="7" spans="1:18">
      <c r="E7" s="540"/>
    </row>
    <row r="8" spans="1:18" ht="17.25">
      <c r="A8" s="6" t="s">
        <v>182</v>
      </c>
      <c r="B8" s="83"/>
      <c r="C8" s="4" t="s">
        <v>134</v>
      </c>
      <c r="D8" s="4" t="s">
        <v>135</v>
      </c>
      <c r="E8" s="541" t="s">
        <v>136</v>
      </c>
      <c r="F8" s="4" t="s">
        <v>137</v>
      </c>
      <c r="G8" s="4" t="s">
        <v>216</v>
      </c>
      <c r="H8" s="4" t="s">
        <v>138</v>
      </c>
      <c r="I8" s="4" t="s">
        <v>217</v>
      </c>
      <c r="J8" s="4" t="s">
        <v>139</v>
      </c>
      <c r="K8" s="4" t="s">
        <v>218</v>
      </c>
      <c r="L8" s="4" t="s">
        <v>219</v>
      </c>
      <c r="M8" s="4" t="s">
        <v>220</v>
      </c>
      <c r="N8" s="4" t="s">
        <v>140</v>
      </c>
      <c r="O8" s="4" t="s">
        <v>10</v>
      </c>
      <c r="P8" s="4" t="s">
        <v>141</v>
      </c>
    </row>
    <row r="9" spans="1:18" ht="17.25">
      <c r="A9" s="6"/>
      <c r="B9" s="83"/>
      <c r="C9" s="4"/>
      <c r="D9" s="4"/>
      <c r="E9" s="541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8">
      <c r="A10" s="247">
        <v>1</v>
      </c>
      <c r="B10" s="389" t="s">
        <v>556</v>
      </c>
      <c r="C10" s="387">
        <f>C46</f>
        <v>3557643.67</v>
      </c>
      <c r="D10" s="387">
        <f>D46</f>
        <v>3282681.21</v>
      </c>
      <c r="E10" s="542">
        <f t="shared" ref="E10:N10" si="0">E46</f>
        <v>2388511.29</v>
      </c>
      <c r="F10" s="387">
        <f>F46</f>
        <v>2249000</v>
      </c>
      <c r="G10" s="387">
        <f t="shared" si="0"/>
        <v>2239000</v>
      </c>
      <c r="H10" s="387">
        <f t="shared" si="0"/>
        <v>2544000</v>
      </c>
      <c r="I10" s="387">
        <f t="shared" si="0"/>
        <v>2698000</v>
      </c>
      <c r="J10" s="387">
        <f t="shared" si="0"/>
        <v>2647000</v>
      </c>
      <c r="K10" s="387">
        <f>K46</f>
        <v>2442000</v>
      </c>
      <c r="L10" s="387">
        <f t="shared" si="0"/>
        <v>2175000</v>
      </c>
      <c r="M10" s="387">
        <f t="shared" si="0"/>
        <v>2668000</v>
      </c>
      <c r="N10" s="387">
        <f t="shared" si="0"/>
        <v>3090000</v>
      </c>
      <c r="O10" s="258"/>
      <c r="P10" s="259"/>
      <c r="R10" s="336"/>
    </row>
    <row r="11" spans="1:18">
      <c r="B11" s="26"/>
      <c r="C11" s="387"/>
      <c r="D11" s="387"/>
      <c r="E11" s="542"/>
      <c r="F11" s="387"/>
      <c r="G11" s="387"/>
      <c r="H11" s="387"/>
      <c r="I11" s="387"/>
      <c r="J11" s="387"/>
      <c r="K11" s="387"/>
      <c r="L11" s="387"/>
      <c r="M11" s="387"/>
      <c r="N11" s="387"/>
    </row>
    <row r="12" spans="1:18">
      <c r="B12" s="26"/>
      <c r="E12" s="540"/>
    </row>
    <row r="13" spans="1:18" ht="17.25">
      <c r="A13" s="248">
        <f>A10+1</f>
        <v>2</v>
      </c>
      <c r="B13" s="389" t="s">
        <v>348</v>
      </c>
      <c r="C13" s="4" t="s">
        <v>134</v>
      </c>
      <c r="D13" s="4" t="s">
        <v>135</v>
      </c>
      <c r="E13" s="541" t="s">
        <v>136</v>
      </c>
      <c r="F13" s="4" t="s">
        <v>137</v>
      </c>
      <c r="G13" s="4" t="s">
        <v>216</v>
      </c>
      <c r="H13" s="4" t="s">
        <v>138</v>
      </c>
      <c r="I13" s="4" t="s">
        <v>217</v>
      </c>
      <c r="J13" s="4" t="s">
        <v>139</v>
      </c>
      <c r="K13" s="4" t="s">
        <v>218</v>
      </c>
      <c r="L13" s="4" t="s">
        <v>219</v>
      </c>
      <c r="M13" s="4" t="s">
        <v>220</v>
      </c>
      <c r="N13" s="4" t="s">
        <v>140</v>
      </c>
      <c r="O13" s="4" t="s">
        <v>10</v>
      </c>
      <c r="P13" s="4" t="s">
        <v>141</v>
      </c>
    </row>
    <row r="14" spans="1:18">
      <c r="A14" s="248">
        <f>A13+1</f>
        <v>3</v>
      </c>
      <c r="B14" s="390"/>
      <c r="C14" s="305"/>
      <c r="D14" s="305"/>
      <c r="E14" s="543"/>
      <c r="F14" s="305"/>
      <c r="G14" s="305"/>
      <c r="H14" s="305"/>
      <c r="I14" s="305"/>
      <c r="J14" s="305"/>
      <c r="K14" s="305"/>
      <c r="L14" s="305"/>
      <c r="M14" s="305"/>
      <c r="N14" s="305"/>
      <c r="O14" s="258"/>
      <c r="P14" s="259"/>
    </row>
    <row r="15" spans="1:18">
      <c r="A15" s="248">
        <f t="shared" ref="A15:A32" si="1">A14+1</f>
        <v>4</v>
      </c>
      <c r="B15" s="389" t="s">
        <v>691</v>
      </c>
      <c r="C15" s="645">
        <v>21403.03</v>
      </c>
      <c r="D15" s="645">
        <v>8430.73</v>
      </c>
      <c r="E15" s="646">
        <v>6717.92</v>
      </c>
      <c r="F15" s="645"/>
      <c r="G15" s="645"/>
      <c r="H15" s="645"/>
      <c r="I15" s="645"/>
      <c r="J15" s="645"/>
      <c r="K15" s="645"/>
      <c r="L15" s="645"/>
      <c r="M15" s="645"/>
      <c r="N15" s="645"/>
      <c r="O15" s="258"/>
      <c r="P15" s="259"/>
      <c r="Q15" s="516"/>
    </row>
    <row r="16" spans="1:18">
      <c r="A16" s="248">
        <f t="shared" si="1"/>
        <v>5</v>
      </c>
      <c r="B16" s="389" t="s">
        <v>692</v>
      </c>
      <c r="C16" s="645">
        <v>12445.82</v>
      </c>
      <c r="D16" s="645">
        <v>7818.02</v>
      </c>
      <c r="E16" s="646">
        <v>6766.13</v>
      </c>
      <c r="F16" s="645"/>
      <c r="G16" s="645"/>
      <c r="H16" s="645"/>
      <c r="I16" s="645"/>
      <c r="J16" s="645"/>
      <c r="K16" s="645"/>
      <c r="L16" s="645"/>
      <c r="M16" s="645"/>
      <c r="N16" s="645"/>
      <c r="O16" s="258"/>
      <c r="P16" s="259"/>
      <c r="Q16" s="516"/>
    </row>
    <row r="17" spans="1:17">
      <c r="A17" s="248">
        <f t="shared" si="1"/>
        <v>6</v>
      </c>
      <c r="B17" s="389" t="s">
        <v>609</v>
      </c>
      <c r="C17" s="647">
        <v>3270</v>
      </c>
      <c r="D17" s="647">
        <v>2710</v>
      </c>
      <c r="E17" s="648">
        <v>2450</v>
      </c>
      <c r="F17" s="647"/>
      <c r="G17" s="645"/>
      <c r="H17" s="645"/>
      <c r="I17" s="645"/>
      <c r="J17" s="645"/>
      <c r="K17" s="645"/>
      <c r="L17" s="645"/>
      <c r="M17" s="645"/>
      <c r="N17" s="645"/>
      <c r="O17" s="258"/>
      <c r="P17" s="259"/>
      <c r="Q17" s="516"/>
    </row>
    <row r="18" spans="1:17">
      <c r="A18" s="248">
        <f t="shared" si="1"/>
        <v>7</v>
      </c>
      <c r="B18" s="389" t="s">
        <v>585</v>
      </c>
      <c r="C18" s="649"/>
      <c r="D18" s="649"/>
      <c r="E18" s="650"/>
      <c r="F18" s="649"/>
      <c r="G18" s="649"/>
      <c r="H18" s="649"/>
      <c r="I18" s="649"/>
      <c r="J18" s="649"/>
      <c r="K18" s="649"/>
      <c r="L18" s="649"/>
      <c r="M18" s="649"/>
      <c r="N18" s="649"/>
    </row>
    <row r="19" spans="1:17">
      <c r="A19" s="248">
        <f t="shared" si="1"/>
        <v>8</v>
      </c>
      <c r="B19" s="389" t="s">
        <v>351</v>
      </c>
      <c r="C19" s="645">
        <v>4773.51</v>
      </c>
      <c r="D19" s="645">
        <v>3828.24</v>
      </c>
      <c r="E19" s="646">
        <v>2716.74</v>
      </c>
      <c r="F19" s="645"/>
      <c r="G19" s="645"/>
      <c r="H19" s="645"/>
      <c r="I19" s="645"/>
      <c r="J19" s="645"/>
      <c r="K19" s="645"/>
      <c r="L19" s="645"/>
      <c r="M19" s="645"/>
      <c r="N19" s="645"/>
      <c r="O19" s="258"/>
      <c r="P19" s="259"/>
      <c r="Q19" s="516"/>
    </row>
    <row r="20" spans="1:17">
      <c r="A20" s="248">
        <f t="shared" si="1"/>
        <v>9</v>
      </c>
      <c r="B20" s="389" t="s">
        <v>352</v>
      </c>
      <c r="C20" s="645">
        <v>8772.48</v>
      </c>
      <c r="D20" s="645">
        <v>7844.64</v>
      </c>
      <c r="E20" s="646">
        <v>5520.48</v>
      </c>
      <c r="F20" s="645"/>
      <c r="G20" s="645"/>
      <c r="H20" s="645"/>
      <c r="I20" s="645"/>
      <c r="J20" s="645"/>
      <c r="K20" s="645"/>
      <c r="L20" s="645"/>
      <c r="M20" s="645"/>
      <c r="N20" s="645"/>
      <c r="O20" s="258"/>
      <c r="P20" s="259"/>
      <c r="Q20" s="516"/>
    </row>
    <row r="21" spans="1:17">
      <c r="A21" s="248">
        <f t="shared" si="1"/>
        <v>10</v>
      </c>
      <c r="B21" s="389" t="s">
        <v>353</v>
      </c>
      <c r="C21" s="645">
        <v>6552</v>
      </c>
      <c r="D21" s="645">
        <v>5991.84</v>
      </c>
      <c r="E21" s="646">
        <v>4204.8</v>
      </c>
      <c r="F21" s="645"/>
      <c r="G21" s="645"/>
      <c r="H21" s="645"/>
      <c r="I21" s="645"/>
      <c r="J21" s="645"/>
      <c r="K21" s="645"/>
      <c r="L21" s="645"/>
      <c r="M21" s="645"/>
      <c r="N21" s="645"/>
      <c r="O21" s="258"/>
      <c r="P21" s="259"/>
      <c r="Q21" s="516"/>
    </row>
    <row r="22" spans="1:17">
      <c r="A22" s="248">
        <f t="shared" si="1"/>
        <v>11</v>
      </c>
      <c r="B22" s="389" t="s">
        <v>354</v>
      </c>
      <c r="C22" s="645">
        <v>4.68</v>
      </c>
      <c r="D22" s="645">
        <v>4.68</v>
      </c>
      <c r="E22" s="646">
        <v>4.68</v>
      </c>
      <c r="F22" s="645"/>
      <c r="G22" s="645"/>
      <c r="H22" s="645"/>
      <c r="I22" s="645"/>
      <c r="J22" s="645"/>
      <c r="K22" s="645"/>
      <c r="L22" s="645"/>
      <c r="M22" s="645"/>
      <c r="N22" s="645"/>
      <c r="O22" s="258"/>
      <c r="P22" s="259"/>
      <c r="Q22" s="516"/>
    </row>
    <row r="23" spans="1:17">
      <c r="A23" s="248">
        <f t="shared" si="1"/>
        <v>12</v>
      </c>
      <c r="B23" s="389" t="s">
        <v>355</v>
      </c>
      <c r="C23" s="645">
        <v>45679.199999999997</v>
      </c>
      <c r="D23" s="645">
        <v>40828.800000000003</v>
      </c>
      <c r="E23" s="646">
        <v>38505.599999999999</v>
      </c>
      <c r="F23" s="645"/>
      <c r="G23" s="645"/>
      <c r="H23" s="645"/>
      <c r="I23" s="645"/>
      <c r="J23" s="645"/>
      <c r="K23" s="645"/>
      <c r="L23" s="645"/>
      <c r="M23" s="645"/>
      <c r="N23" s="645"/>
      <c r="O23" s="258"/>
      <c r="P23" s="259"/>
      <c r="Q23" s="516"/>
    </row>
    <row r="24" spans="1:17">
      <c r="A24" s="248">
        <f t="shared" si="1"/>
        <v>13</v>
      </c>
      <c r="B24" s="389" t="s">
        <v>356</v>
      </c>
      <c r="C24" s="645">
        <v>3129.12</v>
      </c>
      <c r="D24" s="645">
        <v>2430</v>
      </c>
      <c r="E24" s="646">
        <v>1906.8</v>
      </c>
      <c r="F24" s="645"/>
      <c r="G24" s="645"/>
      <c r="H24" s="645"/>
      <c r="I24" s="645"/>
      <c r="J24" s="645"/>
      <c r="K24" s="645"/>
      <c r="L24" s="645"/>
      <c r="M24" s="645"/>
      <c r="N24" s="645"/>
      <c r="O24" s="258"/>
      <c r="P24" s="259"/>
      <c r="Q24" s="516"/>
    </row>
    <row r="25" spans="1:17">
      <c r="A25" s="248">
        <f t="shared" si="1"/>
        <v>14</v>
      </c>
      <c r="B25" s="389" t="s">
        <v>357</v>
      </c>
      <c r="C25" s="645">
        <v>15022.44</v>
      </c>
      <c r="D25" s="645">
        <v>13901.04</v>
      </c>
      <c r="E25" s="646">
        <v>10699.2</v>
      </c>
      <c r="F25" s="645"/>
      <c r="G25" s="645"/>
      <c r="H25" s="645"/>
      <c r="I25" s="645"/>
      <c r="J25" s="645"/>
      <c r="K25" s="645"/>
      <c r="L25" s="645"/>
      <c r="M25" s="645"/>
      <c r="N25" s="645"/>
      <c r="O25" s="258"/>
      <c r="P25" s="259"/>
      <c r="Q25" s="516"/>
    </row>
    <row r="26" spans="1:17">
      <c r="A26" s="248">
        <f t="shared" si="1"/>
        <v>15</v>
      </c>
      <c r="B26" s="389" t="s">
        <v>358</v>
      </c>
      <c r="C26" s="645">
        <v>1065.3</v>
      </c>
      <c r="D26" s="645">
        <v>954.66</v>
      </c>
      <c r="E26" s="646">
        <v>533.82000000000005</v>
      </c>
      <c r="F26" s="645"/>
      <c r="G26" s="645"/>
      <c r="H26" s="645"/>
      <c r="I26" s="645"/>
      <c r="J26" s="645"/>
      <c r="K26" s="645"/>
      <c r="L26" s="645"/>
      <c r="M26" s="645"/>
      <c r="N26" s="645"/>
      <c r="O26" s="258"/>
      <c r="P26" s="259"/>
      <c r="Q26" s="516"/>
    </row>
    <row r="27" spans="1:17">
      <c r="A27" s="248">
        <f t="shared" si="1"/>
        <v>16</v>
      </c>
      <c r="B27" s="389" t="s">
        <v>359</v>
      </c>
      <c r="C27" s="645">
        <v>6871.92</v>
      </c>
      <c r="D27" s="645">
        <v>5922.48</v>
      </c>
      <c r="E27" s="646">
        <v>4362.24</v>
      </c>
      <c r="F27" s="645"/>
      <c r="G27" s="645"/>
      <c r="H27" s="645"/>
      <c r="I27" s="645"/>
      <c r="J27" s="645"/>
      <c r="K27" s="645"/>
      <c r="L27" s="645"/>
      <c r="M27" s="645"/>
      <c r="N27" s="645"/>
      <c r="O27" s="258"/>
      <c r="P27" s="259"/>
      <c r="Q27" s="516"/>
    </row>
    <row r="28" spans="1:17">
      <c r="A28" s="248">
        <f t="shared" si="1"/>
        <v>17</v>
      </c>
      <c r="B28" s="389" t="s">
        <v>360</v>
      </c>
      <c r="C28" s="645">
        <v>6810.48</v>
      </c>
      <c r="D28" s="645">
        <v>6463.8</v>
      </c>
      <c r="E28" s="646">
        <v>5521.32</v>
      </c>
      <c r="F28" s="645"/>
      <c r="G28" s="645"/>
      <c r="H28" s="645"/>
      <c r="I28" s="645"/>
      <c r="J28" s="645"/>
      <c r="K28" s="645"/>
      <c r="L28" s="645"/>
      <c r="M28" s="645"/>
      <c r="N28" s="645"/>
      <c r="O28" s="258"/>
      <c r="P28" s="259"/>
      <c r="Q28" s="516"/>
    </row>
    <row r="29" spans="1:17">
      <c r="A29" s="248">
        <f t="shared" si="1"/>
        <v>18</v>
      </c>
      <c r="B29" s="389" t="s">
        <v>361</v>
      </c>
      <c r="C29" s="645">
        <v>3653.76</v>
      </c>
      <c r="D29" s="645">
        <v>3331.44</v>
      </c>
      <c r="E29" s="646">
        <v>2647.44</v>
      </c>
      <c r="F29" s="645"/>
      <c r="G29" s="645"/>
      <c r="H29" s="645"/>
      <c r="I29" s="645"/>
      <c r="J29" s="645"/>
      <c r="K29" s="645"/>
      <c r="L29" s="645"/>
      <c r="M29" s="645"/>
      <c r="N29" s="645"/>
      <c r="O29" s="258"/>
      <c r="P29" s="259"/>
      <c r="Q29" s="516"/>
    </row>
    <row r="30" spans="1:17">
      <c r="A30" s="248">
        <f t="shared" si="1"/>
        <v>19</v>
      </c>
      <c r="B30" s="389" t="s">
        <v>362</v>
      </c>
      <c r="C30" s="645">
        <v>13138.08</v>
      </c>
      <c r="D30" s="645">
        <v>11952.96</v>
      </c>
      <c r="E30" s="646">
        <v>7548</v>
      </c>
      <c r="F30" s="645"/>
      <c r="G30" s="645"/>
      <c r="H30" s="645"/>
      <c r="I30" s="645"/>
      <c r="J30" s="645"/>
      <c r="K30" s="645"/>
      <c r="L30" s="645"/>
      <c r="M30" s="645"/>
      <c r="N30" s="645"/>
      <c r="O30" s="258"/>
      <c r="P30" s="259"/>
      <c r="Q30" s="516"/>
    </row>
    <row r="31" spans="1:17">
      <c r="A31" s="248">
        <f t="shared" si="1"/>
        <v>20</v>
      </c>
      <c r="B31" s="389" t="s">
        <v>363</v>
      </c>
      <c r="C31" s="651">
        <v>9177.84</v>
      </c>
      <c r="D31" s="651">
        <v>8094.48</v>
      </c>
      <c r="E31" s="652">
        <v>5374.56</v>
      </c>
      <c r="F31" s="651"/>
      <c r="G31" s="651"/>
      <c r="H31" s="651"/>
      <c r="I31" s="651"/>
      <c r="J31" s="651"/>
      <c r="K31" s="651"/>
      <c r="L31" s="651"/>
      <c r="M31" s="651"/>
      <c r="N31" s="651"/>
      <c r="O31" s="260"/>
      <c r="P31" s="261"/>
      <c r="Q31" s="516"/>
    </row>
    <row r="32" spans="1:17">
      <c r="A32" s="248">
        <f t="shared" si="1"/>
        <v>21</v>
      </c>
      <c r="B32" s="389" t="s">
        <v>513</v>
      </c>
      <c r="C32" s="257">
        <f t="shared" ref="C32:E32" si="2">SUM(C19:C31)</f>
        <v>124650.80999999998</v>
      </c>
      <c r="D32" s="257">
        <f t="shared" si="2"/>
        <v>111549.06000000001</v>
      </c>
      <c r="E32" s="544">
        <f t="shared" si="2"/>
        <v>89545.68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9"/>
      <c r="Q32" s="259"/>
    </row>
    <row r="33" spans="1:17">
      <c r="B33" s="389"/>
      <c r="C33" s="653"/>
      <c r="D33" s="653"/>
      <c r="E33" s="654"/>
      <c r="O33" s="337"/>
      <c r="P33" s="337"/>
    </row>
    <row r="34" spans="1:17">
      <c r="A34" s="247">
        <f>A32+1</f>
        <v>22</v>
      </c>
      <c r="B34" s="389" t="s">
        <v>349</v>
      </c>
      <c r="C34" s="262">
        <f>C15+C32+C17+C16</f>
        <v>161769.65999999997</v>
      </c>
      <c r="D34" s="262">
        <f t="shared" ref="D34:E34" si="3">D15+D32+D17+D16</f>
        <v>130507.81000000001</v>
      </c>
      <c r="E34" s="545">
        <f t="shared" si="3"/>
        <v>105479.73</v>
      </c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7">
      <c r="B35" s="389"/>
      <c r="C35" s="653"/>
      <c r="D35" s="653"/>
      <c r="E35" s="654"/>
    </row>
    <row r="36" spans="1:17" ht="15.75" thickBot="1">
      <c r="A36" s="247">
        <f>A34+1</f>
        <v>23</v>
      </c>
      <c r="B36" s="389" t="s">
        <v>350</v>
      </c>
      <c r="C36" s="470">
        <f t="shared" ref="C36:E36" si="4">C10+C34</f>
        <v>3719413.33</v>
      </c>
      <c r="D36" s="470">
        <f t="shared" si="4"/>
        <v>3413189.02</v>
      </c>
      <c r="E36" s="546">
        <f t="shared" si="4"/>
        <v>2493991.02</v>
      </c>
      <c r="F36" s="550">
        <f>F46</f>
        <v>2249000</v>
      </c>
      <c r="G36" s="550">
        <f t="shared" ref="G36:N36" si="5">G46</f>
        <v>2239000</v>
      </c>
      <c r="H36" s="550">
        <f t="shared" si="5"/>
        <v>2544000</v>
      </c>
      <c r="I36" s="550">
        <f t="shared" si="5"/>
        <v>2698000</v>
      </c>
      <c r="J36" s="550">
        <f t="shared" si="5"/>
        <v>2647000</v>
      </c>
      <c r="K36" s="550">
        <f t="shared" si="5"/>
        <v>2442000</v>
      </c>
      <c r="L36" s="550">
        <f t="shared" si="5"/>
        <v>2175000</v>
      </c>
      <c r="M36" s="550">
        <f t="shared" si="5"/>
        <v>2668000</v>
      </c>
      <c r="N36" s="550">
        <f t="shared" si="5"/>
        <v>3090000</v>
      </c>
      <c r="O36" s="551">
        <f>SUM(C36:N36)</f>
        <v>32378593.369999997</v>
      </c>
      <c r="P36" s="551">
        <f>ROUND(O36/12,0)</f>
        <v>2698216</v>
      </c>
    </row>
    <row r="37" spans="1:17" ht="15.75" thickTop="1">
      <c r="C37" s="653"/>
      <c r="D37" s="653"/>
      <c r="E37" s="654"/>
    </row>
    <row r="38" spans="1:17" ht="15.75">
      <c r="C38" s="383"/>
      <c r="D38" s="383"/>
      <c r="E38" s="547"/>
      <c r="F38" s="383"/>
      <c r="G38" s="383"/>
      <c r="H38" s="383"/>
      <c r="I38" s="383"/>
      <c r="J38" s="383"/>
      <c r="K38" s="383"/>
      <c r="L38" s="383"/>
      <c r="M38" s="383"/>
      <c r="N38" s="468"/>
      <c r="O38" s="469"/>
      <c r="P38" s="383"/>
    </row>
    <row r="39" spans="1:17">
      <c r="B39" s="353" t="s">
        <v>142</v>
      </c>
      <c r="C39" s="655"/>
      <c r="D39" s="655"/>
      <c r="E39" s="656"/>
      <c r="F39" s="337"/>
      <c r="G39" s="337"/>
      <c r="H39" s="337"/>
      <c r="I39" s="337"/>
      <c r="J39" s="337"/>
      <c r="K39" s="337"/>
      <c r="L39" s="337"/>
      <c r="M39" s="337"/>
    </row>
    <row r="40" spans="1:17">
      <c r="B40" s="385" t="str">
        <f>CONCATENATE("(1) Reflects the system peak demand (coincident peak) during a 60-minute clock hour.  January ",'Appx C - True Up'!K77," through March ",'Appx C - True Up'!K77," information is sourced from the MV90 system.")</f>
        <v>(1) Reflects the system peak demand (coincident peak) during a 60-minute clock hour.  January 2025 through March 2025 information is sourced from the MV90 system.</v>
      </c>
      <c r="C40" s="653"/>
      <c r="D40" s="653"/>
      <c r="E40" s="654"/>
      <c r="G40" s="384"/>
      <c r="H40" s="384"/>
      <c r="I40" s="384"/>
      <c r="J40" s="384"/>
      <c r="K40" s="384"/>
      <c r="N40" s="392"/>
      <c r="O40" s="383"/>
    </row>
    <row r="41" spans="1:17" ht="15" customHeight="1">
      <c r="B41" s="385"/>
      <c r="C41" s="653"/>
      <c r="D41" s="653"/>
      <c r="E41" s="654"/>
      <c r="N41" s="392"/>
      <c r="O41" s="383"/>
    </row>
    <row r="42" spans="1:17">
      <c r="B42" s="471" t="s">
        <v>587</v>
      </c>
      <c r="C42" s="645">
        <v>3589645.56</v>
      </c>
      <c r="D42" s="645">
        <v>3309982.31</v>
      </c>
      <c r="E42" s="646">
        <v>2414408.75</v>
      </c>
      <c r="F42" s="645"/>
      <c r="G42" s="645"/>
      <c r="H42" s="645"/>
      <c r="I42" s="645"/>
      <c r="J42" s="645"/>
      <c r="K42" s="645"/>
      <c r="L42" s="645"/>
      <c r="M42" s="645"/>
      <c r="N42" s="645"/>
      <c r="O42" s="258"/>
      <c r="P42" s="259"/>
      <c r="Q42" s="516"/>
    </row>
    <row r="43" spans="1:17">
      <c r="B43" s="64"/>
      <c r="C43" s="657"/>
      <c r="D43" s="657"/>
      <c r="E43" s="658"/>
      <c r="F43" s="657"/>
      <c r="G43" s="657"/>
      <c r="H43" s="657"/>
      <c r="I43" s="657"/>
      <c r="J43" s="657"/>
      <c r="K43" s="657"/>
      <c r="L43" s="657"/>
      <c r="M43" s="657"/>
      <c r="N43" s="661"/>
      <c r="O43" s="483"/>
      <c r="P43" s="64"/>
    </row>
    <row r="44" spans="1:17">
      <c r="B44" s="472" t="s">
        <v>589</v>
      </c>
      <c r="C44" s="647">
        <v>3013072.62</v>
      </c>
      <c r="D44" s="647">
        <v>2593248.94</v>
      </c>
      <c r="E44" s="648">
        <v>1906653.31</v>
      </c>
      <c r="F44" s="647">
        <v>1739000</v>
      </c>
      <c r="G44" s="647">
        <v>1686000</v>
      </c>
      <c r="H44" s="647">
        <v>1992000</v>
      </c>
      <c r="I44" s="647">
        <v>2117000</v>
      </c>
      <c r="J44" s="647">
        <v>2081000</v>
      </c>
      <c r="K44" s="647">
        <v>1907000</v>
      </c>
      <c r="L44" s="647">
        <v>1664000</v>
      </c>
      <c r="M44" s="647">
        <v>2049000</v>
      </c>
      <c r="N44" s="662">
        <v>2469000</v>
      </c>
      <c r="O44" s="257">
        <f>SUM(C44:N44)</f>
        <v>25216974.870000001</v>
      </c>
      <c r="P44" s="257">
        <f>ROUND(O44/12,0)</f>
        <v>2101415</v>
      </c>
      <c r="Q44" s="516"/>
    </row>
    <row r="45" spans="1:17">
      <c r="B45" s="472" t="s">
        <v>588</v>
      </c>
      <c r="C45" s="647">
        <v>544571.05000000005</v>
      </c>
      <c r="D45" s="647">
        <v>689432.27</v>
      </c>
      <c r="E45" s="648">
        <v>481857.98</v>
      </c>
      <c r="F45" s="647">
        <v>510000</v>
      </c>
      <c r="G45" s="647">
        <v>553000</v>
      </c>
      <c r="H45" s="647">
        <v>552000</v>
      </c>
      <c r="I45" s="647">
        <v>581000</v>
      </c>
      <c r="J45" s="647">
        <v>566000</v>
      </c>
      <c r="K45" s="647">
        <v>535000</v>
      </c>
      <c r="L45" s="647">
        <v>511000</v>
      </c>
      <c r="M45" s="647">
        <v>619000</v>
      </c>
      <c r="N45" s="662">
        <v>621000</v>
      </c>
      <c r="O45" s="257">
        <f>SUM(C45:N45)</f>
        <v>6763861.2999999998</v>
      </c>
      <c r="P45" s="257">
        <f>ROUND(O45/12,0)</f>
        <v>563655</v>
      </c>
      <c r="Q45" s="516"/>
    </row>
    <row r="46" spans="1:17">
      <c r="B46" s="472" t="s">
        <v>586</v>
      </c>
      <c r="C46" s="257">
        <f>SUM(C44:C45)</f>
        <v>3557643.67</v>
      </c>
      <c r="D46" s="257">
        <f>SUM(D44:D45)</f>
        <v>3282681.21</v>
      </c>
      <c r="E46" s="544">
        <f t="shared" ref="E46:N46" si="6">SUM(E44:E45)</f>
        <v>2388511.29</v>
      </c>
      <c r="F46" s="257">
        <f t="shared" si="6"/>
        <v>2249000</v>
      </c>
      <c r="G46" s="257">
        <f t="shared" si="6"/>
        <v>2239000</v>
      </c>
      <c r="H46" s="257">
        <f t="shared" si="6"/>
        <v>2544000</v>
      </c>
      <c r="I46" s="257">
        <f t="shared" si="6"/>
        <v>2698000</v>
      </c>
      <c r="J46" s="257">
        <f t="shared" si="6"/>
        <v>2647000</v>
      </c>
      <c r="K46" s="257">
        <f t="shared" si="6"/>
        <v>2442000</v>
      </c>
      <c r="L46" s="257">
        <f t="shared" si="6"/>
        <v>2175000</v>
      </c>
      <c r="M46" s="257">
        <f t="shared" si="6"/>
        <v>2668000</v>
      </c>
      <c r="N46" s="257">
        <f t="shared" si="6"/>
        <v>3090000</v>
      </c>
      <c r="O46" s="473">
        <f>SUM(O44:O45)</f>
        <v>31980836.170000002</v>
      </c>
      <c r="P46" s="473">
        <f>SUM(P44:P45)</f>
        <v>2665070</v>
      </c>
      <c r="Q46" s="257"/>
    </row>
    <row r="47" spans="1:17">
      <c r="B47" s="472"/>
      <c r="C47" s="657"/>
      <c r="D47" s="657"/>
      <c r="E47" s="658"/>
      <c r="F47" s="657"/>
      <c r="G47" s="657"/>
      <c r="H47" s="657"/>
      <c r="I47" s="657"/>
      <c r="J47" s="657"/>
      <c r="K47" s="657"/>
      <c r="L47" s="657"/>
      <c r="M47" s="657"/>
      <c r="N47" s="661"/>
      <c r="O47" s="483"/>
      <c r="P47" s="64"/>
    </row>
    <row r="48" spans="1:17">
      <c r="B48" s="472" t="s">
        <v>590</v>
      </c>
      <c r="C48" s="483">
        <f>C42-C46</f>
        <v>32001.89000000013</v>
      </c>
      <c r="D48" s="483">
        <f t="shared" ref="D48:E48" si="7">D42-D46</f>
        <v>27301.100000000093</v>
      </c>
      <c r="E48" s="548">
        <f t="shared" si="7"/>
        <v>25897.459999999963</v>
      </c>
      <c r="F48" s="483"/>
      <c r="G48" s="483"/>
      <c r="H48" s="483"/>
      <c r="I48" s="483"/>
      <c r="J48" s="483"/>
      <c r="K48" s="483"/>
      <c r="L48" s="483"/>
      <c r="M48" s="483"/>
      <c r="N48" s="483"/>
      <c r="O48" s="257"/>
      <c r="P48" s="257"/>
    </row>
    <row r="49" spans="2:17">
      <c r="B49" s="472"/>
      <c r="C49" s="483"/>
      <c r="D49" s="483"/>
      <c r="E49" s="548"/>
      <c r="F49" s="483"/>
      <c r="G49" s="483"/>
      <c r="H49" s="483"/>
      <c r="I49" s="483"/>
      <c r="J49" s="483"/>
      <c r="K49" s="483"/>
      <c r="L49" s="483"/>
      <c r="M49" s="483"/>
      <c r="N49" s="483"/>
      <c r="O49" s="257"/>
      <c r="P49" s="257"/>
    </row>
    <row r="50" spans="2:17">
      <c r="B50" s="472" t="s">
        <v>593</v>
      </c>
      <c r="C50" s="659">
        <v>20903.39</v>
      </c>
      <c r="D50" s="659">
        <v>19306.23</v>
      </c>
      <c r="E50" s="660">
        <v>17804.22</v>
      </c>
      <c r="F50" s="659"/>
      <c r="G50" s="659"/>
      <c r="H50" s="659"/>
      <c r="I50" s="659"/>
      <c r="J50" s="659"/>
      <c r="K50" s="659"/>
      <c r="L50" s="659"/>
      <c r="M50" s="659"/>
      <c r="N50" s="659"/>
      <c r="O50" s="257"/>
      <c r="P50" s="257"/>
      <c r="Q50" s="516"/>
    </row>
    <row r="51" spans="2:17">
      <c r="B51" s="472" t="s">
        <v>594</v>
      </c>
      <c r="C51" s="659">
        <v>11098.48</v>
      </c>
      <c r="D51" s="659">
        <v>7994.88</v>
      </c>
      <c r="E51" s="660">
        <v>8093.07</v>
      </c>
      <c r="F51" s="659"/>
      <c r="G51" s="659"/>
      <c r="H51" s="659"/>
      <c r="I51" s="659"/>
      <c r="J51" s="659"/>
      <c r="K51" s="659"/>
      <c r="L51" s="659"/>
      <c r="M51" s="659"/>
      <c r="N51" s="659"/>
      <c r="O51" s="257"/>
      <c r="P51" s="257"/>
      <c r="Q51" s="516"/>
    </row>
    <row r="52" spans="2:17">
      <c r="B52" s="472" t="s">
        <v>592</v>
      </c>
      <c r="C52" s="483">
        <f>SUM(C50:C51)</f>
        <v>32001.87</v>
      </c>
      <c r="D52" s="483">
        <f t="shared" ref="D52:E52" si="8">SUM(D50:D51)</f>
        <v>27301.11</v>
      </c>
      <c r="E52" s="548">
        <f t="shared" si="8"/>
        <v>25897.29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73"/>
      <c r="P52" s="473"/>
    </row>
    <row r="53" spans="2:17">
      <c r="B53" s="472"/>
      <c r="C53" s="484"/>
      <c r="D53" s="484"/>
      <c r="E53" s="549"/>
      <c r="F53" s="484"/>
      <c r="G53" s="484"/>
      <c r="H53" s="484"/>
      <c r="I53" s="484"/>
      <c r="J53" s="484"/>
      <c r="K53" s="484"/>
      <c r="L53" s="484"/>
      <c r="M53" s="484"/>
      <c r="N53" s="484"/>
      <c r="O53" s="64"/>
      <c r="P53" s="64"/>
    </row>
    <row r="54" spans="2:17">
      <c r="B54" s="472" t="s">
        <v>591</v>
      </c>
      <c r="C54" s="484">
        <f>C48-C52</f>
        <v>2.0000000131403795E-2</v>
      </c>
      <c r="D54" s="484">
        <f t="shared" ref="D54:E54" si="9">D48-D52</f>
        <v>-9.9999999074498191E-3</v>
      </c>
      <c r="E54" s="549">
        <f t="shared" si="9"/>
        <v>0.16999999996187398</v>
      </c>
      <c r="F54" s="484"/>
      <c r="G54" s="483"/>
      <c r="H54" s="483"/>
      <c r="I54" s="483"/>
      <c r="J54" s="483"/>
      <c r="K54" s="484"/>
      <c r="L54" s="484"/>
      <c r="M54" s="484"/>
      <c r="N54" s="484"/>
      <c r="O54" s="64"/>
      <c r="P54" s="64"/>
    </row>
    <row r="55" spans="2:17">
      <c r="N55" s="392"/>
    </row>
    <row r="152" spans="11:11">
      <c r="K152" t="s">
        <v>611</v>
      </c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2025-05-14T19:25:41Z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