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ThisWorkbook"/>
  <xr:revisionPtr revIDLastSave="0" documentId="13_ncr:1_{9848110C-05EA-4876-A1F9-3883121A22D5}" xr6:coauthVersionLast="47" xr6:coauthVersionMax="47" xr10:uidLastSave="{00000000-0000-0000-0000-000000000000}"/>
  <bookViews>
    <workbookView xWindow="28680" yWindow="-120" windowWidth="29040" windowHeight="17520" tabRatio="786" xr2:uid="{00000000-000D-0000-FFFF-FFFF00000000}"/>
  </bookViews>
  <sheets>
    <sheet name="EKPC" sheetId="1" r:id="rId1"/>
    <sheet name="Appx A - Sch 1A" sheetId="50" r:id="rId2"/>
    <sheet name="Appx B - RTEP" sheetId="41" r:id="rId3"/>
    <sheet name="Appx C - True Up" sheetId="68" r:id="rId4"/>
    <sheet name="Appx D - Deprec" sheetId="64" r:id="rId5"/>
    <sheet name="Pg 1 of 8 M&amp;S Alloc" sheetId="66" r:id="rId6"/>
    <sheet name="P 2 of 8 Land Held for Future" sheetId="32" r:id="rId7"/>
    <sheet name="Pg 3 of 8 G&amp;A Adj" sheetId="19" r:id="rId8"/>
    <sheet name="Pg 4 of 8 Sch 1 Charges 561" sheetId="9" r:id="rId9"/>
    <sheet name="Pg 5 of 8 Trans Plant In OATT" sheetId="37" r:id="rId10"/>
    <sheet name="Pg 6 of 8 Rev Cred Support" sheetId="20" r:id="rId11"/>
    <sheet name="Pg 7 of 8 Cap Str" sheetId="26" r:id="rId12"/>
    <sheet name="Pg 8 of 8 Peak Load" sheetId="67" r:id="rId13"/>
  </sheets>
  <definedNames>
    <definedName name="Appendix_A">'Appx A - Sch 1A'!$A$1:$H$46</definedName>
    <definedName name="AppxB_Pg1_RTEP">'Appx B - RTEP'!$A$1:$I$42</definedName>
    <definedName name="AppxB_Pg2_RTEP">'Appx B - RTEP'!$J$1:$W$52</definedName>
    <definedName name="AppxC_Pg1_MTEP">#REF!</definedName>
    <definedName name="AppxC_Pg2_MTEP">#REF!</definedName>
    <definedName name="AppxD">'Appx D - Deprec'!$B$4:$H$36</definedName>
    <definedName name="AppxE">#REF!</definedName>
    <definedName name="AppxE_WP">#REF!</definedName>
    <definedName name="EKPC_1of6">EKPC!$A$1:$J$56</definedName>
    <definedName name="EKPC_2of6">EKPC!$A$57:$J$117</definedName>
    <definedName name="EKPC_3of6">EKPC!$A$118:$J$180</definedName>
    <definedName name="EKPC_4of6">EKPC!$A$181:$L$255</definedName>
    <definedName name="EKPC_5of6">EKPC!$A$256:$L$310</definedName>
    <definedName name="EKPC_6of6">EKPC!$A$258:$L$310</definedName>
    <definedName name="EKPC_Monthly_Transmission_System_Peak_Load">#REF!</definedName>
    <definedName name="PeakKW">#REF!</definedName>
    <definedName name="PG1_Support_KW">#REF!</definedName>
    <definedName name="PG2_Support_FAS106">#REF!</definedName>
    <definedName name="PG2_Support_LandHeld">'P 2 of 8 Land Held for Future'!$B$3:$E$30</definedName>
    <definedName name="PG2_Support_MS">#REF!</definedName>
    <definedName name="PG2_Support_TransPlant">'Pg 5 of 8 Trans Plant In OATT'!$B$1:$C$22</definedName>
    <definedName name="PG3_Support_Adv">'Pg 3 of 8 G&amp;A Adj'!$B$1:$D$31</definedName>
    <definedName name="PG3_Support_BAcosts">'Pg 4 of 8 Sch 1 Charges 561'!$B$1:$D$38</definedName>
    <definedName name="PG3_Support_StateTax">#REF!</definedName>
    <definedName name="PG4_Support_Ancillary">'Pg 5 of 8 Trans Plant In OATT'!$B$1:$C$24</definedName>
    <definedName name="PG4_Support_CapStructure">'Pg 7 of 8 Cap Str'!$A$1:$H$43</definedName>
    <definedName name="PG4_Support_RevCr">'Pg 6 of 8 Rev Cred Support'!$B$1:$E$49</definedName>
    <definedName name="_xlnm.Print_Area" localSheetId="1">'Appx A - Sch 1A'!$A$1:$H$49</definedName>
    <definedName name="_xlnm.Print_Area" localSheetId="3">'Appx C - True Up'!$A$1:$F$61</definedName>
    <definedName name="_xlnm.Print_Area" localSheetId="4">'Appx D - Deprec'!$A$1:$H$41</definedName>
    <definedName name="_xlnm.Print_Area" localSheetId="0">EKPC!$A$1:$J$302</definedName>
    <definedName name="_xlnm.Print_Area" localSheetId="6">'P 2 of 8 Land Held for Future'!$A$1:$E$28</definedName>
    <definedName name="_xlnm.Print_Area" localSheetId="5">'Pg 1 of 8 M&amp;S Alloc'!$A$1:$I$22</definedName>
    <definedName name="_xlnm.Print_Area" localSheetId="7">'Pg 3 of 8 G&amp;A Adj'!$A$1:$E$36</definedName>
    <definedName name="_xlnm.Print_Area" localSheetId="8">'Pg 4 of 8 Sch 1 Charges 561'!$A$1:$E$46</definedName>
    <definedName name="_xlnm.Print_Area" localSheetId="9">'Pg 5 of 8 Trans Plant In OATT'!$A$1:$D$25</definedName>
    <definedName name="_xlnm.Print_Area" localSheetId="10">'Pg 6 of 8 Rev Cred Support'!$A$1:$F$54</definedName>
    <definedName name="_xlnm.Print_Area" localSheetId="11">'Pg 7 of 8 Cap Str'!$A$1:$G$35</definedName>
    <definedName name="_xlnm.Print_Area" localSheetId="12">'Pg 8 of 8 Peak Load'!$A$1:$P$53</definedName>
    <definedName name="SCH_1A">'Appx A - Sch 1A'!$A$1:$H$46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5" i="1" l="1"/>
  <c r="T34" i="1"/>
  <c r="T33" i="1"/>
  <c r="T32" i="1"/>
  <c r="T31" i="1"/>
  <c r="T30" i="1"/>
  <c r="T29" i="1"/>
  <c r="T28" i="1"/>
  <c r="T26" i="1"/>
  <c r="T23" i="1"/>
  <c r="T22" i="1"/>
  <c r="T21" i="1"/>
  <c r="T20" i="1"/>
  <c r="F28" i="26" l="1"/>
  <c r="E19" i="68"/>
  <c r="E51" i="67" l="1"/>
  <c r="D51" i="67"/>
  <c r="C51" i="67"/>
  <c r="E45" i="67"/>
  <c r="E47" i="67" s="1"/>
  <c r="E53" i="67" s="1"/>
  <c r="D45" i="67"/>
  <c r="D47" i="67" s="1"/>
  <c r="D53" i="67" s="1"/>
  <c r="C45" i="67"/>
  <c r="C47" i="67" s="1"/>
  <c r="C53" i="67" s="1"/>
  <c r="N15" i="67" l="1"/>
  <c r="M15" i="67"/>
  <c r="L15" i="67"/>
  <c r="K15" i="67"/>
  <c r="J15" i="67"/>
  <c r="I15" i="67"/>
  <c r="H15" i="67"/>
  <c r="G44" i="67"/>
  <c r="G15" i="67"/>
  <c r="F15" i="67"/>
  <c r="E21" i="68"/>
  <c r="D26" i="19"/>
  <c r="E46" i="68" l="1"/>
  <c r="E136" i="1" l="1"/>
  <c r="E31" i="20"/>
  <c r="E29" i="20"/>
  <c r="E34" i="20"/>
  <c r="D33" i="9" l="1"/>
  <c r="N33" i="67" l="1"/>
  <c r="M33" i="67"/>
  <c r="L33" i="67"/>
  <c r="K33" i="67"/>
  <c r="J33" i="67"/>
  <c r="I33" i="67"/>
  <c r="H33" i="67"/>
  <c r="G33" i="67"/>
  <c r="F33" i="67"/>
  <c r="F31" i="67"/>
  <c r="G31" i="67"/>
  <c r="H31" i="67"/>
  <c r="I31" i="67"/>
  <c r="J31" i="67"/>
  <c r="K31" i="67"/>
  <c r="L31" i="67"/>
  <c r="M31" i="67"/>
  <c r="N31" i="67"/>
  <c r="B39" i="67" l="1"/>
  <c r="O50" i="67"/>
  <c r="O49" i="67"/>
  <c r="P49" i="67" s="1"/>
  <c r="N51" i="67"/>
  <c r="M51" i="67"/>
  <c r="L51" i="67"/>
  <c r="K51" i="67"/>
  <c r="J51" i="67"/>
  <c r="I51" i="67"/>
  <c r="H51" i="67"/>
  <c r="G51" i="67"/>
  <c r="F51" i="67"/>
  <c r="G47" i="67"/>
  <c r="N45" i="67"/>
  <c r="N47" i="67" s="1"/>
  <c r="M45" i="67"/>
  <c r="M47" i="67" s="1"/>
  <c r="L45" i="67"/>
  <c r="L47" i="67" s="1"/>
  <c r="K45" i="67"/>
  <c r="K47" i="67" s="1"/>
  <c r="J45" i="67"/>
  <c r="J47" i="67" s="1"/>
  <c r="I45" i="67"/>
  <c r="I47" i="67" s="1"/>
  <c r="H45" i="67"/>
  <c r="H47" i="67" s="1"/>
  <c r="G45" i="67"/>
  <c r="F45" i="67"/>
  <c r="F47" i="67" s="1"/>
  <c r="F53" i="67" s="1"/>
  <c r="D24" i="9"/>
  <c r="N53" i="67" l="1"/>
  <c r="M53" i="67"/>
  <c r="L53" i="67"/>
  <c r="K53" i="67"/>
  <c r="J53" i="67"/>
  <c r="I53" i="67"/>
  <c r="H53" i="67"/>
  <c r="G53" i="67"/>
  <c r="O47" i="67"/>
  <c r="P47" i="67" s="1"/>
  <c r="O51" i="67"/>
  <c r="P50" i="67"/>
  <c r="P51" i="67" s="1"/>
  <c r="G32" i="50"/>
  <c r="E218" i="1"/>
  <c r="E148" i="1"/>
  <c r="O53" i="67" l="1"/>
  <c r="P53" i="67" s="1"/>
  <c r="E83" i="1"/>
  <c r="E78" i="1"/>
  <c r="E77" i="1"/>
  <c r="E76" i="1" l="1"/>
  <c r="E75" i="1"/>
  <c r="P4" i="67" l="1"/>
  <c r="G4" i="26"/>
  <c r="F4" i="20"/>
  <c r="D4" i="37"/>
  <c r="E4" i="9"/>
  <c r="E4" i="19"/>
  <c r="E4" i="32"/>
  <c r="I4" i="66"/>
  <c r="E226" i="1" l="1"/>
  <c r="H224" i="1" s="1"/>
  <c r="J196" i="1"/>
  <c r="E92" i="1"/>
  <c r="E93" i="1"/>
  <c r="E94" i="1"/>
  <c r="C24" i="26" l="1"/>
  <c r="C17" i="37"/>
  <c r="E21" i="20"/>
  <c r="E24" i="20" s="1"/>
  <c r="D10" i="67" l="1"/>
  <c r="F10" i="67" l="1"/>
  <c r="F35" i="67" l="1"/>
  <c r="K10" i="67"/>
  <c r="K35" i="67" s="1"/>
  <c r="H77" i="68" l="1"/>
  <c r="I77" i="68" s="1"/>
  <c r="K77" i="68"/>
  <c r="H75" i="68" s="1"/>
  <c r="H76" i="68" l="1"/>
  <c r="I76" i="68" s="1"/>
  <c r="K78" i="68"/>
  <c r="H78" i="68" s="1"/>
  <c r="I78" i="68" s="1"/>
  <c r="K76" i="68"/>
  <c r="K75" i="68" s="1"/>
  <c r="I75" i="68"/>
  <c r="E31" i="67" l="1"/>
  <c r="E33" i="67" s="1"/>
  <c r="E48" i="68" l="1"/>
  <c r="E52" i="68" l="1"/>
  <c r="C31" i="67" l="1"/>
  <c r="C33" i="67" s="1"/>
  <c r="O44" i="67" l="1"/>
  <c r="P44" i="67" s="1"/>
  <c r="O43" i="67"/>
  <c r="P43" i="67" s="1"/>
  <c r="C10" i="67" l="1"/>
  <c r="N10" i="67"/>
  <c r="N35" i="67" s="1"/>
  <c r="M10" i="67"/>
  <c r="M35" i="67" s="1"/>
  <c r="L10" i="67"/>
  <c r="L35" i="67" s="1"/>
  <c r="J10" i="67"/>
  <c r="J35" i="67" s="1"/>
  <c r="I10" i="67"/>
  <c r="I35" i="67" s="1"/>
  <c r="H10" i="67"/>
  <c r="H35" i="67" s="1"/>
  <c r="G10" i="67"/>
  <c r="E10" i="67"/>
  <c r="P45" i="67"/>
  <c r="O45" i="67"/>
  <c r="G35" i="67" l="1"/>
  <c r="O10" i="67"/>
  <c r="P10" i="67" s="1"/>
  <c r="E35" i="67"/>
  <c r="D31" i="67"/>
  <c r="C35" i="67"/>
  <c r="D33" i="67" l="1"/>
  <c r="D35" i="67" s="1"/>
  <c r="O35" i="67" s="1"/>
  <c r="P35" i="67" s="1"/>
  <c r="E51" i="68"/>
  <c r="A37" i="68" l="1"/>
  <c r="A6" i="68"/>
  <c r="A6" i="41"/>
  <c r="B7" i="26"/>
  <c r="B6" i="26"/>
  <c r="G1" i="26"/>
  <c r="G34" i="50"/>
  <c r="A13" i="67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G36" i="50" l="1"/>
  <c r="A266" i="1" l="1"/>
  <c r="A268" i="1"/>
  <c r="A18" i="32" l="1"/>
  <c r="A19" i="32" s="1"/>
  <c r="A20" i="32" s="1"/>
  <c r="A21" i="32" s="1"/>
  <c r="A22" i="32" s="1"/>
  <c r="A23" i="32" s="1"/>
  <c r="D19" i="19"/>
  <c r="E140" i="1"/>
  <c r="E21" i="1"/>
  <c r="A41" i="68" l="1"/>
  <c r="E25" i="41"/>
  <c r="A11" i="41"/>
  <c r="A10" i="68"/>
  <c r="J258" i="1"/>
  <c r="J181" i="1"/>
  <c r="E50" i="68" l="1"/>
  <c r="E53" i="68" s="1"/>
  <c r="A16" i="68"/>
  <c r="A17" i="68" s="1"/>
  <c r="A18" i="68" s="1"/>
  <c r="A19" i="68" s="1"/>
  <c r="A20" i="68" s="1"/>
  <c r="A21" i="68" s="1"/>
  <c r="A22" i="68" s="1"/>
  <c r="A23" i="68" s="1"/>
  <c r="A24" i="68" s="1"/>
  <c r="A46" i="68" s="1"/>
  <c r="A47" i="68" s="1"/>
  <c r="A48" i="68" s="1"/>
  <c r="A49" i="68" s="1"/>
  <c r="A50" i="68" s="1"/>
  <c r="A51" i="68" s="1"/>
  <c r="A52" i="68" s="1"/>
  <c r="A53" i="68" s="1"/>
  <c r="A54" i="68" s="1"/>
  <c r="E54" i="68" l="1"/>
  <c r="A8" i="68"/>
  <c r="A39" i="68" s="1"/>
  <c r="E4" i="68"/>
  <c r="E35" i="68" s="1"/>
  <c r="E1" i="68"/>
  <c r="E32" i="68" s="1"/>
  <c r="G23" i="1"/>
  <c r="G141" i="1"/>
  <c r="H17" i="37" l="1"/>
  <c r="J234" i="1" l="1"/>
  <c r="C26" i="26"/>
  <c r="P1" i="67"/>
  <c r="D25" i="26" l="1"/>
  <c r="D24" i="26"/>
  <c r="J233" i="1"/>
  <c r="E239" i="1" s="1"/>
  <c r="B7" i="20"/>
  <c r="B6" i="20"/>
  <c r="F1" i="20"/>
  <c r="B7" i="37"/>
  <c r="B6" i="37"/>
  <c r="D1" i="37"/>
  <c r="A7" i="9" l="1"/>
  <c r="A6" i="9"/>
  <c r="E1" i="9"/>
  <c r="B7" i="19"/>
  <c r="B6" i="19"/>
  <c r="E1" i="19"/>
  <c r="B7" i="32"/>
  <c r="B6" i="32"/>
  <c r="E1" i="32"/>
  <c r="I1" i="66"/>
  <c r="A14" i="66"/>
  <c r="A15" i="66" s="1"/>
  <c r="A16" i="66" s="1"/>
  <c r="H1" i="64"/>
  <c r="A6" i="64"/>
  <c r="B7" i="66"/>
  <c r="A10" i="26" l="1"/>
  <c r="B2" i="67"/>
  <c r="A33" i="67" l="1"/>
  <c r="A35" i="67" s="1"/>
  <c r="C16" i="66"/>
  <c r="E15" i="66" s="1"/>
  <c r="G15" i="66" s="1"/>
  <c r="E14" i="66" l="1"/>
  <c r="G14" i="66" s="1"/>
  <c r="I16" i="66" s="1"/>
  <c r="E111" i="1" s="1"/>
  <c r="E13" i="66"/>
  <c r="G13" i="66" s="1"/>
  <c r="E16" i="66" l="1"/>
  <c r="J31" i="1"/>
  <c r="J229" i="1" l="1"/>
  <c r="E240" i="1" l="1"/>
  <c r="J236" i="1"/>
  <c r="J32" i="1"/>
  <c r="J57" i="1"/>
  <c r="J118" i="1"/>
  <c r="C20" i="26"/>
  <c r="A19" i="26"/>
  <c r="A20" i="26" s="1"/>
  <c r="A24" i="26" s="1"/>
  <c r="A25" i="26" s="1"/>
  <c r="A26" i="26" s="1"/>
  <c r="A28" i="26" s="1"/>
  <c r="I1" i="41"/>
  <c r="E14" i="41" s="1"/>
  <c r="G1" i="50"/>
  <c r="E24" i="26" l="1"/>
  <c r="F24" i="26" s="1"/>
  <c r="E241" i="1"/>
  <c r="F239" i="1" s="1"/>
  <c r="E25" i="26" l="1"/>
  <c r="H240" i="1" s="1"/>
  <c r="H239" i="1"/>
  <c r="J239" i="1" s="1"/>
  <c r="F240" i="1"/>
  <c r="J240" i="1" l="1"/>
  <c r="E166" i="1"/>
  <c r="J243" i="1" l="1"/>
  <c r="J241" i="1"/>
  <c r="F25" i="26"/>
  <c r="D37" i="9"/>
  <c r="D42" i="9" s="1"/>
  <c r="E17" i="37"/>
  <c r="F26" i="26" l="1"/>
  <c r="G18" i="50"/>
  <c r="G19" i="50" s="1"/>
  <c r="A4" i="64"/>
  <c r="A8" i="41"/>
  <c r="A6" i="50"/>
  <c r="A191" i="1"/>
  <c r="A128" i="1"/>
  <c r="A67" i="1"/>
  <c r="G20" i="50" l="1"/>
  <c r="G25" i="50" s="1"/>
  <c r="G29" i="50" s="1"/>
  <c r="A8" i="50"/>
  <c r="A189" i="1"/>
  <c r="A126" i="1"/>
  <c r="A65" i="1"/>
  <c r="C23" i="32"/>
  <c r="E107" i="1" s="1"/>
  <c r="C21" i="37"/>
  <c r="J198" i="1" s="1"/>
  <c r="J199" i="1" s="1"/>
  <c r="J201" i="1" s="1"/>
  <c r="E36" i="20"/>
  <c r="E40" i="20" s="1"/>
  <c r="E46" i="20" s="1"/>
  <c r="J252" i="1"/>
  <c r="D26" i="9"/>
  <c r="D28" i="9" s="1"/>
  <c r="E135" i="1" s="1"/>
  <c r="D19" i="9"/>
  <c r="E137" i="1" s="1"/>
  <c r="D23" i="32"/>
  <c r="I4" i="41"/>
  <c r="G5" i="50"/>
  <c r="J206" i="1" l="1"/>
  <c r="J254" i="1"/>
  <c r="E20" i="1" s="1"/>
  <c r="J143" i="1"/>
  <c r="E161" i="1" l="1"/>
  <c r="C149" i="1" l="1"/>
  <c r="C147" i="1"/>
  <c r="E139" i="1" l="1"/>
  <c r="G22" i="1" l="1"/>
  <c r="G21" i="1"/>
  <c r="G20" i="1"/>
  <c r="Q9" i="41" l="1"/>
  <c r="A265" i="1" l="1"/>
  <c r="A188" i="1"/>
  <c r="B39" i="50"/>
  <c r="A125" i="1"/>
  <c r="A64" i="1"/>
  <c r="E39" i="50" l="1"/>
  <c r="J249" i="1" l="1"/>
  <c r="J250" i="1" s="1"/>
  <c r="J222" i="1"/>
  <c r="G159" i="1"/>
  <c r="G103" i="1"/>
  <c r="G87" i="1"/>
  <c r="C87" i="1"/>
  <c r="C96" i="1" s="1"/>
  <c r="G86" i="1"/>
  <c r="C86" i="1"/>
  <c r="C95" i="1" s="1"/>
  <c r="H85" i="1"/>
  <c r="G85" i="1"/>
  <c r="C85" i="1"/>
  <c r="C94" i="1" s="1"/>
  <c r="G84" i="1"/>
  <c r="C84" i="1"/>
  <c r="H83" i="1"/>
  <c r="G83" i="1"/>
  <c r="G100" i="1" s="1"/>
  <c r="G158" i="1" s="1"/>
  <c r="C83" i="1"/>
  <c r="C91" i="1" s="1"/>
  <c r="J263" i="1" l="1"/>
  <c r="J63" i="1"/>
  <c r="J124" i="1"/>
  <c r="J187" i="1"/>
  <c r="V37" i="41" l="1"/>
  <c r="Q8" i="41"/>
  <c r="W4" i="41"/>
  <c r="E17" i="32" l="1"/>
  <c r="E18" i="32"/>
  <c r="E19" i="32"/>
  <c r="E20" i="32"/>
  <c r="E21" i="32"/>
  <c r="E22" i="32"/>
  <c r="H217" i="1"/>
  <c r="H218" i="1"/>
  <c r="E23" i="32" l="1"/>
  <c r="E19" i="1"/>
  <c r="E219" i="1"/>
  <c r="E150" i="1"/>
  <c r="E167" i="1"/>
  <c r="E95" i="1"/>
  <c r="E105" i="1"/>
  <c r="E96" i="1"/>
  <c r="E88" i="1"/>
  <c r="H215" i="1"/>
  <c r="E80" i="1"/>
  <c r="E91" i="1"/>
  <c r="J205" i="1" l="1"/>
  <c r="J207" i="1" s="1"/>
  <c r="J209" i="1" s="1"/>
  <c r="G39" i="50"/>
  <c r="E171" i="1"/>
  <c r="E97" i="1"/>
  <c r="H23" i="1" l="1"/>
  <c r="H19" i="1"/>
  <c r="J19" i="1" s="1"/>
  <c r="H22" i="1"/>
  <c r="H20" i="1"/>
  <c r="J20" i="1" s="1"/>
  <c r="H21" i="1"/>
  <c r="H147" i="1"/>
  <c r="J147" i="1" s="1"/>
  <c r="F216" i="1"/>
  <c r="H216" i="1" s="1"/>
  <c r="H76" i="1"/>
  <c r="J76" i="1" s="1"/>
  <c r="J210" i="1"/>
  <c r="J211" i="1" s="1"/>
  <c r="H136" i="1" l="1"/>
  <c r="J136" i="1" s="1"/>
  <c r="H84" i="1"/>
  <c r="J84" i="1" s="1"/>
  <c r="J92" i="1" s="1"/>
  <c r="G17" i="41"/>
  <c r="J107" i="1" l="1"/>
  <c r="H135" i="1"/>
  <c r="H111" i="1"/>
  <c r="J111" i="1" s="1"/>
  <c r="H219" i="1"/>
  <c r="J219" i="1" s="1"/>
  <c r="J135" i="1" l="1"/>
  <c r="H141" i="1"/>
  <c r="G18" i="41"/>
  <c r="J22" i="1"/>
  <c r="J21" i="1"/>
  <c r="J24" i="1" s="1"/>
  <c r="D24" i="19" l="1"/>
  <c r="D28" i="19" s="1"/>
  <c r="E141" i="1" s="1"/>
  <c r="E144" i="1" s="1"/>
  <c r="E110" i="1" s="1"/>
  <c r="E113" i="1" s="1"/>
  <c r="H140" i="1"/>
  <c r="J140" i="1" s="1"/>
  <c r="H138" i="1"/>
  <c r="J138" i="1" s="1"/>
  <c r="H155" i="1"/>
  <c r="J155" i="1" s="1"/>
  <c r="H154" i="1"/>
  <c r="J154" i="1" s="1"/>
  <c r="H139" i="1"/>
  <c r="J139" i="1" s="1"/>
  <c r="H137" i="1"/>
  <c r="J137" i="1" s="1"/>
  <c r="J224" i="1"/>
  <c r="J225" i="1" s="1"/>
  <c r="H79" i="1" s="1"/>
  <c r="H78" i="1"/>
  <c r="J78" i="1" s="1"/>
  <c r="E115" i="1" l="1"/>
  <c r="E175" i="1" s="1"/>
  <c r="E170" i="1" s="1"/>
  <c r="E172" i="1" s="1"/>
  <c r="E177" i="1" s="1"/>
  <c r="J141" i="1"/>
  <c r="H86" i="1"/>
  <c r="J86" i="1" l="1"/>
  <c r="J95" i="1" s="1"/>
  <c r="J79" i="1"/>
  <c r="H87" i="1" l="1"/>
  <c r="J87" i="1" s="1"/>
  <c r="H148" i="1"/>
  <c r="J148" i="1" s="1"/>
  <c r="H142" i="1" l="1"/>
  <c r="J142" i="1" s="1"/>
  <c r="J144" i="1" s="1"/>
  <c r="J110" i="1" s="1"/>
  <c r="J80" i="1"/>
  <c r="H80" i="1" s="1"/>
  <c r="H112" i="1" s="1"/>
  <c r="H149" i="1" l="1"/>
  <c r="J88" i="1"/>
  <c r="J96" i="1"/>
  <c r="J97" i="1" s="1"/>
  <c r="J149" i="1" l="1"/>
  <c r="J150" i="1" s="1"/>
  <c r="H157" i="1"/>
  <c r="J157" i="1" s="1"/>
  <c r="J112" i="1"/>
  <c r="J113" i="1" s="1"/>
  <c r="G25" i="41" l="1"/>
  <c r="G26" i="41" s="1"/>
  <c r="I26" i="41" s="1"/>
  <c r="H160" i="1"/>
  <c r="J160" i="1" s="1"/>
  <c r="H159" i="1"/>
  <c r="J159" i="1" s="1"/>
  <c r="G21" i="41"/>
  <c r="G22" i="41" s="1"/>
  <c r="I22" i="41" s="1"/>
  <c r="H97" i="1"/>
  <c r="H101" i="1" s="1"/>
  <c r="J161" i="1" l="1"/>
  <c r="H102" i="1"/>
  <c r="J102" i="1" s="1"/>
  <c r="J101" i="1"/>
  <c r="H171" i="1"/>
  <c r="H103" i="1" l="1"/>
  <c r="J103" i="1" s="1"/>
  <c r="H104" i="1"/>
  <c r="J104" i="1" s="1"/>
  <c r="J171" i="1"/>
  <c r="G29" i="41" l="1"/>
  <c r="G30" i="41" s="1"/>
  <c r="I30" i="41" s="1"/>
  <c r="I32" i="41" l="1"/>
  <c r="O19" i="41" s="1"/>
  <c r="P19" i="41" s="1"/>
  <c r="O17" i="41" l="1"/>
  <c r="P17" i="41" s="1"/>
  <c r="O18" i="41"/>
  <c r="P18" i="41" s="1"/>
  <c r="J105" i="1"/>
  <c r="J115" i="1" l="1"/>
  <c r="J175" i="1" s="1"/>
  <c r="G39" i="41" l="1"/>
  <c r="G40" i="41" s="1"/>
  <c r="I40" i="41" s="1"/>
  <c r="J170" i="1"/>
  <c r="J172" i="1" s="1"/>
  <c r="J177" i="1" s="1"/>
  <c r="J15" i="1" l="1"/>
  <c r="J28" i="1" s="1"/>
  <c r="E16" i="68" s="1"/>
  <c r="E18" i="68" s="1"/>
  <c r="E40" i="1" l="1"/>
  <c r="E44" i="1" s="1"/>
  <c r="E42" i="1"/>
  <c r="G36" i="41"/>
  <c r="I36" i="41" s="1"/>
  <c r="I42" i="41" s="1"/>
  <c r="E46" i="1" l="1"/>
  <c r="E50" i="1"/>
  <c r="J54" i="1"/>
  <c r="E54" i="1"/>
  <c r="R19" i="41"/>
  <c r="S19" i="41" s="1"/>
  <c r="U19" i="41" s="1"/>
  <c r="W19" i="41" s="1"/>
  <c r="R18" i="41"/>
  <c r="S18" i="41" s="1"/>
  <c r="U18" i="41" s="1"/>
  <c r="W18" i="41" s="1"/>
  <c r="R17" i="41"/>
  <c r="S17" i="41" s="1"/>
  <c r="U17" i="41" s="1"/>
  <c r="U37" i="41" l="1"/>
  <c r="W17" i="41"/>
  <c r="W37" i="41" s="1"/>
  <c r="W39" i="41" s="1"/>
  <c r="E23" i="1" s="1"/>
  <c r="J23" i="1" l="1"/>
  <c r="E20" i="68"/>
  <c r="E23" i="68" s="1"/>
  <c r="E24" i="68" l="1"/>
  <c r="E52" i="1" l="1"/>
  <c r="J52" i="1"/>
</calcChain>
</file>

<file path=xl/sharedStrings.xml><?xml version="1.0" encoding="utf-8"?>
<sst xmlns="http://schemas.openxmlformats.org/spreadsheetml/2006/main" count="999" uniqueCount="731">
  <si>
    <t xml:space="preserve">219.28.c </t>
  </si>
  <si>
    <t>1a</t>
  </si>
  <si>
    <t>Less Account 565</t>
  </si>
  <si>
    <t>Capital Structure</t>
  </si>
  <si>
    <t xml:space="preserve">Formula Rate - Non-Levelized </t>
  </si>
  <si>
    <t xml:space="preserve"> </t>
  </si>
  <si>
    <t>Line</t>
  </si>
  <si>
    <t>Allocated</t>
  </si>
  <si>
    <t>No.</t>
  </si>
  <si>
    <t>Amount</t>
  </si>
  <si>
    <t>Total</t>
  </si>
  <si>
    <t>Allocator</t>
  </si>
  <si>
    <t>TP</t>
  </si>
  <si>
    <t>NET REVENUE REQUIREMENT</t>
  </si>
  <si>
    <t>(Note C)</t>
  </si>
  <si>
    <t>(Note D)</t>
  </si>
  <si>
    <t>(1)</t>
  </si>
  <si>
    <t>(2)</t>
  </si>
  <si>
    <t>(3)</t>
  </si>
  <si>
    <t>(4)</t>
  </si>
  <si>
    <t>(5)</t>
  </si>
  <si>
    <t>Form No. 1</t>
  </si>
  <si>
    <t>Transmission</t>
  </si>
  <si>
    <t>Page, Line, Col.</t>
  </si>
  <si>
    <t>Company Total</t>
  </si>
  <si>
    <t>GROSS PLANT IN SERVICE</t>
  </si>
  <si>
    <t xml:space="preserve">  Production</t>
  </si>
  <si>
    <t>NA</t>
  </si>
  <si>
    <t xml:space="preserve">  Transmission</t>
  </si>
  <si>
    <t xml:space="preserve">  Distribution</t>
  </si>
  <si>
    <t xml:space="preserve">  General &amp; Intangible</t>
  </si>
  <si>
    <t>W/S</t>
  </si>
  <si>
    <t xml:space="preserve">  Common</t>
  </si>
  <si>
    <t>TOTAL GROSS PLANT (sum lines 1-5)</t>
  </si>
  <si>
    <t>GP=</t>
  </si>
  <si>
    <t>ACCUMULATED DEPRECIATION</t>
  </si>
  <si>
    <t>TOTAL ACCUM. DEPRECIATION (sum lines 7-11)</t>
  </si>
  <si>
    <t>NET PLANT IN SERVICE</t>
  </si>
  <si>
    <t xml:space="preserve"> (line 3 - line 9)</t>
  </si>
  <si>
    <t xml:space="preserve"> (line 4 - line 10)</t>
  </si>
  <si>
    <t xml:space="preserve"> (line 5 - line 11)</t>
  </si>
  <si>
    <t>TOTAL NET PLANT (sum lines 13-17)</t>
  </si>
  <si>
    <t>NP=</t>
  </si>
  <si>
    <t>NP</t>
  </si>
  <si>
    <t>TE</t>
  </si>
  <si>
    <t>GP</t>
  </si>
  <si>
    <t>TOTAL WORKING CAPITAL (sum lines 26 - 28)</t>
  </si>
  <si>
    <t>O&amp;M</t>
  </si>
  <si>
    <t xml:space="preserve">  Transmission </t>
  </si>
  <si>
    <t xml:space="preserve">  A&amp;G</t>
  </si>
  <si>
    <t xml:space="preserve">  Transmission Lease Payments</t>
  </si>
  <si>
    <t>DEPRECIATION EXPENSE</t>
  </si>
  <si>
    <t>TOTAL DEPRECIATION (Sum lines 9 - 11)</t>
  </si>
  <si>
    <t xml:space="preserve">  LABOR RELATED</t>
  </si>
  <si>
    <t xml:space="preserve">  PLANT RELATED</t>
  </si>
  <si>
    <t xml:space="preserve">         Gross Receipts</t>
  </si>
  <si>
    <t xml:space="preserve">         Other</t>
  </si>
  <si>
    <t xml:space="preserve">         Payments in lieu of taxes</t>
  </si>
  <si>
    <t>TOTAL OTHER TAXES  (sum lines 13 - 19)</t>
  </si>
  <si>
    <t xml:space="preserve">  </t>
  </si>
  <si>
    <t xml:space="preserve">RETURN </t>
  </si>
  <si>
    <t xml:space="preserve">TRANSMISSION EXPENSES </t>
  </si>
  <si>
    <t>Total transmission expenses    (page 3, line 1, column 3)</t>
  </si>
  <si>
    <t>TE=</t>
  </si>
  <si>
    <t>TP=</t>
  </si>
  <si>
    <t>WAGES &amp; SALARY ALLOCATOR   (W&amp;S)</t>
  </si>
  <si>
    <t>Form 1 Reference</t>
  </si>
  <si>
    <t>$</t>
  </si>
  <si>
    <t>Allocation</t>
  </si>
  <si>
    <t>354.20.b</t>
  </si>
  <si>
    <t>W&amp;S Allocator</t>
  </si>
  <si>
    <t xml:space="preserve">  Other</t>
  </si>
  <si>
    <t>($ / Allocation)</t>
  </si>
  <si>
    <t>=</t>
  </si>
  <si>
    <t>% Electric</t>
  </si>
  <si>
    <t xml:space="preserve">  Electric</t>
  </si>
  <si>
    <t>200.3.c</t>
  </si>
  <si>
    <t>(line 17 / line 20)</t>
  </si>
  <si>
    <t>(line 16)</t>
  </si>
  <si>
    <t>CE</t>
  </si>
  <si>
    <t xml:space="preserve">  Gas</t>
  </si>
  <si>
    <t>*</t>
  </si>
  <si>
    <t xml:space="preserve">  Water</t>
  </si>
  <si>
    <t>RETURN (R)</t>
  </si>
  <si>
    <t>Preferred Dividends (118.29c) (positive number)</t>
  </si>
  <si>
    <t>(sum lines 23-25)</t>
  </si>
  <si>
    <t>%</t>
  </si>
  <si>
    <t>Weighted</t>
  </si>
  <si>
    <t>REVENUE CREDITS</t>
  </si>
  <si>
    <t>(310-311)</t>
  </si>
  <si>
    <t xml:space="preserve">  Total of (a)-(b)</t>
  </si>
  <si>
    <t>General Note:  References to pages in this formulary rate are indicated as:  (page#, line#, col.#)</t>
  </si>
  <si>
    <t xml:space="preserve">                           References to data from FERC Form 1 are indicated as:   #.y.x  (page, line, column)</t>
  </si>
  <si>
    <t>Note</t>
  </si>
  <si>
    <t>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</si>
  <si>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</si>
  <si>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</si>
  <si>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</si>
  <si>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</si>
  <si>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</si>
  <si>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</si>
  <si>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</si>
  <si>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</si>
  <si>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</si>
  <si>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</si>
  <si>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</si>
  <si>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</si>
  <si>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</si>
  <si>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</si>
  <si>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</si>
  <si>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</si>
  <si>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</si>
  <si>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Account 454</t>
  </si>
  <si>
    <t>Includes income related only to transmission facilities, such as pole attachments, rentals and special use.</t>
  </si>
  <si>
    <t>TOTAL ADJUSTMENTS  (sum lines 19- 23)</t>
  </si>
  <si>
    <t xml:space="preserve">  Account No. 281 (enter negative)</t>
  </si>
  <si>
    <t xml:space="preserve">  Account No. 282 (enter negative)</t>
  </si>
  <si>
    <t xml:space="preserve">  Account No. 283 (enter negative)</t>
  </si>
  <si>
    <t xml:space="preserve">  Account No. 255 (enter negative)</t>
  </si>
  <si>
    <t xml:space="preserve">  Account No. 190 </t>
  </si>
  <si>
    <t>RATE BASE  (sum lines 18, 24, 25, &amp; 29)</t>
  </si>
  <si>
    <t>Total Income Taxes</t>
  </si>
  <si>
    <t>(page 4, line 34)</t>
  </si>
  <si>
    <t xml:space="preserve">     T=1 - {[(1 - SIT) * (1 - FIT)] / (1 - SIT * FIT * p)} =</t>
  </si>
  <si>
    <t xml:space="preserve">     CIT=(T/1-T) * (1-(WCLTD/R)) =</t>
  </si>
  <si>
    <t xml:space="preserve">      1 / (1 - T)  = (from line 21)</t>
  </si>
  <si>
    <t>ITC adjustment (line 23 * line 24)</t>
  </si>
  <si>
    <t>(line 25 plus line 26)</t>
  </si>
  <si>
    <t>5a</t>
  </si>
  <si>
    <t>zero</t>
  </si>
  <si>
    <t>Percentage of transmission expenses after adjustment (line 8 divided by line 6)</t>
  </si>
  <si>
    <t>Included transmission expenses (line 6 less line 7)</t>
  </si>
  <si>
    <t>219.25.c</t>
  </si>
  <si>
    <t>219.26.c</t>
  </si>
  <si>
    <t>Jan</t>
  </si>
  <si>
    <t>Feb</t>
  </si>
  <si>
    <t>Mar</t>
  </si>
  <si>
    <t>Apr</t>
  </si>
  <si>
    <t>Jun</t>
  </si>
  <si>
    <t>Aug</t>
  </si>
  <si>
    <t>Dec</t>
  </si>
  <si>
    <t>Average</t>
  </si>
  <si>
    <t>Notes:</t>
  </si>
  <si>
    <t>219.20-24.c</t>
  </si>
  <si>
    <t>Balancing Authority Costs</t>
  </si>
  <si>
    <t>Production</t>
  </si>
  <si>
    <t>Distribution</t>
  </si>
  <si>
    <t>Page 1 of 2</t>
  </si>
  <si>
    <t>O&amp;M EXPENSE</t>
  </si>
  <si>
    <t>9</t>
  </si>
  <si>
    <t>10</t>
  </si>
  <si>
    <t>TAXES OTHER THAN INCOME TAXES</t>
  </si>
  <si>
    <t>11</t>
  </si>
  <si>
    <t>Total Other Taxes</t>
  </si>
  <si>
    <t>12</t>
  </si>
  <si>
    <t>INCOME TAXES</t>
  </si>
  <si>
    <t>Return on Rate Base</t>
  </si>
  <si>
    <t>Page 2 of 2</t>
  </si>
  <si>
    <t>(Note F)</t>
  </si>
  <si>
    <t>Non-Transmission Related Portion</t>
  </si>
  <si>
    <t>Project Name</t>
  </si>
  <si>
    <t>Amount of Safety Related Advertising</t>
  </si>
  <si>
    <t>A&amp;G Expense</t>
  </si>
  <si>
    <t>Transmission Expense</t>
  </si>
  <si>
    <t>Balancing Authority Costs in 561 through 561.3</t>
  </si>
  <si>
    <t>Sole use Property</t>
  </si>
  <si>
    <t>Distribution Use</t>
  </si>
  <si>
    <t>Gross Transmission Plant - Total</t>
  </si>
  <si>
    <t>Net Transmission Plant - Total</t>
  </si>
  <si>
    <t>Total O&amp;M Allocated to Transmission</t>
  </si>
  <si>
    <t>Annual Allocation Factor for O&amp;M</t>
  </si>
  <si>
    <t>(line 3 divided by line 1 col 3)</t>
  </si>
  <si>
    <t>5</t>
  </si>
  <si>
    <t>6</t>
  </si>
  <si>
    <t>Annual Allocation Factor for Other Taxes</t>
  </si>
  <si>
    <t>(line 5 divided by line 1 col 3)</t>
  </si>
  <si>
    <t>7</t>
  </si>
  <si>
    <t>Annual Allocation Factor for Expense</t>
  </si>
  <si>
    <t>8</t>
  </si>
  <si>
    <t>Annual Allocation Factor for Income Taxes</t>
  </si>
  <si>
    <t>Annual Allocation Factor for Return on Rate Base</t>
  </si>
  <si>
    <t>Annual Allocation Factor for Return</t>
  </si>
  <si>
    <t>Line No.</t>
  </si>
  <si>
    <t xml:space="preserve">Project Gross Plant </t>
  </si>
  <si>
    <t>Annual Expense Charge</t>
  </si>
  <si>
    <t xml:space="preserve">Project Net Plant </t>
  </si>
  <si>
    <t>Annual Return Charge</t>
  </si>
  <si>
    <t>Project Depreciation Expense</t>
  </si>
  <si>
    <t>Annual Revenue Requirement</t>
  </si>
  <si>
    <t>True-Up Adjustment</t>
  </si>
  <si>
    <t>Network Upgrade Charge</t>
  </si>
  <si>
    <t>(Page 1 line 7)</t>
  </si>
  <si>
    <t>(Col. 3 * Col. 4)</t>
  </si>
  <si>
    <t>(Page 1 line 12)</t>
  </si>
  <si>
    <t>(Col. 6 * Col. 7)</t>
  </si>
  <si>
    <t>(Note E)</t>
  </si>
  <si>
    <t>(Sum Col. 5, 8 &amp; 9)</t>
  </si>
  <si>
    <t>Sum Col. 10 &amp; 11
(Note G)</t>
  </si>
  <si>
    <t>1b</t>
  </si>
  <si>
    <t>1c</t>
  </si>
  <si>
    <t>2</t>
  </si>
  <si>
    <t>Annual Totals</t>
  </si>
  <si>
    <t>Project Gross Plant is the total capital investment for the project calculated in the same method as the gross plant value in line 1 and includes CWIP in rate base if applicable.  This value includes subsequent capital investments required to maintain the facilities to their original capabilities.</t>
  </si>
  <si>
    <t>Project Net Plant is the Project Gross Plant Identified in Column 3 less the associated Accumulated Depreciation.</t>
  </si>
  <si>
    <t>True-Up Adjustment is included pursuant to a FERC approved methodology if applicable.</t>
  </si>
  <si>
    <t>The Network Upgrade Charge is the value to be used in Schedule 26.</t>
  </si>
  <si>
    <t>Rate Formula Template</t>
  </si>
  <si>
    <t>Tower Lease Revenues in per Books Total above</t>
  </si>
  <si>
    <t>(In Dollars)</t>
  </si>
  <si>
    <t>Actual</t>
  </si>
  <si>
    <t>GENERAL AND COMMON (G&amp;C) DEPRECIATION EXPENSE</t>
  </si>
  <si>
    <t>Total G&amp;C Depreciation Expense</t>
  </si>
  <si>
    <t>Annual Allocation Factor for G&amp;C Depreciation Expense</t>
  </si>
  <si>
    <t>13</t>
  </si>
  <si>
    <t>14</t>
  </si>
  <si>
    <t>Transmission Related</t>
  </si>
  <si>
    <t>May</t>
  </si>
  <si>
    <t>Jul</t>
  </si>
  <si>
    <t>Sep</t>
  </si>
  <si>
    <t>Oct</t>
  </si>
  <si>
    <t>Nov</t>
  </si>
  <si>
    <t>SUPPORTING CALCULATIONS AND NOTES</t>
  </si>
  <si>
    <t>Network Upgrade Charge Calculation By Project</t>
  </si>
  <si>
    <t>Annual Cost ($/kW/Yr) - 1 CP</t>
  </si>
  <si>
    <t>RATE BASE</t>
  </si>
  <si>
    <t>$/MWh</t>
  </si>
  <si>
    <t>MWh</t>
  </si>
  <si>
    <t>Schedule 1A Rate Calculations</t>
  </si>
  <si>
    <t>B.</t>
  </si>
  <si>
    <t>Net Schedule 1A Revenue Requirement for Zone</t>
  </si>
  <si>
    <t>Total Load Dispatch &amp; Scheduling (Account 561)</t>
  </si>
  <si>
    <t>A.</t>
  </si>
  <si>
    <t>Requirement</t>
  </si>
  <si>
    <t>Revenue</t>
  </si>
  <si>
    <t>Transmission Formula Rate Revenue Requirement</t>
  </si>
  <si>
    <t>Schedule 1A Annual Revenue Requirements</t>
  </si>
  <si>
    <t>Appendix A</t>
  </si>
  <si>
    <t>Page 1 of 1</t>
  </si>
  <si>
    <t>Source</t>
  </si>
  <si>
    <t>Reserved</t>
  </si>
  <si>
    <t>Schedule 1A Rate Calculation</t>
  </si>
  <si>
    <t>RTEP - Transmission Enhancement Charges</t>
  </si>
  <si>
    <t>or from the ISO (for service under this tariff) reflecting the Transmission Owner's integrated transmission facilities.  They do not include</t>
  </si>
  <si>
    <t>(page 4, line 35)</t>
  </si>
  <si>
    <t>DIVISOR</t>
  </si>
  <si>
    <t>(line 7 / line 8)</t>
  </si>
  <si>
    <t>Remove Non-Transmission and Non-ISO Related Revenues:</t>
  </si>
  <si>
    <t>TRANSMISSION PLANT INCLUDED IN ISO RATES</t>
  </si>
  <si>
    <t>Total transmission plant (page 2, line 2, column 3)</t>
  </si>
  <si>
    <t>Transmission plant included in ISO Rates  (line 1 less lines 2 &amp; 3)</t>
  </si>
  <si>
    <t>Percentage of transmission plant included in ISO Rates (line 4 divided by line 1)</t>
  </si>
  <si>
    <t>Percentage of transmission plant included in ISO Rates (line 5)</t>
  </si>
  <si>
    <t>Percentage of transmission expenses included in ISO Rates (line 9 times line 10)</t>
  </si>
  <si>
    <t>Determination of Transmission Plant Included in OATT Ancillary Services</t>
  </si>
  <si>
    <t>GROSS REVENUE REQUIREMENT    (page 3, line 29)</t>
  </si>
  <si>
    <t>COMMON PLANT ALLOCATOR  (CE)</t>
  </si>
  <si>
    <t>266.8.f (enter negative)</t>
  </si>
  <si>
    <t>Amortized Investment Tax Credit</t>
  </si>
  <si>
    <t>REVENUE REQUIREMENT  (sum lines 8, 12, 20, 27, 28)</t>
  </si>
  <si>
    <t>Income Tax Calculation (line 22 * line 28)</t>
  </si>
  <si>
    <t xml:space="preserve">  b. Bundled Sales for Resale included in Divisor on page 1</t>
  </si>
  <si>
    <t>The Total General and Common Depreciation Expense excludes any depreciation expense directly associated with a project and thereby included in page 2 column 9.</t>
  </si>
  <si>
    <t>TRANSMISSION PLANT</t>
  </si>
  <si>
    <t>RTEP Project Number</t>
  </si>
  <si>
    <t>Sum of lines 11 and 13</t>
  </si>
  <si>
    <t>Appendix B</t>
  </si>
  <si>
    <t xml:space="preserve"> (line 1 - line 7)</t>
  </si>
  <si>
    <t xml:space="preserve"> (line 2 - line 8)</t>
  </si>
  <si>
    <t>(Col. 3 times Col. 4)</t>
  </si>
  <si>
    <t>Account No. 454</t>
  </si>
  <si>
    <t>Less FERC Annual Fees</t>
  </si>
  <si>
    <t>Highway and vehicle</t>
  </si>
  <si>
    <t>revenues associated with FERC annual charges, gross receipts taxes, ancillary services, or facilities not included in this template (e.g., direct</t>
  </si>
  <si>
    <t>17a</t>
  </si>
  <si>
    <t>Annual Cost ($/kW/Yr) - 12 CP</t>
  </si>
  <si>
    <t>(line 7 / line 9)</t>
  </si>
  <si>
    <t>Network Rate ($/kW/Mo)</t>
  </si>
  <si>
    <t>(line 15 / 12)</t>
  </si>
  <si>
    <t>Point-To-Point Rate ($/kW/Mo)</t>
  </si>
  <si>
    <t>(line 16 / 12)</t>
  </si>
  <si>
    <t>Point-To-Point Rate ($/kW/Wk)</t>
  </si>
  <si>
    <t>Point-To-Point Rate ($/kW/Day)</t>
  </si>
  <si>
    <t>Point-To-Point Rate ($/MWh)</t>
  </si>
  <si>
    <t>(line 16 / 52; line 16 / 52)</t>
  </si>
  <si>
    <t>(line 16 / 260; line 16 / 365)</t>
  </si>
  <si>
    <t>(line 16 / 4,160; line 16 / 8,760 * 1000)</t>
  </si>
  <si>
    <t>Off-Peak Rate</t>
  </si>
  <si>
    <t>Capped at weekly rate</t>
  </si>
  <si>
    <t>Capped at weekly and daily rate</t>
  </si>
  <si>
    <t>(A)</t>
  </si>
  <si>
    <t>(B)</t>
  </si>
  <si>
    <t>(C)</t>
  </si>
  <si>
    <t>The revenues credited on page 1 lines 2-5c shall include only the amounts received directly (in the case of grandfathered agreements)</t>
  </si>
  <si>
    <t>Sum of lines 4, 6 and 8</t>
  </si>
  <si>
    <t>FERC</t>
  </si>
  <si>
    <t>Company</t>
  </si>
  <si>
    <t>Account</t>
  </si>
  <si>
    <t xml:space="preserve">Accrual </t>
  </si>
  <si>
    <t>Number</t>
  </si>
  <si>
    <t>Description</t>
  </si>
  <si>
    <t>Rates</t>
  </si>
  <si>
    <t>(D)</t>
  </si>
  <si>
    <t>Station Equipment</t>
  </si>
  <si>
    <t>Poles &amp; Fixtures</t>
  </si>
  <si>
    <t>Overhead Conductors &amp; Devices</t>
  </si>
  <si>
    <t>General and Intagible Plant</t>
  </si>
  <si>
    <t>Transportation Equipment</t>
  </si>
  <si>
    <t>Miscellaneous Intangible Plant</t>
  </si>
  <si>
    <t>Stores Equipment</t>
  </si>
  <si>
    <t>Portion Attributable to Transmission</t>
  </si>
  <si>
    <t>354.18.b</t>
  </si>
  <si>
    <t>354.19.b</t>
  </si>
  <si>
    <t>East Kentucky Power Cooperative</t>
  </si>
  <si>
    <t>EKPC</t>
  </si>
  <si>
    <t>gross</t>
  </si>
  <si>
    <t>depr</t>
  </si>
  <si>
    <t>net</t>
  </si>
  <si>
    <t>336.7.f</t>
  </si>
  <si>
    <t>336.9.f</t>
  </si>
  <si>
    <t>336.10.f</t>
  </si>
  <si>
    <t>Long Term Interest (117, sum of 58.c through 65.c)</t>
  </si>
  <si>
    <t>Proprietary Capital (112.15.c)</t>
  </si>
  <si>
    <t xml:space="preserve">  a. Bundled Non-RQ Sales for Resale (311.x.k)</t>
  </si>
  <si>
    <t>Proposed East London Substation Site</t>
  </si>
  <si>
    <t>Station Equipment - ECS</t>
  </si>
  <si>
    <t>Towers and Fixtures - Trans Plant</t>
  </si>
  <si>
    <t>Structures and Improvements - General Plant</t>
  </si>
  <si>
    <t>Office Furn &amp; Equip - Gen Plant</t>
  </si>
  <si>
    <t>Office Furn &amp; Equip - Peoplesoft</t>
  </si>
  <si>
    <t>Tools, Shop &amp; Garage Equipment</t>
  </si>
  <si>
    <t>Lab Equipment - General Plant</t>
  </si>
  <si>
    <t>Power Operated Equip - Gen Plant</t>
  </si>
  <si>
    <t>Communication Equipment - General Plant</t>
  </si>
  <si>
    <t>Communication Bldgs &amp; Towers</t>
  </si>
  <si>
    <t>Communication Eq - ECS - General Plant</t>
  </si>
  <si>
    <t>Misc Equip - General Plant</t>
  </si>
  <si>
    <t>Roads and Trails - Trans Plant</t>
  </si>
  <si>
    <t>Development of Cost of L.T. Interest</t>
  </si>
  <si>
    <t>Average Cost of Debt (Line 1/Line 2)</t>
  </si>
  <si>
    <t>Value</t>
  </si>
  <si>
    <t>Percent</t>
  </si>
  <si>
    <t>Weighted Cost</t>
  </si>
  <si>
    <t>Long Term Debt</t>
  </si>
  <si>
    <t>Revenues from service provided by the ISO at a discount</t>
  </si>
  <si>
    <t>Allocation of Account 163</t>
  </si>
  <si>
    <t>M&amp;S</t>
  </si>
  <si>
    <t>Percentage</t>
  </si>
  <si>
    <t>Total M&amp;S</t>
  </si>
  <si>
    <t>EKPC Firm Transmission for Others (kW)</t>
  </si>
  <si>
    <t>Total EKPC Firm Transmission for Others Subtotal (kW)</t>
  </si>
  <si>
    <t>Total EKPC Monthly Transmission System Peak Load</t>
  </si>
  <si>
    <t xml:space="preserve">     Bedford</t>
  </si>
  <si>
    <t xml:space="preserve">     Columbia  </t>
  </si>
  <si>
    <t xml:space="preserve">     Columbia South</t>
  </si>
  <si>
    <t xml:space="preserve">     Garrard</t>
  </si>
  <si>
    <t xml:space="preserve">     Horse Cave  </t>
  </si>
  <si>
    <t xml:space="preserve">     Hunters Bottom</t>
  </si>
  <si>
    <t xml:space="preserve">     Liberty</t>
  </si>
  <si>
    <t xml:space="preserve">     Mackville</t>
  </si>
  <si>
    <t xml:space="preserve">     Munfordville</t>
  </si>
  <si>
    <t xml:space="preserve">     Owingsville</t>
  </si>
  <si>
    <t xml:space="preserve">     Revelo</t>
  </si>
  <si>
    <t xml:space="preserve">     Russell Springs</t>
  </si>
  <si>
    <t xml:space="preserve">     Whitley City</t>
  </si>
  <si>
    <r>
      <t>Common Transmission</t>
    </r>
    <r>
      <rPr>
        <b/>
        <sz val="12"/>
        <rFont val="Arial MT"/>
      </rPr>
      <t xml:space="preserve"> </t>
    </r>
  </si>
  <si>
    <t>Appendix D</t>
  </si>
  <si>
    <t>Acct 456 less non-transmission and non-ISO revenue</t>
  </si>
  <si>
    <t>Page 7 of 8</t>
  </si>
  <si>
    <t>Page 8 of 8</t>
  </si>
  <si>
    <t>Page 6 of 8</t>
  </si>
  <si>
    <t>Page 5 of 8</t>
  </si>
  <si>
    <t>Page 4 of 8</t>
  </si>
  <si>
    <t>Page 3 of 8</t>
  </si>
  <si>
    <t>Page 2 of 8</t>
  </si>
  <si>
    <t>Page 1 of 8</t>
  </si>
  <si>
    <t>Reported on EKPC Form FF1</t>
  </si>
  <si>
    <t>Development of Required Return</t>
  </si>
  <si>
    <t>Total (Line 4 plus Line 5)</t>
  </si>
  <si>
    <t>Total  (sum lines 27-28)</t>
  </si>
  <si>
    <t>TIER =</t>
  </si>
  <si>
    <t>Detail of Land Held for Future Use (1)</t>
  </si>
  <si>
    <t xml:space="preserve">  Notes:</t>
  </si>
  <si>
    <t xml:space="preserve"> Notes:</t>
  </si>
  <si>
    <t>Revenue Credits for Sched 1 / Acct 561 (2)</t>
  </si>
  <si>
    <t>Adjusted B.A. Costs</t>
  </si>
  <si>
    <t>Generation Step-up Transformers (1)</t>
  </si>
  <si>
    <t>Balances</t>
  </si>
  <si>
    <t>Materials and Supplies (1)</t>
  </si>
  <si>
    <t>(2) Unallocated M&amp;S balance as of Year End</t>
  </si>
  <si>
    <t>GSU's Total</t>
  </si>
  <si>
    <t xml:space="preserve">    plus transmission service provided for others over the EKPC transmission system, plus wheel-out to EKPC load connected to AEP/KP, Duke Ky, and LGE/KU</t>
  </si>
  <si>
    <t>GFA Revenues</t>
  </si>
  <si>
    <t>Account 456, 459</t>
  </si>
  <si>
    <t>Transmission Enhancement Credit</t>
  </si>
  <si>
    <t>Appendix C</t>
  </si>
  <si>
    <t xml:space="preserve">Actual Transmission Revenue Requirement for 12 Months Ended </t>
  </si>
  <si>
    <t xml:space="preserve">Remove Reconciliation Adjustment for 12 months ended </t>
  </si>
  <si>
    <t xml:space="preserve">Reconciliation Adjustment for 12 Months Ended </t>
  </si>
  <si>
    <t>Reconciliation Adjustment for Transmission Revenue Requirements</t>
  </si>
  <si>
    <t>Reconciliation Adjustment for Schedule 1A Charges</t>
  </si>
  <si>
    <t xml:space="preserve">Actual Schedule 1A Costs for 12 Months Ended </t>
  </si>
  <si>
    <t>(6)</t>
  </si>
  <si>
    <t>(7)</t>
  </si>
  <si>
    <t>(8)</t>
  </si>
  <si>
    <t>6a</t>
  </si>
  <si>
    <t>(line 1 minus line 6 plus line 6a)</t>
  </si>
  <si>
    <t xml:space="preserve">Less: Actual Transmission Revenue Collected for 12 months Ended </t>
  </si>
  <si>
    <t>Number of Months being Trued Up</t>
  </si>
  <si>
    <t xml:space="preserve"> Monthly Interest Rate--Final FERC rate (4)</t>
  </si>
  <si>
    <t xml:space="preserve">Less: Actual Sch. 1A Revenue Collected for 12 months Ended </t>
  </si>
  <si>
    <t xml:space="preserve">ACCOUNT 447 (BUNDLED SALES FOR RESALE) </t>
  </si>
  <si>
    <t>Proprietary Capital (Note 3)</t>
  </si>
  <si>
    <t>Effective TIER (Note 4)</t>
  </si>
  <si>
    <t>Long term Interest (Note 1)</t>
  </si>
  <si>
    <t>Outstanding Long Term Debt (Note 2)</t>
  </si>
  <si>
    <t>Cost (Note 4)</t>
  </si>
  <si>
    <t>1.</t>
  </si>
  <si>
    <t>2.</t>
  </si>
  <si>
    <t>3.</t>
  </si>
  <si>
    <t>4.</t>
  </si>
  <si>
    <t xml:space="preserve">Debt cost rate = long-term interest (line 21) / long term debt (line 27). </t>
  </si>
  <si>
    <t xml:space="preserve">assignment facilities and GSUs) which are not recovered under this Formulary Rate Template. </t>
  </si>
  <si>
    <t>page 5 of 5</t>
  </si>
  <si>
    <t>page 4 of 5</t>
  </si>
  <si>
    <t>page 3 of 5</t>
  </si>
  <si>
    <t>page 2 of 5</t>
  </si>
  <si>
    <t>page 1 of 5</t>
  </si>
  <si>
    <t xml:space="preserve">   Less:  Regulatory Expense unrelated to transmission (2)</t>
  </si>
  <si>
    <t>True-Up Principal Under(Over) Recovery before Interest                                    (Line 12 - Line 13)</t>
  </si>
  <si>
    <t>(9)</t>
  </si>
  <si>
    <t>10)</t>
  </si>
  <si>
    <t>NOTES:</t>
  </si>
  <si>
    <t>Transmission plant included in OATT Ancillary Services (2)</t>
  </si>
  <si>
    <t>206.58.g</t>
  </si>
  <si>
    <t>206.75.g</t>
  </si>
  <si>
    <t>204.5.g &amp; 206.90.g</t>
  </si>
  <si>
    <t>272.Total 281.k</t>
  </si>
  <si>
    <t>274.Total 282.k</t>
  </si>
  <si>
    <t>276.Total 283.k</t>
  </si>
  <si>
    <t>234.Total 190.c</t>
  </si>
  <si>
    <t>266.Total.h</t>
  </si>
  <si>
    <t xml:space="preserve">227.8.c  </t>
  </si>
  <si>
    <t xml:space="preserve">ADJUSTMENTS TO RATE BASE </t>
  </si>
  <si>
    <t>N/A</t>
  </si>
  <si>
    <t xml:space="preserve">WORKING CAPITAL    </t>
  </si>
  <si>
    <t xml:space="preserve">  Materials &amp; Supplies  </t>
  </si>
  <si>
    <t xml:space="preserve">Less transmission plant excluded from ISO rates  </t>
  </si>
  <si>
    <t>Long Term Debt (112.23c)</t>
  </si>
  <si>
    <t xml:space="preserve">ACCOUNT 456.1 (OTHER ELECTRIC REVENUES)        </t>
  </si>
  <si>
    <t>EKPC Form FF1 Ref Pg 117 Row 58, Column b, Current Year</t>
  </si>
  <si>
    <t>204.46.g</t>
  </si>
  <si>
    <t>321.100</t>
  </si>
  <si>
    <t>321.Acct 565</t>
  </si>
  <si>
    <t>321.168</t>
  </si>
  <si>
    <t>A&amp;G Expense, Page 321, line 168, Current Year</t>
  </si>
  <si>
    <t>Total EKPC Account 456130 Transmission Service</t>
  </si>
  <si>
    <t>Transmission Plant (1)</t>
  </si>
  <si>
    <t>Regulatory Commission Expense Related to Transmission</t>
  </si>
  <si>
    <t xml:space="preserve">Long Term Debt </t>
  </si>
  <si>
    <t>Schedule 1A rate $/MWh (Line 5 / Line 6)</t>
  </si>
  <si>
    <t>Note 2</t>
  </si>
  <si>
    <t>Note 1</t>
  </si>
  <si>
    <t xml:space="preserve">Revenue Credits for Schedule 1A </t>
  </si>
  <si>
    <t>Note 3</t>
  </si>
  <si>
    <t>Property Description</t>
  </si>
  <si>
    <t>5b</t>
  </si>
  <si>
    <t>Less KPSC Regulatory Expenses</t>
  </si>
  <si>
    <t xml:space="preserve">Less Non-safety  Advertising </t>
  </si>
  <si>
    <t>Plus Transmission Related Regulatory Exp</t>
  </si>
  <si>
    <t>Amount of Non-Safety Related Advertising  (1)</t>
  </si>
  <si>
    <t>Regulatory Commission Expense - Account 928</t>
  </si>
  <si>
    <t>1</t>
  </si>
  <si>
    <t>3</t>
  </si>
  <si>
    <t>4</t>
  </si>
  <si>
    <t>Adjustments</t>
  </si>
  <si>
    <t>Rent from Electric Property FF1 Pg 300, Account 454</t>
  </si>
  <si>
    <t xml:space="preserve">Total Other Transmission Revenue Credits </t>
  </si>
  <si>
    <t>Note 4</t>
  </si>
  <si>
    <t>Total Account 454</t>
  </si>
  <si>
    <t>Note A</t>
  </si>
  <si>
    <t>Note B</t>
  </si>
  <si>
    <t>Note C</t>
  </si>
  <si>
    <t>Note D</t>
  </si>
  <si>
    <t>Note E</t>
  </si>
  <si>
    <t>Note H</t>
  </si>
  <si>
    <t>Note I</t>
  </si>
  <si>
    <t>Note J</t>
  </si>
  <si>
    <t>Note L</t>
  </si>
  <si>
    <t>Note N</t>
  </si>
  <si>
    <t>Development of Cost of Capital:</t>
  </si>
  <si>
    <t>(112.15.c)</t>
  </si>
  <si>
    <t xml:space="preserve">Less Account 216.1 </t>
  </si>
  <si>
    <t>(112.12.c)  (enter negative)</t>
  </si>
  <si>
    <t>Proprietary Capital</t>
  </si>
  <si>
    <t xml:space="preserve">ACCOUNT 454 (RENT FROM ELECTRIC PROPERTY) </t>
  </si>
  <si>
    <t xml:space="preserve">Effective TIER </t>
  </si>
  <si>
    <t>Note M</t>
  </si>
  <si>
    <t>Less transmission expenses included in OATT Ancillary Services</t>
  </si>
  <si>
    <t>Less transmission plant included in OATT Ancillary Services</t>
  </si>
  <si>
    <t xml:space="preserve">INCOME TAXES     </t>
  </si>
  <si>
    <t xml:space="preserve">TAXES OTHER THAN INCOME TAXES   </t>
  </si>
  <si>
    <t xml:space="preserve">  Prepayments (Account 165) </t>
  </si>
  <si>
    <t xml:space="preserve">  CWC  </t>
  </si>
  <si>
    <t xml:space="preserve">LAND HELD FOR FUTURE USE   </t>
  </si>
  <si>
    <t xml:space="preserve">1 CP   </t>
  </si>
  <si>
    <t xml:space="preserve">12 CP </t>
  </si>
  <si>
    <t xml:space="preserve">True-up Adjustment   </t>
  </si>
  <si>
    <t xml:space="preserve">REVENUE CREDITS </t>
  </si>
  <si>
    <t>Account No. 456.1 (Net of Revenues from Grandfathered Transactions)</t>
  </si>
  <si>
    <t xml:space="preserve">Revenues from Grandfathered Transactions </t>
  </si>
  <si>
    <t>On-Peak Rate</t>
  </si>
  <si>
    <t>East Kentucky Power Cooperative, Inc.</t>
  </si>
  <si>
    <t>Total Load Dispatch &amp; Scheduling (Account 561) excluding Steam</t>
  </si>
  <si>
    <t xml:space="preserve">     Subtotal Transmission for KU/LGE</t>
  </si>
  <si>
    <t>Per Books Total, Page 300 (Total Accts 440-459)</t>
  </si>
  <si>
    <t>214.Total.d, Note F</t>
  </si>
  <si>
    <t>calculated, Note G</t>
  </si>
  <si>
    <t>110.46.c, Note G</t>
  </si>
  <si>
    <t>Revenue Credits, Accounts 454, 456, 459 and GFA Revenues</t>
  </si>
  <si>
    <t>Less TVA Reliability Service Payments EKP Subaccount 561100</t>
  </si>
  <si>
    <t>Removes dollar amount of transmission plant included in the development of OATT ancillary services rates and generation step-up facilities,</t>
  </si>
  <si>
    <t>In accordance with RUS accounting standards, EKPC allocates all payroll and property taxes to the functional account.  Labor- and plant-related taxes</t>
  </si>
  <si>
    <t xml:space="preserve">    are already included in the appropriate transmission account.</t>
  </si>
  <si>
    <t xml:space="preserve">    which are deemed to be included in OATT ancillary services.  For these purposes, generation step-up facilities are those facilities</t>
  </si>
  <si>
    <t xml:space="preserve">    at a generator substation on which there is no through-flow when the generator is shut down. </t>
  </si>
  <si>
    <t xml:space="preserve">  General and Intangible</t>
  </si>
  <si>
    <t>Payroll</t>
  </si>
  <si>
    <t xml:space="preserve">         Property</t>
  </si>
  <si>
    <t>Safety and Non-Safety Related Advertising, Regulatory Expense, and PJM Integration Costs</t>
  </si>
  <si>
    <t>As a member-owned non-profit RUS generation and transmission cooperative, EKPC is exempt from state and from federal income taxes under 501(c)(12) of Internal Revenue Code</t>
  </si>
  <si>
    <t xml:space="preserve"> including True Up for 12 months ended </t>
  </si>
  <si>
    <t>Monthly Interest Rate--Final FERC rate (9)</t>
  </si>
  <si>
    <t>Supporting Exhibit</t>
  </si>
  <si>
    <t>(112.23c) See Supporting Exhibit, Page 7 of 8</t>
  </si>
  <si>
    <t>See Supporting Exhibit, Page 5 of 8, Line 4, (Note K)</t>
  </si>
  <si>
    <t>DO NOT CHANGE ANYTHING IN THE ABOVE BLOCK</t>
  </si>
  <si>
    <t>Supporting Exh, page 4 of 8, line 11</t>
  </si>
  <si>
    <t>Cost</t>
  </si>
  <si>
    <t>Note O</t>
  </si>
  <si>
    <t>See Supporting Exhibit, Page 6 of 8, Line 3 (Note P)</t>
  </si>
  <si>
    <t>See Supporting Exhibit, Page 6 of 8, Line 17 (Note Q)</t>
  </si>
  <si>
    <t>Total Capital</t>
  </si>
  <si>
    <t>Cash Working Capital assigned to transmission is one-eighth of O&amp;M allocated to transmission at page 3 of 5, line 8, column 5.</t>
  </si>
  <si>
    <t>Attachment H-24A</t>
  </si>
  <si>
    <t>Calculated in accordance with the EKPC Formulary Rate Protocols in Attachment H-24B of this Tariff.  See Appendix C</t>
  </si>
  <si>
    <t>Prepayments are the electric related prepayments booked to Account No. 165 and reported on EKPC Form FF1, Ref Pg 110, line 46.</t>
  </si>
  <si>
    <t>Project Depreciation Expense is the actual value booked for the project and included in the Depreciation Expense in Attachment H-24A page 3 line 12.</t>
  </si>
  <si>
    <t>Transmission Expense, EKPC Form FF1, Ref Pg 321, line 100, Current Year</t>
  </si>
  <si>
    <t>B.A. Costs in Transmission Expense on EKPC Form FF1, Ref Pg 321</t>
  </si>
  <si>
    <t>The Network Upgrade Charge is the value to be used in PJM OATT Schedule 26.</t>
  </si>
  <si>
    <t xml:space="preserve"> (1) Source:  EKPC Form FF1 Ref Pg 214, Account 105</t>
  </si>
  <si>
    <t xml:space="preserve">    Subtotal</t>
  </si>
  <si>
    <t>Net MWh</t>
  </si>
  <si>
    <t>(1) Source - EKPC Form FF1 Ref Pg 227, Column C</t>
  </si>
  <si>
    <t>Customer Account (Accounts 456054 and 456057)</t>
  </si>
  <si>
    <t>Administrative and General (Acct 456003)</t>
  </si>
  <si>
    <t>EKPC - Monthly Total Native Load (1)</t>
  </si>
  <si>
    <t>Rights of Way (No depr on land)</t>
  </si>
  <si>
    <t>General Advertising - Account 930.1</t>
  </si>
  <si>
    <t>Form FF1, P. 321, col. B</t>
  </si>
  <si>
    <t>EKPC 1 CP is EKPC's highest Monthly Firm Transmission System Peak Load based on the source data as described in Note 1 of Attachment H-24A, Page 8 of 8,</t>
  </si>
  <si>
    <t xml:space="preserve">   See Attachment H-24A, Supporting Exhibit, Page 8 of 8</t>
  </si>
  <si>
    <t>EKPC 12 CP is EKPC's Monthly Firm Transmission System Peak Load based on the source data as described in Note 1 of Attachment H-24A, Page 8 of 8,</t>
  </si>
  <si>
    <t xml:space="preserve">    See Attachment H-24A, Supporting Exhibit, Page 8 of 8</t>
  </si>
  <si>
    <t>6b</t>
  </si>
  <si>
    <t>6c</t>
  </si>
  <si>
    <t>6d</t>
  </si>
  <si>
    <t xml:space="preserve">   Less allocated amount for steam production [(Line 6c/Line 6b) * Line 1]</t>
  </si>
  <si>
    <t>Production (Accts 456010, 456042, 456043 and 459000)</t>
  </si>
  <si>
    <t>MONTHLY PEAKS IN KILOWATTS</t>
  </si>
  <si>
    <t>EKPC Form FF1, Page 300, Accounts 456 - 459</t>
  </si>
  <si>
    <t>Adjusted Total Accounts 456 - 459</t>
  </si>
  <si>
    <t xml:space="preserve">   Plus Non-requirements Sales for Resale</t>
  </si>
  <si>
    <t xml:space="preserve"> (1) GSU capital costs that are included in the Transmission capital Account 353; amounts sourced from EKPC's PeopleSoft Asset Management System.</t>
  </si>
  <si>
    <t>Note 5</t>
  </si>
  <si>
    <t>R =</t>
  </si>
  <si>
    <t xml:space="preserve">   Less Equivalent Steam</t>
  </si>
  <si>
    <t>Calculation of Prior Year Transmission Revenue Requirement True-up Adjustment</t>
  </si>
  <si>
    <t>Calculation of Prior Year EKPC Schedule 1A Revenue Requirement True-up Adjustment</t>
  </si>
  <si>
    <t>Depreciation Rates</t>
  </si>
  <si>
    <r>
      <t xml:space="preserve">Acct 163 </t>
    </r>
    <r>
      <rPr>
        <u/>
        <vertAlign val="superscript"/>
        <sz val="12"/>
        <rFont val="Arial"/>
        <family val="2"/>
      </rPr>
      <t>(2)</t>
    </r>
  </si>
  <si>
    <r>
      <t xml:space="preserve">Total M&amp;S </t>
    </r>
    <r>
      <rPr>
        <u/>
        <vertAlign val="superscript"/>
        <sz val="12"/>
        <rFont val="Arial"/>
        <family val="2"/>
      </rPr>
      <t>(3)</t>
    </r>
  </si>
  <si>
    <t>(3) The amount shown in account 456 in FF1 includes revenues from sales of renewable energy credits included in account 459.</t>
  </si>
  <si>
    <t xml:space="preserve">Less:  AEP Revenue from retained legacy agreement </t>
  </si>
  <si>
    <t xml:space="preserve"> (1) Costs related to BA activities not included in Schedule 1 Costs</t>
  </si>
  <si>
    <t xml:space="preserve">  Duke Kentucky </t>
  </si>
  <si>
    <t xml:space="preserve">  KU/LGE</t>
  </si>
  <si>
    <t>EKPC Total Load Excluding DUKE/AEP</t>
  </si>
  <si>
    <t>EKPC - Monthly Total Native Load (EKPTOT)</t>
  </si>
  <si>
    <t>EKPC Load on LGE/KU Transmission System (KU &amp; LGE)</t>
  </si>
  <si>
    <t>EKPC Total Load less Wheel-Out Load (EKP - WHEEL)</t>
  </si>
  <si>
    <t>EKPTOT less EKPC Total Load Excluding DUKE/AEP</t>
  </si>
  <si>
    <t>Check Difference</t>
  </si>
  <si>
    <t>EKPC Subs fed by DUKE/AEP</t>
  </si>
  <si>
    <t>EKPC Subs fed by DUKE (CINERGY)</t>
  </si>
  <si>
    <t>EKPC Subs fed by AEP (KP_TOTAL)</t>
  </si>
  <si>
    <t>``</t>
  </si>
  <si>
    <t>Interest                                                                                             (Line 5 x Line 6 x Line 7)</t>
  </si>
  <si>
    <t>Interest                                                                                         (Line 14 x Line 15 x Line 16)</t>
  </si>
  <si>
    <t xml:space="preserve">True Up Principal &amp; Interest Under(Over) Recovery--Preliminary  (10)                (Line 14 + Line 17) </t>
  </si>
  <si>
    <t>True-Up Principal Under(Over) Recovery before Interest                                      (Line 3 - Line 4)</t>
  </si>
  <si>
    <t xml:space="preserve">True Up Principal &amp; Interest Under(Over) Recovery--Preliminary  (5)                    (Line 5 + Line 8) </t>
  </si>
  <si>
    <t>Total Balancing Authority Costs (561.BA) in Adj Transmission Exp</t>
  </si>
  <si>
    <t>Regulatory Expense Assoc w FERC Transmission Tariff</t>
  </si>
  <si>
    <t>(2) Regulatory fees from Kentucky Public Service Commission,  EKPC Form FF1, Ref Pg 321, Account 928</t>
  </si>
  <si>
    <t>(4) Direct costs of preparing the annual update and True-up of Transmission rates and posting the results with PJM</t>
  </si>
  <si>
    <t xml:space="preserve">Less: True Up Under/(Over) Recovery Adjustment for EKPC Appendix H-24A: Adjustment for 12 mo. ended </t>
  </si>
  <si>
    <t xml:space="preserve">Less: True Up Under/(Over) Recovery Adjustment for EKPC Sch. 1A for for 12 mo. ended </t>
  </si>
  <si>
    <t xml:space="preserve">True-Up Principal Under(Over) Recovery before Interest                                   (Line 10 - Line 11 ) </t>
  </si>
  <si>
    <t xml:space="preserve">(1)  Rent from KU for joint use of Rights of Way, Ref Pg 300, Page 1 of 2 (Acct 454) </t>
  </si>
  <si>
    <t xml:space="preserve">  KYMEA (City of Falmouth)</t>
  </si>
  <si>
    <t>GSU's in Trans (353000); remainder in 345</t>
  </si>
  <si>
    <t>z</t>
  </si>
  <si>
    <t>Depreciation Rates approved in KPSC Case No. 2021-00103 and accepted for filing,</t>
  </si>
  <si>
    <t>as requested, effective June 1, 2022 in FERC Docket No. ER22-2163.</t>
  </si>
  <si>
    <t>Sourced from EKPC Form FF1, Ref Pg 310, Part Two, Total RQ, adjusted for equivalent steam sold</t>
  </si>
  <si>
    <t>FF1, Ref Page 310, Part Two, Non Requirements Service, Line 20</t>
  </si>
  <si>
    <t>Times Interest Earned Ratio (TIER) of 1.50 approved in KPSC Case No. 2021-00103,</t>
  </si>
  <si>
    <t>FF1, Ref Page 304, Line 8</t>
  </si>
  <si>
    <t>.</t>
  </si>
  <si>
    <t xml:space="preserve">  [Rate Base (page 2, line 30) * Rate of Return (page 4, line 29)]</t>
  </si>
  <si>
    <t xml:space="preserve">  Total (sum lines 12-15)</t>
  </si>
  <si>
    <t xml:space="preserve">  Total (sum lines 17 - 19)</t>
  </si>
  <si>
    <t>TIER Target =1.50</t>
  </si>
  <si>
    <t>Revenue requirement from Page 1 of 5, line 7 of Attachment H-24A  for the referenced year.</t>
  </si>
  <si>
    <t>EKPC Attachment H-24A, page 1 of 5, Line 6a for the referenced recovery year</t>
  </si>
  <si>
    <t>Revenue received under PJM Tariff Schedules 7 and 8 under Attachment H-24A for the referenced year.</t>
  </si>
  <si>
    <t>Goes to  Attachment H-24A, page 1 of 5, line 6a</t>
  </si>
  <si>
    <t>Revenue requirement calculated using EKPC Attachment H-24A,  Appendix A and actual cost information for the referenced year.</t>
  </si>
  <si>
    <t>EKPC Attachment H-24A, Appendix A, Line 6a for the referenced recovery year.</t>
  </si>
  <si>
    <t>Revenue received from PJM under PJM Tariff Schedules 7 and 8 for the EKPC Zone under Attachment H-24A for the referenced year.</t>
  </si>
  <si>
    <t>Goes to Attachment H-24A, Appendix A, line 4.</t>
  </si>
  <si>
    <t>Revenue received pursuant to PJM Schedule 1A revenue allocation procedures for transmission service outside of EKPC's zone during the year used to calculate rates under Attachment H-24A</t>
  </si>
  <si>
    <t>Net of revenue from retained leagacy transactions.  See Attachment H-24A, Supporting Exhibit, page 6 of 8.</t>
  </si>
  <si>
    <t>Revenue from AEP Grandfathered Agreement.  See Rev Cred Support, Attachment H-24A, Supporting Exhibit, page 6 of 8, line 16</t>
  </si>
  <si>
    <t>Identified in EKPC Form FF1 as being non-transmission related. See Attachment H-24A, Supporting Exhibit, Pg 2 of 8</t>
  </si>
  <si>
    <t>Line 5 - Remove non-safety related advertising included in Account 930.1.   See Attachment H-24A, Supporting Exhibit, Page 3 of 8, Line 3</t>
  </si>
  <si>
    <t>Line 5a - Remove Total Regulatory Commission Expenses - See Attachment H-24A, Supporting Exhibit, Page 3 of 8, Line 4</t>
  </si>
  <si>
    <t>Line 5b - Add Back Regulatory Commission Expenses directly related to transmission service, ISO filings, or transmission siting - See Attachment H-24A, Supporting Exhibit, Page 3 of 8, Line 6</t>
  </si>
  <si>
    <t>Removes dollar amount of transmission expenses included in the OATT ancillary services rates, included in Account 561.  See Attachment H-24A, Supporting Exhibit, Page 4 of 8.</t>
  </si>
  <si>
    <t>Effective TIER based on calculated amounts</t>
  </si>
  <si>
    <t>Gross Transmission Plant is that identified on page 2 line 2 of Attachment H-24A and includes any sub lines 2a or 2b etc. and is inclusive of any CWIP included in rate base when authorized by FERC order.</t>
  </si>
  <si>
    <t>Net Transmission Plant is that identified on page 2 line 14 of Attachment H-24A and includes any sub lines 14a or 14b etc. and is inclusive of any CWIP included in rate base when authorized by FERC order.</t>
  </si>
  <si>
    <t>The Total General and Common Depreciation Expense excludes any depreciation expense directly associated with a project and thereby included in Attachment H-24A Appendix B, page 2, column 9.</t>
  </si>
  <si>
    <t>Attachment H-24A, p 2, line 2 col 5 (Note A)</t>
  </si>
  <si>
    <t>Attachment H-24A, p 2, line 14 col 5 (Note B)</t>
  </si>
  <si>
    <t>Attachment H-24A, p 3, line 8 col 5</t>
  </si>
  <si>
    <t>Attachment H-24A, p 3, line 20 col 5</t>
  </si>
  <si>
    <t>Attachment H-24A, p 3, line 27 col 5</t>
  </si>
  <si>
    <t>Attachment H-24A, p 3, line 28 col 5</t>
  </si>
  <si>
    <t>RTEP Transmission Enhancement Charges for Attachment H-24A, Page 1, Line 5c</t>
  </si>
  <si>
    <t>(3) To Attachment H-24A, Page 2 of 5, Line 27.</t>
  </si>
  <si>
    <t>(1) To Attachment H-24A, Page 3 of 5, Line 5</t>
  </si>
  <si>
    <t>(3) Portion of regulatory expense for proceedings during the year that were not related to transmission, derived using the transmission function W/S allocator   (See Attachment H-24A, page 4 of 5, line 16)</t>
  </si>
  <si>
    <t>Adjusted A&amp;G Expense - To Attachment H-24A, Page 3 of 5, Line 3</t>
  </si>
  <si>
    <t>Adjusted Transmission Expense - To Attachment H-24A, Page 3 of 5, Line 1</t>
  </si>
  <si>
    <t xml:space="preserve"> (2) To Attachment H-24A Page 4 of 5, Line 7</t>
  </si>
  <si>
    <t xml:space="preserve"> (2) To Attachment H-24A, page 4 of 5, Line 3</t>
  </si>
  <si>
    <t xml:space="preserve">  Revenue Credit Applicable to Attachment H-24A</t>
  </si>
  <si>
    <t>(2) To Attachment H-24A, Page 4 of 5, line 34</t>
  </si>
  <si>
    <t>(4) Revenue from AEP GFA Account 456101- to Attachment H-24A, Page 1 of 5, Line 4.</t>
  </si>
  <si>
    <t>(5) To Attachment H-24A, Page 4 of 5, Line 35</t>
  </si>
  <si>
    <t>EKPC Form FF1 for 2024 Ref Pg 112, Row 23 Bal at End of Year</t>
  </si>
  <si>
    <t>EKPC Form FF1 for 2024 Ref Pg 112, Row 15 Bal at End of Year</t>
  </si>
  <si>
    <t>Actual Schedule 1-A Costs for 12 Months Ended 12/31/20__ including True Up for 12 months ended 12/31/20__ (6)</t>
  </si>
  <si>
    <t>Less: True Up Under/(Over) Recovery Adjustment for EKPC Sch. 1A for for 12 mo. ended 12/31/20__  (7)</t>
  </si>
  <si>
    <t>Less: Actual Sch. 1A Revenue Collected for 12 months Ended 12/31/20__ (8)</t>
  </si>
  <si>
    <r>
      <t xml:space="preserve">See: </t>
    </r>
    <r>
      <rPr>
        <b/>
        <i/>
        <sz val="12"/>
        <rFont val="Arial"/>
        <family val="2"/>
      </rPr>
      <t>https://www.ferc.gov/interest-calculation-rates-and-methodology</t>
    </r>
    <r>
      <rPr>
        <sz val="12"/>
        <rFont val="Arial"/>
        <family val="2"/>
      </rPr>
      <t xml:space="preserve"> for the appropriate Month</t>
    </r>
  </si>
  <si>
    <r>
      <t xml:space="preserve">See: </t>
    </r>
    <r>
      <rPr>
        <b/>
        <i/>
        <sz val="12"/>
        <rFont val="Arial"/>
        <family val="2"/>
      </rPr>
      <t>https://www.ferc.gov/interest-calculation-rates-and-methodology</t>
    </r>
    <r>
      <rPr>
        <sz val="12"/>
        <rFont val="Arial"/>
        <family val="2"/>
      </rPr>
      <t xml:space="preserve"> for the appropriate Months</t>
    </r>
  </si>
  <si>
    <t>(line 10 divided by line 2 col 3)</t>
  </si>
  <si>
    <t>(line 12 divided by line 2 col 3)</t>
  </si>
  <si>
    <t>Amount from Attachment H-24A, Appendix C, line18 for stated year.</t>
  </si>
  <si>
    <t>TOTAL REVENUE CREDITS (sum lines 2 - 5a)</t>
  </si>
  <si>
    <t>TOTAL O&amp;M   (sum lines 1, 3, 5b,  6, 7 less lines 2, 4, 5, 5a)</t>
  </si>
  <si>
    <t>354.21,22,23.b</t>
  </si>
  <si>
    <t>200.3.d</t>
  </si>
  <si>
    <t>200.3.e</t>
  </si>
  <si>
    <t>For the 12 months ended 12/31/2025</t>
  </si>
  <si>
    <t>Utilizing EKPC 2025 Form FF1 Data (ver. FINAL - AUDITED)</t>
  </si>
  <si>
    <t>Add: Firm/Non-Firm PTP actual Revenues</t>
  </si>
  <si>
    <t>Tot Prod Plnt less ARO for Stm Prod (317)</t>
  </si>
  <si>
    <t>Schedule 1A Recovery Amount for 12 Months ended 12/30/2025</t>
  </si>
  <si>
    <t>2025 Requirements Sales for Resale</t>
  </si>
  <si>
    <t>For Rates Effective January 1, 2025</t>
  </si>
  <si>
    <t>ES + GDS</t>
  </si>
  <si>
    <t>less:  Mrkt Admin.Monitor/Compliance - FinRpts_20yy.12 Final Subject to Audit, Tab 4 line 424, column E</t>
  </si>
  <si>
    <t/>
  </si>
  <si>
    <t>2025 "thru &amp; out" charges</t>
  </si>
  <si>
    <t>Transmission revenue requirements for the 12 months ended 12/31/2025             (Line 1 - Line 2 )</t>
  </si>
  <si>
    <t>Less: Actual Transmission Revenue Collected for 12 months Ended 12/31/2025 (3)</t>
  </si>
  <si>
    <t>Actual Transmission Revenue Requirement for 12 Months Ended 12/31/2025 including True Up for 12 months ended 12/31/2024 (1)</t>
  </si>
  <si>
    <t>Less: True Up Under/(Over) Recovery Adjustment for EKPC Appendix H-24A: Adjustment for 12 mo. ended 12/31/2024  (2)</t>
  </si>
  <si>
    <t>Add Firm/Non-Firm PTP and Imputed Rev</t>
  </si>
  <si>
    <t>=(1819018.25+182359.11+2476.12)+4661027.11</t>
  </si>
  <si>
    <t>From TO Data, sheet "Template"</t>
  </si>
  <si>
    <t>P 1 | C 5 | Ln 2</t>
  </si>
  <si>
    <t>P 1 | C 5 | Ln 3</t>
  </si>
  <si>
    <t>Total P2P Transmission Service Revenue Credits</t>
  </si>
  <si>
    <t>Attachment H-24A:  P 1 | C 5 | Ln 3</t>
  </si>
  <si>
    <t>P 1 | C 5 | Ln 4</t>
  </si>
  <si>
    <t>Total Schedule 12 (TEC) Revenue Credits</t>
  </si>
  <si>
    <t>Attachment H-24A:  P 1 | C 5 | Ln 5a</t>
  </si>
  <si>
    <t>P 1 | C 5 | Ln 5</t>
  </si>
  <si>
    <t>Total Non-zone load Revenue Credits</t>
  </si>
  <si>
    <t>Attachment H-24A:  P 1 | C 5 | Ln 5</t>
  </si>
  <si>
    <t>P 1 | C 5 | Ln 6</t>
  </si>
  <si>
    <t>Other Agreements Revenue Credits</t>
  </si>
  <si>
    <t>Attachment H-24A:  P 1 | C 5 | Ln 2  +  P 1 | C 5 | Ln 4</t>
  </si>
  <si>
    <t>Network Upgrade Funding Agreement Revenue Credits (Future from ER19-2105)</t>
  </si>
  <si>
    <t>State Agreement Public Policy Project Revenue Credits (Future from ER19-2105)</t>
  </si>
  <si>
    <t>Network Integration Transmission Service Rate ($/mW/Yr)</t>
  </si>
  <si>
    <t>Attachment H-24A:  P 1 | C 3 | Ln 15</t>
  </si>
  <si>
    <t>P 1 | C 5 | Ln 7</t>
  </si>
  <si>
    <t>Annual Transmission Revenue Requirement (ATRR)</t>
  </si>
  <si>
    <t>Attachment H-24A:  P 1 | C 5 | Ln 7</t>
  </si>
  <si>
    <t>Total Transmission Carrying Value</t>
  </si>
  <si>
    <t xml:space="preserve">Attachment H-24A:  P 2 | C 5 | Ln 14
</t>
  </si>
  <si>
    <t>Estimated useful life of projects</t>
  </si>
  <si>
    <t>Attachment H-24A:  (P 2 | C 5 | Ln 2) / (P 3 | C 5 | Ln 9)</t>
  </si>
  <si>
    <t>Carrying charge rate</t>
  </si>
  <si>
    <t>Attachment H-24A:  (P 3 | C 5 | Ln 29 - P 3 | C 5 | Ln 9) / (P 2 | C 5 | Ln 2 - P 2 | C 5 | Ln 8)</t>
  </si>
  <si>
    <t>Weighted Cost of Debt</t>
  </si>
  <si>
    <t>Attachment H-24A:  P 4 | C 5 | Ln 27</t>
  </si>
  <si>
    <t>Weighted Cost of Preferred Stock</t>
  </si>
  <si>
    <t>Weighted Cost of Common Stock</t>
  </si>
  <si>
    <t>Attachment H-24A:  P 4 | C 5 | Ln 28</t>
  </si>
  <si>
    <t>Tax Rate</t>
  </si>
  <si>
    <t>Attachment H-24A:  P 3 | C 3 | Ln 21</t>
  </si>
  <si>
    <t>P 1 | C 3 | Ln 15</t>
  </si>
  <si>
    <t>(2025)</t>
  </si>
  <si>
    <t>Less: True Up Under/(Over) Recovery for 12 months ended 12/31/2025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</si>
</sst>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7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#,##0.00000"/>
    <numFmt numFmtId="166" formatCode="0.00000"/>
    <numFmt numFmtId="167" formatCode="#,##0.0000"/>
    <numFmt numFmtId="168" formatCode="#,##0.000"/>
    <numFmt numFmtId="169" formatCode="0.0000"/>
    <numFmt numFmtId="170" formatCode="&quot;$&quot;#,##0"/>
    <numFmt numFmtId="171" formatCode="#,##0.0"/>
    <numFmt numFmtId="172" formatCode="&quot;$&quot;#,##0.000"/>
    <numFmt numFmtId="173" formatCode="&quot;$&quot;#,##0.00"/>
    <numFmt numFmtId="174" formatCode="_(* #,##0_);_(* \(#,##0\);_(* &quot;-&quot;??_);_(@_)"/>
    <numFmt numFmtId="175" formatCode="_(&quot;$&quot;* #,##0_);_(&quot;$&quot;* \(#,##0\);_(&quot;$&quot;* &quot;-&quot;??_);_(@_)"/>
    <numFmt numFmtId="176" formatCode="_(* #,##0.0%_);_(* \(#,##0.0%\);_(* &quot;- %&quot;??_);_(@_)"/>
    <numFmt numFmtId="177" formatCode="0_);\(0\)"/>
    <numFmt numFmtId="178" formatCode="_(* #,##0.0\¢_m;[Red]_(* \-#,##0.0\¢_m;[Green]_(* 0.0\¢_m;_(@_)_%"/>
    <numFmt numFmtId="179" formatCode="_(* #,##0.00\¢_m;[Red]_(* \-#,##0.00\¢_m;[Green]_(* 0.00\¢_m;_(@_)_%"/>
    <numFmt numFmtId="180" formatCode="_(* #,##0.000\¢_m;[Red]_(* \-#,##0.000\¢_m;[Green]_(* 0.000\¢_m;_(@_)_%"/>
    <numFmt numFmtId="181" formatCode="_(_(\£* #,##0_)_%;[Red]_(\(\£* #,##0\)_%;[Green]_(_(\£* #,##0_)_%;_(@_)_%"/>
    <numFmt numFmtId="182" formatCode="_(_(\£* #,##0.0_)_%;[Red]_(\(\£* #,##0.0\)_%;[Green]_(_(\£* #,##0.0_)_%;_(@_)_%"/>
    <numFmt numFmtId="183" formatCode="_(_(\£* #,##0.00_)_%;[Red]_(\(\£* #,##0.00\)_%;[Green]_(_(\£* #,##0.00_)_%;_(@_)_%"/>
    <numFmt numFmtId="184" formatCode="0.0%_);\(0.0%\)"/>
    <numFmt numFmtId="185" formatCode="\•\ \ @"/>
    <numFmt numFmtId="186" formatCode="_(_(\•_ #0_)_%;[Red]_(_(\•_ \-#0\)_%;[Green]_(_(\•_ #0_)_%;_(_(\•_ @_)_%"/>
    <numFmt numFmtId="187" formatCode="_(_(_•_ \•_ #0_)_%;[Red]_(_(_•_ \•_ \-#0\)_%;[Green]_(_(_•_ \•_ #0_)_%;_(_(_•_ \•_ @_)_%"/>
    <numFmt numFmtId="188" formatCode="_(_(_•_ _•_ \•_ #0_)_%;[Red]_(_(_•_ _•_ \•_ \-#0\)_%;[Green]_(_(_•_ _•_ \•_ #0_)_%;_(_(_•_ \•_ @_)_%"/>
    <numFmt numFmtId="189" formatCode="#,##0,_);\(#,##0,\)"/>
    <numFmt numFmtId="190" formatCode="#,##0.0_);\(#,##0.0\)"/>
    <numFmt numFmtId="191" formatCode="0.0,_);\(0.0,\)"/>
    <numFmt numFmtId="192" formatCode="0.00,_);\(0.00,\)"/>
    <numFmt numFmtId="193" formatCode="#,##0.000_);\(#,##0.000\)"/>
    <numFmt numFmtId="194" formatCode="_(_(_$* #,##0.0_)_%;[Red]_(\(_$* #,##0.0\)_%;[Green]_(_(_$* #,##0.0_)_%;_(@_)_%"/>
    <numFmt numFmtId="195" formatCode="_(_(_$* #,##0.00_)_%;[Red]_(\(_$* #,##0.00\)_%;[Green]_(_(_$* #,##0.00_)_%;_(@_)_%"/>
    <numFmt numFmtId="196" formatCode="_(_(_$* #,##0.000_)_%;[Red]_(\(_$* #,##0.000\)_%;[Green]_(_(_$* #,##0.000_)_%;_(@_)_%"/>
    <numFmt numFmtId="197" formatCode="_._.* #,##0.0_)_%;_._.* \(#,##0.0\)_%;_._.* \ ?_)_%"/>
    <numFmt numFmtId="198" formatCode="_._.* #,##0.00_)_%;_._.* \(#,##0.00\)_%;_._.* \ ?_)_%"/>
    <numFmt numFmtId="199" formatCode="_._.* #,##0.000_)_%;_._.* \(#,##0.000\)_%;_._.* \ ?_)_%"/>
    <numFmt numFmtId="200" formatCode="_._.* #,##0.0000_)_%;_._.* \(#,##0.0000\)_%;_._.* \ ?_)_%"/>
    <numFmt numFmtId="201" formatCode="_(_(&quot;$&quot;* #,##0.0_)_%;[Red]_(\(&quot;$&quot;* #,##0.0\)_%;[Green]_(_(&quot;$&quot;* #,##0.0_)_%;_(@_)_%"/>
    <numFmt numFmtId="202" formatCode="_(_(&quot;$&quot;* #,##0.00_)_%;[Red]_(\(&quot;$&quot;* #,##0.00\)_%;[Green]_(_(&quot;$&quot;* #,##0.00_)_%;_(@_)_%"/>
    <numFmt numFmtId="203" formatCode="_(_(&quot;$&quot;* #,##0.000_)_%;[Red]_(\(&quot;$&quot;* #,##0.000\)_%;[Green]_(_(&quot;$&quot;* #,##0.000_)_%;_(@_)_%"/>
    <numFmt numFmtId="204" formatCode="_._.&quot;$&quot;* #,##0.0_)_%;_._.&quot;$&quot;* \(#,##0.0\)_%;_._.&quot;$&quot;* \ ?_)_%"/>
    <numFmt numFmtId="205" formatCode="_._.&quot;$&quot;* #,##0.00_)_%;_._.&quot;$&quot;* \(#,##0.00\)_%;_._.&quot;$&quot;* \ ?_)_%"/>
    <numFmt numFmtId="206" formatCode="_._.&quot;$&quot;* #,##0.000_)_%;_._.&quot;$&quot;* \(#,##0.000\)_%;_._.&quot;$&quot;* \ ?_)_%"/>
    <numFmt numFmtId="207" formatCode="_._.&quot;$&quot;* #,##0.0000_)_%;_._.&quot;$&quot;* \(#,##0.0000\)_%;_._.&quot;$&quot;* \ ?_)_%"/>
    <numFmt numFmtId="208" formatCode="&quot;$&quot;#,##0,_);\(&quot;$&quot;#,##0,\)"/>
    <numFmt numFmtId="209" formatCode="&quot;$&quot;#,##0.0_);\(&quot;$&quot;#,##0.0\)"/>
    <numFmt numFmtId="210" formatCode="&quot;$&quot;0.0,_);\(&quot;$&quot;0.0,\)"/>
    <numFmt numFmtId="211" formatCode="&quot;$&quot;0.00,_);\(&quot;$&quot;0.00,\)"/>
    <numFmt numFmtId="212" formatCode="&quot;$&quot;#,##0.000_);\(&quot;$&quot;#,##0.000\)"/>
    <numFmt numFmtId="213" formatCode="_(* dd\-mmm\-yy_)_%"/>
    <numFmt numFmtId="214" formatCode="_(* dd\ mmmm\ yyyy_)_%"/>
    <numFmt numFmtId="215" formatCode="_(* mmmm\ dd\,\ yyyy_)_%"/>
    <numFmt numFmtId="216" formatCode="_(* dd\.mm\.yyyy_)_%"/>
    <numFmt numFmtId="217" formatCode="_(* mm/dd/yyyy_)_%"/>
    <numFmt numFmtId="218" formatCode="m/d/yy;@"/>
    <numFmt numFmtId="219" formatCode="#,##0.0\x_);\(#,##0.0\x\)"/>
    <numFmt numFmtId="220" formatCode="#,##0.00\x_);\(#,##0.00\x\)"/>
    <numFmt numFmtId="221" formatCode="[$€-2]\ #,##0_);\([$€-2]\ #,##0\)"/>
    <numFmt numFmtId="222" formatCode="[$€-2]\ #,##0.0_);\([$€-2]\ #,##0.0\)"/>
    <numFmt numFmtId="223" formatCode="_([$€-2]* #,##0.00_);_([$€-2]* \(#,##0.00\);_([$€-2]* &quot;-&quot;??_)"/>
    <numFmt numFmtId="224" formatCode="General_)_%"/>
    <numFmt numFmtId="225" formatCode="_(_(#0_)_%;[Red]_(_(\-#0\)_%;[Green]_(_(#0_)_%;_(_(@_)_%"/>
    <numFmt numFmtId="226" formatCode="_(_(_•_ #0_)_%;[Red]_(_(_•_ \-#0\)_%;[Green]_(_(_•_ #0_)_%;_(_(_•_ @_)_%"/>
    <numFmt numFmtId="227" formatCode="_(_(_•_ _•_ #0_)_%;[Red]_(_(_•_ _•_ \-#0\)_%;[Green]_(_(_•_ _•_ #0_)_%;_(_(_•_ _•_ @_)_%"/>
    <numFmt numFmtId="228" formatCode="_(_(_•_ _•_ _•_ #0_)_%;[Red]_(_(_•_ _•_ _•_ \-#0\)_%;[Green]_(_(_•_ _•_ _•_ #0_)_%;_(_(_•_ _•_ _•_ @_)_%"/>
    <numFmt numFmtId="229" formatCode="#,##0\x;\(#,##0\x\)"/>
    <numFmt numFmtId="230" formatCode="0.0\x;\(0.0\x\)"/>
    <numFmt numFmtId="231" formatCode="#,##0.00\x;\(#,##0.00\x\)"/>
    <numFmt numFmtId="232" formatCode="#,##0.000\x;\(#,##0.000\x\)"/>
    <numFmt numFmtId="233" formatCode="0.0_);\(0.0\)"/>
    <numFmt numFmtId="234" formatCode="0%;\(0%\)"/>
    <numFmt numFmtId="235" formatCode="0.00\ \x_);\(0.00\ \x\)"/>
    <numFmt numFmtId="236" formatCode="_(* #,##0_);_(* \(#,##0\);_(* &quot;-&quot;????_);_(@_)"/>
    <numFmt numFmtId="237" formatCode="0__"/>
    <numFmt numFmtId="238" formatCode="h:mmAM/PM"/>
    <numFmt numFmtId="239" formatCode="0&quot; E&quot;"/>
    <numFmt numFmtId="240" formatCode="yyyy"/>
    <numFmt numFmtId="241" formatCode="&quot;$&quot;#,##0.0"/>
    <numFmt numFmtId="242" formatCode="0.0%;\(0.0%\)"/>
    <numFmt numFmtId="243" formatCode="0.00%_);\(0.00%\)"/>
    <numFmt numFmtId="244" formatCode="0.000%_);\(0.000%\)"/>
    <numFmt numFmtId="245" formatCode="_(0_)%;\(0\)%;\ \ ?_)%"/>
    <numFmt numFmtId="246" formatCode="_._._(* 0_)%;_._.* \(0\)%;_._._(* \ ?_)%"/>
    <numFmt numFmtId="247" formatCode="0%_);\(0%\)"/>
    <numFmt numFmtId="248" formatCode="_(* #,##0_)_%;[Red]_(* \(#,##0\)_%;[Green]_(* 0_)_%;_(@_)_%"/>
    <numFmt numFmtId="249" formatCode="_(* #,##0.0%_);[Red]_(* \-#,##0.0%_);[Green]_(* 0.0%_);_(@_)_%"/>
    <numFmt numFmtId="250" formatCode="_(* #,##0.00%_);[Red]_(* \-#,##0.00%_);[Green]_(* 0.00%_);_(@_)_%"/>
    <numFmt numFmtId="251" formatCode="_(* #,##0.000%_);[Red]_(* \-#,##0.000%_);[Green]_(* 0.000%_);_(@_)_%"/>
    <numFmt numFmtId="252" formatCode="_(0.0_)%;\(0.0\)%;\ \ ?_)%"/>
    <numFmt numFmtId="253" formatCode="_._._(* 0.0_)%;_._.* \(0.0\)%;_._._(* \ ?_)%"/>
    <numFmt numFmtId="254" formatCode="_(0.00_)%;\(0.00\)%;\ \ ?_)%"/>
    <numFmt numFmtId="255" formatCode="_._._(* 0.00_)%;_._.* \(0.00\)%;_._._(* \ ?_)%"/>
    <numFmt numFmtId="256" formatCode="_(0.000_)%;\(0.000\)%;\ \ ?_)%"/>
    <numFmt numFmtId="257" formatCode="_._._(* 0.000_)%;_._.* \(0.000\)%;_._._(* \ ?_)%"/>
    <numFmt numFmtId="258" formatCode="_(0.0000_)%;\(0.0000\)%;\ \ ?_)%"/>
    <numFmt numFmtId="259" formatCode="_._._(* 0.0000_)%;_._.* \(0.0000\)%;_._._(* \ ?_)%"/>
    <numFmt numFmtId="260" formatCode="0.0%"/>
    <numFmt numFmtId="261" formatCode="mmmm\ dd\,\ yy"/>
    <numFmt numFmtId="262" formatCode="0.0\x"/>
    <numFmt numFmtId="263" formatCode="_(* #,##0_);_(* \(#,##0\);_(* \ ?_)"/>
    <numFmt numFmtId="264" formatCode="_(* #,##0.0_);_(* \(#,##0.0\);_(* \ ?_)"/>
    <numFmt numFmtId="265" formatCode="_(* #,##0.00_);_(* \(#,##0.00\);_(* \ ?_)"/>
    <numFmt numFmtId="266" formatCode="_(* #,##0.000_);_(* \(#,##0.000\);_(* \ ?_)"/>
    <numFmt numFmtId="267" formatCode="_(&quot;$&quot;* #,##0_);_(&quot;$&quot;* \(#,##0\);_(&quot;$&quot;* \ ?_)"/>
    <numFmt numFmtId="268" formatCode="_(&quot;$&quot;* #,##0.0_);_(&quot;$&quot;* \(#,##0.0\);_(&quot;$&quot;* \ ?_)"/>
    <numFmt numFmtId="269" formatCode="_(&quot;$&quot;* #,##0.00_);_(&quot;$&quot;* \(#,##0.00\);_(&quot;$&quot;* \ ?_)"/>
    <numFmt numFmtId="270" formatCode="_(&quot;$&quot;* #,##0.000_);_(&quot;$&quot;* \(#,##0.000\);_(&quot;$&quot;* \ ?_)"/>
    <numFmt numFmtId="271" formatCode="0000&quot;A&quot;"/>
    <numFmt numFmtId="272" formatCode="0&quot;E&quot;"/>
    <numFmt numFmtId="273" formatCode="0000&quot;E&quot;"/>
    <numFmt numFmtId="274" formatCode="&quot;$&quot;#,##0.0000"/>
    <numFmt numFmtId="275" formatCode="0.000000%"/>
    <numFmt numFmtId="276" formatCode="_(* #,##0.000_);_(* \(#,##0.000\);_(* &quot;-&quot;??_);_(@_)"/>
    <numFmt numFmtId="277" formatCode="_([$$-409]* #,##0.00_);_([$$-409]* \(#,##0.00\);_([$$-409]* &quot;-&quot;??_);_(@_)"/>
    <numFmt numFmtId="278" formatCode="_([$$-409]* #,##0_);_([$$-409]* \(#,##0\);_([$$-409]* &quot;-&quot;??_);_(@_)"/>
    <numFmt numFmtId="279" formatCode="_(&quot;$&quot;* #,##0.000_);_(&quot;$&quot;* \(#,##0.000\);_(&quot;$&quot;* &quot;-&quot;_);_(@_)"/>
    <numFmt numFmtId="280" formatCode="_(* #,##0.00000000_);_(* \(#,##0.00000000\);_(* &quot;-&quot;??_);_(@_)"/>
    <numFmt numFmtId="281" formatCode="_(* #,##0.000_);_(* \(#,##0.000\);_(* &quot;-&quot;???_);_(@_)"/>
    <numFmt numFmtId="282" formatCode="_(* #,##0.0_);_(* \(#,##0.0\);_(* &quot;-&quot;??_);_(@_)"/>
    <numFmt numFmtId="283" formatCode="0.00000000%"/>
  </numFmts>
  <fonts count="126">
    <font>
      <sz val="12"/>
      <name val="Arial MT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Arial MT"/>
    </font>
    <font>
      <sz val="12"/>
      <name val="Times New Roman"/>
      <family val="1"/>
    </font>
    <font>
      <sz val="10"/>
      <name val="Arial MT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name val="Arial MT"/>
    </font>
    <font>
      <sz val="12"/>
      <color indexed="10"/>
      <name val="Arial MT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u/>
      <sz val="10"/>
      <name val="Arial"/>
      <family val="2"/>
    </font>
    <font>
      <b/>
      <u val="singleAccounting"/>
      <sz val="10"/>
      <name val="Arial"/>
      <family val="2"/>
    </font>
    <font>
      <sz val="8"/>
      <name val="Arial"/>
      <family val="2"/>
    </font>
    <font>
      <b/>
      <u val="singleAccounting"/>
      <sz val="12"/>
      <name val="Arial"/>
      <family val="2"/>
    </font>
    <font>
      <u val="singleAccounting"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 Narrow"/>
      <family val="2"/>
    </font>
    <font>
      <sz val="10"/>
      <name val="MS Sans Serif"/>
      <family val="2"/>
    </font>
    <font>
      <u val="doubleAccounting"/>
      <sz val="12"/>
      <name val="Arial"/>
      <family val="2"/>
    </font>
    <font>
      <sz val="12"/>
      <color rgb="FF0000FF"/>
      <name val="Arial MT"/>
    </font>
    <font>
      <sz val="12"/>
      <color rgb="FF0000FF"/>
      <name val="Arial"/>
      <family val="2"/>
    </font>
    <font>
      <b/>
      <u/>
      <sz val="12"/>
      <name val="Arial MT"/>
    </font>
    <font>
      <sz val="10"/>
      <name val="MS Sans Serif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sz val="10"/>
      <name val="C Helvetica Condensed"/>
    </font>
    <font>
      <sz val="10"/>
      <color indexed="12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i/>
      <sz val="14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sz val="9"/>
      <color indexed="12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sz val="12"/>
      <name val="Helv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i/>
      <sz val="8"/>
      <name val="Arial"/>
      <family val="2"/>
    </font>
    <font>
      <sz val="8"/>
      <color indexed="22"/>
      <name val="Arial"/>
      <family val="2"/>
    </font>
    <font>
      <sz val="10"/>
      <name val="Book Antiqua"/>
      <family val="1"/>
    </font>
    <font>
      <b/>
      <i/>
      <sz val="14"/>
      <name val="Tms Rmn"/>
    </font>
    <font>
      <sz val="10"/>
      <color indexed="42"/>
      <name val="Arial"/>
      <family val="2"/>
    </font>
    <font>
      <sz val="10"/>
      <color indexed="46"/>
      <name val="Arial"/>
      <family val="2"/>
    </font>
    <font>
      <b/>
      <sz val="14"/>
      <name val="Book Antiqua"/>
      <family val="1"/>
    </font>
    <font>
      <i/>
      <sz val="10"/>
      <name val="Book Antiqua"/>
      <family val="1"/>
    </font>
    <font>
      <b/>
      <sz val="10"/>
      <color indexed="22"/>
      <name val="Arial"/>
      <family val="2"/>
    </font>
    <font>
      <sz val="10"/>
      <color indexed="12"/>
      <name val="Book Antiqua"/>
      <family val="1"/>
    </font>
    <font>
      <i/>
      <sz val="16"/>
      <name val="Times New Roman"/>
      <family val="1"/>
    </font>
    <font>
      <sz val="7"/>
      <name val="Small Fonts"/>
      <family val="2"/>
    </font>
    <font>
      <u/>
      <sz val="10"/>
      <name val="Times New Roman"/>
      <family val="1"/>
    </font>
    <font>
      <b/>
      <sz val="10"/>
      <name val="MS Sans Serif"/>
      <family val="2"/>
    </font>
    <font>
      <sz val="8"/>
      <color indexed="38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color indexed="40"/>
      <name val="Arial"/>
      <family val="2"/>
    </font>
    <font>
      <sz val="10"/>
      <color indexed="8"/>
      <name val="Times New Roman"/>
      <family val="1"/>
    </font>
    <font>
      <b/>
      <i/>
      <sz val="12"/>
      <name val="Times New Roman"/>
      <family val="1"/>
    </font>
    <font>
      <sz val="10"/>
      <name val="Futura UBS Bk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name val="Times New Roman"/>
      <family val="1"/>
    </font>
    <font>
      <b/>
      <sz val="10"/>
      <color indexed="10"/>
      <name val="Arial"/>
      <family val="2"/>
    </font>
    <font>
      <i/>
      <sz val="8"/>
      <name val="Times New Roman"/>
      <family val="1"/>
    </font>
    <font>
      <sz val="10"/>
      <color indexed="21"/>
      <name val="Arial"/>
      <family val="2"/>
    </font>
    <font>
      <b/>
      <sz val="8"/>
      <name val="Arial"/>
      <family val="2"/>
    </font>
    <font>
      <u/>
      <sz val="12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u/>
      <sz val="12"/>
      <name val="Arial MT"/>
    </font>
    <font>
      <sz val="12"/>
      <name val="Courier"/>
      <family val="3"/>
    </font>
    <font>
      <vertAlign val="superscript"/>
      <sz val="10"/>
      <color theme="1"/>
      <name val="Arial"/>
      <family val="2"/>
    </font>
    <font>
      <b/>
      <sz val="12"/>
      <color rgb="FFFF0000"/>
      <name val="Arial"/>
      <family val="2"/>
    </font>
    <font>
      <b/>
      <u val="double"/>
      <sz val="10"/>
      <name val="Arial"/>
      <family val="2"/>
    </font>
    <font>
      <sz val="12"/>
      <color rgb="FFFF0000"/>
      <name val="Arial"/>
      <family val="2"/>
    </font>
    <font>
      <b/>
      <sz val="12"/>
      <color rgb="FF0000FF"/>
      <name val="Arial"/>
      <family val="2"/>
    </font>
    <font>
      <b/>
      <u val="double"/>
      <sz val="16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sz val="11"/>
      <color rgb="FF00610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FF0000"/>
      <name val="Arial MT"/>
    </font>
    <font>
      <sz val="12"/>
      <color rgb="FFFF0000"/>
      <name val="Arial MT"/>
    </font>
    <font>
      <b/>
      <i/>
      <sz val="12"/>
      <name val="Arial MT"/>
    </font>
    <font>
      <b/>
      <i/>
      <u/>
      <sz val="12"/>
      <name val="Arial"/>
      <family val="2"/>
    </font>
    <font>
      <sz val="12"/>
      <color rgb="FFFF3300"/>
      <name val="Arial"/>
      <family val="2"/>
    </font>
    <font>
      <sz val="12"/>
      <color theme="1"/>
      <name val="Arial"/>
      <family val="2"/>
    </font>
    <font>
      <sz val="12"/>
      <name val="Calibri"/>
      <family val="2"/>
      <scheme val="minor"/>
    </font>
    <font>
      <sz val="12"/>
      <color indexed="10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Arial"/>
      <family val="2"/>
    </font>
    <font>
      <u/>
      <vertAlign val="superscript"/>
      <sz val="12"/>
      <name val="Arial"/>
      <family val="2"/>
    </font>
    <font>
      <sz val="10"/>
      <color rgb="FF0000FF"/>
      <name val="Arial"/>
      <family val="2"/>
    </font>
    <font>
      <u/>
      <sz val="12"/>
      <color theme="10"/>
      <name val="Arial MT"/>
    </font>
    <font>
      <u val="singleAccounting"/>
      <sz val="12"/>
      <color rgb="FF0000FF"/>
      <name val="Arial"/>
      <family val="2"/>
    </font>
    <font>
      <sz val="10"/>
      <color rgb="FF0000FF"/>
      <name val="Arial MT"/>
    </font>
    <font>
      <i/>
      <sz val="12"/>
      <color rgb="FFFF0000"/>
      <name val="Arial"/>
      <family val="2"/>
    </font>
    <font>
      <i/>
      <sz val="12"/>
      <name val="Arial MT"/>
    </font>
    <font>
      <i/>
      <u/>
      <sz val="12"/>
      <name val="Arial MT"/>
    </font>
    <font>
      <u val="singleAccounting"/>
      <sz val="12"/>
      <name val="Arial MT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26"/>
        <bgColor indexed="64"/>
      </patternFill>
    </fill>
    <fill>
      <patternFill patternType="lightGray">
        <fgColor indexed="38"/>
        <bgColor indexed="23"/>
      </patternFill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2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89">
    <xf numFmtId="173" fontId="0" fillId="0" borderId="0" applyProtection="0"/>
    <xf numFmtId="43" fontId="15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>
      <alignment vertical="top"/>
    </xf>
    <xf numFmtId="173" fontId="3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181" fontId="38" fillId="0" borderId="0" applyFont="0" applyFill="0" applyBorder="0" applyAlignment="0" applyProtection="0"/>
    <xf numFmtId="182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0" fontId="37" fillId="0" borderId="0"/>
    <xf numFmtId="184" fontId="12" fillId="4" borderId="0" applyNumberFormat="0" applyFill="0" applyBorder="0" applyAlignment="0" applyProtection="0">
      <alignment horizontal="right" vertical="center"/>
    </xf>
    <xf numFmtId="184" fontId="16" fillId="0" borderId="0" applyNumberFormat="0" applyFill="0" applyBorder="0" applyAlignment="0" applyProtection="0"/>
    <xf numFmtId="0" fontId="12" fillId="0" borderId="6" applyNumberFormat="0" applyFont="0" applyFill="0" applyAlignment="0" applyProtection="0"/>
    <xf numFmtId="185" fontId="4" fillId="0" borderId="0" applyFont="0" applyFill="0" applyBorder="0" applyAlignment="0" applyProtection="0"/>
    <xf numFmtId="186" fontId="38" fillId="0" borderId="0" applyFont="0" applyFill="0" applyBorder="0" applyProtection="0">
      <alignment horizontal="left"/>
    </xf>
    <xf numFmtId="187" fontId="38" fillId="0" borderId="0" applyFont="0" applyFill="0" applyBorder="0" applyProtection="0">
      <alignment horizontal="left"/>
    </xf>
    <xf numFmtId="188" fontId="38" fillId="0" borderId="0" applyFont="0" applyFill="0" applyBorder="0" applyProtection="0">
      <alignment horizontal="left"/>
    </xf>
    <xf numFmtId="37" fontId="39" fillId="0" borderId="0" applyFont="0" applyFill="0" applyBorder="0" applyAlignment="0" applyProtection="0">
      <alignment vertical="center"/>
      <protection locked="0"/>
    </xf>
    <xf numFmtId="189" fontId="40" fillId="0" borderId="0" applyFont="0" applyFill="0" applyBorder="0" applyAlignment="0" applyProtection="0"/>
    <xf numFmtId="0" fontId="41" fillId="0" borderId="0"/>
    <xf numFmtId="0" fontId="41" fillId="0" borderId="0"/>
    <xf numFmtId="173" fontId="21" fillId="0" borderId="0" applyFill="0"/>
    <xf numFmtId="173" fontId="21" fillId="0" borderId="0">
      <alignment horizontal="center"/>
    </xf>
    <xf numFmtId="0" fontId="21" fillId="0" borderId="0" applyFill="0">
      <alignment horizontal="center"/>
    </xf>
    <xf numFmtId="173" fontId="24" fillId="0" borderId="14" applyFill="0"/>
    <xf numFmtId="0" fontId="12" fillId="0" borderId="0" applyFont="0" applyAlignment="0"/>
    <xf numFmtId="0" fontId="42" fillId="0" borderId="0" applyFill="0">
      <alignment vertical="top"/>
    </xf>
    <xf numFmtId="0" fontId="24" fillId="0" borderId="0" applyFill="0">
      <alignment horizontal="left" vertical="top"/>
    </xf>
    <xf numFmtId="173" fontId="8" fillId="0" borderId="8" applyFill="0"/>
    <xf numFmtId="0" fontId="12" fillId="0" borderId="0" applyNumberFormat="0" applyFont="0" applyAlignment="0"/>
    <xf numFmtId="0" fontId="42" fillId="0" borderId="0" applyFill="0">
      <alignment wrapText="1"/>
    </xf>
    <xf numFmtId="0" fontId="24" fillId="0" borderId="0" applyFill="0">
      <alignment horizontal="left" vertical="top" wrapText="1"/>
    </xf>
    <xf numFmtId="173" fontId="25" fillId="0" borderId="0" applyFill="0"/>
    <xf numFmtId="0" fontId="43" fillId="0" borderId="0" applyNumberFormat="0" applyFont="0" applyAlignment="0">
      <alignment horizontal="center"/>
    </xf>
    <xf numFmtId="0" fontId="44" fillId="0" borderId="0" applyFill="0">
      <alignment vertical="top" wrapText="1"/>
    </xf>
    <xf numFmtId="0" fontId="8" fillId="0" borderId="0" applyFill="0">
      <alignment horizontal="left" vertical="top" wrapText="1"/>
    </xf>
    <xf numFmtId="173" fontId="12" fillId="0" borderId="0" applyFill="0"/>
    <xf numFmtId="0" fontId="43" fillId="0" borderId="0" applyNumberFormat="0" applyFont="0" applyAlignment="0">
      <alignment horizontal="center"/>
    </xf>
    <xf numFmtId="0" fontId="45" fillId="0" borderId="0" applyFill="0">
      <alignment vertical="center" wrapText="1"/>
    </xf>
    <xf numFmtId="0" fontId="6" fillId="0" borderId="0">
      <alignment horizontal="left" vertical="center" wrapText="1"/>
    </xf>
    <xf numFmtId="173" fontId="37" fillId="0" borderId="0" applyFill="0"/>
    <xf numFmtId="0" fontId="43" fillId="0" borderId="0" applyNumberFormat="0" applyFont="0" applyAlignment="0">
      <alignment horizontal="center"/>
    </xf>
    <xf numFmtId="0" fontId="46" fillId="0" borderId="0" applyFill="0">
      <alignment horizontal="center" vertical="center" wrapText="1"/>
    </xf>
    <xf numFmtId="0" fontId="12" fillId="0" borderId="0" applyFill="0">
      <alignment horizontal="center" vertical="center" wrapText="1"/>
    </xf>
    <xf numFmtId="173" fontId="47" fillId="0" borderId="0" applyFill="0"/>
    <xf numFmtId="0" fontId="43" fillId="0" borderId="0" applyNumberFormat="0" applyFont="0" applyAlignment="0">
      <alignment horizontal="center"/>
    </xf>
    <xf numFmtId="0" fontId="48" fillId="0" borderId="0" applyFill="0">
      <alignment horizontal="center" vertical="center" wrapText="1"/>
    </xf>
    <xf numFmtId="0" fontId="49" fillId="0" borderId="0" applyFill="0">
      <alignment horizontal="center" vertical="center" wrapText="1"/>
    </xf>
    <xf numFmtId="173" fontId="50" fillId="0" borderId="0" applyFill="0"/>
    <xf numFmtId="0" fontId="43" fillId="0" borderId="0" applyNumberFormat="0" applyFont="0" applyAlignment="0">
      <alignment horizontal="center"/>
    </xf>
    <xf numFmtId="0" fontId="51" fillId="0" borderId="0">
      <alignment horizontal="center" wrapText="1"/>
    </xf>
    <xf numFmtId="0" fontId="47" fillId="0" borderId="0" applyFill="0">
      <alignment horizontal="center" wrapText="1"/>
    </xf>
    <xf numFmtId="190" fontId="52" fillId="0" borderId="0" applyFont="0" applyFill="0" applyBorder="0" applyAlignment="0" applyProtection="0">
      <protection locked="0"/>
    </xf>
    <xf numFmtId="191" fontId="52" fillId="0" borderId="0" applyFont="0" applyFill="0" applyBorder="0" applyAlignment="0" applyProtection="0">
      <protection locked="0"/>
    </xf>
    <xf numFmtId="39" fontId="12" fillId="0" borderId="0" applyFont="0" applyFill="0" applyBorder="0" applyAlignment="0" applyProtection="0"/>
    <xf numFmtId="192" fontId="53" fillId="0" borderId="0" applyFont="0" applyFill="0" applyBorder="0" applyAlignment="0" applyProtection="0"/>
    <xf numFmtId="193" fontId="40" fillId="0" borderId="0" applyFont="0" applyFill="0" applyBorder="0" applyAlignment="0" applyProtection="0"/>
    <xf numFmtId="0" fontId="12" fillId="0" borderId="6" applyNumberFormat="0" applyFont="0" applyFill="0" applyBorder="0" applyProtection="0">
      <alignment horizontal="centerContinuous" vertical="center"/>
    </xf>
    <xf numFmtId="0" fontId="54" fillId="0" borderId="0" applyFill="0" applyBorder="0" applyProtection="0">
      <alignment horizontal="center"/>
      <protection locked="0"/>
    </xf>
    <xf numFmtId="0" fontId="1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194" fontId="38" fillId="0" borderId="0" applyFont="0" applyFill="0" applyBorder="0" applyAlignment="0" applyProtection="0"/>
    <xf numFmtId="195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7" fontId="56" fillId="0" borderId="0" applyFont="0" applyFill="0" applyBorder="0" applyAlignment="0" applyProtection="0"/>
    <xf numFmtId="198" fontId="57" fillId="0" borderId="0" applyFont="0" applyFill="0" applyBorder="0" applyAlignment="0" applyProtection="0"/>
    <xf numFmtId="199" fontId="57" fillId="0" borderId="0" applyFont="0" applyFill="0" applyBorder="0" applyAlignment="0" applyProtection="0"/>
    <xf numFmtId="200" fontId="25" fillId="0" borderId="0" applyFont="0" applyFill="0" applyBorder="0" applyAlignment="0" applyProtection="0">
      <protection locked="0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2" fillId="0" borderId="0" applyFont="0" applyFill="0" applyBorder="0" applyAlignment="0" applyProtection="0"/>
    <xf numFmtId="37" fontId="58" fillId="0" borderId="0" applyFill="0" applyBorder="0" applyAlignment="0" applyProtection="0"/>
    <xf numFmtId="3" fontId="12" fillId="0" borderId="0" applyFont="0" applyFill="0" applyBorder="0" applyAlignment="0" applyProtection="0"/>
    <xf numFmtId="0" fontId="24" fillId="0" borderId="0" applyFill="0" applyBorder="0" applyAlignment="0" applyProtection="0">
      <protection locked="0"/>
    </xf>
    <xf numFmtId="201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3" fontId="38" fillId="0" borderId="0" applyFont="0" applyFill="0" applyBorder="0" applyAlignment="0" applyProtection="0"/>
    <xf numFmtId="204" fontId="57" fillId="0" borderId="0" applyFont="0" applyFill="0" applyBorder="0" applyAlignment="0" applyProtection="0"/>
    <xf numFmtId="205" fontId="57" fillId="0" borderId="0" applyFont="0" applyFill="0" applyBorder="0" applyAlignment="0" applyProtection="0"/>
    <xf numFmtId="206" fontId="57" fillId="0" borderId="0" applyFont="0" applyFill="0" applyBorder="0" applyAlignment="0" applyProtection="0"/>
    <xf numFmtId="207" fontId="25" fillId="0" borderId="0" applyFont="0" applyFill="0" applyBorder="0" applyAlignment="0" applyProtection="0">
      <protection locked="0"/>
    </xf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5" fontId="58" fillId="0" borderId="0" applyFill="0" applyBorder="0" applyAlignment="0" applyProtection="0"/>
    <xf numFmtId="5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208" fontId="40" fillId="0" borderId="0" applyFont="0" applyFill="0" applyBorder="0" applyAlignment="0" applyProtection="0"/>
    <xf numFmtId="209" fontId="12" fillId="0" borderId="0" applyFont="0" applyFill="0" applyBorder="0" applyAlignment="0" applyProtection="0"/>
    <xf numFmtId="210" fontId="52" fillId="0" borderId="0" applyFont="0" applyFill="0" applyBorder="0" applyAlignment="0" applyProtection="0">
      <protection locked="0"/>
    </xf>
    <xf numFmtId="7" fontId="21" fillId="0" borderId="0" applyFont="0" applyFill="0" applyBorder="0" applyAlignment="0" applyProtection="0"/>
    <xf numFmtId="211" fontId="53" fillId="0" borderId="0" applyFont="0" applyFill="0" applyBorder="0" applyAlignment="0" applyProtection="0"/>
    <xf numFmtId="212" fontId="59" fillId="0" borderId="0" applyFont="0" applyFill="0" applyBorder="0" applyAlignment="0" applyProtection="0"/>
    <xf numFmtId="0" fontId="60" fillId="5" borderId="15" applyNumberFormat="0" applyFont="0" applyFill="0" applyAlignment="0" applyProtection="0">
      <alignment horizontal="left" indent="1"/>
    </xf>
    <xf numFmtId="14" fontId="12" fillId="0" borderId="0" applyFont="0" applyFill="0" applyBorder="0" applyAlignment="0" applyProtection="0"/>
    <xf numFmtId="213" fontId="38" fillId="0" borderId="0" applyFont="0" applyFill="0" applyBorder="0" applyProtection="0"/>
    <xf numFmtId="214" fontId="38" fillId="0" borderId="0" applyFont="0" applyFill="0" applyBorder="0" applyProtection="0"/>
    <xf numFmtId="215" fontId="38" fillId="0" borderId="0" applyFont="0" applyFill="0" applyBorder="0" applyAlignment="0" applyProtection="0"/>
    <xf numFmtId="216" fontId="38" fillId="0" borderId="0" applyFont="0" applyFill="0" applyBorder="0" applyAlignment="0" applyProtection="0"/>
    <xf numFmtId="217" fontId="38" fillId="0" borderId="0" applyFont="0" applyFill="0" applyBorder="0" applyAlignment="0" applyProtection="0"/>
    <xf numFmtId="218" fontId="61" fillId="0" borderId="0" applyFont="0" applyFill="0" applyBorder="0" applyAlignment="0" applyProtection="0"/>
    <xf numFmtId="5" fontId="62" fillId="0" borderId="0" applyBorder="0"/>
    <xf numFmtId="209" fontId="62" fillId="0" borderId="0" applyBorder="0"/>
    <xf numFmtId="7" fontId="62" fillId="0" borderId="0" applyBorder="0"/>
    <xf numFmtId="37" fontId="62" fillId="0" borderId="0" applyBorder="0"/>
    <xf numFmtId="190" fontId="62" fillId="0" borderId="0" applyBorder="0"/>
    <xf numFmtId="219" fontId="62" fillId="0" borderId="0" applyBorder="0"/>
    <xf numFmtId="39" fontId="62" fillId="0" borderId="0" applyBorder="0"/>
    <xf numFmtId="220" fontId="62" fillId="0" borderId="0" applyBorder="0"/>
    <xf numFmtId="7" fontId="12" fillId="0" borderId="0" applyFont="0" applyFill="0" applyBorder="0" applyAlignment="0" applyProtection="0"/>
    <xf numFmtId="221" fontId="40" fillId="0" borderId="0" applyFont="0" applyFill="0" applyBorder="0" applyAlignment="0" applyProtection="0"/>
    <xf numFmtId="222" fontId="40" fillId="0" borderId="0" applyFont="0" applyFill="0" applyAlignment="0" applyProtection="0"/>
    <xf numFmtId="221" fontId="40" fillId="0" borderId="0" applyFont="0" applyFill="0" applyBorder="0" applyAlignment="0" applyProtection="0"/>
    <xf numFmtId="223" fontId="21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63" fillId="0" borderId="0"/>
    <xf numFmtId="190" fontId="64" fillId="0" borderId="0" applyNumberFormat="0" applyFill="0" applyBorder="0" applyAlignment="0" applyProtection="0"/>
    <xf numFmtId="0" fontId="21" fillId="0" borderId="0" applyFont="0" applyFill="0" applyBorder="0" applyAlignment="0" applyProtection="0"/>
    <xf numFmtId="0" fontId="38" fillId="0" borderId="0" applyFont="0" applyFill="0" applyBorder="0" applyProtection="0">
      <alignment horizontal="center" wrapText="1"/>
    </xf>
    <xf numFmtId="224" fontId="38" fillId="0" borderId="0" applyFont="0" applyFill="0" applyBorder="0" applyProtection="0">
      <alignment horizontal="right"/>
    </xf>
    <xf numFmtId="0" fontId="64" fillId="0" borderId="0" applyNumberFormat="0" applyFill="0" applyBorder="0" applyAlignment="0" applyProtection="0"/>
    <xf numFmtId="0" fontId="65" fillId="6" borderId="0" applyNumberFormat="0" applyFill="0" applyBorder="0" applyAlignment="0" applyProtection="0"/>
    <xf numFmtId="0" fontId="8" fillId="0" borderId="16" applyNumberFormat="0" applyAlignment="0" applyProtection="0">
      <alignment horizontal="left" vertical="center"/>
    </xf>
    <xf numFmtId="0" fontId="8" fillId="0" borderId="12">
      <alignment horizontal="left" vertical="center"/>
    </xf>
    <xf numFmtId="14" fontId="14" fillId="7" borderId="1">
      <alignment horizontal="center" vertical="center" wrapText="1"/>
    </xf>
    <xf numFmtId="0" fontId="54" fillId="0" borderId="0" applyFill="0" applyAlignment="0" applyProtection="0">
      <protection locked="0"/>
    </xf>
    <xf numFmtId="0" fontId="54" fillId="0" borderId="6" applyFill="0" applyAlignment="0" applyProtection="0">
      <protection locked="0"/>
    </xf>
    <xf numFmtId="0" fontId="66" fillId="0" borderId="1"/>
    <xf numFmtId="0" fontId="67" fillId="0" borderId="0"/>
    <xf numFmtId="0" fontId="68" fillId="0" borderId="6" applyNumberFormat="0" applyFill="0" applyAlignment="0" applyProtection="0"/>
    <xf numFmtId="0" fontId="61" fillId="8" borderId="0" applyNumberFormat="0" applyFont="0" applyBorder="0" applyAlignment="0" applyProtection="0"/>
    <xf numFmtId="0" fontId="36" fillId="2" borderId="10" applyNumberFormat="0" applyAlignment="0" applyProtection="0"/>
    <xf numFmtId="225" fontId="38" fillId="0" borderId="0" applyFont="0" applyFill="0" applyBorder="0" applyProtection="0">
      <alignment horizontal="left"/>
    </xf>
    <xf numFmtId="226" fontId="38" fillId="0" borderId="0" applyFont="0" applyFill="0" applyBorder="0" applyProtection="0">
      <alignment horizontal="left"/>
    </xf>
    <xf numFmtId="227" fontId="38" fillId="0" borderId="0" applyFont="0" applyFill="0" applyBorder="0" applyProtection="0">
      <alignment horizontal="left"/>
    </xf>
    <xf numFmtId="228" fontId="38" fillId="0" borderId="0" applyFont="0" applyFill="0" applyBorder="0" applyProtection="0">
      <alignment horizontal="left"/>
    </xf>
    <xf numFmtId="10" fontId="21" fillId="9" borderId="10" applyNumberFormat="0" applyBorder="0" applyAlignment="0" applyProtection="0"/>
    <xf numFmtId="5" fontId="69" fillId="0" borderId="0" applyBorder="0"/>
    <xf numFmtId="209" fontId="69" fillId="0" borderId="0" applyBorder="0"/>
    <xf numFmtId="7" fontId="69" fillId="0" borderId="0" applyBorder="0"/>
    <xf numFmtId="37" fontId="69" fillId="0" borderId="0" applyBorder="0"/>
    <xf numFmtId="190" fontId="69" fillId="0" borderId="0" applyBorder="0"/>
    <xf numFmtId="219" fontId="69" fillId="0" borderId="0" applyBorder="0"/>
    <xf numFmtId="39" fontId="69" fillId="0" borderId="0" applyBorder="0"/>
    <xf numFmtId="220" fontId="69" fillId="0" borderId="0" applyBorder="0"/>
    <xf numFmtId="0" fontId="61" fillId="0" borderId="3" applyNumberFormat="0" applyFont="0" applyFill="0" applyAlignment="0" applyProtection="0"/>
    <xf numFmtId="0" fontId="70" fillId="0" borderId="0"/>
    <xf numFmtId="229" fontId="12" fillId="0" borderId="0" applyFont="0" applyFill="0" applyBorder="0" applyAlignment="0" applyProtection="0"/>
    <xf numFmtId="230" fontId="12" fillId="0" borderId="0" applyFont="0" applyFill="0" applyBorder="0" applyAlignment="0" applyProtection="0"/>
    <xf numFmtId="231" fontId="12" fillId="0" borderId="0" applyFont="0" applyFill="0" applyBorder="0" applyAlignment="0" applyProtection="0"/>
    <xf numFmtId="232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233" fontId="12" fillId="0" borderId="0" applyFont="0" applyFill="0" applyBorder="0" applyAlignment="0" applyProtection="0"/>
    <xf numFmtId="37" fontId="71" fillId="0" borderId="0"/>
    <xf numFmtId="0" fontId="40" fillId="0" borderId="0"/>
    <xf numFmtId="0" fontId="12" fillId="0" borderId="0"/>
    <xf numFmtId="0" fontId="12" fillId="0" borderId="0"/>
    <xf numFmtId="173" fontId="3" fillId="0" borderId="0" applyProtection="0"/>
    <xf numFmtId="0" fontId="12" fillId="0" borderId="0"/>
    <xf numFmtId="0" fontId="12" fillId="0" borderId="0"/>
    <xf numFmtId="0" fontId="12" fillId="0" borderId="0"/>
    <xf numFmtId="0" fontId="4" fillId="10" borderId="0" applyNumberFormat="0" applyFont="0" applyBorder="0" applyAlignment="0"/>
    <xf numFmtId="234" fontId="12" fillId="0" borderId="0" applyFont="0" applyFill="0" applyBorder="0" applyAlignment="0" applyProtection="0"/>
    <xf numFmtId="235" fontId="72" fillId="0" borderId="0"/>
    <xf numFmtId="234" fontId="12" fillId="0" borderId="0" applyFont="0" applyFill="0" applyBorder="0" applyAlignment="0" applyProtection="0"/>
    <xf numFmtId="234" fontId="12" fillId="0" borderId="0" applyFont="0" applyFill="0" applyBorder="0" applyAlignment="0" applyProtection="0"/>
    <xf numFmtId="234" fontId="12" fillId="0" borderId="0" applyFont="0" applyFill="0" applyBorder="0" applyAlignment="0" applyProtection="0"/>
    <xf numFmtId="236" fontId="12" fillId="0" borderId="0"/>
    <xf numFmtId="237" fontId="40" fillId="0" borderId="0"/>
    <xf numFmtId="237" fontId="40" fillId="0" borderId="0"/>
    <xf numFmtId="235" fontId="72" fillId="0" borderId="0"/>
    <xf numFmtId="0" fontId="40" fillId="0" borderId="0"/>
    <xf numFmtId="235" fontId="58" fillId="0" borderId="0"/>
    <xf numFmtId="236" fontId="12" fillId="0" borderId="0"/>
    <xf numFmtId="237" fontId="40" fillId="0" borderId="0"/>
    <xf numFmtId="237" fontId="40" fillId="0" borderId="0"/>
    <xf numFmtId="0" fontId="40" fillId="0" borderId="0"/>
    <xf numFmtId="0" fontId="40" fillId="0" borderId="0"/>
    <xf numFmtId="238" fontId="40" fillId="0" borderId="0"/>
    <xf numFmtId="170" fontId="40" fillId="0" borderId="0"/>
    <xf numFmtId="239" fontId="40" fillId="0" borderId="0"/>
    <xf numFmtId="238" fontId="40" fillId="0" borderId="0"/>
    <xf numFmtId="170" fontId="40" fillId="0" borderId="0"/>
    <xf numFmtId="240" fontId="40" fillId="0" borderId="0"/>
    <xf numFmtId="240" fontId="40" fillId="0" borderId="0"/>
    <xf numFmtId="241" fontId="40" fillId="0" borderId="0"/>
    <xf numFmtId="239" fontId="40" fillId="0" borderId="0"/>
    <xf numFmtId="169" fontId="40" fillId="0" borderId="0"/>
    <xf numFmtId="241" fontId="40" fillId="0" borderId="0"/>
    <xf numFmtId="241" fontId="40" fillId="0" borderId="0"/>
    <xf numFmtId="0" fontId="40" fillId="0" borderId="0"/>
    <xf numFmtId="234" fontId="12" fillId="0" borderId="0" applyFont="0" applyFill="0" applyBorder="0" applyAlignment="0" applyProtection="0"/>
    <xf numFmtId="234" fontId="12" fillId="0" borderId="0" applyFont="0" applyFill="0" applyBorder="0" applyAlignment="0" applyProtection="0"/>
    <xf numFmtId="234" fontId="12" fillId="0" borderId="0" applyFont="0" applyFill="0" applyBorder="0" applyAlignment="0" applyProtection="0"/>
    <xf numFmtId="235" fontId="72" fillId="0" borderId="0"/>
    <xf numFmtId="235" fontId="72" fillId="0" borderId="0"/>
    <xf numFmtId="234" fontId="12" fillId="0" borderId="0" applyFont="0" applyFill="0" applyBorder="0" applyAlignment="0" applyProtection="0"/>
    <xf numFmtId="235" fontId="72" fillId="0" borderId="0"/>
    <xf numFmtId="235" fontId="72" fillId="0" borderId="0"/>
    <xf numFmtId="238" fontId="40" fillId="0" borderId="0"/>
    <xf numFmtId="170" fontId="40" fillId="0" borderId="0"/>
    <xf numFmtId="239" fontId="40" fillId="0" borderId="0"/>
    <xf numFmtId="238" fontId="40" fillId="0" borderId="0"/>
    <xf numFmtId="170" fontId="40" fillId="0" borderId="0"/>
    <xf numFmtId="240" fontId="40" fillId="0" borderId="0"/>
    <xf numFmtId="240" fontId="40" fillId="0" borderId="0"/>
    <xf numFmtId="241" fontId="40" fillId="0" borderId="0"/>
    <xf numFmtId="239" fontId="40" fillId="0" borderId="0"/>
    <xf numFmtId="169" fontId="40" fillId="0" borderId="0"/>
    <xf numFmtId="241" fontId="40" fillId="0" borderId="0"/>
    <xf numFmtId="241" fontId="40" fillId="0" borderId="0"/>
    <xf numFmtId="242" fontId="37" fillId="3" borderId="0" applyFont="0" applyFill="0" applyBorder="0" applyAlignment="0" applyProtection="0"/>
    <xf numFmtId="243" fontId="37" fillId="3" borderId="0" applyFont="0" applyFill="0" applyBorder="0" applyAlignment="0" applyProtection="0"/>
    <xf numFmtId="244" fontId="12" fillId="0" borderId="0" applyFont="0" applyFill="0" applyBorder="0" applyAlignment="0" applyProtection="0"/>
    <xf numFmtId="245" fontId="57" fillId="0" borderId="0" applyFont="0" applyFill="0" applyBorder="0" applyAlignment="0" applyProtection="0"/>
    <xf numFmtId="246" fontId="56" fillId="0" borderId="0" applyFont="0" applyFill="0" applyBorder="0" applyAlignment="0" applyProtection="0"/>
    <xf numFmtId="247" fontId="12" fillId="0" borderId="0" applyFont="0" applyFill="0" applyBorder="0" applyAlignment="0" applyProtection="0"/>
    <xf numFmtId="248" fontId="38" fillId="0" borderId="0" applyFont="0" applyFill="0" applyBorder="0" applyAlignment="0" applyProtection="0"/>
    <xf numFmtId="249" fontId="38" fillId="0" borderId="0" applyFont="0" applyFill="0" applyBorder="0" applyAlignment="0" applyProtection="0"/>
    <xf numFmtId="250" fontId="38" fillId="0" borderId="0" applyFont="0" applyFill="0" applyBorder="0" applyAlignment="0" applyProtection="0"/>
    <xf numFmtId="251" fontId="38" fillId="0" borderId="0" applyFont="0" applyFill="0" applyBorder="0" applyAlignment="0" applyProtection="0"/>
    <xf numFmtId="252" fontId="57" fillId="0" borderId="0" applyFont="0" applyFill="0" applyBorder="0" applyAlignment="0" applyProtection="0"/>
    <xf numFmtId="253" fontId="56" fillId="0" borderId="0" applyFont="0" applyFill="0" applyBorder="0" applyAlignment="0" applyProtection="0"/>
    <xf numFmtId="254" fontId="57" fillId="0" borderId="0" applyFont="0" applyFill="0" applyBorder="0" applyAlignment="0" applyProtection="0"/>
    <xf numFmtId="255" fontId="56" fillId="0" borderId="0" applyFont="0" applyFill="0" applyBorder="0" applyAlignment="0" applyProtection="0"/>
    <xf numFmtId="256" fontId="57" fillId="0" borderId="0" applyFont="0" applyFill="0" applyBorder="0" applyAlignment="0" applyProtection="0"/>
    <xf numFmtId="257" fontId="56" fillId="0" borderId="0" applyFont="0" applyFill="0" applyBorder="0" applyAlignment="0" applyProtection="0"/>
    <xf numFmtId="258" fontId="25" fillId="0" borderId="0" applyFont="0" applyFill="0" applyBorder="0" applyAlignment="0" applyProtection="0">
      <protection locked="0"/>
    </xf>
    <xf numFmtId="259" fontId="5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84" fontId="58" fillId="0" borderId="0" applyFill="0" applyBorder="0" applyAlignment="0" applyProtection="0"/>
    <xf numFmtId="9" fontId="62" fillId="0" borderId="0" applyBorder="0"/>
    <xf numFmtId="260" fontId="62" fillId="0" borderId="0" applyBorder="0"/>
    <xf numFmtId="10" fontId="62" fillId="0" borderId="0" applyBorder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3" fontId="12" fillId="0" borderId="0">
      <alignment horizontal="left" vertical="top"/>
    </xf>
    <xf numFmtId="0" fontId="73" fillId="0" borderId="1">
      <alignment horizontal="center"/>
    </xf>
    <xf numFmtId="3" fontId="29" fillId="0" borderId="0" applyFont="0" applyFill="0" applyBorder="0" applyAlignment="0" applyProtection="0"/>
    <xf numFmtId="0" fontId="29" fillId="11" borderId="0" applyNumberFormat="0" applyFont="0" applyBorder="0" applyAlignment="0" applyProtection="0"/>
    <xf numFmtId="3" fontId="12" fillId="0" borderId="0">
      <alignment horizontal="right" vertical="top"/>
    </xf>
    <xf numFmtId="41" fontId="6" fillId="12" borderId="13" applyFill="0"/>
    <xf numFmtId="0" fontId="74" fillId="0" borderId="0">
      <alignment horizontal="left" indent="7"/>
    </xf>
    <xf numFmtId="41" fontId="6" fillId="0" borderId="13" applyFill="0">
      <alignment horizontal="left" indent="2"/>
    </xf>
    <xf numFmtId="173" fontId="54" fillId="0" borderId="6" applyFill="0">
      <alignment horizontal="right"/>
    </xf>
    <xf numFmtId="0" fontId="14" fillId="0" borderId="10" applyNumberFormat="0" applyFont="0" applyBorder="0">
      <alignment horizontal="right"/>
    </xf>
    <xf numFmtId="0" fontId="75" fillId="0" borderId="0" applyFill="0"/>
    <xf numFmtId="0" fontId="8" fillId="0" borderId="0" applyFill="0"/>
    <xf numFmtId="4" fontId="54" fillId="0" borderId="6" applyFill="0"/>
    <xf numFmtId="0" fontId="12" fillId="0" borderId="0" applyNumberFormat="0" applyFont="0" applyBorder="0" applyAlignment="0"/>
    <xf numFmtId="0" fontId="44" fillId="0" borderId="0" applyFill="0">
      <alignment horizontal="left" indent="1"/>
    </xf>
    <xf numFmtId="0" fontId="76" fillId="0" borderId="0" applyFill="0">
      <alignment horizontal="left" indent="1"/>
    </xf>
    <xf numFmtId="4" fontId="37" fillId="0" borderId="0" applyFill="0"/>
    <xf numFmtId="0" fontId="12" fillId="0" borderId="0" applyNumberFormat="0" applyFont="0" applyFill="0" applyBorder="0" applyAlignment="0"/>
    <xf numFmtId="0" fontId="44" fillId="0" borderId="0" applyFill="0">
      <alignment horizontal="left" indent="2"/>
    </xf>
    <xf numFmtId="0" fontId="8" fillId="0" borderId="0" applyFill="0">
      <alignment horizontal="left" indent="2"/>
    </xf>
    <xf numFmtId="4" fontId="37" fillId="0" borderId="0" applyFill="0"/>
    <xf numFmtId="0" fontId="12" fillId="0" borderId="0" applyNumberFormat="0" applyFont="0" applyBorder="0" applyAlignment="0"/>
    <xf numFmtId="0" fontId="77" fillId="0" borderId="0">
      <alignment horizontal="left" indent="3"/>
    </xf>
    <xf numFmtId="0" fontId="9" fillId="0" borderId="0" applyFill="0">
      <alignment horizontal="left" indent="3"/>
    </xf>
    <xf numFmtId="4" fontId="37" fillId="0" borderId="0" applyFill="0"/>
    <xf numFmtId="0" fontId="12" fillId="0" borderId="0" applyNumberFormat="0" applyFont="0" applyBorder="0" applyAlignment="0"/>
    <xf numFmtId="0" fontId="46" fillId="0" borderId="0">
      <alignment horizontal="left" indent="4"/>
    </xf>
    <xf numFmtId="0" fontId="12" fillId="0" borderId="0" applyFill="0">
      <alignment horizontal="left" indent="4"/>
    </xf>
    <xf numFmtId="4" fontId="47" fillId="0" borderId="0" applyFill="0"/>
    <xf numFmtId="0" fontId="12" fillId="0" borderId="0" applyNumberFormat="0" applyFont="0" applyBorder="0" applyAlignment="0"/>
    <xf numFmtId="0" fontId="48" fillId="0" borderId="0">
      <alignment horizontal="left" indent="5"/>
    </xf>
    <xf numFmtId="0" fontId="49" fillId="0" borderId="0" applyFill="0">
      <alignment horizontal="left" indent="5"/>
    </xf>
    <xf numFmtId="4" fontId="50" fillId="0" borderId="0" applyFill="0"/>
    <xf numFmtId="0" fontId="12" fillId="0" borderId="0" applyNumberFormat="0" applyFont="0" applyFill="0" applyBorder="0" applyAlignment="0"/>
    <xf numFmtId="0" fontId="51" fillId="0" borderId="0" applyFill="0">
      <alignment horizontal="left" indent="6"/>
    </xf>
    <xf numFmtId="0" fontId="47" fillId="0" borderId="0" applyFill="0">
      <alignment horizontal="left" indent="6"/>
    </xf>
    <xf numFmtId="0" fontId="61" fillId="0" borderId="4" applyNumberFormat="0" applyFont="0" applyFill="0" applyAlignment="0" applyProtection="0"/>
    <xf numFmtId="0" fontId="78" fillId="0" borderId="0" applyNumberFormat="0" applyFill="0" applyBorder="0" applyAlignment="0" applyProtection="0"/>
    <xf numFmtId="0" fontId="79" fillId="0" borderId="0"/>
    <xf numFmtId="0" fontId="79" fillId="0" borderId="0"/>
    <xf numFmtId="0" fontId="80" fillId="0" borderId="1">
      <alignment horizontal="right"/>
    </xf>
    <xf numFmtId="261" fontId="59" fillId="0" borderId="0">
      <alignment horizontal="center"/>
    </xf>
    <xf numFmtId="262" fontId="81" fillId="0" borderId="0">
      <alignment horizontal="center"/>
    </xf>
    <xf numFmtId="0" fontId="82" fillId="0" borderId="0" applyNumberFormat="0" applyFill="0" applyBorder="0" applyAlignment="0" applyProtection="0"/>
    <xf numFmtId="0" fontId="83" fillId="0" borderId="0" applyNumberFormat="0" applyBorder="0" applyAlignment="0"/>
    <xf numFmtId="0" fontId="84" fillId="0" borderId="0" applyNumberFormat="0" applyBorder="0" applyAlignment="0"/>
    <xf numFmtId="0" fontId="61" fillId="5" borderId="0" applyNumberFormat="0" applyFont="0" applyBorder="0" applyAlignment="0" applyProtection="0"/>
    <xf numFmtId="242" fontId="85" fillId="0" borderId="12" applyNumberFormat="0" applyFont="0" applyFill="0" applyAlignment="0" applyProtection="0"/>
    <xf numFmtId="0" fontId="86" fillId="0" borderId="0" applyFill="0" applyBorder="0" applyProtection="0">
      <alignment horizontal="left" vertical="top"/>
    </xf>
    <xf numFmtId="0" fontId="87" fillId="0" borderId="0" applyAlignment="0">
      <alignment horizontal="centerContinuous"/>
    </xf>
    <xf numFmtId="0" fontId="12" fillId="0" borderId="8" applyNumberFormat="0" applyFont="0" applyFill="0" applyAlignment="0" applyProtection="0"/>
    <xf numFmtId="0" fontId="88" fillId="0" borderId="0" applyNumberFormat="0" applyFill="0" applyBorder="0" applyAlignment="0" applyProtection="0"/>
    <xf numFmtId="263" fontId="56" fillId="0" borderId="0" applyFont="0" applyFill="0" applyBorder="0" applyAlignment="0" applyProtection="0"/>
    <xf numFmtId="264" fontId="56" fillId="0" borderId="0" applyFont="0" applyFill="0" applyBorder="0" applyAlignment="0" applyProtection="0"/>
    <xf numFmtId="265" fontId="56" fillId="0" borderId="0" applyFont="0" applyFill="0" applyBorder="0" applyAlignment="0" applyProtection="0"/>
    <xf numFmtId="266" fontId="56" fillId="0" borderId="0" applyFont="0" applyFill="0" applyBorder="0" applyAlignment="0" applyProtection="0"/>
    <xf numFmtId="267" fontId="56" fillId="0" borderId="0" applyFont="0" applyFill="0" applyBorder="0" applyAlignment="0" applyProtection="0"/>
    <xf numFmtId="268" fontId="56" fillId="0" borderId="0" applyFont="0" applyFill="0" applyBorder="0" applyAlignment="0" applyProtection="0"/>
    <xf numFmtId="269" fontId="56" fillId="0" borderId="0" applyFont="0" applyFill="0" applyBorder="0" applyAlignment="0" applyProtection="0"/>
    <xf numFmtId="270" fontId="56" fillId="0" borderId="0" applyFont="0" applyFill="0" applyBorder="0" applyAlignment="0" applyProtection="0"/>
    <xf numFmtId="271" fontId="89" fillId="5" borderId="17" applyFont="0" applyFill="0" applyBorder="0" applyAlignment="0" applyProtection="0"/>
    <xf numFmtId="271" fontId="40" fillId="0" borderId="0" applyFont="0" applyFill="0" applyBorder="0" applyAlignment="0" applyProtection="0"/>
    <xf numFmtId="272" fontId="53" fillId="0" borderId="0" applyFont="0" applyFill="0" applyBorder="0" applyAlignment="0" applyProtection="0"/>
    <xf numFmtId="273" fontId="59" fillId="0" borderId="12" applyFont="0" applyFill="0" applyBorder="0" applyAlignment="0" applyProtection="0">
      <alignment horizontal="right"/>
      <protection locked="0"/>
    </xf>
    <xf numFmtId="173" fontId="3" fillId="0" borderId="0" applyProtection="0"/>
    <xf numFmtId="0" fontId="92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94" fillId="0" borderId="0"/>
    <xf numFmtId="0" fontId="4" fillId="0" borderId="0"/>
    <xf numFmtId="40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8" fontId="4" fillId="0" borderId="0" applyFont="0" applyFill="0" applyBorder="0" applyAlignment="0" applyProtection="0"/>
    <xf numFmtId="0" fontId="12" fillId="0" borderId="0"/>
    <xf numFmtId="40" fontId="4" fillId="0" borderId="0" applyFont="0" applyFill="0" applyBorder="0" applyAlignment="0" applyProtection="0"/>
    <xf numFmtId="0" fontId="4" fillId="0" borderId="0"/>
    <xf numFmtId="0" fontId="4" fillId="0" borderId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0" fontId="4" fillId="0" borderId="0"/>
    <xf numFmtId="8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0" fontId="4" fillId="0" borderId="0"/>
    <xf numFmtId="40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0" fontId="4" fillId="0" borderId="0"/>
    <xf numFmtId="40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0" fontId="4" fillId="0" borderId="0"/>
    <xf numFmtId="8" fontId="4" fillId="0" borderId="0" applyFont="0" applyFill="0" applyBorder="0" applyAlignment="0" applyProtection="0"/>
    <xf numFmtId="0" fontId="4" fillId="0" borderId="0"/>
    <xf numFmtId="40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0" fontId="4" fillId="0" borderId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0" fontId="4" fillId="0" borderId="0"/>
    <xf numFmtId="8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0" fontId="4" fillId="0" borderId="0"/>
    <xf numFmtId="8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0" fontId="4" fillId="0" borderId="0"/>
    <xf numFmtId="40" fontId="4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0" fontId="101" fillId="0" borderId="0"/>
    <xf numFmtId="43" fontId="102" fillId="0" borderId="0" applyFont="0" applyFill="0" applyBorder="0" applyAlignment="0" applyProtection="0"/>
    <xf numFmtId="0" fontId="101" fillId="0" borderId="0"/>
    <xf numFmtId="0" fontId="101" fillId="0" borderId="0"/>
    <xf numFmtId="43" fontId="102" fillId="0" borderId="0" applyFont="0" applyFill="0" applyBorder="0" applyAlignment="0" applyProtection="0"/>
    <xf numFmtId="0" fontId="103" fillId="13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3" fontId="117" fillId="0" borderId="0" applyNumberFormat="0" applyFill="0" applyBorder="0" applyAlignment="0" applyProtection="0"/>
  </cellStyleXfs>
  <cellXfs count="615">
    <xf numFmtId="173" fontId="0" fillId="0" borderId="0" xfId="0"/>
    <xf numFmtId="10" fontId="0" fillId="0" borderId="0" xfId="11" applyNumberFormat="1" applyFont="1" applyFill="1" applyBorder="1" applyAlignment="1"/>
    <xf numFmtId="10" fontId="8" fillId="0" borderId="0" xfId="11" applyNumberFormat="1" applyFont="1" applyFill="1" applyBorder="1" applyAlignment="1"/>
    <xf numFmtId="10" fontId="6" fillId="0" borderId="0" xfId="11" applyNumberFormat="1" applyFont="1" applyFill="1" applyBorder="1" applyAlignment="1"/>
    <xf numFmtId="1" fontId="6" fillId="0" borderId="0" xfId="13" applyNumberFormat="1" applyFont="1" applyFill="1" applyBorder="1" applyAlignment="1">
      <alignment horizontal="center"/>
    </xf>
    <xf numFmtId="174" fontId="6" fillId="0" borderId="0" xfId="89" applyNumberFormat="1" applyFont="1" applyFill="1"/>
    <xf numFmtId="174" fontId="6" fillId="0" borderId="0" xfId="1" applyNumberFormat="1" applyFont="1" applyFill="1"/>
    <xf numFmtId="174" fontId="12" fillId="0" borderId="0" xfId="1" applyNumberFormat="1" applyFont="1" applyFill="1" applyAlignment="1"/>
    <xf numFmtId="174" fontId="12" fillId="0" borderId="0" xfId="1" applyNumberFormat="1" applyFont="1" applyFill="1"/>
    <xf numFmtId="41" fontId="12" fillId="0" borderId="0" xfId="1" applyNumberFormat="1" applyFont="1" applyFill="1"/>
    <xf numFmtId="174" fontId="12" fillId="0" borderId="6" xfId="1" applyNumberFormat="1" applyFont="1" applyFill="1" applyBorder="1"/>
    <xf numFmtId="41" fontId="12" fillId="0" borderId="6" xfId="1" applyNumberFormat="1" applyFont="1" applyFill="1" applyBorder="1"/>
    <xf numFmtId="174" fontId="12" fillId="0" borderId="8" xfId="1" applyNumberFormat="1" applyFont="1" applyFill="1" applyBorder="1" applyAlignment="1"/>
    <xf numFmtId="174" fontId="6" fillId="0" borderId="0" xfId="1" applyNumberFormat="1" applyFont="1" applyFill="1" applyAlignment="1"/>
    <xf numFmtId="174" fontId="12" fillId="0" borderId="0" xfId="1" quotePrefix="1" applyNumberFormat="1" applyFont="1" applyFill="1" applyAlignment="1">
      <alignment horizontal="center"/>
    </xf>
    <xf numFmtId="174" fontId="6" fillId="0" borderId="0" xfId="1" applyNumberFormat="1" applyFont="1" applyFill="1" applyBorder="1"/>
    <xf numFmtId="276" fontId="6" fillId="0" borderId="0" xfId="1" applyNumberFormat="1" applyFont="1" applyFill="1" applyBorder="1" applyAlignment="1">
      <alignment horizontal="center"/>
    </xf>
    <xf numFmtId="10" fontId="6" fillId="0" borderId="0" xfId="372" applyNumberFormat="1" applyFont="1" applyFill="1" applyBorder="1" applyAlignment="1">
      <alignment horizontal="center"/>
    </xf>
    <xf numFmtId="164" fontId="6" fillId="0" borderId="0" xfId="372" applyNumberFormat="1" applyFont="1" applyFill="1" applyAlignment="1"/>
    <xf numFmtId="43" fontId="6" fillId="0" borderId="0" xfId="1" applyFont="1" applyFill="1" applyBorder="1" applyAlignment="1">
      <alignment horizontal="left" indent="1"/>
    </xf>
    <xf numFmtId="43" fontId="6" fillId="0" borderId="0" xfId="1" applyFont="1" applyFill="1" applyAlignment="1">
      <alignment horizontal="left" indent="1"/>
    </xf>
    <xf numFmtId="10" fontId="6" fillId="0" borderId="0" xfId="372" applyNumberFormat="1" applyFont="1" applyFill="1" applyAlignment="1"/>
    <xf numFmtId="43" fontId="6" fillId="0" borderId="0" xfId="1" applyFont="1" applyFill="1"/>
    <xf numFmtId="174" fontId="0" fillId="0" borderId="0" xfId="1" applyNumberFormat="1" applyFont="1" applyFill="1" applyAlignment="1"/>
    <xf numFmtId="174" fontId="12" fillId="0" borderId="0" xfId="89" applyNumberFormat="1" applyFont="1" applyFill="1" applyAlignment="1"/>
    <xf numFmtId="174" fontId="6" fillId="0" borderId="12" xfId="1" applyNumberFormat="1" applyFont="1" applyFill="1" applyBorder="1" applyAlignment="1"/>
    <xf numFmtId="174" fontId="6" fillId="0" borderId="22" xfId="1" applyNumberFormat="1" applyFont="1" applyFill="1" applyBorder="1" applyAlignment="1"/>
    <xf numFmtId="0" fontId="6" fillId="0" borderId="0" xfId="378" applyFont="1" applyFill="1" applyBorder="1"/>
    <xf numFmtId="0" fontId="6" fillId="0" borderId="0" xfId="378" applyFont="1" applyFill="1"/>
    <xf numFmtId="0" fontId="6" fillId="0" borderId="0" xfId="1" applyNumberFormat="1" applyFont="1" applyFill="1" applyAlignment="1">
      <alignment horizontal="center"/>
    </xf>
    <xf numFmtId="276" fontId="110" fillId="0" borderId="0" xfId="1" applyNumberFormat="1" applyFont="1" applyFill="1"/>
    <xf numFmtId="10" fontId="6" fillId="0" borderId="0" xfId="11" applyNumberFormat="1" applyFont="1" applyFill="1"/>
    <xf numFmtId="10" fontId="23" fillId="0" borderId="0" xfId="11" applyNumberFormat="1" applyFont="1" applyFill="1" applyBorder="1"/>
    <xf numFmtId="175" fontId="30" fillId="0" borderId="0" xfId="327" applyNumberFormat="1" applyFont="1" applyFill="1" applyBorder="1" applyAlignment="1">
      <alignment vertical="center"/>
    </xf>
    <xf numFmtId="41" fontId="6" fillId="0" borderId="0" xfId="13" applyNumberFormat="1" applyFont="1" applyFill="1" applyBorder="1"/>
    <xf numFmtId="41" fontId="96" fillId="0" borderId="0" xfId="13" quotePrefix="1" applyNumberFormat="1" applyFont="1" applyFill="1" applyBorder="1"/>
    <xf numFmtId="164" fontId="8" fillId="0" borderId="0" xfId="11" applyNumberFormat="1" applyFont="1" applyFill="1" applyBorder="1" applyAlignment="1">
      <alignment horizontal="right"/>
    </xf>
    <xf numFmtId="175" fontId="6" fillId="0" borderId="0" xfId="327" applyNumberFormat="1" applyFont="1" applyFill="1" applyBorder="1" applyProtection="1">
      <protection locked="0"/>
    </xf>
    <xf numFmtId="175" fontId="6" fillId="0" borderId="0" xfId="12" applyNumberFormat="1" applyFont="1" applyFill="1" applyBorder="1" applyAlignment="1"/>
    <xf numFmtId="174" fontId="10" fillId="0" borderId="0" xfId="1" applyNumberFormat="1" applyFont="1" applyFill="1" applyAlignment="1"/>
    <xf numFmtId="174" fontId="12" fillId="0" borderId="2" xfId="1" applyNumberFormat="1" applyFont="1" applyFill="1" applyBorder="1" applyAlignment="1"/>
    <xf numFmtId="175" fontId="6" fillId="0" borderId="0" xfId="12" applyNumberFormat="1" applyFont="1" applyFill="1" applyProtection="1">
      <protection locked="0"/>
    </xf>
    <xf numFmtId="174" fontId="32" fillId="0" borderId="0" xfId="13" applyNumberFormat="1" applyFont="1" applyFill="1" applyBorder="1"/>
    <xf numFmtId="173" fontId="117" fillId="0" borderId="0" xfId="388" applyFill="1" applyAlignment="1"/>
    <xf numFmtId="276" fontId="6" fillId="0" borderId="0" xfId="1" applyNumberFormat="1" applyFont="1" applyFill="1"/>
    <xf numFmtId="276" fontId="6" fillId="0" borderId="0" xfId="1" applyNumberFormat="1" applyFont="1" applyFill="1" applyAlignment="1">
      <alignment horizontal="centerContinuous"/>
    </xf>
    <xf numFmtId="276" fontId="6" fillId="0" borderId="0" xfId="1" applyNumberFormat="1" applyFont="1" applyFill="1" applyAlignment="1">
      <alignment horizontal="right"/>
    </xf>
    <xf numFmtId="44" fontId="6" fillId="0" borderId="0" xfId="327" applyFont="1" applyFill="1" applyBorder="1" applyProtection="1">
      <protection locked="0"/>
    </xf>
    <xf numFmtId="174" fontId="23" fillId="0" borderId="0" xfId="1" applyNumberFormat="1" applyFont="1" applyFill="1"/>
    <xf numFmtId="175" fontId="32" fillId="0" borderId="0" xfId="12" applyNumberFormat="1" applyFont="1" applyFill="1" applyBorder="1" applyAlignment="1"/>
    <xf numFmtId="43" fontId="6" fillId="0" borderId="12" xfId="1" applyFont="1" applyFill="1" applyBorder="1"/>
    <xf numFmtId="281" fontId="6" fillId="0" borderId="0" xfId="1" applyNumberFormat="1" applyFont="1" applyFill="1"/>
    <xf numFmtId="0" fontId="0" fillId="0" borderId="0" xfId="1" applyNumberFormat="1" applyFont="1" applyFill="1" applyAlignment="1"/>
    <xf numFmtId="43" fontId="32" fillId="0" borderId="0" xfId="1" applyFont="1" applyFill="1"/>
    <xf numFmtId="276" fontId="0" fillId="0" borderId="0" xfId="1" applyNumberFormat="1" applyFont="1" applyFill="1" applyAlignment="1"/>
    <xf numFmtId="174" fontId="12" fillId="0" borderId="2" xfId="89" applyNumberFormat="1" applyFont="1" applyFill="1" applyBorder="1"/>
    <xf numFmtId="282" fontId="123" fillId="0" borderId="0" xfId="1" applyNumberFormat="1" applyFont="1" applyFill="1" applyAlignment="1"/>
    <xf numFmtId="174" fontId="6" fillId="0" borderId="2" xfId="1" applyNumberFormat="1" applyFont="1" applyFill="1" applyBorder="1" applyAlignment="1" applyProtection="1">
      <alignment horizontal="right"/>
      <protection locked="0"/>
    </xf>
    <xf numFmtId="175" fontId="6" fillId="0" borderId="0" xfId="327" applyNumberFormat="1" applyFont="1" applyFill="1" applyAlignment="1"/>
    <xf numFmtId="164" fontId="6" fillId="0" borderId="0" xfId="372" applyNumberFormat="1" applyFont="1" applyFill="1" applyBorder="1" applyAlignment="1"/>
    <xf numFmtId="164" fontId="8" fillId="0" borderId="0" xfId="372" applyNumberFormat="1" applyFont="1" applyFill="1" applyBorder="1" applyAlignment="1"/>
    <xf numFmtId="43" fontId="3" fillId="0" borderId="0" xfId="89" applyFont="1" applyFill="1" applyBorder="1"/>
    <xf numFmtId="10" fontId="3" fillId="0" borderId="0" xfId="372" applyNumberFormat="1" applyFont="1" applyFill="1" applyAlignment="1">
      <alignment horizontal="center"/>
    </xf>
    <xf numFmtId="43" fontId="3" fillId="0" borderId="0" xfId="89" applyFont="1" applyFill="1"/>
    <xf numFmtId="43" fontId="6" fillId="0" borderId="0" xfId="1" applyFont="1" applyFill="1" applyAlignment="1">
      <alignment horizontal="left"/>
    </xf>
    <xf numFmtId="174" fontId="12" fillId="0" borderId="0" xfId="89" applyNumberFormat="1" applyFont="1" applyFill="1" applyBorder="1" applyAlignment="1"/>
    <xf numFmtId="174" fontId="12" fillId="0" borderId="0" xfId="1" quotePrefix="1" applyNumberFormat="1" applyFont="1" applyFill="1" applyBorder="1" applyAlignment="1">
      <alignment horizontal="center"/>
    </xf>
    <xf numFmtId="174" fontId="12" fillId="0" borderId="0" xfId="1" applyNumberFormat="1" applyFont="1" applyFill="1" applyBorder="1" applyAlignment="1"/>
    <xf numFmtId="174" fontId="0" fillId="0" borderId="0" xfId="1" applyNumberFormat="1" applyFont="1" applyFill="1" applyBorder="1" applyAlignment="1"/>
    <xf numFmtId="1" fontId="12" fillId="0" borderId="0" xfId="1" applyNumberFormat="1" applyFont="1" applyFill="1"/>
    <xf numFmtId="1" fontId="5" fillId="0" borderId="0" xfId="1" applyNumberFormat="1" applyFont="1" applyFill="1" applyAlignment="1"/>
    <xf numFmtId="1" fontId="12" fillId="0" borderId="0" xfId="1" applyNumberFormat="1" applyFont="1" applyFill="1" applyAlignment="1"/>
    <xf numFmtId="1" fontId="12" fillId="0" borderId="0" xfId="1" applyNumberFormat="1" applyFont="1" applyFill="1" applyBorder="1" applyAlignment="1"/>
    <xf numFmtId="1" fontId="5" fillId="0" borderId="0" xfId="1" applyNumberFormat="1" applyFont="1" applyFill="1" applyBorder="1" applyAlignment="1"/>
    <xf numFmtId="43" fontId="6" fillId="0" borderId="0" xfId="89" applyFont="1" applyFill="1"/>
    <xf numFmtId="173" fontId="35" fillId="0" borderId="0" xfId="0" applyFont="1" applyFill="1"/>
    <xf numFmtId="173" fontId="6" fillId="0" borderId="0" xfId="0" applyFont="1" applyFill="1"/>
    <xf numFmtId="0" fontId="6" fillId="0" borderId="0" xfId="0" applyNumberFormat="1" applyFont="1" applyFill="1" applyProtection="1">
      <protection locked="0"/>
    </xf>
    <xf numFmtId="0" fontId="6" fillId="0" borderId="0" xfId="0" applyNumberFormat="1" applyFont="1" applyFill="1" applyAlignment="1" applyProtection="1">
      <alignment horizontal="left"/>
      <protection locked="0"/>
    </xf>
    <xf numFmtId="0" fontId="6" fillId="0" borderId="0" xfId="0" applyNumberFormat="1" applyFont="1" applyFill="1" applyAlignment="1" applyProtection="1">
      <alignment horizontal="center"/>
      <protection locked="0"/>
    </xf>
    <xf numFmtId="0" fontId="8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 applyProtection="1">
      <alignment horizontal="right"/>
      <protection locked="0"/>
    </xf>
    <xf numFmtId="0" fontId="6" fillId="0" borderId="0" xfId="0" applyNumberFormat="1" applyFont="1" applyFill="1" applyAlignment="1">
      <alignment horizontal="right"/>
    </xf>
    <xf numFmtId="0" fontId="6" fillId="0" borderId="0" xfId="0" applyNumberFormat="1" applyFont="1" applyFill="1"/>
    <xf numFmtId="0" fontId="32" fillId="0" borderId="0" xfId="0" applyNumberFormat="1" applyFont="1" applyFill="1" applyAlignment="1" applyProtection="1">
      <alignment horizontal="right"/>
      <protection locked="0"/>
    </xf>
    <xf numFmtId="0" fontId="6" fillId="0" borderId="0" xfId="0" applyNumberFormat="1" applyFont="1" applyFill="1" applyAlignment="1" applyProtection="1">
      <alignment horizontal="centerContinuous"/>
      <protection locked="0"/>
    </xf>
    <xf numFmtId="173" fontId="6" fillId="0" borderId="0" xfId="0" applyFont="1" applyFill="1" applyAlignment="1">
      <alignment horizontal="centerContinuous"/>
    </xf>
    <xf numFmtId="3" fontId="32" fillId="0" borderId="0" xfId="0" applyNumberFormat="1" applyFont="1" applyFill="1" applyAlignment="1">
      <alignment horizontal="centerContinuous"/>
    </xf>
    <xf numFmtId="3" fontId="6" fillId="0" borderId="0" xfId="0" applyNumberFormat="1" applyFont="1" applyFill="1" applyAlignment="1">
      <alignment horizontal="centerContinuous"/>
    </xf>
    <xf numFmtId="3" fontId="6" fillId="0" borderId="0" xfId="0" applyNumberFormat="1" applyFont="1" applyFill="1" applyAlignment="1">
      <alignment horizontal="center"/>
    </xf>
    <xf numFmtId="0" fontId="6" fillId="0" borderId="0" xfId="0" applyNumberFormat="1" applyFont="1" applyFill="1" applyAlignment="1">
      <alignment horizontal="centerContinuous"/>
    </xf>
    <xf numFmtId="0" fontId="6" fillId="0" borderId="0" xfId="0" applyNumberFormat="1" applyFont="1" applyFill="1" applyAlignment="1">
      <alignment horizontal="center"/>
    </xf>
    <xf numFmtId="49" fontId="8" fillId="0" borderId="0" xfId="0" applyNumberFormat="1" applyFont="1" applyFill="1" applyAlignment="1">
      <alignment horizontal="centerContinuous"/>
    </xf>
    <xf numFmtId="49" fontId="6" fillId="0" borderId="0" xfId="0" applyNumberFormat="1" applyFont="1" applyFill="1"/>
    <xf numFmtId="0" fontId="90" fillId="0" borderId="0" xfId="0" applyNumberFormat="1" applyFont="1" applyFill="1" applyAlignment="1" applyProtection="1">
      <alignment horizontal="center"/>
      <protection locked="0"/>
    </xf>
    <xf numFmtId="3" fontId="6" fillId="0" borderId="0" xfId="0" applyNumberFormat="1" applyFont="1" applyFill="1"/>
    <xf numFmtId="42" fontId="6" fillId="0" borderId="0" xfId="0" applyNumberFormat="1" applyFont="1" applyFill="1"/>
    <xf numFmtId="0" fontId="6" fillId="0" borderId="0" xfId="0" quotePrefix="1" applyNumberFormat="1" applyFont="1" applyFill="1" applyAlignment="1">
      <alignment horizontal="left"/>
    </xf>
    <xf numFmtId="173" fontId="6" fillId="0" borderId="0" xfId="0" applyFont="1" applyFill="1" applyAlignment="1">
      <alignment horizontal="left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NumberFormat="1" applyFont="1" applyFill="1" applyBorder="1" applyAlignment="1" applyProtection="1">
      <alignment horizontal="centerContinuous"/>
      <protection locked="0"/>
    </xf>
    <xf numFmtId="173" fontId="8" fillId="0" borderId="0" xfId="0" quotePrefix="1" applyFont="1" applyFill="1" applyAlignment="1">
      <alignment horizontal="center"/>
    </xf>
    <xf numFmtId="42" fontId="6" fillId="0" borderId="0" xfId="0" applyNumberFormat="1" applyFont="1" applyFill="1" applyAlignment="1">
      <alignment horizontal="center"/>
    </xf>
    <xf numFmtId="166" fontId="6" fillId="0" borderId="0" xfId="0" applyNumberFormat="1" applyFont="1" applyFill="1"/>
    <xf numFmtId="3" fontId="6" fillId="0" borderId="0" xfId="0" applyNumberFormat="1" applyFont="1" applyFill="1" applyAlignment="1">
      <alignment horizontal="left"/>
    </xf>
    <xf numFmtId="0" fontId="96" fillId="0" borderId="0" xfId="0" applyNumberFormat="1" applyFont="1" applyFill="1"/>
    <xf numFmtId="42" fontId="32" fillId="0" borderId="0" xfId="0" applyNumberFormat="1" applyFont="1" applyFill="1"/>
    <xf numFmtId="42" fontId="6" fillId="0" borderId="6" xfId="0" applyNumberFormat="1" applyFont="1" applyFill="1" applyBorder="1"/>
    <xf numFmtId="0" fontId="6" fillId="0" borderId="0" xfId="0" applyNumberFormat="1" applyFont="1" applyFill="1" applyAlignment="1">
      <alignment horizontal="left"/>
    </xf>
    <xf numFmtId="3" fontId="6" fillId="0" borderId="0" xfId="0" applyNumberFormat="1" applyFont="1" applyFill="1" applyAlignment="1">
      <alignment horizontal="fill"/>
    </xf>
    <xf numFmtId="42" fontId="99" fillId="0" borderId="0" xfId="0" applyNumberFormat="1" applyFont="1" applyFill="1"/>
    <xf numFmtId="173" fontId="6" fillId="0" borderId="0" xfId="0" applyFont="1" applyFill="1" applyAlignment="1">
      <alignment horizontal="center"/>
    </xf>
    <xf numFmtId="173" fontId="6" fillId="0" borderId="0" xfId="0" applyFont="1" applyFill="1" applyAlignment="1">
      <alignment wrapText="1"/>
    </xf>
    <xf numFmtId="174" fontId="6" fillId="0" borderId="0" xfId="89" applyNumberFormat="1" applyFont="1" applyFill="1" applyAlignment="1"/>
    <xf numFmtId="0" fontId="6" fillId="0" borderId="0" xfId="0" quotePrefix="1" applyNumberFormat="1" applyFont="1" applyFill="1" applyAlignment="1">
      <alignment horizontal="left" indent="1"/>
    </xf>
    <xf numFmtId="37" fontId="6" fillId="0" borderId="0" xfId="0" applyNumberFormat="1" applyFont="1" applyFill="1"/>
    <xf numFmtId="283" fontId="6" fillId="0" borderId="0" xfId="372" applyNumberFormat="1" applyFont="1" applyFill="1" applyAlignment="1"/>
    <xf numFmtId="173" fontId="0" fillId="0" borderId="0" xfId="0" applyFill="1"/>
    <xf numFmtId="172" fontId="6" fillId="0" borderId="0" xfId="0" applyNumberFormat="1" applyFont="1" applyFill="1"/>
    <xf numFmtId="279" fontId="8" fillId="0" borderId="0" xfId="0" applyNumberFormat="1" applyFont="1" applyFill="1"/>
    <xf numFmtId="0" fontId="8" fillId="0" borderId="0" xfId="0" applyNumberFormat="1" applyFont="1" applyFill="1"/>
    <xf numFmtId="42" fontId="8" fillId="0" borderId="0" xfId="0" applyNumberFormat="1" applyFont="1" applyFill="1"/>
    <xf numFmtId="172" fontId="90" fillId="0" borderId="0" xfId="0" applyNumberFormat="1" applyFont="1" applyFill="1" applyAlignment="1">
      <alignment horizontal="center"/>
    </xf>
    <xf numFmtId="172" fontId="6" fillId="0" borderId="0" xfId="0" applyNumberFormat="1" applyFont="1" applyFill="1" applyAlignment="1">
      <alignment horizontal="center"/>
    </xf>
    <xf numFmtId="42" fontId="6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wrapText="1"/>
    </xf>
    <xf numFmtId="173" fontId="6" fillId="0" borderId="0" xfId="0" applyFont="1" applyFill="1" applyAlignment="1" applyProtection="1">
      <alignment horizontal="left"/>
      <protection locked="0"/>
    </xf>
    <xf numFmtId="49" fontId="6" fillId="0" borderId="0" xfId="0" applyNumberFormat="1" applyFont="1" applyFill="1" applyAlignment="1" applyProtection="1">
      <alignment horizontal="centerContinuous"/>
      <protection locked="0"/>
    </xf>
    <xf numFmtId="49" fontId="6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center"/>
    </xf>
    <xf numFmtId="0" fontId="90" fillId="0" borderId="0" xfId="0" applyNumberFormat="1" applyFont="1" applyFill="1"/>
    <xf numFmtId="173" fontId="6" fillId="0" borderId="1" xfId="0" applyFont="1" applyFill="1" applyBorder="1" applyAlignment="1">
      <alignment horizontal="center"/>
    </xf>
    <xf numFmtId="3" fontId="90" fillId="0" borderId="0" xfId="0" applyNumberFormat="1" applyFont="1" applyFill="1" applyAlignment="1">
      <alignment horizontal="center"/>
    </xf>
    <xf numFmtId="3" fontId="90" fillId="0" borderId="0" xfId="0" applyNumberFormat="1" applyFont="1" applyFill="1"/>
    <xf numFmtId="0" fontId="9" fillId="0" borderId="1" xfId="0" applyNumberFormat="1" applyFont="1" applyFill="1" applyBorder="1" applyAlignment="1" applyProtection="1">
      <alignment horizontal="center"/>
      <protection locked="0"/>
    </xf>
    <xf numFmtId="0" fontId="14" fillId="0" borderId="0" xfId="10" applyFont="1" applyFill="1" applyAlignment="1">
      <alignment horizontal="center"/>
    </xf>
    <xf numFmtId="165" fontId="6" fillId="0" borderId="0" xfId="0" applyNumberFormat="1" applyFont="1" applyFill="1"/>
    <xf numFmtId="42" fontId="120" fillId="0" borderId="0" xfId="0" applyNumberFormat="1" applyFont="1" applyFill="1"/>
    <xf numFmtId="37" fontId="32" fillId="0" borderId="0" xfId="0" applyNumberFormat="1" applyFont="1" applyFill="1"/>
    <xf numFmtId="37" fontId="6" fillId="0" borderId="1" xfId="0" applyNumberFormat="1" applyFont="1" applyFill="1" applyBorder="1"/>
    <xf numFmtId="42" fontId="6" fillId="0" borderId="1" xfId="0" applyNumberFormat="1" applyFont="1" applyFill="1" applyBorder="1"/>
    <xf numFmtId="164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center"/>
    </xf>
    <xf numFmtId="0" fontId="6" fillId="0" borderId="0" xfId="0" quotePrefix="1" applyNumberFormat="1" applyFont="1" applyFill="1" applyAlignment="1" applyProtection="1">
      <alignment horizontal="left"/>
      <protection locked="0"/>
    </xf>
    <xf numFmtId="165" fontId="6" fillId="0" borderId="0" xfId="0" applyNumberFormat="1" applyFont="1" applyFill="1" applyAlignment="1">
      <alignment horizontal="right"/>
    </xf>
    <xf numFmtId="37" fontId="32" fillId="0" borderId="1" xfId="0" applyNumberFormat="1" applyFont="1" applyFill="1" applyBorder="1"/>
    <xf numFmtId="42" fontId="6" fillId="0" borderId="2" xfId="0" applyNumberFormat="1" applyFont="1" applyFill="1" applyBorder="1"/>
    <xf numFmtId="3" fontId="6" fillId="0" borderId="0" xfId="0" applyNumberFormat="1" applyFont="1" applyFill="1" applyAlignment="1" applyProtection="1">
      <alignment horizontal="centerContinuous"/>
      <protection locked="0"/>
    </xf>
    <xf numFmtId="0" fontId="8" fillId="0" borderId="0" xfId="0" applyNumberFormat="1" applyFont="1" applyFill="1" applyAlignment="1" applyProtection="1">
      <alignment horizontal="center"/>
      <protection locked="0"/>
    </xf>
    <xf numFmtId="173" fontId="90" fillId="0" borderId="0" xfId="0" applyFont="1" applyFill="1"/>
    <xf numFmtId="173" fontId="90" fillId="0" borderId="0" xfId="0" applyFont="1" applyFill="1" applyAlignment="1">
      <alignment horizontal="center"/>
    </xf>
    <xf numFmtId="0" fontId="90" fillId="0" borderId="0" xfId="0" applyNumberFormat="1" applyFont="1" applyFill="1" applyAlignment="1" applyProtection="1">
      <alignment horizontal="centerContinuous"/>
      <protection locked="0"/>
    </xf>
    <xf numFmtId="173" fontId="90" fillId="0" borderId="0" xfId="0" applyFont="1" applyFill="1" applyAlignment="1">
      <alignment horizontal="centerContinuous"/>
    </xf>
    <xf numFmtId="0" fontId="91" fillId="0" borderId="0" xfId="0" applyNumberFormat="1" applyFont="1" applyFill="1" applyAlignment="1" applyProtection="1">
      <alignment horizontal="center"/>
      <protection locked="0"/>
    </xf>
    <xf numFmtId="0" fontId="8" fillId="0" borderId="0" xfId="0" applyNumberFormat="1" applyFont="1" applyFill="1" applyProtection="1">
      <protection locked="0"/>
    </xf>
    <xf numFmtId="0" fontId="7" fillId="0" borderId="0" xfId="0" applyNumberFormat="1" applyFont="1" applyFill="1" applyAlignment="1">
      <alignment horizontal="center"/>
    </xf>
    <xf numFmtId="3" fontId="7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3" fontId="7" fillId="0" borderId="0" xfId="0" applyNumberFormat="1" applyFont="1" applyFill="1"/>
    <xf numFmtId="3" fontId="6" fillId="0" borderId="0" xfId="0" quotePrefix="1" applyNumberFormat="1" applyFont="1" applyFill="1"/>
    <xf numFmtId="0" fontId="6" fillId="0" borderId="0" xfId="0" applyNumberFormat="1" applyFont="1" applyFill="1" applyAlignment="1">
      <alignment horizontal="left" indent="1"/>
    </xf>
    <xf numFmtId="173" fontId="120" fillId="0" borderId="0" xfId="0" quotePrefix="1" applyFont="1" applyFill="1"/>
    <xf numFmtId="0" fontId="6" fillId="0" borderId="0" xfId="0" quotePrefix="1" applyNumberFormat="1" applyFont="1" applyFill="1" applyAlignment="1" applyProtection="1">
      <alignment horizontal="center"/>
      <protection locked="0"/>
    </xf>
    <xf numFmtId="171" fontId="6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horizontal="left" indent="3"/>
    </xf>
    <xf numFmtId="164" fontId="96" fillId="0" borderId="0" xfId="0" applyNumberFormat="1" applyFont="1" applyFill="1" applyAlignment="1">
      <alignment horizontal="left"/>
    </xf>
    <xf numFmtId="164" fontId="6" fillId="0" borderId="0" xfId="0" applyNumberFormat="1" applyFont="1" applyFill="1" applyAlignment="1">
      <alignment horizontal="left"/>
    </xf>
    <xf numFmtId="166" fontId="6" fillId="0" borderId="0" xfId="0" applyNumberFormat="1" applyFont="1" applyFill="1" applyAlignment="1">
      <alignment horizontal="right"/>
    </xf>
    <xf numFmtId="166" fontId="6" fillId="0" borderId="0" xfId="0" applyNumberFormat="1" applyFont="1" applyFill="1" applyAlignment="1">
      <alignment horizontal="center"/>
    </xf>
    <xf numFmtId="275" fontId="6" fillId="0" borderId="0" xfId="0" applyNumberFormat="1" applyFont="1" applyFill="1" applyAlignment="1">
      <alignment horizontal="right"/>
    </xf>
    <xf numFmtId="169" fontId="6" fillId="0" borderId="0" xfId="0" applyNumberFormat="1" applyFont="1" applyFill="1" applyAlignment="1">
      <alignment horizontal="right"/>
    </xf>
    <xf numFmtId="10" fontId="6" fillId="0" borderId="0" xfId="0" applyNumberFormat="1" applyFont="1" applyFill="1" applyAlignment="1">
      <alignment horizontal="left"/>
    </xf>
    <xf numFmtId="164" fontId="6" fillId="0" borderId="0" xfId="0" applyNumberFormat="1" applyFont="1" applyFill="1" applyAlignment="1" applyProtection="1">
      <alignment horizontal="left"/>
      <protection locked="0"/>
    </xf>
    <xf numFmtId="42" fontId="6" fillId="0" borderId="0" xfId="0" applyNumberFormat="1" applyFont="1" applyFill="1" applyAlignment="1">
      <alignment horizontal="right"/>
    </xf>
    <xf numFmtId="167" fontId="6" fillId="0" borderId="0" xfId="0" applyNumberFormat="1" applyFont="1" applyFill="1"/>
    <xf numFmtId="0" fontId="8" fillId="0" borderId="0" xfId="0" applyNumberFormat="1" applyFont="1" applyFill="1" applyAlignment="1">
      <alignment horizontal="centerContinuous"/>
    </xf>
    <xf numFmtId="0" fontId="6" fillId="0" borderId="1" xfId="0" quotePrefix="1" applyNumberFormat="1" applyFont="1" applyFill="1" applyBorder="1" applyAlignment="1" applyProtection="1">
      <alignment horizontal="left"/>
      <protection locked="0"/>
    </xf>
    <xf numFmtId="0" fontId="6" fillId="0" borderId="1" xfId="0" applyNumberFormat="1" applyFont="1" applyFill="1" applyBorder="1" applyAlignment="1">
      <alignment horizontal="left"/>
    </xf>
    <xf numFmtId="3" fontId="6" fillId="0" borderId="1" xfId="0" applyNumberFormat="1" applyFont="1" applyFill="1" applyBorder="1"/>
    <xf numFmtId="3" fontId="6" fillId="0" borderId="1" xfId="0" applyNumberFormat="1" applyFont="1" applyFill="1" applyBorder="1" applyAlignment="1">
      <alignment horizontal="center"/>
    </xf>
    <xf numFmtId="4" fontId="6" fillId="0" borderId="0" xfId="0" applyNumberFormat="1" applyFont="1" applyFill="1" applyAlignment="1">
      <alignment horizontal="center"/>
    </xf>
    <xf numFmtId="0" fontId="14" fillId="0" borderId="0" xfId="10" applyFont="1" applyFill="1"/>
    <xf numFmtId="39" fontId="6" fillId="0" borderId="0" xfId="0" applyNumberFormat="1" applyFont="1" applyFill="1"/>
    <xf numFmtId="166" fontId="6" fillId="0" borderId="0" xfId="0" applyNumberFormat="1" applyFont="1" applyFill="1" applyAlignment="1" applyProtection="1">
      <alignment horizontal="center"/>
      <protection locked="0"/>
    </xf>
    <xf numFmtId="0" fontId="6" fillId="0" borderId="1" xfId="0" applyNumberFormat="1" applyFont="1" applyFill="1" applyBorder="1"/>
    <xf numFmtId="39" fontId="6" fillId="0" borderId="1" xfId="0" applyNumberFormat="1" applyFont="1" applyFill="1" applyBorder="1"/>
    <xf numFmtId="37" fontId="6" fillId="0" borderId="0" xfId="0" quotePrefix="1" applyNumberFormat="1" applyFont="1" applyFill="1"/>
    <xf numFmtId="37" fontId="6" fillId="0" borderId="0" xfId="0" applyNumberFormat="1" applyFont="1" applyFill="1" applyProtection="1">
      <protection locked="0"/>
    </xf>
    <xf numFmtId="170" fontId="6" fillId="0" borderId="0" xfId="0" applyNumberFormat="1" applyFont="1" applyFill="1"/>
    <xf numFmtId="10" fontId="6" fillId="0" borderId="0" xfId="0" applyNumberFormat="1" applyFont="1" applyFill="1" applyAlignment="1">
      <alignment horizontal="center"/>
    </xf>
    <xf numFmtId="169" fontId="6" fillId="0" borderId="0" xfId="0" applyNumberFormat="1" applyFont="1" applyFill="1"/>
    <xf numFmtId="169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/>
    <xf numFmtId="173" fontId="6" fillId="0" borderId="0" xfId="0" applyFont="1" applyFill="1" applyProtection="1"/>
    <xf numFmtId="38" fontId="6" fillId="0" borderId="0" xfId="0" applyNumberFormat="1" applyFont="1" applyFill="1" applyProtection="1"/>
    <xf numFmtId="173" fontId="6" fillId="0" borderId="1" xfId="0" applyFont="1" applyFill="1" applyBorder="1"/>
    <xf numFmtId="0" fontId="6" fillId="0" borderId="1" xfId="0" applyNumberFormat="1" applyFont="1" applyFill="1" applyBorder="1" applyProtection="1">
      <protection locked="0"/>
    </xf>
    <xf numFmtId="37" fontId="6" fillId="0" borderId="6" xfId="0" applyNumberFormat="1" applyFont="1" applyFill="1" applyBorder="1" applyProtection="1"/>
    <xf numFmtId="38" fontId="6" fillId="0" borderId="0" xfId="0" applyNumberFormat="1" applyFont="1" applyFill="1"/>
    <xf numFmtId="170" fontId="6" fillId="0" borderId="0" xfId="0" applyNumberFormat="1" applyFont="1" applyFill="1" applyProtection="1"/>
    <xf numFmtId="172" fontId="6" fillId="0" borderId="0" xfId="0" applyNumberFormat="1" applyFont="1" applyFill="1" applyProtection="1">
      <protection locked="0"/>
    </xf>
    <xf numFmtId="1" fontId="6" fillId="0" borderId="0" xfId="0" applyNumberFormat="1" applyFont="1" applyFill="1" applyProtection="1"/>
    <xf numFmtId="168" fontId="6" fillId="0" borderId="0" xfId="0" applyNumberFormat="1" applyFont="1" applyFill="1" applyProtection="1">
      <protection locked="0"/>
    </xf>
    <xf numFmtId="42" fontId="6" fillId="0" borderId="0" xfId="0" applyNumberFormat="1" applyFont="1" applyFill="1" applyProtection="1"/>
    <xf numFmtId="173" fontId="6" fillId="0" borderId="0" xfId="0" applyFont="1" applyFill="1" applyAlignment="1">
      <alignment horizontal="center"/>
    </xf>
    <xf numFmtId="49" fontId="6" fillId="0" borderId="0" xfId="0" applyNumberFormat="1" applyFont="1" applyFill="1" applyAlignment="1" applyProtection="1">
      <alignment horizontal="center"/>
      <protection locked="0"/>
    </xf>
    <xf numFmtId="173" fontId="6" fillId="0" borderId="0" xfId="0" applyFont="1" applyFill="1" applyProtection="1">
      <protection locked="0"/>
    </xf>
    <xf numFmtId="3" fontId="6" fillId="0" borderId="0" xfId="0" applyNumberFormat="1" applyFont="1" applyFill="1" applyProtection="1"/>
    <xf numFmtId="0" fontId="27" fillId="0" borderId="0" xfId="0" applyNumberFormat="1" applyFont="1" applyFill="1" applyProtection="1">
      <protection locked="0"/>
    </xf>
    <xf numFmtId="10" fontId="6" fillId="0" borderId="0" xfId="0" applyNumberFormat="1" applyFont="1" applyFill="1"/>
    <xf numFmtId="3" fontId="108" fillId="0" borderId="0" xfId="0" applyNumberFormat="1" applyFont="1" applyFill="1"/>
    <xf numFmtId="3" fontId="6" fillId="0" borderId="0" xfId="0" applyNumberFormat="1" applyFont="1" applyFill="1" applyProtection="1">
      <protection locked="0"/>
    </xf>
    <xf numFmtId="173" fontId="6" fillId="0" borderId="0" xfId="325" applyFont="1" applyFill="1"/>
    <xf numFmtId="173" fontId="3" fillId="0" borderId="0" xfId="325" applyFill="1"/>
    <xf numFmtId="0" fontId="92" fillId="0" borderId="0" xfId="326" applyFill="1"/>
    <xf numFmtId="173" fontId="6" fillId="0" borderId="0" xfId="325" applyFont="1" applyFill="1" applyProtection="1">
      <protection locked="0"/>
    </xf>
    <xf numFmtId="173" fontId="6" fillId="0" borderId="0" xfId="325" applyFont="1" applyFill="1" applyAlignment="1">
      <alignment horizontal="right"/>
    </xf>
    <xf numFmtId="49" fontId="6" fillId="0" borderId="0" xfId="326" applyNumberFormat="1" applyFont="1" applyFill="1" applyAlignment="1">
      <alignment horizontal="centerContinuous"/>
    </xf>
    <xf numFmtId="0" fontId="6" fillId="0" borderId="0" xfId="326" applyFont="1" applyFill="1" applyAlignment="1">
      <alignment horizontal="centerContinuous"/>
    </xf>
    <xf numFmtId="0" fontId="8" fillId="0" borderId="0" xfId="325" applyNumberFormat="1" applyFont="1" applyFill="1" applyAlignment="1" applyProtection="1">
      <alignment horizontal="center"/>
      <protection locked="0"/>
    </xf>
    <xf numFmtId="0" fontId="6" fillId="0" borderId="0" xfId="326" applyFont="1" applyFill="1" applyAlignment="1">
      <alignment horizontal="left"/>
    </xf>
    <xf numFmtId="3" fontId="6" fillId="0" borderId="0" xfId="326" applyNumberFormat="1" applyFont="1" applyFill="1" applyAlignment="1">
      <alignment horizontal="centerContinuous"/>
    </xf>
    <xf numFmtId="3" fontId="6" fillId="0" borderId="0" xfId="326" applyNumberFormat="1" applyFont="1" applyFill="1" applyAlignment="1">
      <alignment horizontal="left"/>
    </xf>
    <xf numFmtId="0" fontId="32" fillId="0" borderId="0" xfId="326" applyFont="1" applyFill="1" applyAlignment="1">
      <alignment horizontal="centerContinuous"/>
    </xf>
    <xf numFmtId="43" fontId="6" fillId="0" borderId="0" xfId="1" applyFont="1" applyFill="1" applyAlignment="1">
      <alignment horizontal="centerContinuous"/>
    </xf>
    <xf numFmtId="0" fontId="3" fillId="0" borderId="0" xfId="325" applyNumberFormat="1" applyFill="1" applyAlignment="1" applyProtection="1">
      <alignment horizontal="center"/>
      <protection locked="0"/>
    </xf>
    <xf numFmtId="0" fontId="6" fillId="0" borderId="0" xfId="325" applyNumberFormat="1" applyFont="1" applyFill="1" applyAlignment="1" applyProtection="1">
      <alignment horizontal="center"/>
      <protection locked="0"/>
    </xf>
    <xf numFmtId="0" fontId="6" fillId="0" borderId="0" xfId="325" applyNumberFormat="1" applyFont="1" applyFill="1" applyProtection="1">
      <protection locked="0"/>
    </xf>
    <xf numFmtId="49" fontId="8" fillId="0" borderId="0" xfId="325" applyNumberFormat="1" applyFont="1" applyFill="1" applyAlignment="1" applyProtection="1">
      <alignment horizontal="centerContinuous"/>
      <protection locked="0"/>
    </xf>
    <xf numFmtId="49" fontId="18" fillId="0" borderId="0" xfId="325" applyNumberFormat="1" applyFont="1" applyFill="1" applyAlignment="1" applyProtection="1">
      <alignment horizontal="left"/>
      <protection locked="0"/>
    </xf>
    <xf numFmtId="0" fontId="116" fillId="0" borderId="0" xfId="10" applyFont="1" applyFill="1" applyAlignment="1">
      <alignment horizontal="center"/>
    </xf>
    <xf numFmtId="49" fontId="18" fillId="0" borderId="0" xfId="325" applyNumberFormat="1" applyFont="1" applyFill="1" applyAlignment="1" applyProtection="1">
      <alignment horizontal="center"/>
      <protection locked="0"/>
    </xf>
    <xf numFmtId="49" fontId="6" fillId="0" borderId="0" xfId="325" applyNumberFormat="1" applyFont="1" applyFill="1" applyAlignment="1" applyProtection="1">
      <alignment horizontal="center"/>
      <protection locked="0"/>
    </xf>
    <xf numFmtId="173" fontId="8" fillId="0" borderId="0" xfId="325" applyFont="1" applyFill="1" applyAlignment="1">
      <alignment horizontal="center"/>
    </xf>
    <xf numFmtId="173" fontId="6" fillId="0" borderId="0" xfId="325" applyFont="1" applyFill="1" applyAlignment="1">
      <alignment horizontal="center"/>
    </xf>
    <xf numFmtId="0" fontId="3" fillId="0" borderId="6" xfId="325" applyNumberFormat="1" applyFill="1" applyBorder="1" applyAlignment="1" applyProtection="1">
      <alignment horizontal="center"/>
      <protection locked="0"/>
    </xf>
    <xf numFmtId="0" fontId="6" fillId="0" borderId="0" xfId="326" applyFont="1" applyFill="1"/>
    <xf numFmtId="0" fontId="93" fillId="0" borderId="0" xfId="325" applyNumberFormat="1" applyFont="1" applyFill="1" applyAlignment="1" applyProtection="1">
      <alignment horizontal="left"/>
      <protection locked="0"/>
    </xf>
    <xf numFmtId="173" fontId="9" fillId="0" borderId="0" xfId="325" applyFont="1" applyFill="1" applyAlignment="1">
      <alignment horizontal="center"/>
    </xf>
    <xf numFmtId="1" fontId="6" fillId="0" borderId="0" xfId="325" applyNumberFormat="1" applyFont="1" applyFill="1" applyAlignment="1" applyProtection="1">
      <alignment horizontal="center"/>
      <protection locked="0"/>
    </xf>
    <xf numFmtId="278" fontId="6" fillId="0" borderId="0" xfId="325" applyNumberFormat="1" applyFont="1" applyFill="1" applyProtection="1">
      <protection locked="0"/>
    </xf>
    <xf numFmtId="42" fontId="6" fillId="0" borderId="0" xfId="325" applyNumberFormat="1" applyFont="1" applyFill="1" applyProtection="1">
      <protection locked="0"/>
    </xf>
    <xf numFmtId="173" fontId="6" fillId="0" borderId="0" xfId="325" applyFont="1" applyFill="1" applyAlignment="1">
      <alignment horizontal="left"/>
    </xf>
    <xf numFmtId="173" fontId="109" fillId="0" borderId="0" xfId="325" applyFont="1" applyFill="1" applyAlignment="1">
      <alignment horizontal="center"/>
    </xf>
    <xf numFmtId="1" fontId="109" fillId="0" borderId="0" xfId="325" applyNumberFormat="1" applyFont="1" applyFill="1" applyAlignment="1" applyProtection="1">
      <alignment horizontal="center"/>
      <protection locked="0"/>
    </xf>
    <xf numFmtId="277" fontId="6" fillId="0" borderId="0" xfId="325" applyNumberFormat="1" applyFont="1" applyFill="1" applyProtection="1">
      <protection locked="0"/>
    </xf>
    <xf numFmtId="0" fontId="125" fillId="0" borderId="0" xfId="10" applyFont="1" applyFill="1" applyAlignment="1">
      <alignment horizontal="center"/>
    </xf>
    <xf numFmtId="277" fontId="6" fillId="0" borderId="0" xfId="325" applyNumberFormat="1" applyFont="1" applyFill="1"/>
    <xf numFmtId="173" fontId="44" fillId="0" borderId="0" xfId="325" quotePrefix="1" applyFont="1" applyFill="1"/>
    <xf numFmtId="278" fontId="6" fillId="0" borderId="8" xfId="325" applyNumberFormat="1" applyFont="1" applyFill="1" applyBorder="1" applyProtection="1">
      <protection locked="0"/>
    </xf>
    <xf numFmtId="170" fontId="6" fillId="0" borderId="0" xfId="325" applyNumberFormat="1" applyFont="1" applyFill="1" applyProtection="1">
      <protection locked="0"/>
    </xf>
    <xf numFmtId="173" fontId="122" fillId="0" borderId="0" xfId="0" applyFont="1" applyFill="1"/>
    <xf numFmtId="173" fontId="121" fillId="0" borderId="0" xfId="0" applyFont="1" applyFill="1"/>
    <xf numFmtId="0" fontId="6" fillId="0" borderId="0" xfId="381" applyFont="1" applyFill="1"/>
    <xf numFmtId="174" fontId="32" fillId="0" borderId="0" xfId="1" applyNumberFormat="1" applyFont="1" applyFill="1" applyAlignment="1"/>
    <xf numFmtId="276" fontId="121" fillId="0" borderId="0" xfId="1" applyNumberFormat="1" applyFont="1" applyFill="1" applyAlignment="1"/>
    <xf numFmtId="0" fontId="0" fillId="0" borderId="0" xfId="325" applyNumberFormat="1" applyFont="1" applyFill="1" applyAlignment="1" applyProtection="1">
      <alignment horizontal="center"/>
      <protection locked="0"/>
    </xf>
    <xf numFmtId="174" fontId="32" fillId="0" borderId="0" xfId="89" applyNumberFormat="1" applyFont="1" applyFill="1" applyAlignment="1"/>
    <xf numFmtId="173" fontId="8" fillId="0" borderId="0" xfId="325" applyFont="1" applyFill="1"/>
    <xf numFmtId="173" fontId="105" fillId="0" borderId="0" xfId="0" applyFont="1" applyFill="1"/>
    <xf numFmtId="43" fontId="6" fillId="0" borderId="0" xfId="89" applyFont="1" applyFill="1" applyAlignment="1"/>
    <xf numFmtId="0" fontId="6" fillId="0" borderId="0" xfId="326" applyFont="1" applyFill="1" applyAlignment="1">
      <alignment horizontal="center"/>
    </xf>
    <xf numFmtId="274" fontId="6" fillId="0" borderId="0" xfId="325" applyNumberFormat="1" applyFont="1" applyFill="1"/>
    <xf numFmtId="0" fontId="6" fillId="0" borderId="0" xfId="326" quotePrefix="1" applyFont="1" applyFill="1"/>
    <xf numFmtId="173" fontId="44" fillId="0" borderId="0" xfId="325" applyFont="1" applyFill="1"/>
    <xf numFmtId="0" fontId="6" fillId="0" borderId="0" xfId="325" applyNumberFormat="1" applyFont="1" applyFill="1"/>
    <xf numFmtId="0" fontId="93" fillId="0" borderId="6" xfId="325" applyNumberFormat="1" applyFont="1" applyFill="1" applyBorder="1" applyAlignment="1" applyProtection="1">
      <alignment horizontal="center"/>
      <protection locked="0"/>
    </xf>
    <xf numFmtId="0" fontId="6" fillId="0" borderId="6" xfId="326" applyFont="1" applyFill="1" applyBorder="1"/>
    <xf numFmtId="173" fontId="6" fillId="0" borderId="6" xfId="325" applyFont="1" applyFill="1" applyBorder="1"/>
    <xf numFmtId="0" fontId="6" fillId="0" borderId="0" xfId="326" quotePrefix="1" applyFont="1" applyFill="1" applyAlignment="1">
      <alignment horizontal="center" vertical="center"/>
    </xf>
    <xf numFmtId="0" fontId="6" fillId="0" borderId="8" xfId="326" applyFont="1" applyFill="1" applyBorder="1" applyAlignment="1">
      <alignment wrapText="1"/>
    </xf>
    <xf numFmtId="0" fontId="6" fillId="0" borderId="0" xfId="325" quotePrefix="1" applyNumberFormat="1" applyFont="1" applyFill="1" applyAlignment="1" applyProtection="1">
      <alignment horizontal="center" vertical="center"/>
      <protection locked="0"/>
    </xf>
    <xf numFmtId="3" fontId="6" fillId="0" borderId="0" xfId="325" applyNumberFormat="1" applyFont="1" applyFill="1"/>
    <xf numFmtId="0" fontId="6" fillId="0" borderId="0" xfId="326" applyFont="1" applyFill="1" applyAlignment="1">
      <alignment wrapText="1"/>
    </xf>
    <xf numFmtId="173" fontId="6" fillId="0" borderId="0" xfId="0" applyFont="1" applyFill="1" applyAlignment="1">
      <alignment wrapText="1"/>
    </xf>
    <xf numFmtId="0" fontId="12" fillId="0" borderId="0" xfId="326" applyFont="1" applyFill="1"/>
    <xf numFmtId="0" fontId="3" fillId="0" borderId="0" xfId="325" applyNumberFormat="1" applyFill="1"/>
    <xf numFmtId="0" fontId="97" fillId="0" borderId="0" xfId="10" applyFont="1" applyFill="1" applyAlignment="1">
      <alignment horizontal="centerContinuous"/>
    </xf>
    <xf numFmtId="173" fontId="6" fillId="0" borderId="0" xfId="0" applyFont="1" applyFill="1" applyAlignment="1">
      <alignment horizontal="right"/>
    </xf>
    <xf numFmtId="49" fontId="100" fillId="0" borderId="0" xfId="10" applyNumberFormat="1" applyFont="1" applyFill="1" applyAlignment="1">
      <alignment horizontal="centerContinuous"/>
    </xf>
    <xf numFmtId="0" fontId="6" fillId="0" borderId="0" xfId="8" applyFont="1" applyFill="1" applyAlignment="1">
      <alignment horizontal="right"/>
    </xf>
    <xf numFmtId="0" fontId="12" fillId="0" borderId="0" xfId="10" applyFont="1" applyFill="1"/>
    <xf numFmtId="0" fontId="13" fillId="0" borderId="0" xfId="10" applyFont="1" applyFill="1" applyAlignment="1">
      <alignment horizontal="centerContinuous"/>
    </xf>
    <xf numFmtId="0" fontId="19" fillId="0" borderId="0" xfId="10" applyFont="1" applyFill="1" applyAlignment="1">
      <alignment horizontal="center"/>
    </xf>
    <xf numFmtId="0" fontId="13" fillId="0" borderId="0" xfId="10" applyFont="1" applyFill="1" applyAlignment="1">
      <alignment horizontal="center"/>
    </xf>
    <xf numFmtId="173" fontId="0" fillId="0" borderId="0" xfId="0" applyFill="1" applyBorder="1"/>
    <xf numFmtId="173" fontId="12" fillId="0" borderId="0" xfId="0" applyFont="1" applyFill="1"/>
    <xf numFmtId="0" fontId="20" fillId="0" borderId="0" xfId="10" applyFont="1" applyFill="1" applyAlignment="1">
      <alignment horizontal="center"/>
    </xf>
    <xf numFmtId="0" fontId="20" fillId="0" borderId="0" xfId="10" applyFont="1" applyFill="1" applyBorder="1" applyAlignment="1">
      <alignment horizontal="center"/>
    </xf>
    <xf numFmtId="0" fontId="12" fillId="0" borderId="0" xfId="1" applyNumberFormat="1" applyFont="1" applyFill="1" applyAlignment="1">
      <alignment horizontal="center"/>
    </xf>
    <xf numFmtId="0" fontId="12" fillId="0" borderId="0" xfId="10" applyFont="1" applyFill="1" applyAlignment="1">
      <alignment horizontal="left" indent="1"/>
    </xf>
    <xf numFmtId="10" fontId="0" fillId="0" borderId="0" xfId="372" applyNumberFormat="1" applyFont="1" applyFill="1" applyAlignment="1"/>
    <xf numFmtId="0" fontId="0" fillId="0" borderId="0" xfId="0" applyNumberFormat="1" applyFill="1"/>
    <xf numFmtId="0" fontId="12" fillId="0" borderId="0" xfId="0" applyNumberFormat="1" applyFont="1" applyFill="1" applyAlignment="1">
      <alignment horizontal="center"/>
    </xf>
    <xf numFmtId="0" fontId="12" fillId="0" borderId="0" xfId="0" quotePrefix="1" applyNumberFormat="1" applyFont="1" applyFill="1"/>
    <xf numFmtId="174" fontId="116" fillId="0" borderId="0" xfId="89" applyNumberFormat="1" applyFont="1" applyFill="1" applyAlignment="1"/>
    <xf numFmtId="174" fontId="116" fillId="0" borderId="0" xfId="89" applyNumberFormat="1" applyFont="1" applyFill="1" applyBorder="1" applyAlignment="1"/>
    <xf numFmtId="174" fontId="116" fillId="0" borderId="0" xfId="1" applyNumberFormat="1" applyFont="1" applyFill="1" applyAlignment="1"/>
    <xf numFmtId="174" fontId="116" fillId="0" borderId="0" xfId="1" applyNumberFormat="1" applyFont="1" applyFill="1" applyBorder="1" applyAlignment="1"/>
    <xf numFmtId="173" fontId="3" fillId="0" borderId="0" xfId="0" applyFont="1" applyFill="1"/>
    <xf numFmtId="173" fontId="3" fillId="0" borderId="0" xfId="0" applyFont="1" applyFill="1" applyBorder="1"/>
    <xf numFmtId="174" fontId="116" fillId="0" borderId="6" xfId="89" applyNumberFormat="1" applyFont="1" applyFill="1" applyBorder="1" applyAlignment="1"/>
    <xf numFmtId="173" fontId="0" fillId="0" borderId="6" xfId="0" applyFill="1" applyBorder="1"/>
    <xf numFmtId="1" fontId="0" fillId="0" borderId="0" xfId="0" applyNumberFormat="1" applyFill="1"/>
    <xf numFmtId="173" fontId="12" fillId="0" borderId="6" xfId="0" applyFont="1" applyFill="1" applyBorder="1"/>
    <xf numFmtId="173" fontId="12" fillId="0" borderId="0" xfId="0" quotePrefix="1" applyFont="1" applyFill="1"/>
    <xf numFmtId="173" fontId="107" fillId="0" borderId="0" xfId="0" applyFont="1" applyFill="1"/>
    <xf numFmtId="173" fontId="0" fillId="0" borderId="0" xfId="0" quotePrefix="1" applyFill="1" applyAlignment="1">
      <alignment horizontal="center"/>
    </xf>
    <xf numFmtId="0" fontId="12" fillId="0" borderId="0" xfId="10" applyFont="1" applyFill="1" applyAlignment="1">
      <alignment horizontal="left"/>
    </xf>
    <xf numFmtId="1" fontId="116" fillId="0" borderId="0" xfId="89" applyNumberFormat="1" applyFont="1" applyFill="1" applyAlignment="1"/>
    <xf numFmtId="1" fontId="116" fillId="0" borderId="0" xfId="89" applyNumberFormat="1" applyFont="1" applyFill="1" applyBorder="1" applyAlignment="1"/>
    <xf numFmtId="173" fontId="5" fillId="0" borderId="0" xfId="0" applyFont="1" applyFill="1"/>
    <xf numFmtId="1" fontId="5" fillId="0" borderId="0" xfId="0" applyNumberFormat="1" applyFont="1" applyFill="1"/>
    <xf numFmtId="1" fontId="5" fillId="0" borderId="0" xfId="0" applyNumberFormat="1" applyFont="1" applyFill="1" applyBorder="1"/>
    <xf numFmtId="1" fontId="5" fillId="0" borderId="0" xfId="0" quotePrefix="1" applyNumberFormat="1" applyFont="1" applyFill="1" applyAlignment="1">
      <alignment horizontal="center"/>
    </xf>
    <xf numFmtId="173" fontId="12" fillId="0" borderId="0" xfId="0" applyFont="1" applyFill="1" applyAlignment="1">
      <alignment horizontal="left" indent="1"/>
    </xf>
    <xf numFmtId="1" fontId="116" fillId="0" borderId="0" xfId="1" applyNumberFormat="1" applyFont="1" applyFill="1" applyAlignment="1"/>
    <xf numFmtId="1" fontId="116" fillId="0" borderId="0" xfId="1" applyNumberFormat="1" applyFont="1" applyFill="1" applyBorder="1" applyAlignment="1"/>
    <xf numFmtId="1" fontId="116" fillId="0" borderId="0" xfId="1" quotePrefix="1" applyNumberFormat="1" applyFont="1" applyFill="1" applyAlignment="1"/>
    <xf numFmtId="1" fontId="119" fillId="0" borderId="0" xfId="1" applyNumberFormat="1" applyFont="1" applyFill="1" applyAlignment="1"/>
    <xf numFmtId="1" fontId="119" fillId="0" borderId="0" xfId="1" applyNumberFormat="1" applyFont="1" applyFill="1" applyBorder="1" applyAlignment="1"/>
    <xf numFmtId="173" fontId="98" fillId="0" borderId="0" xfId="0" applyFont="1" applyFill="1" applyAlignment="1">
      <alignment horizontal="center"/>
    </xf>
    <xf numFmtId="0" fontId="6" fillId="0" borderId="0" xfId="9" applyFont="1" applyFill="1"/>
    <xf numFmtId="0" fontId="26" fillId="0" borderId="0" xfId="9" applyFont="1" applyFill="1" applyAlignment="1">
      <alignment horizontal="center"/>
    </xf>
    <xf numFmtId="0" fontId="9" fillId="0" borderId="0" xfId="9" applyFont="1" applyFill="1"/>
    <xf numFmtId="0" fontId="25" fillId="0" borderId="0" xfId="9" applyFont="1" applyFill="1" applyAlignment="1">
      <alignment horizontal="center"/>
    </xf>
    <xf numFmtId="173" fontId="8" fillId="0" borderId="0" xfId="0" applyFont="1" applyFill="1" applyAlignment="1">
      <alignment horizontal="centerContinuous"/>
    </xf>
    <xf numFmtId="0" fontId="6" fillId="0" borderId="0" xfId="15" applyFont="1" applyFill="1"/>
    <xf numFmtId="0" fontId="9" fillId="0" borderId="0" xfId="15" applyFont="1" applyFill="1"/>
    <xf numFmtId="0" fontId="6" fillId="0" borderId="0" xfId="15" applyFont="1" applyFill="1" applyAlignment="1">
      <alignment horizontal="center"/>
    </xf>
    <xf numFmtId="0" fontId="6" fillId="0" borderId="0" xfId="15" applyFont="1" applyFill="1" applyAlignment="1">
      <alignment horizontal="center"/>
    </xf>
    <xf numFmtId="0" fontId="9" fillId="0" borderId="0" xfId="15" applyFont="1" applyFill="1" applyAlignment="1">
      <alignment horizontal="center"/>
    </xf>
    <xf numFmtId="15" fontId="6" fillId="0" borderId="0" xfId="15" quotePrefix="1" applyNumberFormat="1" applyFont="1" applyFill="1" applyAlignment="1">
      <alignment horizontal="center"/>
    </xf>
    <xf numFmtId="15" fontId="6" fillId="0" borderId="0" xfId="15" quotePrefix="1" applyNumberFormat="1" applyFont="1" applyFill="1" applyAlignment="1">
      <alignment horizontal="center"/>
    </xf>
    <xf numFmtId="15" fontId="9" fillId="0" borderId="0" xfId="15" quotePrefix="1" applyNumberFormat="1" applyFont="1" applyFill="1" applyAlignment="1">
      <alignment horizontal="center"/>
    </xf>
    <xf numFmtId="15" fontId="6" fillId="0" borderId="0" xfId="15" applyNumberFormat="1" applyFont="1" applyFill="1" applyAlignment="1">
      <alignment horizontal="center"/>
    </xf>
    <xf numFmtId="15" fontId="6" fillId="0" borderId="0" xfId="15" applyNumberFormat="1" applyFont="1" applyFill="1" applyAlignment="1">
      <alignment horizontal="center"/>
    </xf>
    <xf numFmtId="15" fontId="9" fillId="0" borderId="0" xfId="15" applyNumberFormat="1" applyFont="1" applyFill="1" applyAlignment="1">
      <alignment horizontal="center"/>
    </xf>
    <xf numFmtId="0" fontId="6" fillId="0" borderId="6" xfId="0" applyNumberFormat="1" applyFont="1" applyFill="1" applyBorder="1" applyAlignment="1">
      <alignment horizontal="center"/>
    </xf>
    <xf numFmtId="0" fontId="6" fillId="0" borderId="6" xfId="0" applyNumberFormat="1" applyFont="1" applyFill="1" applyBorder="1"/>
    <xf numFmtId="0" fontId="8" fillId="0" borderId="6" xfId="0" applyNumberFormat="1" applyFont="1" applyFill="1" applyBorder="1" applyAlignment="1">
      <alignment horizontal="center"/>
    </xf>
    <xf numFmtId="175" fontId="32" fillId="0" borderId="0" xfId="12" applyNumberFormat="1" applyFont="1" applyFill="1" applyBorder="1" applyAlignment="1">
      <alignment horizontal="right"/>
    </xf>
    <xf numFmtId="0" fontId="8" fillId="0" borderId="0" xfId="15" applyFont="1" applyFill="1"/>
    <xf numFmtId="3" fontId="8" fillId="0" borderId="0" xfId="0" applyNumberFormat="1" applyFont="1" applyFill="1" applyAlignment="1">
      <alignment horizontal="center"/>
    </xf>
    <xf numFmtId="0" fontId="25" fillId="0" borderId="0" xfId="15" applyFont="1" applyFill="1"/>
    <xf numFmtId="10" fontId="6" fillId="0" borderId="0" xfId="372" applyNumberFormat="1" applyFont="1" applyFill="1"/>
    <xf numFmtId="164" fontId="6" fillId="0" borderId="0" xfId="11" applyNumberFormat="1" applyFont="1" applyFill="1" applyAlignment="1"/>
    <xf numFmtId="174" fontId="32" fillId="0" borderId="2" xfId="89" applyNumberFormat="1" applyFont="1" applyFill="1" applyBorder="1" applyProtection="1">
      <protection locked="0"/>
    </xf>
    <xf numFmtId="164" fontId="6" fillId="0" borderId="2" xfId="11" applyNumberFormat="1" applyFont="1" applyFill="1" applyBorder="1" applyAlignment="1"/>
    <xf numFmtId="0" fontId="111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right"/>
    </xf>
    <xf numFmtId="0" fontId="111" fillId="0" borderId="0" xfId="0" applyNumberFormat="1" applyFont="1" applyFill="1"/>
    <xf numFmtId="43" fontId="104" fillId="0" borderId="0" xfId="1" applyNumberFormat="1" applyFont="1" applyFill="1"/>
    <xf numFmtId="0" fontId="104" fillId="0" borderId="0" xfId="0" applyNumberFormat="1" applyFont="1" applyFill="1"/>
    <xf numFmtId="175" fontId="8" fillId="0" borderId="0" xfId="0" applyNumberFormat="1" applyFont="1" applyFill="1"/>
    <xf numFmtId="3" fontId="8" fillId="0" borderId="0" xfId="0" applyNumberFormat="1" applyFont="1" applyFill="1" applyAlignment="1">
      <alignment horizontal="center"/>
    </xf>
    <xf numFmtId="0" fontId="6" fillId="0" borderId="6" xfId="15" applyFont="1" applyFill="1" applyBorder="1"/>
    <xf numFmtId="0" fontId="111" fillId="0" borderId="6" xfId="0" applyNumberFormat="1" applyFont="1" applyFill="1" applyBorder="1"/>
    <xf numFmtId="0" fontId="6" fillId="0" borderId="0" xfId="0" quotePrefix="1" applyNumberFormat="1" applyFont="1" applyFill="1" applyAlignment="1">
      <alignment horizontal="center"/>
    </xf>
    <xf numFmtId="164" fontId="6" fillId="0" borderId="0" xfId="0" applyNumberFormat="1" applyFont="1" applyFill="1"/>
    <xf numFmtId="175" fontId="9" fillId="0" borderId="0" xfId="15" applyNumberFormat="1" applyFont="1" applyFill="1"/>
    <xf numFmtId="0" fontId="9" fillId="0" borderId="0" xfId="15" quotePrefix="1" applyFont="1" applyFill="1"/>
    <xf numFmtId="0" fontId="9" fillId="0" borderId="0" xfId="0" applyNumberFormat="1" applyFont="1" applyFill="1"/>
    <xf numFmtId="173" fontId="24" fillId="0" borderId="0" xfId="0" applyFont="1" applyFill="1" applyAlignment="1">
      <alignment horizontal="centerContinuous"/>
    </xf>
    <xf numFmtId="173" fontId="8" fillId="0" borderId="0" xfId="0" applyFont="1" applyFill="1" applyAlignment="1">
      <alignment horizontal="center"/>
    </xf>
    <xf numFmtId="0" fontId="12" fillId="0" borderId="0" xfId="10" applyFont="1" applyFill="1" applyAlignment="1">
      <alignment horizontal="center"/>
    </xf>
    <xf numFmtId="0" fontId="98" fillId="0" borderId="0" xfId="7" applyFont="1" applyFill="1" applyAlignment="1">
      <alignment horizontal="center"/>
    </xf>
    <xf numFmtId="0" fontId="8" fillId="0" borderId="0" xfId="5" applyFont="1" applyFill="1" applyAlignment="1">
      <alignment horizontal="center"/>
    </xf>
    <xf numFmtId="0" fontId="6" fillId="0" borderId="0" xfId="7" applyFont="1" applyFill="1"/>
    <xf numFmtId="0" fontId="96" fillId="0" borderId="0" xfId="7" applyFont="1" applyFill="1" applyAlignment="1">
      <alignment horizontal="left"/>
    </xf>
    <xf numFmtId="0" fontId="22" fillId="0" borderId="0" xfId="5" applyFont="1" applyFill="1" applyAlignment="1">
      <alignment horizontal="centerContinuous"/>
    </xf>
    <xf numFmtId="0" fontId="6" fillId="0" borderId="0" xfId="5" applyFont="1" applyFill="1"/>
    <xf numFmtId="0" fontId="6" fillId="0" borderId="0" xfId="5" applyFont="1" applyFill="1" applyAlignment="1">
      <alignment horizontal="center"/>
    </xf>
    <xf numFmtId="0" fontId="90" fillId="0" borderId="0" xfId="7" applyFont="1" applyFill="1" applyAlignment="1">
      <alignment horizontal="center"/>
    </xf>
    <xf numFmtId="0" fontId="22" fillId="0" borderId="0" xfId="7" applyFont="1" applyFill="1" applyAlignment="1">
      <alignment horizontal="center"/>
    </xf>
    <xf numFmtId="0" fontId="23" fillId="0" borderId="0" xfId="5" applyFont="1" applyFill="1" applyAlignment="1">
      <alignment horizontal="centerContinuous"/>
    </xf>
    <xf numFmtId="0" fontId="6" fillId="0" borderId="0" xfId="7" applyFont="1" applyFill="1" applyAlignment="1">
      <alignment horizontal="center"/>
    </xf>
    <xf numFmtId="0" fontId="32" fillId="0" borderId="0" xfId="5" applyFont="1" applyFill="1" applyAlignment="1">
      <alignment horizontal="left" indent="1"/>
    </xf>
    <xf numFmtId="0" fontId="6" fillId="0" borderId="0" xfId="5" applyFont="1" applyFill="1" applyAlignment="1">
      <alignment horizontal="left" indent="1"/>
    </xf>
    <xf numFmtId="42" fontId="32" fillId="0" borderId="0" xfId="7" applyNumberFormat="1" applyFont="1" applyFill="1"/>
    <xf numFmtId="41" fontId="32" fillId="0" borderId="0" xfId="7" applyNumberFormat="1" applyFont="1" applyFill="1"/>
    <xf numFmtId="176" fontId="6" fillId="0" borderId="6" xfId="7" applyNumberFormat="1" applyFont="1" applyFill="1" applyBorder="1"/>
    <xf numFmtId="0" fontId="6" fillId="0" borderId="0" xfId="7" applyFont="1" applyFill="1" applyAlignment="1">
      <alignment horizontal="left" indent="1"/>
    </xf>
    <xf numFmtId="42" fontId="30" fillId="0" borderId="0" xfId="7" applyNumberFormat="1" applyFont="1" applyFill="1"/>
    <xf numFmtId="41" fontId="6" fillId="0" borderId="0" xfId="7" applyNumberFormat="1" applyFont="1" applyFill="1"/>
    <xf numFmtId="0" fontId="6" fillId="0" borderId="0" xfId="5" applyFont="1" applyFill="1" applyAlignment="1">
      <alignment horizontal="left"/>
    </xf>
    <xf numFmtId="0" fontId="14" fillId="0" borderId="0" xfId="10" applyFont="1" applyFill="1" applyAlignment="1">
      <alignment horizontal="left"/>
    </xf>
    <xf numFmtId="173" fontId="10" fillId="0" borderId="0" xfId="0" applyFont="1" applyFill="1"/>
    <xf numFmtId="173" fontId="10" fillId="0" borderId="0" xfId="0" quotePrefix="1" applyFont="1" applyFill="1"/>
    <xf numFmtId="174" fontId="32" fillId="0" borderId="0" xfId="1" applyNumberFormat="1" applyFont="1" applyFill="1"/>
    <xf numFmtId="173" fontId="31" fillId="0" borderId="0" xfId="0" applyFont="1" applyFill="1"/>
    <xf numFmtId="41" fontId="118" fillId="0" borderId="0" xfId="7" applyNumberFormat="1" applyFont="1" applyFill="1"/>
    <xf numFmtId="174" fontId="118" fillId="0" borderId="0" xfId="1" applyNumberFormat="1" applyFont="1" applyFill="1"/>
    <xf numFmtId="0" fontId="8" fillId="0" borderId="6" xfId="7" applyFont="1" applyFill="1" applyBorder="1" applyAlignment="1">
      <alignment horizontal="center"/>
    </xf>
    <xf numFmtId="175" fontId="32" fillId="0" borderId="0" xfId="327" applyNumberFormat="1" applyFont="1" applyFill="1" applyBorder="1" applyAlignment="1">
      <alignment horizontal="center"/>
    </xf>
    <xf numFmtId="0" fontId="8" fillId="0" borderId="0" xfId="7" applyFont="1" applyFill="1" applyAlignment="1">
      <alignment horizontal="center"/>
    </xf>
    <xf numFmtId="175" fontId="8" fillId="0" borderId="12" xfId="7" applyNumberFormat="1" applyFont="1" applyFill="1" applyBorder="1" applyAlignment="1">
      <alignment horizontal="center"/>
    </xf>
    <xf numFmtId="0" fontId="6" fillId="0" borderId="6" xfId="7" quotePrefix="1" applyFont="1" applyFill="1" applyBorder="1"/>
    <xf numFmtId="0" fontId="6" fillId="0" borderId="0" xfId="7" applyFont="1" applyFill="1" applyAlignment="1">
      <alignment horizontal="right"/>
    </xf>
    <xf numFmtId="0" fontId="6" fillId="0" borderId="0" xfId="5" quotePrefix="1" applyFont="1" applyFill="1"/>
    <xf numFmtId="0" fontId="6" fillId="0" borderId="0" xfId="5" applyFont="1" applyFill="1" applyAlignment="1">
      <alignment wrapText="1"/>
    </xf>
    <xf numFmtId="0" fontId="6" fillId="0" borderId="0" xfId="7" quotePrefix="1" applyFont="1" applyFill="1" applyAlignment="1">
      <alignment vertical="center"/>
    </xf>
    <xf numFmtId="0" fontId="6" fillId="0" borderId="0" xfId="7" quotePrefix="1" applyFont="1" applyFill="1"/>
    <xf numFmtId="0" fontId="8" fillId="0" borderId="0" xfId="7" applyFont="1" applyFill="1"/>
    <xf numFmtId="0" fontId="32" fillId="0" borderId="0" xfId="7" applyFont="1" applyFill="1"/>
    <xf numFmtId="0" fontId="8" fillId="0" borderId="0" xfId="7" applyFont="1" applyFill="1" applyAlignment="1">
      <alignment horizontal="right"/>
    </xf>
    <xf numFmtId="174" fontId="6" fillId="0" borderId="0" xfId="7" applyNumberFormat="1" applyFont="1" applyFill="1"/>
    <xf numFmtId="41" fontId="23" fillId="0" borderId="0" xfId="7" applyNumberFormat="1" applyFont="1" applyFill="1"/>
    <xf numFmtId="0" fontId="6" fillId="0" borderId="0" xfId="6" applyFont="1" applyFill="1"/>
    <xf numFmtId="173" fontId="8" fillId="0" borderId="0" xfId="0" applyFont="1" applyFill="1" applyAlignment="1">
      <alignment horizontal="center"/>
    </xf>
    <xf numFmtId="0" fontId="6" fillId="0" borderId="0" xfId="5" applyFont="1" applyFill="1" applyAlignment="1">
      <alignment horizontal="centerContinuous"/>
    </xf>
    <xf numFmtId="0" fontId="90" fillId="0" borderId="0" xfId="6" applyFont="1" applyFill="1" applyAlignment="1">
      <alignment horizontal="center"/>
    </xf>
    <xf numFmtId="0" fontId="22" fillId="0" borderId="0" xfId="0" applyNumberFormat="1" applyFont="1" applyFill="1" applyAlignment="1">
      <alignment horizontal="center"/>
    </xf>
    <xf numFmtId="280" fontId="6" fillId="0" borderId="0" xfId="1" applyNumberFormat="1" applyFont="1" applyFill="1"/>
    <xf numFmtId="0" fontId="6" fillId="0" borderId="0" xfId="6" quotePrefix="1" applyFont="1" applyFill="1" applyAlignment="1">
      <alignment horizontal="center"/>
    </xf>
    <xf numFmtId="42" fontId="6" fillId="0" borderId="0" xfId="7" applyNumberFormat="1" applyFont="1" applyFill="1"/>
    <xf numFmtId="43" fontId="96" fillId="0" borderId="0" xfId="1" applyFont="1" applyFill="1"/>
    <xf numFmtId="0" fontId="6" fillId="0" borderId="0" xfId="6" applyFont="1" applyFill="1" applyAlignment="1">
      <alignment horizontal="center"/>
    </xf>
    <xf numFmtId="0" fontId="6" fillId="0" borderId="0" xfId="7" applyFont="1" applyFill="1" applyAlignment="1">
      <alignment horizontal="left"/>
    </xf>
    <xf numFmtId="0" fontId="6" fillId="0" borderId="0" xfId="7" applyFont="1" applyFill="1" applyAlignment="1">
      <alignment horizontal="left" vertical="center" wrapText="1" indent="1"/>
    </xf>
    <xf numFmtId="175" fontId="30" fillId="0" borderId="2" xfId="327" applyNumberFormat="1" applyFont="1" applyFill="1" applyBorder="1" applyAlignment="1">
      <alignment horizontal="left" vertical="center"/>
    </xf>
    <xf numFmtId="0" fontId="44" fillId="0" borderId="0" xfId="6" applyFont="1" applyFill="1" applyAlignment="1">
      <alignment horizontal="left" vertical="center"/>
    </xf>
    <xf numFmtId="41" fontId="17" fillId="0" borderId="0" xfId="7" applyNumberFormat="1" applyFont="1" applyFill="1"/>
    <xf numFmtId="0" fontId="44" fillId="0" borderId="0" xfId="6" applyFont="1" applyFill="1"/>
    <xf numFmtId="0" fontId="6" fillId="0" borderId="6" xfId="6" quotePrefix="1" applyFont="1" applyFill="1" applyBorder="1" applyAlignment="1">
      <alignment horizontal="center"/>
    </xf>
    <xf numFmtId="0" fontId="6" fillId="0" borderId="6" xfId="6" applyFont="1" applyFill="1" applyBorder="1"/>
    <xf numFmtId="0" fontId="6" fillId="0" borderId="0" xfId="6" quotePrefix="1" applyFont="1" applyFill="1" applyAlignment="1">
      <alignment wrapText="1"/>
    </xf>
    <xf numFmtId="43" fontId="99" fillId="0" borderId="0" xfId="1" applyFont="1" applyFill="1"/>
    <xf numFmtId="0" fontId="8" fillId="0" borderId="0" xfId="7" applyFont="1" applyFill="1" applyAlignment="1">
      <alignment horizontal="left" vertical="center"/>
    </xf>
    <xf numFmtId="173" fontId="8" fillId="0" borderId="0" xfId="0" applyFont="1" applyFill="1"/>
    <xf numFmtId="0" fontId="96" fillId="0" borderId="0" xfId="7" applyFont="1" applyFill="1"/>
    <xf numFmtId="0" fontId="8" fillId="0" borderId="7" xfId="7" applyFont="1" applyFill="1" applyBorder="1" applyAlignment="1">
      <alignment horizontal="center"/>
    </xf>
    <xf numFmtId="173" fontId="6" fillId="0" borderId="0" xfId="0" quotePrefix="1" applyFont="1" applyFill="1" applyAlignment="1">
      <alignment horizontal="center"/>
    </xf>
    <xf numFmtId="0" fontId="6" fillId="0" borderId="0" xfId="7" applyFont="1" applyFill="1" applyAlignment="1">
      <alignment horizontal="left" wrapText="1"/>
    </xf>
    <xf numFmtId="173" fontId="0" fillId="0" borderId="0" xfId="0" applyFill="1" applyAlignment="1">
      <alignment wrapText="1"/>
    </xf>
    <xf numFmtId="41" fontId="23" fillId="0" borderId="0" xfId="6" applyNumberFormat="1" applyFont="1" applyFill="1"/>
    <xf numFmtId="0" fontId="6" fillId="0" borderId="0" xfId="7" applyFont="1" applyFill="1" applyAlignment="1">
      <alignment horizontal="left" vertical="center"/>
    </xf>
    <xf numFmtId="42" fontId="30" fillId="0" borderId="0" xfId="7" applyNumberFormat="1" applyFont="1" applyFill="1" applyAlignment="1">
      <alignment vertical="center"/>
    </xf>
    <xf numFmtId="0" fontId="96" fillId="0" borderId="0" xfId="7" applyFont="1" applyFill="1" applyAlignment="1">
      <alignment horizontal="left" vertical="center"/>
    </xf>
    <xf numFmtId="173" fontId="98" fillId="0" borderId="0" xfId="0" applyFont="1" applyFill="1"/>
    <xf numFmtId="42" fontId="6" fillId="0" borderId="0" xfId="7" applyNumberFormat="1" applyFont="1" applyFill="1" applyAlignment="1">
      <alignment vertical="center"/>
    </xf>
    <xf numFmtId="42" fontId="6" fillId="0" borderId="0" xfId="6" applyNumberFormat="1" applyFont="1" applyFill="1" applyAlignment="1">
      <alignment horizontal="center" vertical="center"/>
    </xf>
    <xf numFmtId="42" fontId="30" fillId="0" borderId="0" xfId="6" applyNumberFormat="1" applyFont="1" applyFill="1" applyAlignment="1">
      <alignment vertical="center"/>
    </xf>
    <xf numFmtId="173" fontId="106" fillId="0" borderId="0" xfId="0" applyFont="1" applyFill="1"/>
    <xf numFmtId="0" fontId="6" fillId="0" borderId="0" xfId="7" applyFont="1" applyFill="1" applyAlignment="1">
      <alignment horizontal="left" vertical="center" wrapText="1"/>
    </xf>
    <xf numFmtId="173" fontId="6" fillId="0" borderId="6" xfId="0" applyFont="1" applyFill="1" applyBorder="1"/>
    <xf numFmtId="0" fontId="12" fillId="0" borderId="0" xfId="6" applyFont="1" applyFill="1"/>
    <xf numFmtId="0" fontId="6" fillId="0" borderId="0" xfId="6" applyFont="1" applyFill="1" applyAlignment="1">
      <alignment horizontal="centerContinuous"/>
    </xf>
    <xf numFmtId="0" fontId="7" fillId="0" borderId="0" xfId="6" applyFont="1" applyFill="1"/>
    <xf numFmtId="0" fontId="8" fillId="0" borderId="0" xfId="5" applyFont="1" applyFill="1" applyAlignment="1">
      <alignment horizontal="left"/>
    </xf>
    <xf numFmtId="41" fontId="118" fillId="0" borderId="0" xfId="6" applyNumberFormat="1" applyFont="1" applyFill="1"/>
    <xf numFmtId="42" fontId="30" fillId="0" borderId="0" xfId="7" applyNumberFormat="1" applyFont="1" applyFill="1" applyAlignment="1">
      <alignment horizontal="left" vertical="center"/>
    </xf>
    <xf numFmtId="0" fontId="8" fillId="0" borderId="0" xfId="7" applyFont="1" applyFill="1" applyAlignment="1">
      <alignment horizontal="left"/>
    </xf>
    <xf numFmtId="37" fontId="6" fillId="0" borderId="0" xfId="7" applyNumberFormat="1" applyFont="1" applyFill="1"/>
    <xf numFmtId="0" fontId="6" fillId="0" borderId="0" xfId="7" quotePrefix="1" applyFont="1" applyFill="1" applyAlignment="1">
      <alignment horizontal="left"/>
    </xf>
    <xf numFmtId="0" fontId="6" fillId="0" borderId="0" xfId="7" quotePrefix="1" applyFont="1" applyFill="1" applyAlignment="1">
      <alignment horizontal="left" indent="1"/>
    </xf>
    <xf numFmtId="37" fontId="32" fillId="0" borderId="0" xfId="7" applyNumberFormat="1" applyFont="1" applyFill="1"/>
    <xf numFmtId="0" fontId="124" fillId="0" borderId="0" xfId="10" applyFont="1" applyFill="1" applyAlignment="1">
      <alignment horizontal="center"/>
    </xf>
    <xf numFmtId="0" fontId="6" fillId="0" borderId="6" xfId="6" quotePrefix="1" applyFont="1" applyFill="1" applyBorder="1"/>
    <xf numFmtId="0" fontId="6" fillId="0" borderId="0" xfId="6" quotePrefix="1" applyFont="1" applyFill="1"/>
    <xf numFmtId="0" fontId="8" fillId="0" borderId="0" xfId="6" applyFont="1" applyFill="1"/>
    <xf numFmtId="173" fontId="90" fillId="0" borderId="6" xfId="0" applyFont="1" applyFill="1" applyBorder="1" applyAlignment="1">
      <alignment horizontal="center"/>
    </xf>
    <xf numFmtId="173" fontId="23" fillId="0" borderId="0" xfId="0" applyFont="1" applyFill="1" applyAlignment="1">
      <alignment horizontal="center" wrapText="1"/>
    </xf>
    <xf numFmtId="173" fontId="8" fillId="0" borderId="0" xfId="0" applyFont="1" applyFill="1" applyAlignment="1">
      <alignment horizontal="left"/>
    </xf>
    <xf numFmtId="41" fontId="6" fillId="0" borderId="0" xfId="0" applyNumberFormat="1" applyFont="1" applyFill="1"/>
    <xf numFmtId="0" fontId="6" fillId="0" borderId="0" xfId="1" applyNumberFormat="1" applyFont="1" applyFill="1" applyAlignment="1">
      <alignment horizontal="center" vertical="center"/>
    </xf>
    <xf numFmtId="41" fontId="32" fillId="0" borderId="0" xfId="0" applyNumberFormat="1" applyFont="1" applyFill="1"/>
    <xf numFmtId="41" fontId="32" fillId="0" borderId="6" xfId="0" applyNumberFormat="1" applyFont="1" applyFill="1" applyBorder="1"/>
    <xf numFmtId="41" fontId="6" fillId="0" borderId="6" xfId="0" applyNumberFormat="1" applyFont="1" applyFill="1" applyBorder="1"/>
    <xf numFmtId="41" fontId="23" fillId="0" borderId="0" xfId="0" applyNumberFormat="1" applyFont="1" applyFill="1"/>
    <xf numFmtId="0" fontId="6" fillId="0" borderId="0" xfId="7" applyFont="1" applyFill="1" applyAlignment="1">
      <alignment horizontal="left" vertical="center" indent="1"/>
    </xf>
    <xf numFmtId="42" fontId="30" fillId="0" borderId="0" xfId="0" applyNumberFormat="1" applyFont="1" applyFill="1"/>
    <xf numFmtId="0" fontId="12" fillId="0" borderId="6" xfId="8" applyFont="1" applyFill="1" applyBorder="1"/>
    <xf numFmtId="41" fontId="12" fillId="0" borderId="0" xfId="13" applyNumberFormat="1" applyFont="1" applyFill="1" applyBorder="1"/>
    <xf numFmtId="173" fontId="6" fillId="0" borderId="0" xfId="0" quotePrefix="1" applyFont="1" applyFill="1"/>
    <xf numFmtId="0" fontId="12" fillId="0" borderId="0" xfId="8" applyFont="1" applyFill="1" applyAlignment="1">
      <alignment horizontal="right"/>
    </xf>
    <xf numFmtId="0" fontId="12" fillId="0" borderId="0" xfId="8" applyFont="1" applyFill="1"/>
    <xf numFmtId="0" fontId="116" fillId="0" borderId="0" xfId="8" applyFont="1" applyFill="1" applyAlignment="1">
      <alignment horizontal="right"/>
    </xf>
    <xf numFmtId="0" fontId="6" fillId="0" borderId="0" xfId="8" applyFont="1" applyFill="1" applyAlignment="1">
      <alignment horizontal="centerContinuous"/>
    </xf>
    <xf numFmtId="0" fontId="8" fillId="0" borderId="0" xfId="8" applyFont="1" applyFill="1" applyAlignment="1">
      <alignment horizontal="centerContinuous"/>
    </xf>
    <xf numFmtId="0" fontId="18" fillId="0" borderId="0" xfId="8" applyFont="1" applyFill="1" applyAlignment="1">
      <alignment horizontal="left"/>
    </xf>
    <xf numFmtId="0" fontId="6" fillId="0" borderId="0" xfId="8" applyFont="1" applyFill="1"/>
    <xf numFmtId="0" fontId="17" fillId="0" borderId="0" xfId="8" applyFont="1" applyFill="1" applyAlignment="1">
      <alignment horizontal="left"/>
    </xf>
    <xf numFmtId="173" fontId="90" fillId="0" borderId="0" xfId="0" applyFont="1" applyFill="1" applyAlignment="1">
      <alignment horizontal="center" wrapText="1"/>
    </xf>
    <xf numFmtId="0" fontId="6" fillId="0" borderId="0" xfId="8" applyFont="1" applyFill="1" applyAlignment="1">
      <alignment horizontal="center"/>
    </xf>
    <xf numFmtId="0" fontId="23" fillId="0" borderId="0" xfId="8" applyFont="1" applyFill="1" applyAlignment="1">
      <alignment horizontal="center"/>
    </xf>
    <xf numFmtId="0" fontId="90" fillId="0" borderId="0" xfId="8" applyFont="1" applyFill="1" applyAlignment="1">
      <alignment horizontal="center"/>
    </xf>
    <xf numFmtId="42" fontId="32" fillId="0" borderId="0" xfId="327" applyNumberFormat="1" applyFont="1" applyFill="1" applyBorder="1"/>
    <xf numFmtId="41" fontId="6" fillId="0" borderId="0" xfId="8" applyNumberFormat="1" applyFont="1" applyFill="1"/>
    <xf numFmtId="41" fontId="32" fillId="0" borderId="0" xfId="8" applyNumberFormat="1" applyFont="1" applyFill="1"/>
    <xf numFmtId="0" fontId="6" fillId="0" borderId="0" xfId="8" quotePrefix="1" applyFont="1" applyFill="1"/>
    <xf numFmtId="41" fontId="118" fillId="0" borderId="0" xfId="8" applyNumberFormat="1" applyFont="1" applyFill="1"/>
    <xf numFmtId="41" fontId="23" fillId="0" borderId="0" xfId="8" applyNumberFormat="1" applyFont="1" applyFill="1"/>
    <xf numFmtId="10" fontId="30" fillId="0" borderId="0" xfId="8" applyNumberFormat="1" applyFont="1" applyFill="1" applyAlignment="1">
      <alignment vertical="center"/>
    </xf>
    <xf numFmtId="41" fontId="30" fillId="0" borderId="0" xfId="8" applyNumberFormat="1" applyFont="1" applyFill="1" applyAlignment="1">
      <alignment vertical="center"/>
    </xf>
    <xf numFmtId="175" fontId="6" fillId="0" borderId="18" xfId="327" quotePrefix="1" applyNumberFormat="1" applyFont="1" applyFill="1" applyBorder="1"/>
    <xf numFmtId="0" fontId="6" fillId="0" borderId="6" xfId="8" applyFont="1" applyFill="1" applyBorder="1"/>
    <xf numFmtId="41" fontId="6" fillId="0" borderId="6" xfId="13" applyNumberFormat="1" applyFont="1" applyFill="1" applyBorder="1"/>
    <xf numFmtId="0" fontId="110" fillId="0" borderId="0" xfId="329" applyFont="1" applyFill="1"/>
    <xf numFmtId="0" fontId="2" fillId="0" borderId="0" xfId="329" applyFill="1"/>
    <xf numFmtId="49" fontId="110" fillId="0" borderId="0" xfId="329" applyNumberFormat="1" applyFont="1" applyFill="1" applyAlignment="1">
      <alignment horizontal="center"/>
    </xf>
    <xf numFmtId="0" fontId="110" fillId="0" borderId="0" xfId="329" applyFont="1" applyFill="1" applyAlignment="1">
      <alignment horizontal="center"/>
    </xf>
    <xf numFmtId="0" fontId="110" fillId="0" borderId="0" xfId="329" applyFont="1" applyFill="1" applyAlignment="1">
      <alignment horizontal="center"/>
    </xf>
    <xf numFmtId="0" fontId="113" fillId="0" borderId="0" xfId="329" applyFont="1" applyFill="1" applyAlignment="1">
      <alignment horizontal="center"/>
    </xf>
    <xf numFmtId="0" fontId="110" fillId="0" borderId="0" xfId="329" quotePrefix="1" applyFont="1" applyFill="1" applyAlignment="1">
      <alignment horizontal="center"/>
    </xf>
    <xf numFmtId="0" fontId="114" fillId="0" borderId="0" xfId="329" applyFont="1" applyFill="1" applyAlignment="1">
      <alignment horizontal="centerContinuous"/>
    </xf>
    <xf numFmtId="0" fontId="110" fillId="0" borderId="0" xfId="329" applyFont="1" applyFill="1" applyAlignment="1">
      <alignment horizontal="centerContinuous"/>
    </xf>
    <xf numFmtId="2" fontId="110" fillId="0" borderId="0" xfId="329" applyNumberFormat="1" applyFont="1" applyFill="1"/>
    <xf numFmtId="0" fontId="6" fillId="0" borderId="0" xfId="330" applyFont="1" applyFill="1" applyAlignment="1">
      <alignment horizontal="center"/>
    </xf>
    <xf numFmtId="0" fontId="95" fillId="0" borderId="0" xfId="329" quotePrefix="1" applyFont="1" applyFill="1"/>
    <xf numFmtId="0" fontId="110" fillId="0" borderId="6" xfId="329" applyFont="1" applyFill="1" applyBorder="1" applyAlignment="1">
      <alignment horizontal="center"/>
    </xf>
    <xf numFmtId="0" fontId="110" fillId="0" borderId="0" xfId="329" applyFont="1" applyFill="1" applyAlignment="1">
      <alignment horizontal="left"/>
    </xf>
    <xf numFmtId="0" fontId="2" fillId="0" borderId="0" xfId="329" applyFill="1" applyAlignment="1">
      <alignment horizontal="center"/>
    </xf>
    <xf numFmtId="0" fontId="110" fillId="0" borderId="0" xfId="329" applyFont="1" applyFill="1" applyAlignment="1">
      <alignment horizontal="left" indent="1"/>
    </xf>
    <xf numFmtId="173" fontId="0" fillId="0" borderId="0" xfId="0" applyFill="1" applyAlignment="1">
      <alignment horizontal="right"/>
    </xf>
    <xf numFmtId="0" fontId="0" fillId="0" borderId="0" xfId="0" applyNumberFormat="1" applyFill="1" applyAlignment="1">
      <alignment horizontal="right"/>
    </xf>
    <xf numFmtId="173" fontId="0" fillId="0" borderId="0" xfId="0" applyFill="1" applyAlignment="1">
      <alignment horizontal="centerContinuous"/>
    </xf>
    <xf numFmtId="3" fontId="6" fillId="0" borderId="0" xfId="0" applyNumberFormat="1" applyFont="1" applyFill="1" applyAlignment="1">
      <alignment horizontal="center"/>
    </xf>
    <xf numFmtId="173" fontId="116" fillId="0" borderId="0" xfId="0" applyFont="1" applyFill="1" applyAlignment="1">
      <alignment horizontal="center"/>
    </xf>
    <xf numFmtId="173" fontId="7" fillId="0" borderId="0" xfId="0" applyFont="1" applyFill="1" applyAlignment="1">
      <alignment horizontal="center"/>
    </xf>
    <xf numFmtId="0" fontId="6" fillId="0" borderId="0" xfId="0" applyNumberFormat="1" applyFont="1" applyFill="1" applyAlignment="1">
      <alignment horizontal="center" vertical="center"/>
    </xf>
    <xf numFmtId="277" fontId="32" fillId="0" borderId="0" xfId="0" applyNumberFormat="1" applyFont="1" applyFill="1" applyAlignment="1">
      <alignment vertical="center"/>
    </xf>
    <xf numFmtId="173" fontId="10" fillId="0" borderId="0" xfId="0" applyFont="1" applyFill="1" applyAlignment="1">
      <alignment horizontal="center"/>
    </xf>
    <xf numFmtId="277" fontId="6" fillId="0" borderId="8" xfId="0" applyNumberFormat="1" applyFont="1" applyFill="1" applyBorder="1"/>
    <xf numFmtId="277" fontId="32" fillId="0" borderId="0" xfId="0" applyNumberFormat="1" applyFont="1" applyFill="1"/>
    <xf numFmtId="173" fontId="0" fillId="0" borderId="0" xfId="0" quotePrefix="1" applyFill="1" applyAlignment="1">
      <alignment horizontal="right"/>
    </xf>
    <xf numFmtId="173" fontId="0" fillId="0" borderId="0" xfId="0" quotePrefix="1" applyFont="1" applyFill="1" applyAlignment="1">
      <alignment horizontal="left"/>
    </xf>
    <xf numFmtId="173" fontId="0" fillId="0" borderId="0" xfId="0" quotePrefix="1" applyFill="1" applyAlignment="1">
      <alignment horizontal="left"/>
    </xf>
    <xf numFmtId="173" fontId="0" fillId="0" borderId="0" xfId="0" quotePrefix="1" applyFill="1"/>
    <xf numFmtId="164" fontId="0" fillId="0" borderId="0" xfId="372" applyNumberFormat="1" applyFont="1" applyFill="1" applyBorder="1" applyAlignment="1">
      <alignment horizontal="right"/>
    </xf>
    <xf numFmtId="164" fontId="0" fillId="0" borderId="0" xfId="372" applyNumberFormat="1" applyFont="1" applyFill="1" applyBorder="1" applyAlignment="1">
      <alignment horizontal="left"/>
    </xf>
    <xf numFmtId="164" fontId="32" fillId="0" borderId="0" xfId="372" applyNumberFormat="1" applyFont="1" applyFill="1" applyAlignment="1"/>
    <xf numFmtId="277" fontId="6" fillId="0" borderId="0" xfId="0" applyNumberFormat="1" applyFont="1" applyFill="1"/>
    <xf numFmtId="277" fontId="6" fillId="0" borderId="18" xfId="0" applyNumberFormat="1" applyFont="1" applyFill="1" applyBorder="1"/>
    <xf numFmtId="0" fontId="90" fillId="0" borderId="6" xfId="325" applyNumberFormat="1" applyFont="1" applyFill="1" applyBorder="1" applyAlignment="1" applyProtection="1">
      <alignment horizontal="center"/>
      <protection locked="0"/>
    </xf>
    <xf numFmtId="0" fontId="6" fillId="0" borderId="0" xfId="326" applyFont="1" applyFill="1" applyAlignment="1">
      <alignment wrapText="1"/>
    </xf>
    <xf numFmtId="277" fontId="8" fillId="0" borderId="0" xfId="0" applyNumberFormat="1" applyFont="1" applyFill="1"/>
    <xf numFmtId="173" fontId="6" fillId="0" borderId="0" xfId="0" quotePrefix="1" applyFont="1" applyFill="1" applyAlignment="1">
      <alignment vertical="center"/>
    </xf>
    <xf numFmtId="277" fontId="32" fillId="0" borderId="0" xfId="327" applyNumberFormat="1" applyFont="1" applyFill="1" applyAlignment="1">
      <alignment vertical="center"/>
    </xf>
    <xf numFmtId="173" fontId="6" fillId="0" borderId="8" xfId="0" applyFont="1" applyFill="1" applyBorder="1"/>
    <xf numFmtId="173" fontId="32" fillId="0" borderId="0" xfId="0" applyFont="1" applyFill="1"/>
    <xf numFmtId="0" fontId="6" fillId="0" borderId="0" xfId="326" applyFont="1" applyFill="1" applyAlignment="1">
      <alignment vertical="center" wrapText="1"/>
    </xf>
    <xf numFmtId="173" fontId="0" fillId="0" borderId="0" xfId="0" applyFill="1" applyAlignment="1">
      <alignment vertical="center" wrapText="1"/>
    </xf>
    <xf numFmtId="173" fontId="0" fillId="0" borderId="19" xfId="0" applyFill="1" applyBorder="1" applyProtection="1">
      <protection hidden="1"/>
    </xf>
    <xf numFmtId="173" fontId="0" fillId="0" borderId="8" xfId="0" applyFill="1" applyBorder="1" applyProtection="1">
      <protection hidden="1"/>
    </xf>
    <xf numFmtId="173" fontId="0" fillId="0" borderId="20" xfId="0" applyFill="1" applyBorder="1" applyProtection="1">
      <protection hidden="1"/>
    </xf>
    <xf numFmtId="173" fontId="0" fillId="0" borderId="3" xfId="0" quotePrefix="1" applyFill="1" applyBorder="1" applyProtection="1">
      <protection hidden="1"/>
    </xf>
    <xf numFmtId="173" fontId="0" fillId="0" borderId="0" xfId="0" applyFill="1" applyProtection="1">
      <protection hidden="1"/>
    </xf>
    <xf numFmtId="173" fontId="0" fillId="0" borderId="4" xfId="0" applyFill="1" applyBorder="1" applyProtection="1">
      <protection hidden="1"/>
    </xf>
    <xf numFmtId="173" fontId="0" fillId="0" borderId="3" xfId="0" applyFill="1" applyBorder="1" applyProtection="1">
      <protection hidden="1"/>
    </xf>
    <xf numFmtId="14" fontId="0" fillId="0" borderId="3" xfId="0" applyNumberFormat="1" applyFill="1" applyBorder="1" applyProtection="1">
      <protection hidden="1"/>
    </xf>
    <xf numFmtId="1" fontId="0" fillId="0" borderId="0" xfId="0" applyNumberFormat="1" applyFill="1" applyAlignment="1" applyProtection="1">
      <alignment horizontal="center"/>
      <protection hidden="1"/>
    </xf>
    <xf numFmtId="173" fontId="0" fillId="0" borderId="5" xfId="0" applyFill="1" applyBorder="1" applyProtection="1">
      <protection hidden="1"/>
    </xf>
    <xf numFmtId="173" fontId="0" fillId="0" borderId="6" xfId="0" applyFill="1" applyBorder="1" applyProtection="1">
      <protection hidden="1"/>
    </xf>
    <xf numFmtId="173" fontId="0" fillId="0" borderId="21" xfId="0" applyFill="1" applyBorder="1" applyProtection="1">
      <protection hidden="1"/>
    </xf>
    <xf numFmtId="173" fontId="105" fillId="0" borderId="0" xfId="0" applyFont="1" applyFill="1" applyProtection="1">
      <protection hidden="1"/>
    </xf>
    <xf numFmtId="49" fontId="6" fillId="0" borderId="0" xfId="0" applyNumberFormat="1" applyFont="1" applyFill="1" applyAlignment="1">
      <alignment horizontal="centerContinuous"/>
    </xf>
    <xf numFmtId="0" fontId="0" fillId="0" borderId="0" xfId="0" applyNumberFormat="1" applyFill="1" applyAlignment="1" applyProtection="1">
      <alignment horizontal="centerContinuous"/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49" fontId="8" fillId="0" borderId="0" xfId="0" applyNumberFormat="1" applyFont="1" applyFill="1" applyAlignment="1">
      <alignment horizontal="center"/>
    </xf>
    <xf numFmtId="177" fontId="8" fillId="0" borderId="0" xfId="0" applyNumberFormat="1" applyFont="1" applyFill="1" applyAlignment="1">
      <alignment horizontal="center"/>
    </xf>
    <xf numFmtId="173" fontId="8" fillId="0" borderId="11" xfId="0" applyFont="1" applyFill="1" applyBorder="1" applyAlignment="1">
      <alignment horizontal="center" wrapText="1"/>
    </xf>
    <xf numFmtId="173" fontId="8" fillId="0" borderId="12" xfId="0" applyFont="1" applyFill="1" applyBorder="1"/>
    <xf numFmtId="173" fontId="8" fillId="0" borderId="12" xfId="0" applyFont="1" applyFill="1" applyBorder="1" applyAlignment="1">
      <alignment horizontal="center" wrapText="1"/>
    </xf>
    <xf numFmtId="0" fontId="8" fillId="0" borderId="12" xfId="0" applyNumberFormat="1" applyFont="1" applyFill="1" applyBorder="1" applyAlignment="1">
      <alignment horizontal="center" wrapText="1"/>
    </xf>
    <xf numFmtId="173" fontId="8" fillId="0" borderId="10" xfId="0" applyFont="1" applyFill="1" applyBorder="1" applyAlignment="1">
      <alignment horizontal="center" wrapText="1"/>
    </xf>
    <xf numFmtId="3" fontId="8" fillId="0" borderId="10" xfId="0" applyNumberFormat="1" applyFont="1" applyFill="1" applyBorder="1" applyAlignment="1">
      <alignment horizontal="center" wrapText="1"/>
    </xf>
    <xf numFmtId="3" fontId="8" fillId="0" borderId="12" xfId="0" applyNumberFormat="1" applyFont="1" applyFill="1" applyBorder="1" applyAlignment="1">
      <alignment horizontal="center" wrapText="1"/>
    </xf>
    <xf numFmtId="173" fontId="93" fillId="0" borderId="0" xfId="0" applyFont="1" applyFill="1"/>
    <xf numFmtId="0" fontId="6" fillId="0" borderId="11" xfId="0" applyNumberFormat="1" applyFont="1" applyFill="1" applyBorder="1"/>
    <xf numFmtId="0" fontId="6" fillId="0" borderId="12" xfId="0" applyNumberFormat="1" applyFont="1" applyFill="1" applyBorder="1"/>
    <xf numFmtId="0" fontId="6" fillId="0" borderId="12" xfId="0" applyNumberFormat="1" applyFont="1" applyFill="1" applyBorder="1" applyAlignment="1">
      <alignment horizontal="center"/>
    </xf>
    <xf numFmtId="0" fontId="6" fillId="0" borderId="10" xfId="0" applyNumberFormat="1" applyFont="1" applyFill="1" applyBorder="1" applyAlignment="1">
      <alignment horizontal="center"/>
    </xf>
    <xf numFmtId="3" fontId="6" fillId="0" borderId="12" xfId="0" applyNumberFormat="1" applyFont="1" applyFill="1" applyBorder="1" applyAlignment="1">
      <alignment horizontal="center"/>
    </xf>
    <xf numFmtId="3" fontId="6" fillId="0" borderId="10" xfId="0" applyNumberFormat="1" applyFont="1" applyFill="1" applyBorder="1" applyAlignment="1">
      <alignment horizontal="center" wrapText="1"/>
    </xf>
    <xf numFmtId="0" fontId="33" fillId="0" borderId="0" xfId="0" applyNumberFormat="1" applyFont="1" applyFill="1" applyAlignment="1" applyProtection="1">
      <alignment horizontal="center"/>
      <protection locked="0"/>
    </xf>
    <xf numFmtId="0" fontId="6" fillId="0" borderId="3" xfId="0" applyNumberFormat="1" applyFont="1" applyFill="1" applyBorder="1"/>
    <xf numFmtId="0" fontId="6" fillId="0" borderId="13" xfId="0" applyNumberFormat="1" applyFont="1" applyFill="1" applyBorder="1"/>
    <xf numFmtId="3" fontId="6" fillId="0" borderId="13" xfId="0" applyNumberFormat="1" applyFont="1" applyFill="1" applyBorder="1"/>
    <xf numFmtId="3" fontId="0" fillId="0" borderId="0" xfId="0" applyNumberFormat="1" applyFill="1" applyAlignment="1">
      <alignment horizontal="center"/>
    </xf>
    <xf numFmtId="173" fontId="6" fillId="0" borderId="3" xfId="0" applyFont="1" applyFill="1" applyBorder="1"/>
    <xf numFmtId="173" fontId="6" fillId="0" borderId="13" xfId="0" applyFont="1" applyFill="1" applyBorder="1"/>
    <xf numFmtId="170" fontId="32" fillId="0" borderId="0" xfId="0" applyNumberFormat="1" applyFont="1" applyFill="1"/>
    <xf numFmtId="49" fontId="0" fillId="0" borderId="0" xfId="0" applyNumberFormat="1" applyFill="1" applyAlignment="1">
      <alignment horizontal="center"/>
    </xf>
    <xf numFmtId="173" fontId="12" fillId="0" borderId="13" xfId="0" applyFont="1" applyFill="1" applyBorder="1"/>
    <xf numFmtId="49" fontId="10" fillId="0" borderId="0" xfId="0" applyNumberFormat="1" applyFont="1" applyFill="1" applyAlignment="1">
      <alignment horizontal="center"/>
    </xf>
    <xf numFmtId="49" fontId="12" fillId="0" borderId="0" xfId="0" applyNumberFormat="1" applyFont="1" applyFill="1" applyAlignment="1">
      <alignment horizontal="center"/>
    </xf>
    <xf numFmtId="173" fontId="11" fillId="0" borderId="0" xfId="0" applyFont="1" applyFill="1"/>
    <xf numFmtId="173" fontId="6" fillId="0" borderId="5" xfId="0" applyFont="1" applyFill="1" applyBorder="1"/>
    <xf numFmtId="173" fontId="12" fillId="0" borderId="9" xfId="0" applyFont="1" applyFill="1" applyBorder="1"/>
    <xf numFmtId="173" fontId="112" fillId="0" borderId="0" xfId="0" applyFont="1" applyFill="1"/>
    <xf numFmtId="173" fontId="90" fillId="0" borderId="6" xfId="0" applyFont="1" applyFill="1" applyBorder="1" applyAlignment="1">
      <alignment horizontal="center" vertical="top"/>
    </xf>
    <xf numFmtId="173" fontId="0" fillId="0" borderId="6" xfId="0" applyFill="1" applyBorder="1" applyAlignment="1">
      <alignment vertical="top"/>
    </xf>
    <xf numFmtId="173" fontId="90" fillId="0" borderId="6" xfId="0" applyFont="1" applyFill="1" applyBorder="1" applyAlignment="1">
      <alignment vertical="top"/>
    </xf>
    <xf numFmtId="173" fontId="0" fillId="0" borderId="0" xfId="0" applyFill="1" applyAlignment="1">
      <alignment vertical="top"/>
    </xf>
    <xf numFmtId="173" fontId="0" fillId="0" borderId="0" xfId="0" applyFill="1" applyAlignment="1">
      <alignment horizontal="center" vertical="center"/>
    </xf>
    <xf numFmtId="173" fontId="0" fillId="0" borderId="8" xfId="0" quotePrefix="1" applyFill="1" applyBorder="1" applyAlignment="1">
      <alignment horizontal="left" wrapText="1"/>
    </xf>
    <xf numFmtId="173" fontId="6" fillId="0" borderId="0" xfId="0" applyFont="1" applyFill="1" applyAlignment="1">
      <alignment horizontal="center" vertical="top"/>
    </xf>
    <xf numFmtId="173" fontId="6" fillId="0" borderId="0" xfId="0" applyFont="1" applyFill="1" applyAlignment="1">
      <alignment vertical="top"/>
    </xf>
    <xf numFmtId="173" fontId="6" fillId="0" borderId="0" xfId="0" quotePrefix="1" applyFont="1" applyFill="1" applyAlignment="1">
      <alignment horizontal="left" vertical="top" wrapText="1"/>
    </xf>
    <xf numFmtId="173" fontId="0" fillId="0" borderId="0" xfId="0" applyFill="1" applyAlignment="1">
      <alignment horizontal="left" wrapText="1"/>
    </xf>
    <xf numFmtId="173" fontId="6" fillId="0" borderId="0" xfId="0" applyFont="1" applyFill="1" applyAlignment="1">
      <alignment horizontal="left" wrapText="1"/>
    </xf>
    <xf numFmtId="173" fontId="0" fillId="0" borderId="0" xfId="0" applyFill="1" applyAlignment="1">
      <alignment horizontal="left" vertical="top" wrapText="1"/>
    </xf>
    <xf numFmtId="173" fontId="6" fillId="0" borderId="0" xfId="0" applyFont="1" applyFill="1" applyAlignment="1">
      <alignment horizontal="left" vertical="top" wrapText="1"/>
    </xf>
    <xf numFmtId="173" fontId="6" fillId="0" borderId="0" xfId="0" applyFont="1" applyFill="1" applyAlignment="1">
      <alignment horizontal="left" vertical="top"/>
    </xf>
    <xf numFmtId="173" fontId="6" fillId="0" borderId="0" xfId="0" applyFont="1" applyFill="1" applyAlignment="1">
      <alignment horizontal="left"/>
    </xf>
    <xf numFmtId="3" fontId="0" fillId="0" borderId="0" xfId="0" applyNumberFormat="1" applyFill="1"/>
    <xf numFmtId="49" fontId="4" fillId="0" borderId="0" xfId="0" applyNumberFormat="1" applyFont="1" applyFill="1" applyAlignment="1">
      <alignment horizontal="left" vertical="top"/>
    </xf>
    <xf numFmtId="173" fontId="4" fillId="0" borderId="0" xfId="0" applyFont="1" applyFill="1"/>
    <xf numFmtId="49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right"/>
    </xf>
    <xf numFmtId="49" fontId="4" fillId="0" borderId="0" xfId="0" applyNumberFormat="1" applyFont="1" applyFill="1" applyAlignment="1">
      <alignment horizontal="left"/>
    </xf>
    <xf numFmtId="10" fontId="8" fillId="0" borderId="0" xfId="0" applyNumberFormat="1" applyFont="1" applyFill="1"/>
    <xf numFmtId="3" fontId="10" fillId="0" borderId="0" xfId="0" applyNumberFormat="1" applyFont="1" applyFill="1"/>
  </cellXfs>
  <cellStyles count="389">
    <cellStyle name="¢ Currency [1]" xfId="18" xr:uid="{00000000-0005-0000-0000-000000000000}"/>
    <cellStyle name="¢ Currency [2]" xfId="19" xr:uid="{00000000-0005-0000-0000-000001000000}"/>
    <cellStyle name="¢ Currency [3]" xfId="20" xr:uid="{00000000-0005-0000-0000-000002000000}"/>
    <cellStyle name="£ Currency [0]" xfId="21" xr:uid="{00000000-0005-0000-0000-000003000000}"/>
    <cellStyle name="£ Currency [1]" xfId="22" xr:uid="{00000000-0005-0000-0000-000004000000}"/>
    <cellStyle name="£ Currency [2]" xfId="23" xr:uid="{00000000-0005-0000-0000-000005000000}"/>
    <cellStyle name="=C:\WINNT35\SYSTEM32\COMMAND.COM" xfId="17" xr:uid="{00000000-0005-0000-0000-000006000000}"/>
    <cellStyle name="Basic" xfId="24" xr:uid="{00000000-0005-0000-0000-000007000000}"/>
    <cellStyle name="black" xfId="25" xr:uid="{00000000-0005-0000-0000-000008000000}"/>
    <cellStyle name="blu" xfId="26" xr:uid="{00000000-0005-0000-0000-000009000000}"/>
    <cellStyle name="bot" xfId="27" xr:uid="{00000000-0005-0000-0000-00000A000000}"/>
    <cellStyle name="Bullet" xfId="28" xr:uid="{00000000-0005-0000-0000-00000B000000}"/>
    <cellStyle name="Bullet [0]" xfId="29" xr:uid="{00000000-0005-0000-0000-00000C000000}"/>
    <cellStyle name="Bullet [2]" xfId="30" xr:uid="{00000000-0005-0000-0000-00000D000000}"/>
    <cellStyle name="Bullet [4]" xfId="31" xr:uid="{00000000-0005-0000-0000-00000E000000}"/>
    <cellStyle name="c" xfId="32" xr:uid="{00000000-0005-0000-0000-00000F000000}"/>
    <cellStyle name="c," xfId="33" xr:uid="{00000000-0005-0000-0000-000010000000}"/>
    <cellStyle name="c_HardInc " xfId="34" xr:uid="{00000000-0005-0000-0000-000011000000}"/>
    <cellStyle name="c_HardInc _ITC Great Plains Formula 1-12-09a" xfId="35" xr:uid="{00000000-0005-0000-0000-000012000000}"/>
    <cellStyle name="C00A" xfId="36" xr:uid="{00000000-0005-0000-0000-000013000000}"/>
    <cellStyle name="C00B" xfId="37" xr:uid="{00000000-0005-0000-0000-000014000000}"/>
    <cellStyle name="C00L" xfId="38" xr:uid="{00000000-0005-0000-0000-000015000000}"/>
    <cellStyle name="C01A" xfId="39" xr:uid="{00000000-0005-0000-0000-000016000000}"/>
    <cellStyle name="C01B" xfId="40" xr:uid="{00000000-0005-0000-0000-000017000000}"/>
    <cellStyle name="C01H" xfId="41" xr:uid="{00000000-0005-0000-0000-000018000000}"/>
    <cellStyle name="C01L" xfId="42" xr:uid="{00000000-0005-0000-0000-000019000000}"/>
    <cellStyle name="C02A" xfId="43" xr:uid="{00000000-0005-0000-0000-00001A000000}"/>
    <cellStyle name="C02B" xfId="44" xr:uid="{00000000-0005-0000-0000-00001B000000}"/>
    <cellStyle name="C02H" xfId="45" xr:uid="{00000000-0005-0000-0000-00001C000000}"/>
    <cellStyle name="C02L" xfId="46" xr:uid="{00000000-0005-0000-0000-00001D000000}"/>
    <cellStyle name="C03A" xfId="47" xr:uid="{00000000-0005-0000-0000-00001E000000}"/>
    <cellStyle name="C03B" xfId="48" xr:uid="{00000000-0005-0000-0000-00001F000000}"/>
    <cellStyle name="C03H" xfId="49" xr:uid="{00000000-0005-0000-0000-000020000000}"/>
    <cellStyle name="C03L" xfId="50" xr:uid="{00000000-0005-0000-0000-000021000000}"/>
    <cellStyle name="C04A" xfId="51" xr:uid="{00000000-0005-0000-0000-000022000000}"/>
    <cellStyle name="C04B" xfId="52" xr:uid="{00000000-0005-0000-0000-000023000000}"/>
    <cellStyle name="C04H" xfId="53" xr:uid="{00000000-0005-0000-0000-000024000000}"/>
    <cellStyle name="C04L" xfId="54" xr:uid="{00000000-0005-0000-0000-000025000000}"/>
    <cellStyle name="C05A" xfId="55" xr:uid="{00000000-0005-0000-0000-000026000000}"/>
    <cellStyle name="C05B" xfId="56" xr:uid="{00000000-0005-0000-0000-000027000000}"/>
    <cellStyle name="C05H" xfId="57" xr:uid="{00000000-0005-0000-0000-000028000000}"/>
    <cellStyle name="C05L" xfId="58" xr:uid="{00000000-0005-0000-0000-000029000000}"/>
    <cellStyle name="C06A" xfId="59" xr:uid="{00000000-0005-0000-0000-00002A000000}"/>
    <cellStyle name="C06B" xfId="60" xr:uid="{00000000-0005-0000-0000-00002B000000}"/>
    <cellStyle name="C06H" xfId="61" xr:uid="{00000000-0005-0000-0000-00002C000000}"/>
    <cellStyle name="C06L" xfId="62" xr:uid="{00000000-0005-0000-0000-00002D000000}"/>
    <cellStyle name="C07A" xfId="63" xr:uid="{00000000-0005-0000-0000-00002E000000}"/>
    <cellStyle name="C07B" xfId="64" xr:uid="{00000000-0005-0000-0000-00002F000000}"/>
    <cellStyle name="C07H" xfId="65" xr:uid="{00000000-0005-0000-0000-000030000000}"/>
    <cellStyle name="C07L" xfId="66" xr:uid="{00000000-0005-0000-0000-000031000000}"/>
    <cellStyle name="c1" xfId="67" xr:uid="{00000000-0005-0000-0000-000032000000}"/>
    <cellStyle name="c1," xfId="68" xr:uid="{00000000-0005-0000-0000-000033000000}"/>
    <cellStyle name="c2" xfId="69" xr:uid="{00000000-0005-0000-0000-000034000000}"/>
    <cellStyle name="c2," xfId="70" xr:uid="{00000000-0005-0000-0000-000035000000}"/>
    <cellStyle name="c3" xfId="71" xr:uid="{00000000-0005-0000-0000-000036000000}"/>
    <cellStyle name="cas" xfId="72" xr:uid="{00000000-0005-0000-0000-000037000000}"/>
    <cellStyle name="Centered Heading" xfId="73" xr:uid="{00000000-0005-0000-0000-000038000000}"/>
    <cellStyle name="Comma" xfId="1" builtinId="3"/>
    <cellStyle name="Comma  - Style1" xfId="74" xr:uid="{00000000-0005-0000-0000-00003A000000}"/>
    <cellStyle name="Comma  - Style2" xfId="75" xr:uid="{00000000-0005-0000-0000-00003B000000}"/>
    <cellStyle name="Comma  - Style3" xfId="76" xr:uid="{00000000-0005-0000-0000-00003C000000}"/>
    <cellStyle name="Comma  - Style4" xfId="77" xr:uid="{00000000-0005-0000-0000-00003D000000}"/>
    <cellStyle name="Comma  - Style5" xfId="78" xr:uid="{00000000-0005-0000-0000-00003E000000}"/>
    <cellStyle name="Comma  - Style6" xfId="79" xr:uid="{00000000-0005-0000-0000-00003F000000}"/>
    <cellStyle name="Comma  - Style7" xfId="80" xr:uid="{00000000-0005-0000-0000-000040000000}"/>
    <cellStyle name="Comma  - Style8" xfId="81" xr:uid="{00000000-0005-0000-0000-000041000000}"/>
    <cellStyle name="Comma [1]" xfId="82" xr:uid="{00000000-0005-0000-0000-000042000000}"/>
    <cellStyle name="Comma [2]" xfId="83" xr:uid="{00000000-0005-0000-0000-000043000000}"/>
    <cellStyle name="Comma [3]" xfId="84" xr:uid="{00000000-0005-0000-0000-000044000000}"/>
    <cellStyle name="Comma 0.0" xfId="85" xr:uid="{00000000-0005-0000-0000-000045000000}"/>
    <cellStyle name="Comma 0.00" xfId="86" xr:uid="{00000000-0005-0000-0000-000046000000}"/>
    <cellStyle name="Comma 0.000" xfId="87" xr:uid="{00000000-0005-0000-0000-000047000000}"/>
    <cellStyle name="Comma 0.0000" xfId="88" xr:uid="{00000000-0005-0000-0000-000048000000}"/>
    <cellStyle name="Comma 10" xfId="345" xr:uid="{00000000-0005-0000-0000-000049000000}"/>
    <cellStyle name="Comma 11" xfId="349" xr:uid="{00000000-0005-0000-0000-00004A000000}"/>
    <cellStyle name="Comma 12" xfId="347" xr:uid="{00000000-0005-0000-0000-00004B000000}"/>
    <cellStyle name="Comma 13" xfId="351" xr:uid="{00000000-0005-0000-0000-00004C000000}"/>
    <cellStyle name="Comma 14" xfId="348" xr:uid="{00000000-0005-0000-0000-00004D000000}"/>
    <cellStyle name="Comma 15" xfId="356" xr:uid="{00000000-0005-0000-0000-00004E000000}"/>
    <cellStyle name="Comma 16" xfId="362" xr:uid="{00000000-0005-0000-0000-00004F000000}"/>
    <cellStyle name="Comma 17" xfId="365" xr:uid="{00000000-0005-0000-0000-000050000000}"/>
    <cellStyle name="Comma 18" xfId="368" xr:uid="{00000000-0005-0000-0000-000051000000}"/>
    <cellStyle name="Comma 19" xfId="370" xr:uid="{00000000-0005-0000-0000-000052000000}"/>
    <cellStyle name="Comma 2" xfId="2" xr:uid="{00000000-0005-0000-0000-000053000000}"/>
    <cellStyle name="Comma 2 2" xfId="89" xr:uid="{00000000-0005-0000-0000-000054000000}"/>
    <cellStyle name="Comma 20" xfId="374" xr:uid="{00000000-0005-0000-0000-000055000000}"/>
    <cellStyle name="Comma 21" xfId="377" xr:uid="{00000000-0005-0000-0000-000056000000}"/>
    <cellStyle name="Comma 22" xfId="379" xr:uid="{00000000-0005-0000-0000-000057000000}"/>
    <cellStyle name="Comma 23" xfId="380" xr:uid="{00000000-0005-0000-0000-000058000000}"/>
    <cellStyle name="Comma 24" xfId="382" xr:uid="{00000000-0005-0000-0000-000059000000}"/>
    <cellStyle name="Comma 25" xfId="383" xr:uid="{00000000-0005-0000-0000-00005A000000}"/>
    <cellStyle name="Comma 26" xfId="385" xr:uid="{00000000-0005-0000-0000-00005B000000}"/>
    <cellStyle name="Comma 27" xfId="387" xr:uid="{00000000-0005-0000-0000-00005C000000}"/>
    <cellStyle name="Comma 3" xfId="13" xr:uid="{00000000-0005-0000-0000-00005D000000}"/>
    <cellStyle name="Comma 3 2" xfId="90" xr:uid="{00000000-0005-0000-0000-00005E000000}"/>
    <cellStyle name="Comma 4" xfId="14" xr:uid="{00000000-0005-0000-0000-00005F000000}"/>
    <cellStyle name="Comma 4 2" xfId="91" xr:uid="{00000000-0005-0000-0000-000060000000}"/>
    <cellStyle name="Comma 4 3" xfId="333" xr:uid="{00000000-0005-0000-0000-000061000000}"/>
    <cellStyle name="Comma 5" xfId="92" xr:uid="{00000000-0005-0000-0000-000062000000}"/>
    <cellStyle name="Comma 6" xfId="328" xr:uid="{00000000-0005-0000-0000-000063000000}"/>
    <cellStyle name="Comma 7" xfId="332" xr:uid="{00000000-0005-0000-0000-000064000000}"/>
    <cellStyle name="Comma 8" xfId="336" xr:uid="{00000000-0005-0000-0000-000065000000}"/>
    <cellStyle name="Comma 9" xfId="342" xr:uid="{00000000-0005-0000-0000-000066000000}"/>
    <cellStyle name="Comma Input" xfId="93" xr:uid="{00000000-0005-0000-0000-000067000000}"/>
    <cellStyle name="Comma0" xfId="94" xr:uid="{00000000-0005-0000-0000-000068000000}"/>
    <cellStyle name="Company Name" xfId="95" xr:uid="{00000000-0005-0000-0000-000069000000}"/>
    <cellStyle name="Currency" xfId="327" builtinId="4"/>
    <cellStyle name="Currency [1]" xfId="96" xr:uid="{00000000-0005-0000-0000-00006B000000}"/>
    <cellStyle name="Currency [2]" xfId="97" xr:uid="{00000000-0005-0000-0000-00006C000000}"/>
    <cellStyle name="Currency [3]" xfId="98" xr:uid="{00000000-0005-0000-0000-00006D000000}"/>
    <cellStyle name="Currency 0.0" xfId="99" xr:uid="{00000000-0005-0000-0000-00006E000000}"/>
    <cellStyle name="Currency 0.00" xfId="100" xr:uid="{00000000-0005-0000-0000-00006F000000}"/>
    <cellStyle name="Currency 0.000" xfId="101" xr:uid="{00000000-0005-0000-0000-000070000000}"/>
    <cellStyle name="Currency 0.0000" xfId="102" xr:uid="{00000000-0005-0000-0000-000071000000}"/>
    <cellStyle name="Currency 10" xfId="352" xr:uid="{00000000-0005-0000-0000-000072000000}"/>
    <cellStyle name="Currency 11" xfId="354" xr:uid="{00000000-0005-0000-0000-000073000000}"/>
    <cellStyle name="Currency 12" xfId="357" xr:uid="{00000000-0005-0000-0000-000074000000}"/>
    <cellStyle name="Currency 13" xfId="360" xr:uid="{00000000-0005-0000-0000-000075000000}"/>
    <cellStyle name="Currency 14" xfId="359" xr:uid="{00000000-0005-0000-0000-000076000000}"/>
    <cellStyle name="Currency 15" xfId="361" xr:uid="{00000000-0005-0000-0000-000077000000}"/>
    <cellStyle name="Currency 16" xfId="364" xr:uid="{00000000-0005-0000-0000-000078000000}"/>
    <cellStyle name="Currency 17" xfId="367" xr:uid="{00000000-0005-0000-0000-000079000000}"/>
    <cellStyle name="Currency 2" xfId="12" xr:uid="{00000000-0005-0000-0000-00007A000000}"/>
    <cellStyle name="Currency 2 2" xfId="103" xr:uid="{00000000-0005-0000-0000-00007B000000}"/>
    <cellStyle name="Currency 3" xfId="104" xr:uid="{00000000-0005-0000-0000-00007C000000}"/>
    <cellStyle name="Currency 3 2" xfId="105" xr:uid="{00000000-0005-0000-0000-00007D000000}"/>
    <cellStyle name="Currency 4" xfId="16" xr:uid="{00000000-0005-0000-0000-00007E000000}"/>
    <cellStyle name="Currency 5" xfId="334" xr:uid="{00000000-0005-0000-0000-00007F000000}"/>
    <cellStyle name="Currency 6" xfId="340" xr:uid="{00000000-0005-0000-0000-000080000000}"/>
    <cellStyle name="Currency 7" xfId="344" xr:uid="{00000000-0005-0000-0000-000081000000}"/>
    <cellStyle name="Currency 8" xfId="341" xr:uid="{00000000-0005-0000-0000-000082000000}"/>
    <cellStyle name="Currency 9" xfId="339" xr:uid="{00000000-0005-0000-0000-000083000000}"/>
    <cellStyle name="Currency Input" xfId="106" xr:uid="{00000000-0005-0000-0000-000084000000}"/>
    <cellStyle name="Currency0" xfId="107" xr:uid="{00000000-0005-0000-0000-000085000000}"/>
    <cellStyle name="d" xfId="108" xr:uid="{00000000-0005-0000-0000-000086000000}"/>
    <cellStyle name="d," xfId="109" xr:uid="{00000000-0005-0000-0000-000087000000}"/>
    <cellStyle name="d1" xfId="110" xr:uid="{00000000-0005-0000-0000-000088000000}"/>
    <cellStyle name="d1," xfId="111" xr:uid="{00000000-0005-0000-0000-000089000000}"/>
    <cellStyle name="d2" xfId="112" xr:uid="{00000000-0005-0000-0000-00008A000000}"/>
    <cellStyle name="d2," xfId="113" xr:uid="{00000000-0005-0000-0000-00008B000000}"/>
    <cellStyle name="d3" xfId="114" xr:uid="{00000000-0005-0000-0000-00008C000000}"/>
    <cellStyle name="Dash" xfId="115" xr:uid="{00000000-0005-0000-0000-00008D000000}"/>
    <cellStyle name="Date" xfId="116" xr:uid="{00000000-0005-0000-0000-00008E000000}"/>
    <cellStyle name="Date [Abbreviated]" xfId="117" xr:uid="{00000000-0005-0000-0000-00008F000000}"/>
    <cellStyle name="Date [Long Europe]" xfId="118" xr:uid="{00000000-0005-0000-0000-000090000000}"/>
    <cellStyle name="Date [Long U.S.]" xfId="119" xr:uid="{00000000-0005-0000-0000-000091000000}"/>
    <cellStyle name="Date [Short Europe]" xfId="120" xr:uid="{00000000-0005-0000-0000-000092000000}"/>
    <cellStyle name="Date [Short U.S.]" xfId="121" xr:uid="{00000000-0005-0000-0000-000093000000}"/>
    <cellStyle name="Date_ITCM 2010 Template" xfId="122" xr:uid="{00000000-0005-0000-0000-000094000000}"/>
    <cellStyle name="Define$0" xfId="123" xr:uid="{00000000-0005-0000-0000-000095000000}"/>
    <cellStyle name="Define$1" xfId="124" xr:uid="{00000000-0005-0000-0000-000096000000}"/>
    <cellStyle name="Define$2" xfId="125" xr:uid="{00000000-0005-0000-0000-000097000000}"/>
    <cellStyle name="Define0" xfId="126" xr:uid="{00000000-0005-0000-0000-000098000000}"/>
    <cellStyle name="Define1" xfId="127" xr:uid="{00000000-0005-0000-0000-000099000000}"/>
    <cellStyle name="Define1x" xfId="128" xr:uid="{00000000-0005-0000-0000-00009A000000}"/>
    <cellStyle name="Define2" xfId="129" xr:uid="{00000000-0005-0000-0000-00009B000000}"/>
    <cellStyle name="Define2x" xfId="130" xr:uid="{00000000-0005-0000-0000-00009C000000}"/>
    <cellStyle name="Dollar" xfId="131" xr:uid="{00000000-0005-0000-0000-00009D000000}"/>
    <cellStyle name="e" xfId="132" xr:uid="{00000000-0005-0000-0000-00009E000000}"/>
    <cellStyle name="e1" xfId="133" xr:uid="{00000000-0005-0000-0000-00009F000000}"/>
    <cellStyle name="e2" xfId="134" xr:uid="{00000000-0005-0000-0000-0000A0000000}"/>
    <cellStyle name="Euro" xfId="135" xr:uid="{00000000-0005-0000-0000-0000A1000000}"/>
    <cellStyle name="Fixed" xfId="136" xr:uid="{00000000-0005-0000-0000-0000A2000000}"/>
    <cellStyle name="FOOTER - Style1" xfId="137" xr:uid="{00000000-0005-0000-0000-0000A3000000}"/>
    <cellStyle name="g" xfId="138" xr:uid="{00000000-0005-0000-0000-0000A4000000}"/>
    <cellStyle name="general" xfId="139" xr:uid="{00000000-0005-0000-0000-0000A5000000}"/>
    <cellStyle name="General [C]" xfId="140" xr:uid="{00000000-0005-0000-0000-0000A6000000}"/>
    <cellStyle name="General [R]" xfId="141" xr:uid="{00000000-0005-0000-0000-0000A7000000}"/>
    <cellStyle name="Good" xfId="378" builtinId="26"/>
    <cellStyle name="Green" xfId="142" xr:uid="{00000000-0005-0000-0000-0000A9000000}"/>
    <cellStyle name="grey" xfId="143" xr:uid="{00000000-0005-0000-0000-0000AA000000}"/>
    <cellStyle name="Header1" xfId="144" xr:uid="{00000000-0005-0000-0000-0000AB000000}"/>
    <cellStyle name="Header2" xfId="145" xr:uid="{00000000-0005-0000-0000-0000AC000000}"/>
    <cellStyle name="Heading" xfId="146" xr:uid="{00000000-0005-0000-0000-0000AD000000}"/>
    <cellStyle name="Heading No Underline" xfId="147" xr:uid="{00000000-0005-0000-0000-0000AE000000}"/>
    <cellStyle name="Heading With Underline" xfId="148" xr:uid="{00000000-0005-0000-0000-0000AF000000}"/>
    <cellStyle name="Heading1" xfId="149" xr:uid="{00000000-0005-0000-0000-0000B0000000}"/>
    <cellStyle name="Heading2" xfId="150" xr:uid="{00000000-0005-0000-0000-0000B1000000}"/>
    <cellStyle name="Headline" xfId="151" xr:uid="{00000000-0005-0000-0000-0000B2000000}"/>
    <cellStyle name="Highlight" xfId="152" xr:uid="{00000000-0005-0000-0000-0000B3000000}"/>
    <cellStyle name="Hyperlink" xfId="388" builtinId="8"/>
    <cellStyle name="in" xfId="153" xr:uid="{00000000-0005-0000-0000-0000B5000000}"/>
    <cellStyle name="Indented [0]" xfId="154" xr:uid="{00000000-0005-0000-0000-0000B6000000}"/>
    <cellStyle name="Indented [2]" xfId="155" xr:uid="{00000000-0005-0000-0000-0000B7000000}"/>
    <cellStyle name="Indented [4]" xfId="156" xr:uid="{00000000-0005-0000-0000-0000B8000000}"/>
    <cellStyle name="Indented [6]" xfId="157" xr:uid="{00000000-0005-0000-0000-0000B9000000}"/>
    <cellStyle name="Input [yellow]" xfId="158" xr:uid="{00000000-0005-0000-0000-0000BA000000}"/>
    <cellStyle name="Input$0" xfId="159" xr:uid="{00000000-0005-0000-0000-0000BB000000}"/>
    <cellStyle name="Input$1" xfId="160" xr:uid="{00000000-0005-0000-0000-0000BC000000}"/>
    <cellStyle name="Input$2" xfId="161" xr:uid="{00000000-0005-0000-0000-0000BD000000}"/>
    <cellStyle name="Input0" xfId="162" xr:uid="{00000000-0005-0000-0000-0000BE000000}"/>
    <cellStyle name="Input1" xfId="163" xr:uid="{00000000-0005-0000-0000-0000BF000000}"/>
    <cellStyle name="Input1x" xfId="164" xr:uid="{00000000-0005-0000-0000-0000C0000000}"/>
    <cellStyle name="Input2" xfId="165" xr:uid="{00000000-0005-0000-0000-0000C1000000}"/>
    <cellStyle name="Input2x" xfId="166" xr:uid="{00000000-0005-0000-0000-0000C2000000}"/>
    <cellStyle name="lborder" xfId="167" xr:uid="{00000000-0005-0000-0000-0000C3000000}"/>
    <cellStyle name="LeftSubtitle" xfId="168" xr:uid="{00000000-0005-0000-0000-0000C4000000}"/>
    <cellStyle name="m" xfId="169" xr:uid="{00000000-0005-0000-0000-0000C5000000}"/>
    <cellStyle name="m1" xfId="170" xr:uid="{00000000-0005-0000-0000-0000C6000000}"/>
    <cellStyle name="m2" xfId="171" xr:uid="{00000000-0005-0000-0000-0000C7000000}"/>
    <cellStyle name="m3" xfId="172" xr:uid="{00000000-0005-0000-0000-0000C8000000}"/>
    <cellStyle name="Multiple" xfId="173" xr:uid="{00000000-0005-0000-0000-0000C9000000}"/>
    <cellStyle name="Negative" xfId="174" xr:uid="{00000000-0005-0000-0000-0000CA000000}"/>
    <cellStyle name="no dec" xfId="175" xr:uid="{00000000-0005-0000-0000-0000CB000000}"/>
    <cellStyle name="Normal" xfId="0" builtinId="0"/>
    <cellStyle name="Normal - Style1" xfId="176" xr:uid="{00000000-0005-0000-0000-0000CD000000}"/>
    <cellStyle name="Normal 10" xfId="337" xr:uid="{00000000-0005-0000-0000-0000CE000000}"/>
    <cellStyle name="Normal 11" xfId="343" xr:uid="{00000000-0005-0000-0000-0000CF000000}"/>
    <cellStyle name="Normal 12" xfId="346" xr:uid="{00000000-0005-0000-0000-0000D0000000}"/>
    <cellStyle name="Normal 13" xfId="350" xr:uid="{00000000-0005-0000-0000-0000D1000000}"/>
    <cellStyle name="Normal 14" xfId="338" xr:uid="{00000000-0005-0000-0000-0000D2000000}"/>
    <cellStyle name="Normal 15" xfId="353" xr:uid="{00000000-0005-0000-0000-0000D3000000}"/>
    <cellStyle name="Normal 16" xfId="355" xr:uid="{00000000-0005-0000-0000-0000D4000000}"/>
    <cellStyle name="Normal 17" xfId="358" xr:uid="{00000000-0005-0000-0000-0000D5000000}"/>
    <cellStyle name="Normal 18" xfId="363" xr:uid="{00000000-0005-0000-0000-0000D6000000}"/>
    <cellStyle name="Normal 19" xfId="366" xr:uid="{00000000-0005-0000-0000-0000D7000000}"/>
    <cellStyle name="Normal 2" xfId="3" xr:uid="{00000000-0005-0000-0000-0000D8000000}"/>
    <cellStyle name="Normal 2 2" xfId="335" xr:uid="{00000000-0005-0000-0000-0000D9000000}"/>
    <cellStyle name="Normal 2 3" xfId="375" xr:uid="{00000000-0005-0000-0000-0000DA000000}"/>
    <cellStyle name="Normal 20" xfId="369" xr:uid="{00000000-0005-0000-0000-0000DB000000}"/>
    <cellStyle name="Normal 21" xfId="371" xr:uid="{00000000-0005-0000-0000-0000DC000000}"/>
    <cellStyle name="Normal 22" xfId="373" xr:uid="{00000000-0005-0000-0000-0000DD000000}"/>
    <cellStyle name="Normal 23" xfId="376" xr:uid="{00000000-0005-0000-0000-0000DE000000}"/>
    <cellStyle name="Normal 24" xfId="384" xr:uid="{00000000-0005-0000-0000-0000DF000000}"/>
    <cellStyle name="Normal 25" xfId="386" xr:uid="{00000000-0005-0000-0000-0000E0000000}"/>
    <cellStyle name="Normal 3" xfId="4" xr:uid="{00000000-0005-0000-0000-0000E1000000}"/>
    <cellStyle name="Normal 3 2" xfId="177" xr:uid="{00000000-0005-0000-0000-0000E2000000}"/>
    <cellStyle name="Normal 3_ITC-Great Plains Heintz 6-24-08a" xfId="178" xr:uid="{00000000-0005-0000-0000-0000E3000000}"/>
    <cellStyle name="Normal 4" xfId="179" xr:uid="{00000000-0005-0000-0000-0000E4000000}"/>
    <cellStyle name="Normal 4 2" xfId="180" xr:uid="{00000000-0005-0000-0000-0000E5000000}"/>
    <cellStyle name="Normal 4_ITC-Great Plains Heintz 6-24-08a" xfId="181" xr:uid="{00000000-0005-0000-0000-0000E6000000}"/>
    <cellStyle name="Normal 5" xfId="182" xr:uid="{00000000-0005-0000-0000-0000E7000000}"/>
    <cellStyle name="Normal 6" xfId="15" xr:uid="{00000000-0005-0000-0000-0000E8000000}"/>
    <cellStyle name="Normal 7" xfId="326" xr:uid="{00000000-0005-0000-0000-0000E9000000}"/>
    <cellStyle name="Normal 7 2" xfId="381" xr:uid="{00000000-0005-0000-0000-0000EA000000}"/>
    <cellStyle name="Normal 8" xfId="329" xr:uid="{00000000-0005-0000-0000-0000EB000000}"/>
    <cellStyle name="Normal 9" xfId="331" xr:uid="{00000000-0005-0000-0000-0000EC000000}"/>
    <cellStyle name="Normal_2002 A to BK TLF Recon WVPA" xfId="5" xr:uid="{00000000-0005-0000-0000-0000ED000000}"/>
    <cellStyle name="Normal_Advertising expense query - 3.29.07" xfId="6" xr:uid="{00000000-0005-0000-0000-0000EE000000}"/>
    <cellStyle name="Normal_Cinergy Revenue Credits by Operating Company" xfId="7" xr:uid="{00000000-0005-0000-0000-0000EF000000}"/>
    <cellStyle name="Normal_FERC Functional M&amp;S All Cos" xfId="8" xr:uid="{00000000-0005-0000-0000-0000F0000000}"/>
    <cellStyle name="Normal_FN1 Ratebase Draft SPP template (6-11-04) v2" xfId="325" xr:uid="{00000000-0005-0000-0000-0000F1000000}"/>
    <cellStyle name="Normal_MISO DEO Cap Structure 2007 " xfId="9" xr:uid="{00000000-0005-0000-0000-0000F2000000}"/>
    <cellStyle name="Normal_Schedule B-2" xfId="330" xr:uid="{00000000-0005-0000-0000-0000F3000000}"/>
    <cellStyle name="Normal_Support 2003 PSI Peak Demand excluding Joint Owners" xfId="10" xr:uid="{00000000-0005-0000-0000-0000F4000000}"/>
    <cellStyle name="Output1_Back" xfId="183" xr:uid="{00000000-0005-0000-0000-0000F5000000}"/>
    <cellStyle name="p" xfId="184" xr:uid="{00000000-0005-0000-0000-0000F6000000}"/>
    <cellStyle name="p_2010 Attachment O  GG_082709" xfId="185" xr:uid="{00000000-0005-0000-0000-0000F7000000}"/>
    <cellStyle name="p_2010 Attachment O Template Supporting Work Papers_ITC Midwest" xfId="186" xr:uid="{00000000-0005-0000-0000-0000F8000000}"/>
    <cellStyle name="p_2010 Attachment O Template Supporting Work Papers_ITCTransmission" xfId="187" xr:uid="{00000000-0005-0000-0000-0000F9000000}"/>
    <cellStyle name="p_2010 Attachment O Template Supporting Work Papers_METC" xfId="188" xr:uid="{00000000-0005-0000-0000-0000FA000000}"/>
    <cellStyle name="p_2Mod11" xfId="189" xr:uid="{00000000-0005-0000-0000-0000FB000000}"/>
    <cellStyle name="p_aavidmod11.xls Chart 1" xfId="190" xr:uid="{00000000-0005-0000-0000-0000FC000000}"/>
    <cellStyle name="p_aavidmod11.xls Chart 2" xfId="191" xr:uid="{00000000-0005-0000-0000-0000FD000000}"/>
    <cellStyle name="p_Attachment O &amp; GG" xfId="192" xr:uid="{00000000-0005-0000-0000-0000FE000000}"/>
    <cellStyle name="p_charts for capm" xfId="193" xr:uid="{00000000-0005-0000-0000-0000FF000000}"/>
    <cellStyle name="p_DCF" xfId="194" xr:uid="{00000000-0005-0000-0000-000000010000}"/>
    <cellStyle name="p_DCF_2Mod11" xfId="195" xr:uid="{00000000-0005-0000-0000-000001010000}"/>
    <cellStyle name="p_DCF_aavidmod11.xls Chart 1" xfId="196" xr:uid="{00000000-0005-0000-0000-000002010000}"/>
    <cellStyle name="p_DCF_aavidmod11.xls Chart 2" xfId="197" xr:uid="{00000000-0005-0000-0000-000003010000}"/>
    <cellStyle name="p_DCF_charts for capm" xfId="198" xr:uid="{00000000-0005-0000-0000-000004010000}"/>
    <cellStyle name="p_DCF_DCF5" xfId="199" xr:uid="{00000000-0005-0000-0000-000005010000}"/>
    <cellStyle name="p_DCF_Template2" xfId="200" xr:uid="{00000000-0005-0000-0000-000006010000}"/>
    <cellStyle name="p_DCF_Template2_1" xfId="201" xr:uid="{00000000-0005-0000-0000-000007010000}"/>
    <cellStyle name="p_DCF_VERA" xfId="202" xr:uid="{00000000-0005-0000-0000-000008010000}"/>
    <cellStyle name="p_DCF_VERA_1" xfId="203" xr:uid="{00000000-0005-0000-0000-000009010000}"/>
    <cellStyle name="p_DCF_VERA_1_Template2" xfId="204" xr:uid="{00000000-0005-0000-0000-00000A010000}"/>
    <cellStyle name="p_DCF_VERA_aavidmod11.xls Chart 2" xfId="205" xr:uid="{00000000-0005-0000-0000-00000B010000}"/>
    <cellStyle name="p_DCF_VERA_Model02" xfId="206" xr:uid="{00000000-0005-0000-0000-00000C010000}"/>
    <cellStyle name="p_DCF_VERA_Template2" xfId="207" xr:uid="{00000000-0005-0000-0000-00000D010000}"/>
    <cellStyle name="p_DCF_VERA_VERA" xfId="208" xr:uid="{00000000-0005-0000-0000-00000E010000}"/>
    <cellStyle name="p_DCF_VERA_VERA_1" xfId="209" xr:uid="{00000000-0005-0000-0000-00000F010000}"/>
    <cellStyle name="p_DCF_VERA_VERA_2" xfId="210" xr:uid="{00000000-0005-0000-0000-000010010000}"/>
    <cellStyle name="p_DCF_VERA_VERA_Template2" xfId="211" xr:uid="{00000000-0005-0000-0000-000011010000}"/>
    <cellStyle name="p_DCF5" xfId="212" xr:uid="{00000000-0005-0000-0000-000012010000}"/>
    <cellStyle name="p_ITC Great Plains Formula 1-12-09a" xfId="213" xr:uid="{00000000-0005-0000-0000-000013010000}"/>
    <cellStyle name="p_ITCM 2010 Template" xfId="214" xr:uid="{00000000-0005-0000-0000-000014010000}"/>
    <cellStyle name="p_ITCMW 2009 Rate" xfId="215" xr:uid="{00000000-0005-0000-0000-000015010000}"/>
    <cellStyle name="p_ITCMW 2010 Rate_083109" xfId="216" xr:uid="{00000000-0005-0000-0000-000016010000}"/>
    <cellStyle name="p_ITCOP 2010 Rate_083109" xfId="217" xr:uid="{00000000-0005-0000-0000-000017010000}"/>
    <cellStyle name="p_ITCT 2009 Rate" xfId="218" xr:uid="{00000000-0005-0000-0000-000018010000}"/>
    <cellStyle name="p_ITCT New 2010 Attachment O &amp; GG_111209NL" xfId="219" xr:uid="{00000000-0005-0000-0000-000019010000}"/>
    <cellStyle name="p_METC 2010 Rate_083109" xfId="220" xr:uid="{00000000-0005-0000-0000-00001A010000}"/>
    <cellStyle name="p_Template2" xfId="221" xr:uid="{00000000-0005-0000-0000-00001B010000}"/>
    <cellStyle name="p_Template2_1" xfId="222" xr:uid="{00000000-0005-0000-0000-00001C010000}"/>
    <cellStyle name="p_VERA" xfId="223" xr:uid="{00000000-0005-0000-0000-00001D010000}"/>
    <cellStyle name="p_VERA_1" xfId="224" xr:uid="{00000000-0005-0000-0000-00001E010000}"/>
    <cellStyle name="p_VERA_1_Template2" xfId="225" xr:uid="{00000000-0005-0000-0000-00001F010000}"/>
    <cellStyle name="p_VERA_aavidmod11.xls Chart 2" xfId="226" xr:uid="{00000000-0005-0000-0000-000020010000}"/>
    <cellStyle name="p_VERA_Model02" xfId="227" xr:uid="{00000000-0005-0000-0000-000021010000}"/>
    <cellStyle name="p_VERA_Template2" xfId="228" xr:uid="{00000000-0005-0000-0000-000022010000}"/>
    <cellStyle name="p_VERA_VERA" xfId="229" xr:uid="{00000000-0005-0000-0000-000023010000}"/>
    <cellStyle name="p_VERA_VERA_1" xfId="230" xr:uid="{00000000-0005-0000-0000-000024010000}"/>
    <cellStyle name="p_VERA_VERA_2" xfId="231" xr:uid="{00000000-0005-0000-0000-000025010000}"/>
    <cellStyle name="p_VERA_VERA_Template2" xfId="232" xr:uid="{00000000-0005-0000-0000-000026010000}"/>
    <cellStyle name="p1" xfId="233" xr:uid="{00000000-0005-0000-0000-000027010000}"/>
    <cellStyle name="p2" xfId="234" xr:uid="{00000000-0005-0000-0000-000028010000}"/>
    <cellStyle name="p3" xfId="235" xr:uid="{00000000-0005-0000-0000-000029010000}"/>
    <cellStyle name="Percent" xfId="372" builtinId="5"/>
    <cellStyle name="Percent %" xfId="236" xr:uid="{00000000-0005-0000-0000-00002B010000}"/>
    <cellStyle name="Percent % Long Underline" xfId="237" xr:uid="{00000000-0005-0000-0000-00002C010000}"/>
    <cellStyle name="Percent (0)" xfId="238" xr:uid="{00000000-0005-0000-0000-00002D010000}"/>
    <cellStyle name="Percent [0]" xfId="239" xr:uid="{00000000-0005-0000-0000-00002E010000}"/>
    <cellStyle name="Percent [1]" xfId="240" xr:uid="{00000000-0005-0000-0000-00002F010000}"/>
    <cellStyle name="Percent [2]" xfId="241" xr:uid="{00000000-0005-0000-0000-000030010000}"/>
    <cellStyle name="Percent [3]" xfId="242" xr:uid="{00000000-0005-0000-0000-000031010000}"/>
    <cellStyle name="Percent 0.0%" xfId="243" xr:uid="{00000000-0005-0000-0000-000032010000}"/>
    <cellStyle name="Percent 0.0% Long Underline" xfId="244" xr:uid="{00000000-0005-0000-0000-000033010000}"/>
    <cellStyle name="Percent 0.00%" xfId="245" xr:uid="{00000000-0005-0000-0000-000034010000}"/>
    <cellStyle name="Percent 0.00% Long Underline" xfId="246" xr:uid="{00000000-0005-0000-0000-000035010000}"/>
    <cellStyle name="Percent 0.000%" xfId="247" xr:uid="{00000000-0005-0000-0000-000036010000}"/>
    <cellStyle name="Percent 0.000% Long Underline" xfId="248" xr:uid="{00000000-0005-0000-0000-000037010000}"/>
    <cellStyle name="Percent 0.0000%" xfId="249" xr:uid="{00000000-0005-0000-0000-000038010000}"/>
    <cellStyle name="Percent 0.0000% Long Underline" xfId="250" xr:uid="{00000000-0005-0000-0000-000039010000}"/>
    <cellStyle name="Percent 2" xfId="11" xr:uid="{00000000-0005-0000-0000-00003A010000}"/>
    <cellStyle name="Percent 2 2" xfId="251" xr:uid="{00000000-0005-0000-0000-00003B010000}"/>
    <cellStyle name="Percent 3" xfId="252" xr:uid="{00000000-0005-0000-0000-00003C010000}"/>
    <cellStyle name="Percent 3 2" xfId="253" xr:uid="{00000000-0005-0000-0000-00003D010000}"/>
    <cellStyle name="Percent Input" xfId="254" xr:uid="{00000000-0005-0000-0000-00003E010000}"/>
    <cellStyle name="Percent0" xfId="255" xr:uid="{00000000-0005-0000-0000-00003F010000}"/>
    <cellStyle name="Percent1" xfId="256" xr:uid="{00000000-0005-0000-0000-000040010000}"/>
    <cellStyle name="Percent2" xfId="257" xr:uid="{00000000-0005-0000-0000-000041010000}"/>
    <cellStyle name="PSChar" xfId="258" xr:uid="{00000000-0005-0000-0000-000042010000}"/>
    <cellStyle name="PSDate" xfId="259" xr:uid="{00000000-0005-0000-0000-000043010000}"/>
    <cellStyle name="PSDec" xfId="260" xr:uid="{00000000-0005-0000-0000-000044010000}"/>
    <cellStyle name="PSdesc" xfId="261" xr:uid="{00000000-0005-0000-0000-000045010000}"/>
    <cellStyle name="PSHeading" xfId="262" xr:uid="{00000000-0005-0000-0000-000046010000}"/>
    <cellStyle name="PSInt" xfId="263" xr:uid="{00000000-0005-0000-0000-000047010000}"/>
    <cellStyle name="PSSpacer" xfId="264" xr:uid="{00000000-0005-0000-0000-000048010000}"/>
    <cellStyle name="PStest" xfId="265" xr:uid="{00000000-0005-0000-0000-000049010000}"/>
    <cellStyle name="R00A" xfId="266" xr:uid="{00000000-0005-0000-0000-00004A010000}"/>
    <cellStyle name="R00B" xfId="267" xr:uid="{00000000-0005-0000-0000-00004B010000}"/>
    <cellStyle name="R00L" xfId="268" xr:uid="{00000000-0005-0000-0000-00004C010000}"/>
    <cellStyle name="R01A" xfId="269" xr:uid="{00000000-0005-0000-0000-00004D010000}"/>
    <cellStyle name="R01B" xfId="270" xr:uid="{00000000-0005-0000-0000-00004E010000}"/>
    <cellStyle name="R01H" xfId="271" xr:uid="{00000000-0005-0000-0000-00004F010000}"/>
    <cellStyle name="R01L" xfId="272" xr:uid="{00000000-0005-0000-0000-000050010000}"/>
    <cellStyle name="R02A" xfId="273" xr:uid="{00000000-0005-0000-0000-000051010000}"/>
    <cellStyle name="R02B" xfId="274" xr:uid="{00000000-0005-0000-0000-000052010000}"/>
    <cellStyle name="R02H" xfId="275" xr:uid="{00000000-0005-0000-0000-000053010000}"/>
    <cellStyle name="R02L" xfId="276" xr:uid="{00000000-0005-0000-0000-000054010000}"/>
    <cellStyle name="R03A" xfId="277" xr:uid="{00000000-0005-0000-0000-000055010000}"/>
    <cellStyle name="R03B" xfId="278" xr:uid="{00000000-0005-0000-0000-000056010000}"/>
    <cellStyle name="R03H" xfId="279" xr:uid="{00000000-0005-0000-0000-000057010000}"/>
    <cellStyle name="R03L" xfId="280" xr:uid="{00000000-0005-0000-0000-000058010000}"/>
    <cellStyle name="R04A" xfId="281" xr:uid="{00000000-0005-0000-0000-000059010000}"/>
    <cellStyle name="R04B" xfId="282" xr:uid="{00000000-0005-0000-0000-00005A010000}"/>
    <cellStyle name="R04H" xfId="283" xr:uid="{00000000-0005-0000-0000-00005B010000}"/>
    <cellStyle name="R04L" xfId="284" xr:uid="{00000000-0005-0000-0000-00005C010000}"/>
    <cellStyle name="R05A" xfId="285" xr:uid="{00000000-0005-0000-0000-00005D010000}"/>
    <cellStyle name="R05B" xfId="286" xr:uid="{00000000-0005-0000-0000-00005E010000}"/>
    <cellStyle name="R05H" xfId="287" xr:uid="{00000000-0005-0000-0000-00005F010000}"/>
    <cellStyle name="R05L" xfId="288" xr:uid="{00000000-0005-0000-0000-000060010000}"/>
    <cellStyle name="R06A" xfId="289" xr:uid="{00000000-0005-0000-0000-000061010000}"/>
    <cellStyle name="R06B" xfId="290" xr:uid="{00000000-0005-0000-0000-000062010000}"/>
    <cellStyle name="R06H" xfId="291" xr:uid="{00000000-0005-0000-0000-000063010000}"/>
    <cellStyle name="R06L" xfId="292" xr:uid="{00000000-0005-0000-0000-000064010000}"/>
    <cellStyle name="R07A" xfId="293" xr:uid="{00000000-0005-0000-0000-000065010000}"/>
    <cellStyle name="R07B" xfId="294" xr:uid="{00000000-0005-0000-0000-000066010000}"/>
    <cellStyle name="R07H" xfId="295" xr:uid="{00000000-0005-0000-0000-000067010000}"/>
    <cellStyle name="R07L" xfId="296" xr:uid="{00000000-0005-0000-0000-000068010000}"/>
    <cellStyle name="rborder" xfId="297" xr:uid="{00000000-0005-0000-0000-000069010000}"/>
    <cellStyle name="red" xfId="298" xr:uid="{00000000-0005-0000-0000-00006A010000}"/>
    <cellStyle name="s_HardInc " xfId="299" xr:uid="{00000000-0005-0000-0000-00006B010000}"/>
    <cellStyle name="s_HardInc _ITC Great Plains Formula 1-12-09a" xfId="300" xr:uid="{00000000-0005-0000-0000-00006C010000}"/>
    <cellStyle name="scenario" xfId="301" xr:uid="{00000000-0005-0000-0000-00006D010000}"/>
    <cellStyle name="Sheetmult" xfId="302" xr:uid="{00000000-0005-0000-0000-00006E010000}"/>
    <cellStyle name="Shtmultx" xfId="303" xr:uid="{00000000-0005-0000-0000-00006F010000}"/>
    <cellStyle name="Style 1" xfId="304" xr:uid="{00000000-0005-0000-0000-000070010000}"/>
    <cellStyle name="STYLE1" xfId="305" xr:uid="{00000000-0005-0000-0000-000071010000}"/>
    <cellStyle name="STYLE2" xfId="306" xr:uid="{00000000-0005-0000-0000-000072010000}"/>
    <cellStyle name="TableHeading" xfId="307" xr:uid="{00000000-0005-0000-0000-000073010000}"/>
    <cellStyle name="tb" xfId="308" xr:uid="{00000000-0005-0000-0000-000074010000}"/>
    <cellStyle name="Tickmark" xfId="309" xr:uid="{00000000-0005-0000-0000-000075010000}"/>
    <cellStyle name="Title1" xfId="310" xr:uid="{00000000-0005-0000-0000-000076010000}"/>
    <cellStyle name="top" xfId="311" xr:uid="{00000000-0005-0000-0000-000077010000}"/>
    <cellStyle name="w" xfId="312" xr:uid="{00000000-0005-0000-0000-000078010000}"/>
    <cellStyle name="XComma" xfId="313" xr:uid="{00000000-0005-0000-0000-000079010000}"/>
    <cellStyle name="XComma 0.0" xfId="314" xr:uid="{00000000-0005-0000-0000-00007A010000}"/>
    <cellStyle name="XComma 0.00" xfId="315" xr:uid="{00000000-0005-0000-0000-00007B010000}"/>
    <cellStyle name="XComma 0.000" xfId="316" xr:uid="{00000000-0005-0000-0000-00007C010000}"/>
    <cellStyle name="XCurrency" xfId="317" xr:uid="{00000000-0005-0000-0000-00007D010000}"/>
    <cellStyle name="XCurrency 0.0" xfId="318" xr:uid="{00000000-0005-0000-0000-00007E010000}"/>
    <cellStyle name="XCurrency 0.00" xfId="319" xr:uid="{00000000-0005-0000-0000-00007F010000}"/>
    <cellStyle name="XCurrency 0.000" xfId="320" xr:uid="{00000000-0005-0000-0000-000080010000}"/>
    <cellStyle name="yra" xfId="321" xr:uid="{00000000-0005-0000-0000-000081010000}"/>
    <cellStyle name="yrActual" xfId="322" xr:uid="{00000000-0005-0000-0000-000082010000}"/>
    <cellStyle name="yre" xfId="323" xr:uid="{00000000-0005-0000-0000-000083010000}"/>
    <cellStyle name="yrExpect" xfId="324" xr:uid="{00000000-0005-0000-0000-000084010000}"/>
  </cellStyles>
  <dxfs count="0"/>
  <tableStyles count="0" defaultTableStyle="TableStyleMedium9" defaultPivotStyle="PivotStyleLight16"/>
  <colors>
    <mruColors>
      <color rgb="FFFFFF99"/>
      <color rgb="FF00FF00"/>
      <color rgb="FF0000FF"/>
      <color rgb="FFCCFFFF"/>
      <color rgb="FFFF3300"/>
      <color rgb="FF66FFFF"/>
      <color rgb="FF990000"/>
      <color rgb="FFFF3399"/>
      <color rgb="FF66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Z310"/>
  <sheetViews>
    <sheetView showGridLines="0" tabSelected="1" zoomScale="70" zoomScaleNormal="70" zoomScaleSheetLayoutView="70" workbookViewId="0">
      <selection activeCell="D28" sqref="D28"/>
    </sheetView>
  </sheetViews>
  <sheetFormatPr defaultColWidth="8.77734375" defaultRowHeight="15"/>
  <cols>
    <col min="1" max="1" width="6.21875" style="76" bestFit="1" customWidth="1"/>
    <col min="2" max="2" width="1.44140625" style="76" customWidth="1"/>
    <col min="3" max="3" width="62.77734375" style="76" customWidth="1"/>
    <col min="4" max="4" width="31" style="76" customWidth="1"/>
    <col min="5" max="5" width="16.109375" style="76" customWidth="1"/>
    <col min="6" max="6" width="12" style="111" customWidth="1"/>
    <col min="7" max="7" width="5.6640625" style="76" customWidth="1"/>
    <col min="8" max="8" width="13.33203125" style="76" customWidth="1"/>
    <col min="9" max="9" width="5.77734375" style="76" customWidth="1"/>
    <col min="10" max="10" width="16.33203125" style="76" customWidth="1"/>
    <col min="11" max="11" width="3.44140625" style="76" customWidth="1"/>
    <col min="12" max="12" width="11.6640625" style="76" customWidth="1"/>
    <col min="13" max="13" width="1.88671875" style="76" customWidth="1"/>
    <col min="14" max="14" width="20.77734375" style="76" customWidth="1"/>
    <col min="15" max="15" width="9.77734375" style="76" customWidth="1"/>
    <col min="16" max="16" width="13.44140625" style="76" bestFit="1" customWidth="1"/>
    <col min="17" max="17" width="64.88671875" style="76" bestFit="1" customWidth="1"/>
    <col min="18" max="18" width="8.77734375" style="76"/>
    <col min="19" max="19" width="70.33203125" style="76" bestFit="1" customWidth="1"/>
    <col min="20" max="20" width="14.44140625" style="76" bestFit="1" customWidth="1"/>
    <col min="21" max="16384" width="8.77734375" style="76"/>
  </cols>
  <sheetData>
    <row r="1" spans="1:13" ht="18">
      <c r="A1" s="75"/>
      <c r="C1" s="77"/>
      <c r="D1" s="77"/>
      <c r="E1" s="78"/>
      <c r="F1" s="79"/>
      <c r="G1" s="77"/>
      <c r="H1" s="77"/>
      <c r="I1" s="77"/>
      <c r="J1" s="80" t="s">
        <v>543</v>
      </c>
      <c r="K1" s="81"/>
      <c r="M1" s="81"/>
    </row>
    <row r="2" spans="1:13">
      <c r="C2" s="77"/>
      <c r="D2" s="77"/>
      <c r="E2" s="78"/>
      <c r="F2" s="79"/>
      <c r="G2" s="77"/>
      <c r="H2" s="77"/>
      <c r="I2" s="77"/>
      <c r="J2" s="82" t="s">
        <v>426</v>
      </c>
      <c r="M2" s="82"/>
    </row>
    <row r="3" spans="1:13">
      <c r="C3" s="77"/>
      <c r="D3" s="77"/>
      <c r="E3" s="78"/>
      <c r="F3" s="79"/>
      <c r="G3" s="77"/>
      <c r="H3" s="77"/>
      <c r="I3" s="77"/>
      <c r="K3" s="83"/>
      <c r="M3" s="82"/>
    </row>
    <row r="4" spans="1:13">
      <c r="C4" s="77"/>
      <c r="D4" s="77"/>
      <c r="E4" s="78"/>
      <c r="F4" s="79"/>
      <c r="G4" s="77"/>
      <c r="H4" s="77"/>
      <c r="I4" s="77"/>
      <c r="K4" s="83"/>
      <c r="M4" s="82"/>
    </row>
    <row r="5" spans="1:13">
      <c r="C5" s="77"/>
      <c r="D5" s="77"/>
      <c r="E5" s="78"/>
      <c r="F5" s="79"/>
      <c r="G5" s="77"/>
      <c r="H5" s="77"/>
      <c r="I5" s="77"/>
      <c r="K5" s="83"/>
      <c r="M5" s="82"/>
    </row>
    <row r="6" spans="1:13">
      <c r="C6" s="77"/>
      <c r="D6" s="77"/>
      <c r="E6" s="78"/>
      <c r="F6" s="79"/>
      <c r="G6" s="77"/>
      <c r="H6" s="77"/>
      <c r="I6" s="77"/>
      <c r="J6" s="83"/>
      <c r="K6" s="83"/>
      <c r="M6" s="83"/>
    </row>
    <row r="7" spans="1:13">
      <c r="C7" s="77" t="s">
        <v>4</v>
      </c>
      <c r="D7" s="77"/>
      <c r="E7" s="78"/>
      <c r="F7" s="79"/>
      <c r="G7" s="77"/>
      <c r="H7" s="77"/>
      <c r="I7" s="77"/>
      <c r="J7" s="84" t="s">
        <v>677</v>
      </c>
      <c r="K7" s="83"/>
      <c r="M7" s="83"/>
    </row>
    <row r="8" spans="1:13">
      <c r="A8" s="85" t="s">
        <v>206</v>
      </c>
      <c r="B8" s="86"/>
      <c r="C8" s="86"/>
      <c r="D8" s="85"/>
      <c r="E8" s="86"/>
      <c r="F8" s="79"/>
      <c r="G8" s="85"/>
      <c r="H8" s="85"/>
      <c r="I8" s="85"/>
      <c r="J8" s="86"/>
      <c r="K8" s="83"/>
      <c r="L8" s="86"/>
      <c r="M8" s="83"/>
    </row>
    <row r="9" spans="1:13">
      <c r="A9" s="87" t="s">
        <v>678</v>
      </c>
      <c r="B9" s="86"/>
      <c r="C9" s="85"/>
      <c r="D9" s="88"/>
      <c r="E9" s="86"/>
      <c r="F9" s="89"/>
      <c r="G9" s="88"/>
      <c r="H9" s="88"/>
      <c r="I9" s="85"/>
      <c r="J9" s="85"/>
      <c r="K9" s="83"/>
      <c r="L9" s="90"/>
      <c r="M9" s="83"/>
    </row>
    <row r="10" spans="1:13">
      <c r="A10" s="90"/>
      <c r="B10" s="86"/>
      <c r="C10" s="90"/>
      <c r="D10" s="90"/>
      <c r="E10" s="86"/>
      <c r="F10" s="91"/>
      <c r="G10" s="90"/>
      <c r="H10" s="90"/>
      <c r="I10" s="90"/>
      <c r="J10" s="90"/>
      <c r="K10" s="83"/>
      <c r="L10" s="90"/>
      <c r="M10" s="83"/>
    </row>
    <row r="11" spans="1:13" ht="15.75">
      <c r="A11" s="92" t="s">
        <v>511</v>
      </c>
      <c r="B11" s="86"/>
      <c r="C11" s="90"/>
      <c r="D11" s="90"/>
      <c r="E11" s="86"/>
      <c r="F11" s="91"/>
      <c r="G11" s="90"/>
      <c r="H11" s="90"/>
      <c r="I11" s="90"/>
      <c r="J11" s="90"/>
      <c r="K11" s="83"/>
      <c r="L11" s="90"/>
      <c r="M11" s="83"/>
    </row>
    <row r="12" spans="1:13">
      <c r="A12" s="79"/>
      <c r="C12" s="83"/>
      <c r="D12" s="83"/>
      <c r="E12" s="93"/>
      <c r="F12" s="91"/>
      <c r="G12" s="83"/>
      <c r="H12" s="83"/>
      <c r="I12" s="83"/>
      <c r="J12" s="83"/>
      <c r="K12" s="83"/>
      <c r="L12" s="83"/>
      <c r="M12" s="83"/>
    </row>
    <row r="13" spans="1:13">
      <c r="A13" s="79" t="s">
        <v>6</v>
      </c>
      <c r="C13" s="83"/>
      <c r="D13" s="83"/>
      <c r="E13" s="93"/>
      <c r="F13" s="91"/>
      <c r="G13" s="83"/>
      <c r="H13" s="83"/>
      <c r="I13" s="83"/>
      <c r="J13" s="79" t="s">
        <v>7</v>
      </c>
      <c r="K13" s="83"/>
      <c r="L13" s="83"/>
      <c r="M13" s="83"/>
    </row>
    <row r="14" spans="1:13">
      <c r="A14" s="94" t="s">
        <v>8</v>
      </c>
      <c r="C14" s="83"/>
      <c r="D14" s="83"/>
      <c r="E14" s="83"/>
      <c r="F14" s="91"/>
      <c r="G14" s="83"/>
      <c r="H14" s="83"/>
      <c r="I14" s="83"/>
      <c r="J14" s="94" t="s">
        <v>9</v>
      </c>
      <c r="K14" s="83"/>
      <c r="L14" s="83"/>
      <c r="M14" s="83"/>
    </row>
    <row r="15" spans="1:13">
      <c r="A15" s="79">
        <v>1</v>
      </c>
      <c r="C15" s="83" t="s">
        <v>254</v>
      </c>
      <c r="D15" s="83"/>
      <c r="E15" s="95"/>
      <c r="F15" s="91"/>
      <c r="G15" s="83"/>
      <c r="H15" s="83"/>
      <c r="I15" s="83"/>
      <c r="J15" s="96">
        <f>J177</f>
        <v>111297832.31363678</v>
      </c>
      <c r="K15" s="83"/>
      <c r="L15" s="83"/>
      <c r="M15" s="83"/>
    </row>
    <row r="16" spans="1:13">
      <c r="A16" s="79"/>
      <c r="C16" s="83"/>
      <c r="D16" s="83"/>
      <c r="E16" s="83"/>
      <c r="F16" s="91"/>
      <c r="G16" s="83"/>
      <c r="H16" s="83"/>
      <c r="I16" s="83"/>
      <c r="J16" s="95"/>
      <c r="K16" s="83"/>
      <c r="L16" s="83"/>
      <c r="M16" s="83"/>
    </row>
    <row r="17" spans="1:20">
      <c r="A17" s="79"/>
      <c r="C17" s="83"/>
      <c r="D17" s="83"/>
      <c r="E17" s="83"/>
      <c r="F17" s="91"/>
      <c r="G17" s="83"/>
      <c r="H17" s="83"/>
      <c r="I17" s="83"/>
      <c r="J17" s="95"/>
      <c r="K17" s="83"/>
      <c r="L17" s="83"/>
      <c r="M17" s="83"/>
      <c r="P17" s="83"/>
      <c r="Q17" s="76" t="s">
        <v>694</v>
      </c>
    </row>
    <row r="18" spans="1:20" ht="16.5" thickBot="1">
      <c r="A18" s="79" t="s">
        <v>5</v>
      </c>
      <c r="C18" s="97" t="s">
        <v>507</v>
      </c>
      <c r="D18" s="98" t="s">
        <v>479</v>
      </c>
      <c r="E18" s="99" t="s">
        <v>10</v>
      </c>
      <c r="F18" s="89"/>
      <c r="G18" s="100" t="s">
        <v>11</v>
      </c>
      <c r="H18" s="100"/>
      <c r="I18" s="83"/>
      <c r="J18" s="95"/>
      <c r="K18" s="83"/>
      <c r="L18" s="83"/>
      <c r="M18" s="83"/>
      <c r="P18" s="83"/>
      <c r="T18" s="101" t="s">
        <v>729</v>
      </c>
    </row>
    <row r="19" spans="1:20">
      <c r="A19" s="79">
        <v>2</v>
      </c>
      <c r="C19" s="83" t="s">
        <v>269</v>
      </c>
      <c r="D19" s="95" t="s">
        <v>122</v>
      </c>
      <c r="E19" s="96">
        <f>J252</f>
        <v>138107</v>
      </c>
      <c r="F19" s="102"/>
      <c r="G19" s="96" t="s">
        <v>12</v>
      </c>
      <c r="H19" s="103">
        <f>J$201</f>
        <v>0.97100598268647564</v>
      </c>
      <c r="I19" s="96"/>
      <c r="J19" s="96">
        <f>H19*E19</f>
        <v>134102.7232508811</v>
      </c>
      <c r="K19" s="83"/>
      <c r="L19" s="83"/>
      <c r="M19" s="83"/>
      <c r="P19" s="83" t="s">
        <v>695</v>
      </c>
      <c r="Q19" s="76" t="s">
        <v>299</v>
      </c>
    </row>
    <row r="20" spans="1:20">
      <c r="A20" s="79">
        <v>3</v>
      </c>
      <c r="C20" s="83" t="s">
        <v>508</v>
      </c>
      <c r="D20" s="95" t="s">
        <v>243</v>
      </c>
      <c r="E20" s="96">
        <f>J254</f>
        <v>6821036.3699999992</v>
      </c>
      <c r="F20" s="102"/>
      <c r="G20" s="96" t="str">
        <f>G$19</f>
        <v>TP</v>
      </c>
      <c r="H20" s="103">
        <f>J$201</f>
        <v>0.97100598268647564</v>
      </c>
      <c r="I20" s="96"/>
      <c r="J20" s="96">
        <f>H20*E20</f>
        <v>6623267.1233920399</v>
      </c>
      <c r="K20" s="83"/>
      <c r="L20" s="83"/>
      <c r="M20" s="83"/>
      <c r="P20" s="83" t="s">
        <v>696</v>
      </c>
      <c r="Q20" s="76" t="s">
        <v>697</v>
      </c>
      <c r="S20" s="76" t="s">
        <v>698</v>
      </c>
      <c r="T20" s="76">
        <f>ROUND(J20,2)</f>
        <v>6623267.1200000001</v>
      </c>
    </row>
    <row r="21" spans="1:20" ht="15.75">
      <c r="A21" s="79">
        <v>4</v>
      </c>
      <c r="C21" s="83" t="s">
        <v>509</v>
      </c>
      <c r="D21" s="104" t="s">
        <v>480</v>
      </c>
      <c r="E21" s="96">
        <f>'Pg 6 of 8 Rev Cred Support'!E44</f>
        <v>102906</v>
      </c>
      <c r="F21" s="102"/>
      <c r="G21" s="96" t="str">
        <f>G$19</f>
        <v>TP</v>
      </c>
      <c r="H21" s="103">
        <f>J$201</f>
        <v>0.97100598268647564</v>
      </c>
      <c r="I21" s="96"/>
      <c r="J21" s="96">
        <f>H21*E21</f>
        <v>99922.341654334465</v>
      </c>
      <c r="K21" s="83"/>
      <c r="L21" s="105"/>
      <c r="M21" s="83"/>
      <c r="P21" s="83" t="s">
        <v>699</v>
      </c>
      <c r="Q21" s="76" t="s">
        <v>700</v>
      </c>
      <c r="S21" s="76" t="s">
        <v>701</v>
      </c>
      <c r="T21" s="76">
        <f>ROUND(J23,2)</f>
        <v>0</v>
      </c>
    </row>
    <row r="22" spans="1:20">
      <c r="A22" s="79">
        <v>5</v>
      </c>
      <c r="C22" s="83" t="s">
        <v>343</v>
      </c>
      <c r="D22" s="104"/>
      <c r="E22" s="106">
        <v>0</v>
      </c>
      <c r="F22" s="102"/>
      <c r="G22" s="96" t="str">
        <f>G$19</f>
        <v>TP</v>
      </c>
      <c r="H22" s="103">
        <f>J$201</f>
        <v>0.97100598268647564</v>
      </c>
      <c r="I22" s="96"/>
      <c r="J22" s="96">
        <f>H22*E22</f>
        <v>0</v>
      </c>
      <c r="K22" s="83"/>
      <c r="L22" s="83"/>
      <c r="M22" s="83"/>
      <c r="P22" s="83" t="s">
        <v>702</v>
      </c>
      <c r="Q22" s="76" t="s">
        <v>703</v>
      </c>
      <c r="S22" s="76" t="s">
        <v>704</v>
      </c>
      <c r="T22" s="76">
        <f>ROUND(J22,2)</f>
        <v>0</v>
      </c>
    </row>
    <row r="23" spans="1:20">
      <c r="A23" s="79" t="s">
        <v>128</v>
      </c>
      <c r="C23" s="76" t="s">
        <v>393</v>
      </c>
      <c r="D23" s="104"/>
      <c r="E23" s="96">
        <f>'Appx B - RTEP'!W39</f>
        <v>0</v>
      </c>
      <c r="F23" s="102"/>
      <c r="G23" s="96" t="str">
        <f>G$19</f>
        <v>TP</v>
      </c>
      <c r="H23" s="103">
        <f>J$201</f>
        <v>0.97100598268647564</v>
      </c>
      <c r="I23" s="96"/>
      <c r="J23" s="107">
        <f>E23*H23</f>
        <v>0</v>
      </c>
      <c r="K23" s="83"/>
      <c r="L23" s="83"/>
      <c r="M23" s="83"/>
      <c r="P23" s="83" t="s">
        <v>705</v>
      </c>
      <c r="Q23" s="76" t="s">
        <v>706</v>
      </c>
      <c r="S23" s="76" t="s">
        <v>707</v>
      </c>
      <c r="T23" s="76">
        <f>ROUND(J19+J21,2)</f>
        <v>234025.06</v>
      </c>
    </row>
    <row r="24" spans="1:20">
      <c r="A24" s="79">
        <v>6</v>
      </c>
      <c r="C24" s="83" t="s">
        <v>672</v>
      </c>
      <c r="D24" s="108"/>
      <c r="E24" s="109" t="s">
        <v>5</v>
      </c>
      <c r="F24" s="89"/>
      <c r="G24" s="95"/>
      <c r="H24" s="103"/>
      <c r="I24" s="95"/>
      <c r="J24" s="96">
        <f>SUM(J19:J22)</f>
        <v>6857292.188297255</v>
      </c>
      <c r="K24" s="83"/>
      <c r="L24" s="83"/>
      <c r="M24" s="83"/>
      <c r="P24" s="83"/>
      <c r="Q24" s="76" t="s">
        <v>708</v>
      </c>
    </row>
    <row r="25" spans="1:20" ht="15.75">
      <c r="A25" s="79" t="s">
        <v>404</v>
      </c>
      <c r="C25" s="83" t="s">
        <v>506</v>
      </c>
      <c r="D25" s="108" t="s">
        <v>481</v>
      </c>
      <c r="E25" s="109"/>
      <c r="F25" s="89"/>
      <c r="G25" s="95"/>
      <c r="H25" s="103"/>
      <c r="I25" s="95"/>
      <c r="J25" s="110"/>
      <c r="K25" s="83"/>
      <c r="L25" s="83"/>
      <c r="M25" s="83"/>
      <c r="P25" s="83"/>
      <c r="Q25" s="76" t="s">
        <v>709</v>
      </c>
    </row>
    <row r="26" spans="1:20">
      <c r="A26" s="79"/>
      <c r="D26" s="83"/>
      <c r="E26" s="95" t="s">
        <v>5</v>
      </c>
      <c r="F26" s="91"/>
      <c r="G26" s="83"/>
      <c r="H26" s="103"/>
      <c r="I26" s="83"/>
      <c r="K26" s="83"/>
      <c r="L26" s="83"/>
      <c r="M26" s="83"/>
      <c r="P26" s="83"/>
      <c r="Q26" s="76" t="s">
        <v>710</v>
      </c>
      <c r="S26" s="76" t="s">
        <v>711</v>
      </c>
      <c r="T26" s="76">
        <f>ROUND(E40*1000,2)</f>
        <v>28079.84</v>
      </c>
    </row>
    <row r="27" spans="1:20">
      <c r="A27" s="79"/>
      <c r="C27" s="83" t="s">
        <v>619</v>
      </c>
      <c r="D27" s="83"/>
      <c r="J27" s="95"/>
      <c r="K27" s="83"/>
      <c r="L27" s="83"/>
      <c r="M27" s="83"/>
    </row>
    <row r="28" spans="1:20" ht="16.5" thickBot="1">
      <c r="A28" s="79">
        <v>7</v>
      </c>
      <c r="C28" s="83" t="s">
        <v>13</v>
      </c>
      <c r="D28" s="83" t="s">
        <v>405</v>
      </c>
      <c r="E28" s="109" t="s">
        <v>5</v>
      </c>
      <c r="F28" s="89"/>
      <c r="G28" s="95"/>
      <c r="H28" s="95"/>
      <c r="I28" s="95"/>
      <c r="J28" s="57">
        <f>J15-J24+J25</f>
        <v>104440540.12533952</v>
      </c>
      <c r="K28" s="83"/>
      <c r="L28" s="105"/>
      <c r="M28" s="83"/>
      <c r="N28" s="21"/>
      <c r="P28" s="74" t="s">
        <v>712</v>
      </c>
      <c r="Q28" s="76" t="s">
        <v>713</v>
      </c>
      <c r="S28" s="76" t="s">
        <v>714</v>
      </c>
      <c r="T28" s="76">
        <f>ROUND(J28,2)</f>
        <v>104440540.13</v>
      </c>
    </row>
    <row r="29" spans="1:20" ht="30.75" thickTop="1">
      <c r="A29" s="79"/>
      <c r="D29" s="83"/>
      <c r="E29" s="109"/>
      <c r="F29" s="89"/>
      <c r="G29" s="95"/>
      <c r="H29" s="95"/>
      <c r="I29" s="95"/>
      <c r="K29" s="83"/>
      <c r="L29" s="83"/>
      <c r="M29" s="83"/>
      <c r="N29" s="21"/>
      <c r="Q29" s="21" t="s">
        <v>715</v>
      </c>
      <c r="S29" s="112" t="s">
        <v>716</v>
      </c>
      <c r="T29" s="76">
        <f>ROUND(J92,2)</f>
        <v>659145582</v>
      </c>
    </row>
    <row r="30" spans="1:20">
      <c r="A30" s="79"/>
      <c r="C30" s="83" t="s">
        <v>244</v>
      </c>
      <c r="D30" s="83"/>
      <c r="E30" s="95"/>
      <c r="F30" s="91"/>
      <c r="G30" s="83"/>
      <c r="H30" s="83"/>
      <c r="I30" s="83"/>
      <c r="J30" s="95"/>
      <c r="K30" s="83"/>
      <c r="L30" s="83"/>
      <c r="M30" s="83"/>
      <c r="P30" s="74"/>
      <c r="Q30" s="21" t="s">
        <v>717</v>
      </c>
      <c r="S30" s="76" t="s">
        <v>718</v>
      </c>
      <c r="T30" s="113">
        <f>ROUND(J76/J147,0)</f>
        <v>43</v>
      </c>
    </row>
    <row r="31" spans="1:20" ht="15.75">
      <c r="A31" s="79">
        <v>8</v>
      </c>
      <c r="C31" s="114" t="s">
        <v>504</v>
      </c>
      <c r="D31" s="98" t="s">
        <v>482</v>
      </c>
      <c r="E31" s="95"/>
      <c r="F31" s="91"/>
      <c r="G31" s="83"/>
      <c r="H31" s="77"/>
      <c r="I31" s="83"/>
      <c r="J31" s="115">
        <f>MAX('Pg 8 of 8 Peak Load'!C35:N35)</f>
        <v>3719413.48</v>
      </c>
      <c r="K31" s="83"/>
      <c r="L31" s="105"/>
      <c r="M31" s="83"/>
      <c r="P31" s="83"/>
      <c r="Q31" s="76" t="s">
        <v>719</v>
      </c>
      <c r="S31" s="76" t="s">
        <v>720</v>
      </c>
      <c r="T31" s="116">
        <f>ROUND((J177-J147)/(J76-J84),10)</f>
        <v>0.13880631199999999</v>
      </c>
    </row>
    <row r="32" spans="1:20" ht="15.75">
      <c r="A32" s="79">
        <v>9</v>
      </c>
      <c r="C32" s="114" t="s">
        <v>505</v>
      </c>
      <c r="D32" s="98" t="s">
        <v>483</v>
      </c>
      <c r="E32" s="95"/>
      <c r="F32" s="89"/>
      <c r="G32" s="95"/>
      <c r="H32" s="95"/>
      <c r="I32" s="95"/>
      <c r="J32" s="115">
        <f>'Pg 8 of 8 Peak Load'!P35</f>
        <v>2669243</v>
      </c>
      <c r="K32" s="83"/>
      <c r="L32" s="105"/>
      <c r="M32" s="83"/>
      <c r="Q32" s="76" t="s">
        <v>721</v>
      </c>
      <c r="S32" s="76" t="s">
        <v>722</v>
      </c>
      <c r="T32" s="116">
        <f>ROUND(J240,10)</f>
        <v>1.4782488E-2</v>
      </c>
    </row>
    <row r="33" spans="1:20">
      <c r="A33" s="79"/>
      <c r="C33" s="83"/>
      <c r="D33" s="83"/>
      <c r="E33" s="83"/>
      <c r="F33" s="91"/>
      <c r="G33" s="83"/>
      <c r="H33" s="83"/>
      <c r="I33" s="83"/>
      <c r="J33" s="115"/>
      <c r="K33" s="83"/>
      <c r="L33" s="83"/>
      <c r="M33" s="83"/>
      <c r="Q33" s="76" t="s">
        <v>723</v>
      </c>
      <c r="S33" s="76" t="s">
        <v>443</v>
      </c>
      <c r="T33" s="116">
        <f>ROUND(0%,10)</f>
        <v>0</v>
      </c>
    </row>
    <row r="34" spans="1:20">
      <c r="A34" s="79">
        <v>10</v>
      </c>
      <c r="C34" s="83" t="s">
        <v>239</v>
      </c>
      <c r="D34" s="83"/>
      <c r="E34" s="96"/>
      <c r="F34" s="102"/>
      <c r="G34" s="96"/>
      <c r="H34" s="96"/>
      <c r="I34" s="96"/>
      <c r="J34" s="96"/>
      <c r="K34" s="83"/>
      <c r="L34" s="83"/>
      <c r="M34" s="83"/>
      <c r="P34" s="83"/>
      <c r="Q34" s="76" t="s">
        <v>724</v>
      </c>
      <c r="S34" s="76" t="s">
        <v>725</v>
      </c>
      <c r="T34" s="116">
        <f>ROUND(J241,10)</f>
        <v>4.4347464000000003E-2</v>
      </c>
    </row>
    <row r="35" spans="1:20">
      <c r="A35" s="79">
        <v>11</v>
      </c>
      <c r="C35" s="83" t="s">
        <v>239</v>
      </c>
      <c r="D35" s="83"/>
      <c r="E35" s="96"/>
      <c r="F35" s="102"/>
      <c r="G35" s="96"/>
      <c r="H35" s="96"/>
      <c r="I35" s="96"/>
      <c r="J35" s="96"/>
      <c r="K35" s="83"/>
      <c r="L35" s="83"/>
      <c r="M35" s="83"/>
      <c r="P35" s="83"/>
      <c r="Q35" s="76" t="s">
        <v>726</v>
      </c>
      <c r="S35" s="76" t="s">
        <v>727</v>
      </c>
      <c r="T35" s="116">
        <f>ROUND(E166,10)</f>
        <v>0</v>
      </c>
    </row>
    <row r="36" spans="1:20">
      <c r="A36" s="79">
        <v>12</v>
      </c>
      <c r="C36" s="83" t="s">
        <v>239</v>
      </c>
      <c r="D36" s="83"/>
      <c r="E36" s="96"/>
      <c r="F36" s="102"/>
      <c r="G36" s="96"/>
      <c r="H36" s="96"/>
      <c r="I36" s="96"/>
      <c r="J36" s="96"/>
      <c r="K36" s="83"/>
      <c r="L36" s="83"/>
      <c r="M36" s="83"/>
      <c r="P36" s="83"/>
    </row>
    <row r="37" spans="1:20">
      <c r="A37" s="79">
        <v>13</v>
      </c>
      <c r="C37" s="83" t="s">
        <v>239</v>
      </c>
      <c r="D37" s="83"/>
      <c r="E37" s="96"/>
      <c r="F37" s="102"/>
      <c r="G37" s="96"/>
      <c r="H37" s="96"/>
      <c r="I37" s="96"/>
      <c r="J37" s="96"/>
      <c r="K37" s="83"/>
      <c r="L37" s="83"/>
      <c r="M37" s="83"/>
      <c r="N37" s="117"/>
      <c r="O37" s="117"/>
      <c r="P37" s="117"/>
      <c r="Q37" s="117"/>
      <c r="R37" s="117"/>
    </row>
    <row r="38" spans="1:20">
      <c r="A38" s="79">
        <v>14</v>
      </c>
      <c r="C38" s="83" t="s">
        <v>239</v>
      </c>
      <c r="D38" s="83" t="s">
        <v>596</v>
      </c>
      <c r="E38" s="96"/>
      <c r="F38" s="102"/>
      <c r="G38" s="96"/>
      <c r="H38" s="96"/>
      <c r="I38" s="96"/>
      <c r="J38" s="96"/>
      <c r="K38" s="83"/>
      <c r="L38" s="83"/>
      <c r="M38" s="83"/>
      <c r="N38" s="117"/>
      <c r="O38" s="117"/>
      <c r="P38" s="117"/>
      <c r="Q38" s="117"/>
      <c r="R38" s="117"/>
    </row>
    <row r="39" spans="1:20">
      <c r="A39" s="79"/>
      <c r="C39" s="83"/>
      <c r="D39" s="83"/>
      <c r="E39" s="96"/>
      <c r="F39" s="102"/>
      <c r="G39" s="96"/>
      <c r="H39" s="96"/>
      <c r="I39" s="96"/>
      <c r="J39" s="96"/>
      <c r="K39" s="83"/>
      <c r="L39" s="83"/>
      <c r="M39" s="83"/>
      <c r="N39" s="117"/>
      <c r="O39" s="117"/>
      <c r="P39" s="117"/>
      <c r="Q39" s="117"/>
      <c r="R39" s="117"/>
    </row>
    <row r="40" spans="1:20" ht="15.75">
      <c r="A40" s="79">
        <v>15</v>
      </c>
      <c r="C40" s="83" t="s">
        <v>223</v>
      </c>
      <c r="D40" s="83" t="s">
        <v>245</v>
      </c>
      <c r="E40" s="118">
        <f>ROUND(IF(J31&gt;0,J28/J31,0),9)</f>
        <v>28.079841266999999</v>
      </c>
      <c r="F40" s="102"/>
      <c r="G40" s="96"/>
      <c r="H40" s="96"/>
      <c r="I40" s="96"/>
      <c r="J40" s="119"/>
      <c r="K40" s="120"/>
      <c r="L40" s="120"/>
      <c r="M40" s="83"/>
      <c r="N40" s="117"/>
      <c r="O40" s="117"/>
      <c r="P40" s="117" t="s">
        <v>728</v>
      </c>
      <c r="Q40" s="117"/>
      <c r="R40" s="117"/>
    </row>
    <row r="41" spans="1:20" ht="15.75">
      <c r="A41" s="79"/>
      <c r="C41" s="83"/>
      <c r="D41" s="83"/>
      <c r="E41" s="118"/>
      <c r="F41" s="102"/>
      <c r="G41" s="96"/>
      <c r="H41" s="96"/>
      <c r="I41" s="96"/>
      <c r="J41" s="121"/>
      <c r="K41" s="120"/>
      <c r="L41" s="120"/>
      <c r="M41" s="83"/>
      <c r="N41" s="117"/>
      <c r="O41" s="117"/>
    </row>
    <row r="42" spans="1:20" ht="15.75">
      <c r="A42" s="79">
        <v>16</v>
      </c>
      <c r="C42" s="83" t="s">
        <v>274</v>
      </c>
      <c r="D42" s="83" t="s">
        <v>275</v>
      </c>
      <c r="E42" s="118">
        <f>IF(J32&gt;0,J28/J32,0)</f>
        <v>39.127400587110102</v>
      </c>
      <c r="F42" s="102"/>
      <c r="G42" s="22"/>
      <c r="H42" s="96"/>
      <c r="I42" s="96"/>
      <c r="J42" s="121"/>
      <c r="K42" s="120"/>
      <c r="L42" s="120"/>
      <c r="M42" s="83"/>
      <c r="N42" s="117"/>
      <c r="O42" s="117"/>
    </row>
    <row r="43" spans="1:20" ht="15.75">
      <c r="A43" s="79"/>
      <c r="C43" s="83"/>
      <c r="D43" s="83"/>
      <c r="E43" s="118"/>
      <c r="F43" s="102"/>
      <c r="G43" s="96"/>
      <c r="H43" s="96"/>
      <c r="I43" s="96"/>
      <c r="J43" s="121"/>
      <c r="K43" s="120"/>
      <c r="L43" s="120"/>
      <c r="M43" s="83"/>
      <c r="N43" s="117"/>
      <c r="O43" s="117"/>
    </row>
    <row r="44" spans="1:20" ht="15.75">
      <c r="A44" s="79">
        <v>17</v>
      </c>
      <c r="C44" s="83" t="s">
        <v>276</v>
      </c>
      <c r="D44" s="83" t="s">
        <v>277</v>
      </c>
      <c r="E44" s="118">
        <f>ROUND(E40/12,9)</f>
        <v>2.339986772</v>
      </c>
      <c r="F44" s="102"/>
      <c r="G44" s="96"/>
      <c r="H44" s="96"/>
      <c r="I44" s="96"/>
      <c r="J44" s="119"/>
      <c r="K44" s="120"/>
      <c r="L44" s="120"/>
      <c r="M44" s="83"/>
      <c r="N44" s="117"/>
      <c r="O44" s="117"/>
    </row>
    <row r="45" spans="1:20">
      <c r="A45" s="79"/>
      <c r="C45" s="83"/>
      <c r="D45" s="83"/>
      <c r="E45" s="118"/>
      <c r="F45" s="102"/>
      <c r="G45" s="96"/>
      <c r="H45" s="96"/>
      <c r="I45" s="96"/>
      <c r="J45" s="96"/>
      <c r="K45" s="83"/>
      <c r="L45" s="83"/>
      <c r="M45" s="83"/>
      <c r="N45" s="117"/>
      <c r="O45" s="117"/>
    </row>
    <row r="46" spans="1:20">
      <c r="A46" s="79" t="s">
        <v>273</v>
      </c>
      <c r="C46" s="83" t="s">
        <v>278</v>
      </c>
      <c r="D46" s="83" t="s">
        <v>279</v>
      </c>
      <c r="E46" s="118">
        <f>ROUND($E$42/12,9)</f>
        <v>3.2606167159999999</v>
      </c>
      <c r="F46" s="102"/>
      <c r="G46" s="96"/>
      <c r="H46" s="96"/>
      <c r="I46" s="96"/>
      <c r="J46" s="96"/>
      <c r="K46" s="83"/>
      <c r="L46" s="83"/>
      <c r="M46" s="83"/>
      <c r="N46" s="117"/>
      <c r="O46" s="117"/>
    </row>
    <row r="47" spans="1:20">
      <c r="A47" s="79"/>
      <c r="C47" s="83"/>
      <c r="D47" s="83"/>
      <c r="E47" s="118"/>
      <c r="F47" s="102"/>
      <c r="G47" s="96"/>
      <c r="H47" s="96"/>
      <c r="I47" s="96"/>
      <c r="J47" s="96"/>
      <c r="K47" s="83"/>
      <c r="L47" s="83"/>
      <c r="M47" s="83"/>
      <c r="N47" s="117"/>
      <c r="O47" s="117"/>
    </row>
    <row r="48" spans="1:20">
      <c r="A48" s="79"/>
      <c r="C48" s="83"/>
      <c r="D48" s="83"/>
      <c r="E48" s="122" t="s">
        <v>510</v>
      </c>
      <c r="F48" s="102"/>
      <c r="G48" s="102"/>
      <c r="I48" s="96"/>
      <c r="J48" s="122" t="s">
        <v>286</v>
      </c>
      <c r="K48" s="83"/>
      <c r="L48" s="83"/>
      <c r="M48" s="83"/>
      <c r="N48" s="117"/>
      <c r="O48" s="117"/>
    </row>
    <row r="49" spans="1:15">
      <c r="A49" s="79"/>
      <c r="C49" s="83"/>
      <c r="D49" s="83"/>
      <c r="E49" s="123"/>
      <c r="F49" s="102"/>
      <c r="G49" s="102"/>
      <c r="I49" s="96"/>
      <c r="J49" s="123"/>
      <c r="K49" s="83"/>
      <c r="L49" s="83"/>
      <c r="M49" s="83"/>
      <c r="N49" s="117"/>
      <c r="O49" s="117"/>
    </row>
    <row r="50" spans="1:15">
      <c r="A50" s="79">
        <v>18</v>
      </c>
      <c r="C50" s="83" t="s">
        <v>280</v>
      </c>
      <c r="D50" s="83" t="s">
        <v>283</v>
      </c>
      <c r="E50" s="118">
        <f>ROUND($E$42/52,9)</f>
        <v>0.75245001099999997</v>
      </c>
      <c r="F50" s="102"/>
      <c r="G50" s="96"/>
      <c r="H50" s="96"/>
      <c r="I50" s="96"/>
      <c r="J50" s="96"/>
      <c r="K50" s="83"/>
      <c r="L50" s="83"/>
      <c r="M50" s="83"/>
      <c r="N50" s="117"/>
      <c r="O50" s="117"/>
    </row>
    <row r="51" spans="1:15">
      <c r="A51" s="79"/>
      <c r="C51" s="83"/>
      <c r="D51" s="83"/>
      <c r="E51" s="118"/>
      <c r="F51" s="102"/>
      <c r="G51" s="96"/>
      <c r="H51" s="96"/>
      <c r="I51" s="96"/>
      <c r="J51" s="96"/>
      <c r="K51" s="83"/>
      <c r="L51" s="83"/>
      <c r="M51" s="83"/>
      <c r="N51" s="117"/>
      <c r="O51" s="117"/>
    </row>
    <row r="52" spans="1:15">
      <c r="A52" s="79">
        <v>19</v>
      </c>
      <c r="C52" s="83" t="s">
        <v>281</v>
      </c>
      <c r="D52" s="83" t="s">
        <v>284</v>
      </c>
      <c r="E52" s="118">
        <f>ROUND($E$42/260,9)</f>
        <v>0.15049000200000001</v>
      </c>
      <c r="F52" s="124" t="s">
        <v>287</v>
      </c>
      <c r="G52" s="96"/>
      <c r="H52" s="96"/>
      <c r="I52" s="96"/>
      <c r="J52" s="118">
        <f>ROUND($E$42/365,9)</f>
        <v>0.10719835799999999</v>
      </c>
      <c r="K52" s="83"/>
      <c r="L52" s="83"/>
      <c r="M52" s="83"/>
      <c r="N52" s="117"/>
      <c r="O52" s="117"/>
    </row>
    <row r="53" spans="1:15">
      <c r="A53" s="79"/>
      <c r="C53" s="83"/>
      <c r="D53" s="83"/>
      <c r="E53" s="118"/>
      <c r="F53" s="102"/>
      <c r="G53" s="96"/>
      <c r="H53" s="96"/>
      <c r="I53" s="96"/>
      <c r="J53" s="118"/>
      <c r="K53" s="83"/>
      <c r="L53" s="83"/>
      <c r="M53" s="83"/>
      <c r="N53" s="117"/>
      <c r="O53" s="117"/>
    </row>
    <row r="54" spans="1:15" ht="30">
      <c r="A54" s="79">
        <v>20</v>
      </c>
      <c r="C54" s="83" t="s">
        <v>282</v>
      </c>
      <c r="D54" s="125" t="s">
        <v>285</v>
      </c>
      <c r="E54" s="118">
        <f>ROUND(E42/4160*1000,4)</f>
        <v>9.4055999999999997</v>
      </c>
      <c r="F54" s="124" t="s">
        <v>288</v>
      </c>
      <c r="G54" s="96"/>
      <c r="H54" s="96"/>
      <c r="I54" s="96"/>
      <c r="J54" s="118">
        <f>ROUND(E42/8760*1000,4)</f>
        <v>4.4665999999999997</v>
      </c>
      <c r="K54" s="83"/>
      <c r="L54" s="83"/>
      <c r="M54" s="83"/>
      <c r="N54" s="117"/>
      <c r="O54" s="117"/>
    </row>
    <row r="55" spans="1:15">
      <c r="A55" s="79"/>
      <c r="C55" s="83"/>
      <c r="D55" s="125"/>
      <c r="E55" s="118"/>
      <c r="F55" s="102"/>
      <c r="G55" s="96"/>
      <c r="H55" s="96"/>
      <c r="I55" s="96"/>
      <c r="J55" s="118"/>
      <c r="K55" s="83"/>
      <c r="L55" s="83"/>
      <c r="M55" s="83"/>
      <c r="N55" s="117"/>
      <c r="O55" s="117"/>
    </row>
    <row r="56" spans="1:15">
      <c r="C56" s="77"/>
      <c r="D56" s="77"/>
      <c r="E56" s="78"/>
      <c r="F56" s="79"/>
      <c r="G56" s="77"/>
      <c r="H56" s="77"/>
      <c r="I56" s="77"/>
      <c r="K56" s="79"/>
      <c r="L56" s="81"/>
      <c r="M56" s="79"/>
      <c r="N56" s="117"/>
      <c r="O56" s="117"/>
    </row>
    <row r="57" spans="1:15" ht="18">
      <c r="A57" s="75"/>
      <c r="C57" s="77"/>
      <c r="D57" s="77"/>
      <c r="E57" s="126"/>
      <c r="F57" s="79"/>
      <c r="G57" s="77"/>
      <c r="H57" s="77"/>
      <c r="I57" s="77"/>
      <c r="J57" s="82" t="str">
        <f>J1</f>
        <v>Attachment H-24A</v>
      </c>
      <c r="K57" s="81"/>
      <c r="M57" s="81"/>
      <c r="N57" s="117"/>
      <c r="O57" s="117"/>
    </row>
    <row r="58" spans="1:15">
      <c r="C58" s="77"/>
      <c r="D58" s="77"/>
      <c r="E58" s="78"/>
      <c r="F58" s="79"/>
      <c r="G58" s="77"/>
      <c r="H58" s="77"/>
      <c r="I58" s="77"/>
      <c r="J58" s="82" t="s">
        <v>425</v>
      </c>
      <c r="M58" s="82"/>
      <c r="N58" s="117"/>
      <c r="O58" s="117"/>
    </row>
    <row r="59" spans="1:15">
      <c r="C59" s="77"/>
      <c r="D59" s="77"/>
      <c r="E59" s="78"/>
      <c r="F59" s="79"/>
      <c r="G59" s="77"/>
      <c r="H59" s="77"/>
      <c r="I59" s="77"/>
      <c r="K59" s="83"/>
      <c r="M59" s="82"/>
      <c r="N59" s="117"/>
      <c r="O59" s="117"/>
    </row>
    <row r="60" spans="1:15">
      <c r="C60" s="77"/>
      <c r="D60" s="77"/>
      <c r="E60" s="78"/>
      <c r="F60" s="79"/>
      <c r="G60" s="77"/>
      <c r="H60" s="77"/>
      <c r="I60" s="77"/>
      <c r="K60" s="83"/>
      <c r="M60" s="82"/>
      <c r="N60" s="117"/>
      <c r="O60" s="117"/>
    </row>
    <row r="61" spans="1:15">
      <c r="C61" s="77"/>
      <c r="D61" s="77"/>
      <c r="E61" s="78"/>
      <c r="F61" s="79"/>
      <c r="G61" s="77"/>
      <c r="H61" s="77"/>
      <c r="I61" s="77"/>
      <c r="K61" s="83"/>
      <c r="M61" s="82"/>
    </row>
    <row r="62" spans="1:15">
      <c r="C62" s="77"/>
      <c r="D62" s="77"/>
      <c r="E62" s="78"/>
      <c r="F62" s="79"/>
      <c r="G62" s="77"/>
      <c r="H62" s="77"/>
      <c r="I62" s="77"/>
      <c r="J62" s="82"/>
      <c r="K62" s="83"/>
      <c r="M62" s="82"/>
    </row>
    <row r="63" spans="1:15">
      <c r="C63" s="77" t="s">
        <v>4</v>
      </c>
      <c r="D63" s="77"/>
      <c r="E63" s="78"/>
      <c r="F63" s="79"/>
      <c r="G63" s="77"/>
      <c r="H63" s="77"/>
      <c r="I63" s="77"/>
      <c r="J63" s="81" t="str">
        <f>J7</f>
        <v>For the 12 months ended 12/31/2025</v>
      </c>
      <c r="K63" s="95"/>
      <c r="M63" s="82"/>
    </row>
    <row r="64" spans="1:15">
      <c r="A64" s="85" t="str">
        <f>A8</f>
        <v>Rate Formula Template</v>
      </c>
      <c r="B64" s="86"/>
      <c r="C64" s="86"/>
      <c r="D64" s="85"/>
      <c r="E64" s="86"/>
      <c r="F64" s="79"/>
      <c r="G64" s="85"/>
      <c r="H64" s="85"/>
      <c r="I64" s="85"/>
      <c r="J64" s="86"/>
      <c r="K64" s="95"/>
      <c r="L64" s="86"/>
      <c r="M64" s="83"/>
    </row>
    <row r="65" spans="1:13">
      <c r="A65" s="85" t="str">
        <f>A9</f>
        <v>Utilizing EKPC 2025 Form FF1 Data (ver. FINAL - AUDITED)</v>
      </c>
      <c r="B65" s="86"/>
      <c r="C65" s="85"/>
      <c r="D65" s="88"/>
      <c r="E65" s="86"/>
      <c r="F65" s="89"/>
      <c r="G65" s="88"/>
      <c r="H65" s="88"/>
      <c r="I65" s="85"/>
      <c r="J65" s="85"/>
      <c r="K65" s="95"/>
      <c r="L65" s="90"/>
      <c r="M65" s="83"/>
    </row>
    <row r="66" spans="1:13">
      <c r="A66" s="90"/>
      <c r="B66" s="86"/>
      <c r="C66" s="90"/>
      <c r="D66" s="90"/>
      <c r="E66" s="86"/>
      <c r="F66" s="91"/>
      <c r="G66" s="90"/>
      <c r="H66" s="90"/>
      <c r="I66" s="90"/>
      <c r="J66" s="90"/>
      <c r="K66" s="95"/>
      <c r="L66" s="90"/>
      <c r="M66" s="83"/>
    </row>
    <row r="67" spans="1:13">
      <c r="A67" s="127" t="str">
        <f>$A$11</f>
        <v>East Kentucky Power Cooperative, Inc.</v>
      </c>
      <c r="B67" s="86"/>
      <c r="C67" s="90"/>
      <c r="D67" s="90"/>
      <c r="E67" s="86"/>
      <c r="F67" s="91"/>
      <c r="G67" s="90"/>
      <c r="H67" s="90"/>
      <c r="I67" s="90"/>
      <c r="J67" s="90"/>
      <c r="K67" s="95"/>
      <c r="L67" s="90"/>
      <c r="M67" s="95"/>
    </row>
    <row r="68" spans="1:13">
      <c r="B68" s="86"/>
      <c r="C68" s="90"/>
      <c r="D68" s="90"/>
      <c r="E68" s="86"/>
      <c r="F68" s="91"/>
      <c r="G68" s="90"/>
      <c r="H68" s="90"/>
      <c r="I68" s="90"/>
      <c r="J68" s="90"/>
      <c r="K68" s="95"/>
      <c r="L68" s="90"/>
      <c r="M68" s="95"/>
    </row>
    <row r="69" spans="1:13">
      <c r="C69" s="91" t="s">
        <v>16</v>
      </c>
      <c r="D69" s="91" t="s">
        <v>17</v>
      </c>
      <c r="E69" s="91" t="s">
        <v>18</v>
      </c>
      <c r="F69" s="89" t="s">
        <v>5</v>
      </c>
      <c r="G69" s="95"/>
      <c r="H69" s="128" t="s">
        <v>19</v>
      </c>
      <c r="I69" s="95"/>
      <c r="J69" s="129" t="s">
        <v>20</v>
      </c>
      <c r="K69" s="95"/>
      <c r="L69" s="91"/>
      <c r="M69" s="95"/>
    </row>
    <row r="70" spans="1:13">
      <c r="A70" s="79" t="s">
        <v>6</v>
      </c>
      <c r="C70" s="83"/>
      <c r="D70" s="89" t="s">
        <v>21</v>
      </c>
      <c r="E70" s="95"/>
      <c r="F70" s="89"/>
      <c r="G70" s="95"/>
      <c r="H70" s="79"/>
      <c r="I70" s="95"/>
      <c r="J70" s="79" t="s">
        <v>22</v>
      </c>
      <c r="K70" s="95"/>
      <c r="L70" s="91"/>
      <c r="M70" s="95"/>
    </row>
    <row r="71" spans="1:13" ht="15.75" thickBot="1">
      <c r="A71" s="94" t="s">
        <v>8</v>
      </c>
      <c r="C71" s="130" t="s">
        <v>224</v>
      </c>
      <c r="D71" s="131" t="s">
        <v>23</v>
      </c>
      <c r="E71" s="99" t="s">
        <v>24</v>
      </c>
      <c r="F71" s="132"/>
      <c r="G71" s="100" t="s">
        <v>11</v>
      </c>
      <c r="H71" s="100"/>
      <c r="I71" s="133"/>
      <c r="J71" s="134" t="s">
        <v>268</v>
      </c>
      <c r="K71" s="95"/>
      <c r="L71" s="91"/>
      <c r="M71" s="83"/>
    </row>
    <row r="72" spans="1:13">
      <c r="D72" s="95"/>
      <c r="E72" s="95"/>
      <c r="F72" s="89"/>
      <c r="G72" s="95"/>
      <c r="H72" s="95"/>
      <c r="I72" s="95"/>
      <c r="J72" s="95"/>
      <c r="K72" s="95"/>
      <c r="L72" s="95"/>
      <c r="M72" s="83"/>
    </row>
    <row r="73" spans="1:13">
      <c r="A73" s="79"/>
      <c r="C73" s="83"/>
      <c r="D73" s="95"/>
      <c r="E73" s="95"/>
      <c r="F73" s="89"/>
      <c r="G73" s="95"/>
      <c r="H73" s="95"/>
      <c r="I73" s="95"/>
      <c r="J73" s="95"/>
      <c r="K73" s="95"/>
      <c r="L73" s="95"/>
      <c r="M73" s="83"/>
    </row>
    <row r="74" spans="1:13">
      <c r="A74" s="79"/>
      <c r="C74" s="83" t="s">
        <v>25</v>
      </c>
      <c r="D74" s="95"/>
      <c r="E74" s="95"/>
      <c r="F74" s="89"/>
      <c r="G74" s="95"/>
      <c r="H74" s="95"/>
      <c r="I74" s="95"/>
      <c r="J74" s="95"/>
      <c r="K74" s="95"/>
      <c r="L74" s="95"/>
      <c r="M74" s="83"/>
    </row>
    <row r="75" spans="1:13">
      <c r="A75" s="79">
        <v>1</v>
      </c>
      <c r="C75" s="83" t="s">
        <v>26</v>
      </c>
      <c r="D75" s="95" t="s">
        <v>450</v>
      </c>
      <c r="E75" s="106">
        <f>3606354955-52048036</f>
        <v>3554306919</v>
      </c>
      <c r="F75" s="135"/>
      <c r="G75" s="95" t="s">
        <v>27</v>
      </c>
      <c r="H75" s="136" t="s">
        <v>5</v>
      </c>
      <c r="I75" s="95"/>
      <c r="J75" s="115" t="s">
        <v>5</v>
      </c>
      <c r="K75" s="95"/>
      <c r="L75" s="137" t="s">
        <v>680</v>
      </c>
      <c r="M75" s="83"/>
    </row>
    <row r="76" spans="1:13">
      <c r="A76" s="79">
        <v>2</v>
      </c>
      <c r="C76" s="83" t="s">
        <v>28</v>
      </c>
      <c r="D76" s="95" t="s">
        <v>433</v>
      </c>
      <c r="E76" s="138">
        <f>876224255</f>
        <v>876224255</v>
      </c>
      <c r="F76" s="135"/>
      <c r="G76" s="95" t="s">
        <v>12</v>
      </c>
      <c r="H76" s="136">
        <f>J201</f>
        <v>0.97100598268647564</v>
      </c>
      <c r="I76" s="95"/>
      <c r="J76" s="96">
        <f>ROUND(H76*E76,0)</f>
        <v>850818994</v>
      </c>
      <c r="K76" s="95"/>
      <c r="M76" s="83"/>
    </row>
    <row r="77" spans="1:13">
      <c r="A77" s="79">
        <v>3</v>
      </c>
      <c r="C77" s="83" t="s">
        <v>29</v>
      </c>
      <c r="D77" s="95" t="s">
        <v>434</v>
      </c>
      <c r="E77" s="138">
        <f>403037557</f>
        <v>403037557</v>
      </c>
      <c r="F77" s="135"/>
      <c r="G77" s="95" t="s">
        <v>27</v>
      </c>
      <c r="H77" s="136" t="s">
        <v>5</v>
      </c>
      <c r="I77" s="95"/>
      <c r="J77" s="115" t="s">
        <v>5</v>
      </c>
      <c r="K77" s="95"/>
      <c r="L77" s="95"/>
      <c r="M77" s="83"/>
    </row>
    <row r="78" spans="1:13">
      <c r="A78" s="79">
        <v>4</v>
      </c>
      <c r="C78" s="83" t="s">
        <v>30</v>
      </c>
      <c r="D78" s="95" t="s">
        <v>435</v>
      </c>
      <c r="E78" s="138">
        <f>148809743+20100219</f>
        <v>168909962</v>
      </c>
      <c r="F78" s="135"/>
      <c r="G78" s="95" t="s">
        <v>31</v>
      </c>
      <c r="H78" s="136">
        <f>J219</f>
        <v>0.15946197715684252</v>
      </c>
      <c r="I78" s="95"/>
      <c r="J78" s="96">
        <f>ROUND(H78*E78,0)</f>
        <v>26934717</v>
      </c>
      <c r="K78" s="95"/>
      <c r="L78" s="95"/>
      <c r="M78" s="95"/>
    </row>
    <row r="79" spans="1:13" ht="15.75" thickBot="1">
      <c r="A79" s="79">
        <v>5</v>
      </c>
      <c r="C79" s="83" t="s">
        <v>32</v>
      </c>
      <c r="D79" s="95"/>
      <c r="E79" s="139">
        <v>0</v>
      </c>
      <c r="F79" s="89"/>
      <c r="G79" s="95" t="s">
        <v>79</v>
      </c>
      <c r="H79" s="136">
        <f>J225</f>
        <v>0</v>
      </c>
      <c r="I79" s="95"/>
      <c r="J79" s="140">
        <f>ROUND(H79*E79,0)</f>
        <v>0</v>
      </c>
      <c r="K79" s="95"/>
      <c r="L79" s="95"/>
      <c r="M79" s="95"/>
    </row>
    <row r="80" spans="1:13">
      <c r="A80" s="79">
        <v>6</v>
      </c>
      <c r="C80" s="77" t="s">
        <v>33</v>
      </c>
      <c r="D80" s="95"/>
      <c r="E80" s="96">
        <f>SUM(E75:E79)</f>
        <v>5002478693</v>
      </c>
      <c r="F80" s="89"/>
      <c r="G80" s="95" t="s">
        <v>34</v>
      </c>
      <c r="H80" s="141">
        <f>IF(J80&gt;0,J80/E80,0)</f>
        <v>0.17546375804223741</v>
      </c>
      <c r="I80" s="95"/>
      <c r="J80" s="96">
        <f>SUM(J75:J79)</f>
        <v>877753711</v>
      </c>
      <c r="K80" s="95"/>
      <c r="L80" s="142"/>
      <c r="M80" s="83"/>
    </row>
    <row r="81" spans="1:13">
      <c r="C81" s="83"/>
      <c r="D81" s="95"/>
      <c r="E81" s="115"/>
      <c r="F81" s="89"/>
      <c r="G81" s="95"/>
      <c r="H81" s="142"/>
      <c r="I81" s="95"/>
      <c r="J81" s="115"/>
      <c r="K81" s="95"/>
      <c r="L81" s="142"/>
      <c r="M81" s="83"/>
    </row>
    <row r="82" spans="1:13">
      <c r="C82" s="83" t="s">
        <v>35</v>
      </c>
      <c r="D82" s="95"/>
      <c r="E82" s="115"/>
      <c r="F82" s="89"/>
      <c r="G82" s="95"/>
      <c r="H82" s="95"/>
      <c r="I82" s="95"/>
      <c r="J82" s="115"/>
      <c r="K82" s="95"/>
      <c r="L82" s="95"/>
      <c r="M82" s="83"/>
    </row>
    <row r="83" spans="1:13">
      <c r="A83" s="79">
        <v>7</v>
      </c>
      <c r="C83" s="83" t="str">
        <f>C75</f>
        <v xml:space="preserve">  Production</v>
      </c>
      <c r="D83" s="95" t="s">
        <v>143</v>
      </c>
      <c r="E83" s="106">
        <f>1403340230+276334084</f>
        <v>1679674314</v>
      </c>
      <c r="F83" s="135"/>
      <c r="G83" s="95" t="str">
        <f>G75</f>
        <v>NA</v>
      </c>
      <c r="H83" s="136" t="str">
        <f>H75</f>
        <v xml:space="preserve"> </v>
      </c>
      <c r="I83" s="95"/>
      <c r="J83" s="115" t="s">
        <v>5</v>
      </c>
      <c r="K83" s="95"/>
      <c r="L83" s="95"/>
      <c r="M83" s="83"/>
    </row>
    <row r="84" spans="1:13">
      <c r="A84" s="79">
        <v>8</v>
      </c>
      <c r="C84" s="83" t="str">
        <f>C76</f>
        <v xml:space="preserve">  Transmission</v>
      </c>
      <c r="D84" s="95" t="s">
        <v>132</v>
      </c>
      <c r="E84" s="138">
        <v>197396736</v>
      </c>
      <c r="F84" s="135"/>
      <c r="G84" s="95" t="str">
        <f>G76</f>
        <v>TP</v>
      </c>
      <c r="H84" s="136">
        <f>H76</f>
        <v>0.97100598268647564</v>
      </c>
      <c r="I84" s="95"/>
      <c r="J84" s="96">
        <f>ROUND(H84*E84,0)</f>
        <v>191673412</v>
      </c>
      <c r="K84" s="95"/>
      <c r="L84" s="95"/>
      <c r="M84" s="83"/>
    </row>
    <row r="85" spans="1:13">
      <c r="A85" s="79">
        <v>9</v>
      </c>
      <c r="C85" s="83" t="str">
        <f>C77</f>
        <v xml:space="preserve">  Distribution</v>
      </c>
      <c r="D85" s="95" t="s">
        <v>133</v>
      </c>
      <c r="E85" s="138">
        <v>102703684</v>
      </c>
      <c r="F85" s="135"/>
      <c r="G85" s="95" t="str">
        <f t="shared" ref="G85:H87" si="0">G77</f>
        <v>NA</v>
      </c>
      <c r="H85" s="136" t="str">
        <f t="shared" si="0"/>
        <v xml:space="preserve"> </v>
      </c>
      <c r="I85" s="95"/>
      <c r="J85" s="115" t="s">
        <v>5</v>
      </c>
      <c r="K85" s="95"/>
      <c r="L85" s="95"/>
      <c r="M85" s="83"/>
    </row>
    <row r="86" spans="1:13">
      <c r="A86" s="79">
        <v>10</v>
      </c>
      <c r="C86" s="83" t="str">
        <f>C78</f>
        <v xml:space="preserve">  General &amp; Intangible</v>
      </c>
      <c r="D86" s="95" t="s">
        <v>0</v>
      </c>
      <c r="E86" s="138">
        <v>68397861</v>
      </c>
      <c r="F86" s="135"/>
      <c r="G86" s="95" t="str">
        <f t="shared" si="0"/>
        <v>W/S</v>
      </c>
      <c r="H86" s="136">
        <f t="shared" si="0"/>
        <v>0.15946197715684252</v>
      </c>
      <c r="I86" s="95"/>
      <c r="J86" s="96">
        <f>ROUND(H86*E86,0)</f>
        <v>10906858</v>
      </c>
      <c r="K86" s="95"/>
      <c r="L86" s="95"/>
      <c r="M86" s="83"/>
    </row>
    <row r="87" spans="1:13" ht="15.75" thickBot="1">
      <c r="A87" s="79">
        <v>11</v>
      </c>
      <c r="C87" s="83" t="str">
        <f>C79</f>
        <v xml:space="preserve">  Common</v>
      </c>
      <c r="D87" s="95"/>
      <c r="E87" s="139">
        <v>0</v>
      </c>
      <c r="F87" s="89"/>
      <c r="G87" s="95" t="str">
        <f t="shared" si="0"/>
        <v>CE</v>
      </c>
      <c r="H87" s="136">
        <f t="shared" si="0"/>
        <v>0</v>
      </c>
      <c r="I87" s="95"/>
      <c r="J87" s="140">
        <f>ROUND(H87*E87,0)</f>
        <v>0</v>
      </c>
      <c r="K87" s="95"/>
      <c r="L87" s="95"/>
      <c r="M87" s="83"/>
    </row>
    <row r="88" spans="1:13">
      <c r="A88" s="79">
        <v>12</v>
      </c>
      <c r="C88" s="83" t="s">
        <v>36</v>
      </c>
      <c r="D88" s="95"/>
      <c r="E88" s="96">
        <f>SUM(E83:E87)</f>
        <v>2048172595</v>
      </c>
      <c r="F88" s="89"/>
      <c r="G88" s="95"/>
      <c r="H88" s="95"/>
      <c r="I88" s="95"/>
      <c r="J88" s="96">
        <f>SUM(J83:J87)</f>
        <v>202580270</v>
      </c>
      <c r="K88" s="95"/>
      <c r="L88" s="95"/>
      <c r="M88" s="83"/>
    </row>
    <row r="89" spans="1:13">
      <c r="A89" s="79"/>
      <c r="D89" s="95" t="s">
        <v>5</v>
      </c>
      <c r="E89" s="115"/>
      <c r="F89" s="89"/>
      <c r="G89" s="95"/>
      <c r="H89" s="142"/>
      <c r="I89" s="95"/>
      <c r="J89" s="115"/>
      <c r="K89" s="95"/>
      <c r="L89" s="142"/>
      <c r="M89" s="83"/>
    </row>
    <row r="90" spans="1:13">
      <c r="A90" s="79"/>
      <c r="C90" s="83" t="s">
        <v>37</v>
      </c>
      <c r="D90" s="95"/>
      <c r="E90" s="115"/>
      <c r="F90" s="89"/>
      <c r="G90" s="95"/>
      <c r="H90" s="95"/>
      <c r="I90" s="95"/>
      <c r="J90" s="115"/>
      <c r="K90" s="95"/>
      <c r="L90" s="95"/>
      <c r="M90" s="83"/>
    </row>
    <row r="91" spans="1:13">
      <c r="A91" s="79">
        <v>13</v>
      </c>
      <c r="C91" s="83" t="str">
        <f>C83</f>
        <v xml:space="preserve">  Production</v>
      </c>
      <c r="D91" s="95" t="s">
        <v>266</v>
      </c>
      <c r="E91" s="96">
        <f>E75-E83</f>
        <v>1874632605</v>
      </c>
      <c r="F91" s="89"/>
      <c r="G91" s="95"/>
      <c r="H91" s="142"/>
      <c r="I91" s="95"/>
      <c r="J91" s="115" t="s">
        <v>5</v>
      </c>
      <c r="K91" s="95"/>
      <c r="L91" s="142"/>
      <c r="M91" s="83"/>
    </row>
    <row r="92" spans="1:13">
      <c r="A92" s="79">
        <v>14</v>
      </c>
      <c r="C92" s="83" t="s">
        <v>48</v>
      </c>
      <c r="D92" s="95" t="s">
        <v>267</v>
      </c>
      <c r="E92" s="96">
        <f t="shared" ref="E92:E94" si="1">E76-E84</f>
        <v>678827519</v>
      </c>
      <c r="F92" s="89"/>
      <c r="G92" s="95"/>
      <c r="H92" s="136"/>
      <c r="I92" s="95"/>
      <c r="J92" s="96">
        <f>J76-J84</f>
        <v>659145582</v>
      </c>
      <c r="K92" s="95"/>
      <c r="L92" s="142"/>
      <c r="M92" s="83"/>
    </row>
    <row r="93" spans="1:13" hidden="1">
      <c r="A93" s="79"/>
      <c r="C93" s="83"/>
      <c r="D93" s="95"/>
      <c r="E93" s="96">
        <f t="shared" si="1"/>
        <v>300333873</v>
      </c>
      <c r="F93" s="89"/>
      <c r="G93" s="95"/>
      <c r="H93" s="136"/>
      <c r="I93" s="95"/>
      <c r="J93" s="96"/>
      <c r="K93" s="95"/>
      <c r="L93" s="142"/>
      <c r="M93" s="83"/>
    </row>
    <row r="94" spans="1:13">
      <c r="A94" s="79">
        <v>15</v>
      </c>
      <c r="C94" s="83" t="str">
        <f>C85</f>
        <v xml:space="preserve">  Distribution</v>
      </c>
      <c r="D94" s="95" t="s">
        <v>38</v>
      </c>
      <c r="E94" s="96">
        <f t="shared" si="1"/>
        <v>100512101</v>
      </c>
      <c r="F94" s="89"/>
      <c r="G94" s="95"/>
      <c r="H94" s="142"/>
      <c r="I94" s="95"/>
      <c r="J94" s="115" t="s">
        <v>5</v>
      </c>
      <c r="K94" s="95"/>
      <c r="L94" s="142"/>
      <c r="M94" s="83"/>
    </row>
    <row r="95" spans="1:13">
      <c r="A95" s="79">
        <v>16</v>
      </c>
      <c r="C95" s="83" t="str">
        <f>C86</f>
        <v xml:space="preserve">  General &amp; Intangible</v>
      </c>
      <c r="D95" s="95" t="s">
        <v>39</v>
      </c>
      <c r="E95" s="96">
        <f>E78-E86</f>
        <v>100512101</v>
      </c>
      <c r="F95" s="89"/>
      <c r="G95" s="95"/>
      <c r="H95" s="142"/>
      <c r="I95" s="95"/>
      <c r="J95" s="96">
        <f>J78-J86</f>
        <v>16027859</v>
      </c>
      <c r="K95" s="95"/>
      <c r="L95" s="142"/>
      <c r="M95" s="83"/>
    </row>
    <row r="96" spans="1:13" ht="15.75" thickBot="1">
      <c r="A96" s="79">
        <v>17</v>
      </c>
      <c r="C96" s="83" t="str">
        <f>C87</f>
        <v xml:space="preserve">  Common</v>
      </c>
      <c r="D96" s="95" t="s">
        <v>40</v>
      </c>
      <c r="E96" s="140">
        <f>E79-E87</f>
        <v>0</v>
      </c>
      <c r="F96" s="89"/>
      <c r="G96" s="95"/>
      <c r="H96" s="142"/>
      <c r="I96" s="95"/>
      <c r="J96" s="140">
        <f>J79-J87</f>
        <v>0</v>
      </c>
      <c r="K96" s="95"/>
      <c r="L96" s="142"/>
      <c r="M96" s="83"/>
    </row>
    <row r="97" spans="1:13">
      <c r="A97" s="79">
        <v>18</v>
      </c>
      <c r="C97" s="83" t="s">
        <v>41</v>
      </c>
      <c r="D97" s="95"/>
      <c r="E97" s="96">
        <f>SUM(E91:E96)</f>
        <v>3054818199</v>
      </c>
      <c r="F97" s="89"/>
      <c r="G97" s="95" t="s">
        <v>42</v>
      </c>
      <c r="H97" s="142">
        <f>IF(J97&gt;0,J97/E97,0)</f>
        <v>0.22101918903750775</v>
      </c>
      <c r="I97" s="95"/>
      <c r="J97" s="96">
        <f>SUM(J91:J96)</f>
        <v>675173441</v>
      </c>
      <c r="K97" s="95"/>
      <c r="L97" s="95"/>
      <c r="M97" s="83"/>
    </row>
    <row r="98" spans="1:13">
      <c r="A98" s="79"/>
      <c r="D98" s="95"/>
      <c r="E98" s="115"/>
      <c r="F98" s="89"/>
      <c r="I98" s="95"/>
      <c r="J98" s="115"/>
      <c r="K98" s="95"/>
      <c r="L98" s="142"/>
      <c r="M98" s="83"/>
    </row>
    <row r="99" spans="1:13">
      <c r="A99" s="79"/>
      <c r="C99" s="143" t="s">
        <v>442</v>
      </c>
      <c r="D99" s="95"/>
      <c r="E99" s="115"/>
      <c r="F99" s="89"/>
      <c r="G99" s="95"/>
      <c r="H99" s="95"/>
      <c r="I99" s="95"/>
      <c r="J99" s="115"/>
      <c r="K99" s="95"/>
      <c r="L99" s="95"/>
      <c r="M99" s="83"/>
    </row>
    <row r="100" spans="1:13">
      <c r="A100" s="79">
        <v>19</v>
      </c>
      <c r="C100" s="83" t="s">
        <v>115</v>
      </c>
      <c r="D100" s="95" t="s">
        <v>436</v>
      </c>
      <c r="E100" s="96">
        <v>0</v>
      </c>
      <c r="F100" s="89"/>
      <c r="G100" s="95" t="str">
        <f>G83</f>
        <v>NA</v>
      </c>
      <c r="H100" s="144" t="s">
        <v>129</v>
      </c>
      <c r="I100" s="95"/>
      <c r="J100" s="96">
        <v>0</v>
      </c>
      <c r="K100" s="95"/>
      <c r="L100" s="142"/>
      <c r="M100" s="83"/>
    </row>
    <row r="101" spans="1:13">
      <c r="A101" s="79">
        <v>20</v>
      </c>
      <c r="C101" s="83" t="s">
        <v>116</v>
      </c>
      <c r="D101" s="95" t="s">
        <v>437</v>
      </c>
      <c r="E101" s="115">
        <v>0</v>
      </c>
      <c r="F101" s="89"/>
      <c r="G101" s="95" t="s">
        <v>43</v>
      </c>
      <c r="H101" s="136">
        <f>H97</f>
        <v>0.22101918903750775</v>
      </c>
      <c r="I101" s="95"/>
      <c r="J101" s="115">
        <f>ROUND(H101*E101,0)</f>
        <v>0</v>
      </c>
      <c r="K101" s="95"/>
      <c r="L101" s="142"/>
      <c r="M101" s="83"/>
    </row>
    <row r="102" spans="1:13">
      <c r="A102" s="79">
        <v>21</v>
      </c>
      <c r="C102" s="83" t="s">
        <v>117</v>
      </c>
      <c r="D102" s="95" t="s">
        <v>438</v>
      </c>
      <c r="E102" s="115">
        <v>0</v>
      </c>
      <c r="F102" s="89"/>
      <c r="G102" s="95" t="s">
        <v>43</v>
      </c>
      <c r="H102" s="136">
        <f>H101</f>
        <v>0.22101918903750775</v>
      </c>
      <c r="I102" s="95"/>
      <c r="J102" s="115">
        <f>ROUND(H102*E102,0)</f>
        <v>0</v>
      </c>
      <c r="K102" s="95"/>
      <c r="L102" s="142"/>
      <c r="M102" s="83"/>
    </row>
    <row r="103" spans="1:13">
      <c r="A103" s="79">
        <v>22</v>
      </c>
      <c r="C103" s="83" t="s">
        <v>119</v>
      </c>
      <c r="D103" s="95" t="s">
        <v>439</v>
      </c>
      <c r="E103" s="115">
        <v>0</v>
      </c>
      <c r="F103" s="89"/>
      <c r="G103" s="95" t="str">
        <f>G102</f>
        <v>NP</v>
      </c>
      <c r="H103" s="136">
        <f>H102</f>
        <v>0.22101918903750775</v>
      </c>
      <c r="I103" s="95"/>
      <c r="J103" s="115">
        <f>ROUND(H103*E103,0)</f>
        <v>0</v>
      </c>
      <c r="K103" s="95"/>
      <c r="L103" s="142"/>
      <c r="M103" s="83"/>
    </row>
    <row r="104" spans="1:13" ht="15.75" thickBot="1">
      <c r="A104" s="79">
        <v>23</v>
      </c>
      <c r="C104" s="76" t="s">
        <v>118</v>
      </c>
      <c r="D104" s="76" t="s">
        <v>440</v>
      </c>
      <c r="E104" s="139">
        <v>0</v>
      </c>
      <c r="F104" s="89"/>
      <c r="G104" s="95" t="s">
        <v>43</v>
      </c>
      <c r="H104" s="136">
        <f>H102</f>
        <v>0.22101918903750775</v>
      </c>
      <c r="I104" s="95"/>
      <c r="J104" s="139">
        <f>ROUND(H104*E104,0)</f>
        <v>0</v>
      </c>
      <c r="K104" s="95"/>
      <c r="L104" s="142"/>
      <c r="M104" s="83"/>
    </row>
    <row r="105" spans="1:13">
      <c r="A105" s="79">
        <v>24</v>
      </c>
      <c r="C105" s="83" t="s">
        <v>114</v>
      </c>
      <c r="D105" s="95"/>
      <c r="E105" s="96">
        <f>SUM(E100:E104)</f>
        <v>0</v>
      </c>
      <c r="F105" s="89"/>
      <c r="G105" s="95"/>
      <c r="H105" s="95"/>
      <c r="I105" s="95"/>
      <c r="J105" s="96">
        <f>SUM(J100:J104)</f>
        <v>0</v>
      </c>
      <c r="K105" s="95"/>
      <c r="L105" s="95"/>
      <c r="M105" s="83"/>
    </row>
    <row r="106" spans="1:13">
      <c r="A106" s="79"/>
      <c r="D106" s="95"/>
      <c r="E106" s="115"/>
      <c r="F106" s="89"/>
      <c r="G106" s="95"/>
      <c r="H106" s="142"/>
      <c r="I106" s="95"/>
      <c r="J106" s="115"/>
      <c r="K106" s="95"/>
      <c r="L106" s="142"/>
      <c r="M106" s="83"/>
    </row>
    <row r="107" spans="1:13">
      <c r="A107" s="79">
        <v>25</v>
      </c>
      <c r="C107" s="143" t="s">
        <v>503</v>
      </c>
      <c r="D107" s="95" t="s">
        <v>515</v>
      </c>
      <c r="E107" s="96">
        <f>'P 2 of 8 Land Held for Future'!C23</f>
        <v>0</v>
      </c>
      <c r="F107" s="89"/>
      <c r="G107" s="95" t="s">
        <v>5</v>
      </c>
      <c r="H107" s="136">
        <v>0</v>
      </c>
      <c r="I107" s="95"/>
      <c r="J107" s="96">
        <f>ROUND(H107*E107,0)</f>
        <v>0</v>
      </c>
      <c r="K107" s="95"/>
      <c r="L107" s="95"/>
      <c r="M107" s="83"/>
    </row>
    <row r="108" spans="1:13">
      <c r="A108" s="79"/>
      <c r="C108" s="83"/>
      <c r="D108" s="95"/>
      <c r="E108" s="115"/>
      <c r="F108" s="89"/>
      <c r="G108" s="95"/>
      <c r="H108" s="95"/>
      <c r="I108" s="95"/>
      <c r="J108" s="115"/>
      <c r="K108" s="95"/>
      <c r="L108" s="95"/>
      <c r="M108" s="83"/>
    </row>
    <row r="109" spans="1:13">
      <c r="A109" s="79"/>
      <c r="C109" s="97" t="s">
        <v>444</v>
      </c>
      <c r="D109" s="95" t="s">
        <v>5</v>
      </c>
      <c r="E109" s="115"/>
      <c r="F109" s="89"/>
      <c r="G109" s="95"/>
      <c r="H109" s="95"/>
      <c r="I109" s="95"/>
      <c r="J109" s="115"/>
      <c r="K109" s="95"/>
      <c r="L109" s="95"/>
      <c r="M109" s="83"/>
    </row>
    <row r="110" spans="1:13">
      <c r="A110" s="79">
        <v>26</v>
      </c>
      <c r="C110" s="83" t="s">
        <v>502</v>
      </c>
      <c r="D110" s="76" t="s">
        <v>516</v>
      </c>
      <c r="E110" s="96">
        <f>ROUND(E144/8,0)</f>
        <v>13566271</v>
      </c>
      <c r="F110" s="89"/>
      <c r="G110" s="95"/>
      <c r="H110" s="142"/>
      <c r="I110" s="95"/>
      <c r="J110" s="115">
        <f>ROUND(J144/8,0)</f>
        <v>7182927</v>
      </c>
      <c r="K110" s="83"/>
      <c r="L110" s="142"/>
      <c r="M110" s="83"/>
    </row>
    <row r="111" spans="1:13">
      <c r="A111" s="79">
        <v>27</v>
      </c>
      <c r="C111" s="97" t="s">
        <v>445</v>
      </c>
      <c r="D111" s="95" t="s">
        <v>441</v>
      </c>
      <c r="E111" s="115">
        <f>'Pg 1 of 8 M&amp;S Alloc'!I16</f>
        <v>79225571</v>
      </c>
      <c r="F111" s="89"/>
      <c r="G111" s="95" t="s">
        <v>44</v>
      </c>
      <c r="H111" s="136">
        <f>J211</f>
        <v>0.90727863309517875</v>
      </c>
      <c r="I111" s="95"/>
      <c r="J111" s="115">
        <f>ROUND(H111*E111,0)</f>
        <v>71879668</v>
      </c>
      <c r="K111" s="95" t="s">
        <v>5</v>
      </c>
      <c r="L111" s="142"/>
      <c r="M111" s="83"/>
    </row>
    <row r="112" spans="1:13" ht="15.75" thickBot="1">
      <c r="A112" s="79">
        <v>28</v>
      </c>
      <c r="C112" s="83" t="s">
        <v>501</v>
      </c>
      <c r="D112" s="95" t="s">
        <v>517</v>
      </c>
      <c r="E112" s="145">
        <v>24227711</v>
      </c>
      <c r="F112" s="135"/>
      <c r="G112" s="95" t="s">
        <v>45</v>
      </c>
      <c r="H112" s="136">
        <f>H80</f>
        <v>0.17546375804223741</v>
      </c>
      <c r="I112" s="95"/>
      <c r="J112" s="139">
        <f>ROUND(H112*E112,0)</f>
        <v>4251085</v>
      </c>
      <c r="K112" s="95"/>
      <c r="M112" s="83"/>
    </row>
    <row r="113" spans="1:13">
      <c r="A113" s="79">
        <v>29</v>
      </c>
      <c r="C113" s="83" t="s">
        <v>46</v>
      </c>
      <c r="D113" s="83"/>
      <c r="E113" s="96">
        <f>E110+E111+E112</f>
        <v>117019553</v>
      </c>
      <c r="F113" s="91"/>
      <c r="G113" s="83"/>
      <c r="H113" s="83"/>
      <c r="I113" s="83"/>
      <c r="J113" s="96">
        <f>J110+J111+J112</f>
        <v>83313680</v>
      </c>
      <c r="K113" s="83"/>
      <c r="L113" s="83"/>
      <c r="M113" s="83"/>
    </row>
    <row r="114" spans="1:13" ht="15.75" thickBot="1">
      <c r="D114" s="95"/>
      <c r="E114" s="139"/>
      <c r="F114" s="89"/>
      <c r="G114" s="95"/>
      <c r="H114" s="95"/>
      <c r="I114" s="95"/>
      <c r="J114" s="139"/>
      <c r="K114" s="95"/>
      <c r="L114" s="95"/>
      <c r="M114" s="83"/>
    </row>
    <row r="115" spans="1:13" ht="15.75" thickBot="1">
      <c r="A115" s="79">
        <v>30</v>
      </c>
      <c r="C115" s="83" t="s">
        <v>120</v>
      </c>
      <c r="D115" s="95"/>
      <c r="E115" s="146">
        <f>E113+E107+E105+E97</f>
        <v>3171837752</v>
      </c>
      <c r="F115" s="89"/>
      <c r="G115" s="95"/>
      <c r="H115" s="142"/>
      <c r="I115" s="95"/>
      <c r="J115" s="146">
        <f>J113+J107+J105+J97</f>
        <v>758487121</v>
      </c>
      <c r="K115" s="95"/>
      <c r="L115" s="142"/>
      <c r="M115" s="95"/>
    </row>
    <row r="116" spans="1:13" ht="15.75" thickTop="1">
      <c r="A116" s="79"/>
      <c r="C116" s="83"/>
      <c r="D116" s="95"/>
      <c r="E116" s="95"/>
      <c r="F116" s="89"/>
      <c r="G116" s="95"/>
      <c r="H116" s="95"/>
      <c r="I116" s="95"/>
      <c r="J116" s="95"/>
      <c r="K116" s="95"/>
      <c r="L116" s="95"/>
      <c r="M116" s="95"/>
    </row>
    <row r="117" spans="1:13">
      <c r="A117" s="79"/>
      <c r="C117" s="77"/>
      <c r="D117" s="77"/>
      <c r="E117" s="78"/>
      <c r="F117" s="79"/>
      <c r="G117" s="77"/>
      <c r="H117" s="77"/>
      <c r="I117" s="77"/>
      <c r="K117" s="79"/>
      <c r="L117" s="81"/>
      <c r="M117" s="79"/>
    </row>
    <row r="118" spans="1:13" ht="18">
      <c r="A118" s="75"/>
      <c r="C118" s="77"/>
      <c r="D118" s="77"/>
      <c r="E118" s="78"/>
      <c r="F118" s="79"/>
      <c r="G118" s="77"/>
      <c r="H118" s="77"/>
      <c r="I118" s="77"/>
      <c r="J118" s="82" t="str">
        <f>J1</f>
        <v>Attachment H-24A</v>
      </c>
      <c r="K118" s="81"/>
      <c r="M118" s="81"/>
    </row>
    <row r="119" spans="1:13">
      <c r="C119" s="77"/>
      <c r="D119" s="77"/>
      <c r="E119" s="78"/>
      <c r="F119" s="79"/>
      <c r="G119" s="77"/>
      <c r="H119" s="77"/>
      <c r="I119" s="77"/>
      <c r="J119" s="82" t="s">
        <v>424</v>
      </c>
      <c r="M119" s="82"/>
    </row>
    <row r="120" spans="1:13">
      <c r="C120" s="77"/>
      <c r="D120" s="77"/>
      <c r="E120" s="78"/>
      <c r="F120" s="79"/>
      <c r="G120" s="77"/>
      <c r="H120" s="77"/>
      <c r="I120" s="77"/>
      <c r="J120" s="82"/>
      <c r="M120" s="82"/>
    </row>
    <row r="121" spans="1:13">
      <c r="C121" s="77"/>
      <c r="D121" s="77"/>
      <c r="E121" s="78"/>
      <c r="F121" s="79"/>
      <c r="G121" s="77"/>
      <c r="H121" s="77"/>
      <c r="I121" s="77"/>
      <c r="M121" s="82"/>
    </row>
    <row r="122" spans="1:13">
      <c r="C122" s="77"/>
      <c r="D122" s="77"/>
      <c r="E122" s="78"/>
      <c r="F122" s="79"/>
      <c r="G122" s="77"/>
      <c r="H122" s="77"/>
      <c r="I122" s="77"/>
      <c r="K122" s="83"/>
      <c r="M122" s="82"/>
    </row>
    <row r="123" spans="1:13">
      <c r="C123" s="77"/>
      <c r="D123" s="77"/>
      <c r="E123" s="78"/>
      <c r="F123" s="79"/>
      <c r="G123" s="77"/>
      <c r="H123" s="77"/>
      <c r="I123" s="77"/>
      <c r="J123" s="82"/>
      <c r="K123" s="83"/>
      <c r="M123" s="82"/>
    </row>
    <row r="124" spans="1:13">
      <c r="C124" s="77" t="s">
        <v>4</v>
      </c>
      <c r="D124" s="77"/>
      <c r="E124" s="78"/>
      <c r="F124" s="79"/>
      <c r="G124" s="77"/>
      <c r="H124" s="77"/>
      <c r="I124" s="77"/>
      <c r="J124" s="81" t="str">
        <f>J7</f>
        <v>For the 12 months ended 12/31/2025</v>
      </c>
      <c r="K124" s="83"/>
      <c r="M124" s="82"/>
    </row>
    <row r="125" spans="1:13">
      <c r="A125" s="85" t="str">
        <f>A8</f>
        <v>Rate Formula Template</v>
      </c>
      <c r="B125" s="86"/>
      <c r="C125" s="86"/>
      <c r="D125" s="85"/>
      <c r="E125" s="86"/>
      <c r="F125" s="79"/>
      <c r="G125" s="85"/>
      <c r="H125" s="85"/>
      <c r="I125" s="85"/>
      <c r="J125" s="86"/>
      <c r="K125" s="95"/>
      <c r="L125" s="86"/>
      <c r="M125" s="83"/>
    </row>
    <row r="126" spans="1:13">
      <c r="A126" s="147" t="str">
        <f>$A$9</f>
        <v>Utilizing EKPC 2025 Form FF1 Data (ver. FINAL - AUDITED)</v>
      </c>
      <c r="B126" s="86"/>
      <c r="C126" s="85"/>
      <c r="D126" s="88"/>
      <c r="E126" s="86"/>
      <c r="F126" s="89"/>
      <c r="G126" s="88"/>
      <c r="H126" s="88"/>
      <c r="I126" s="85"/>
      <c r="J126" s="85"/>
      <c r="K126" s="95"/>
      <c r="L126" s="90"/>
      <c r="M126" s="83"/>
    </row>
    <row r="127" spans="1:13">
      <c r="A127" s="90"/>
      <c r="B127" s="86"/>
      <c r="C127" s="90"/>
      <c r="D127" s="90"/>
      <c r="E127" s="86"/>
      <c r="F127" s="91"/>
      <c r="G127" s="90"/>
      <c r="H127" s="90"/>
      <c r="I127" s="90"/>
      <c r="J127" s="90"/>
      <c r="K127" s="95"/>
      <c r="L127" s="90"/>
      <c r="M127" s="83"/>
    </row>
    <row r="128" spans="1:13">
      <c r="A128" s="127" t="str">
        <f>$A$11</f>
        <v>East Kentucky Power Cooperative, Inc.</v>
      </c>
      <c r="B128" s="86"/>
      <c r="C128" s="90"/>
      <c r="D128" s="90"/>
      <c r="E128" s="86"/>
      <c r="F128" s="91"/>
      <c r="G128" s="90"/>
      <c r="H128" s="90"/>
      <c r="I128" s="90"/>
      <c r="J128" s="90"/>
      <c r="K128" s="95"/>
      <c r="L128" s="90"/>
      <c r="M128" s="95"/>
    </row>
    <row r="129" spans="1:26">
      <c r="A129" s="79"/>
      <c r="K129" s="95"/>
      <c r="L129" s="95"/>
      <c r="M129" s="95"/>
    </row>
    <row r="130" spans="1:26" ht="15.75">
      <c r="A130" s="79"/>
      <c r="C130" s="91" t="s">
        <v>16</v>
      </c>
      <c r="D130" s="91" t="s">
        <v>17</v>
      </c>
      <c r="E130" s="91" t="s">
        <v>18</v>
      </c>
      <c r="F130" s="89" t="s">
        <v>5</v>
      </c>
      <c r="G130" s="95"/>
      <c r="H130" s="128" t="s">
        <v>19</v>
      </c>
      <c r="I130" s="95"/>
      <c r="J130" s="129" t="s">
        <v>20</v>
      </c>
      <c r="K130" s="95"/>
      <c r="L130" s="148"/>
      <c r="M130" s="77"/>
    </row>
    <row r="131" spans="1:26" ht="15.75">
      <c r="A131" s="79" t="s">
        <v>6</v>
      </c>
      <c r="C131" s="83"/>
      <c r="D131" s="89" t="s">
        <v>21</v>
      </c>
      <c r="E131" s="95"/>
      <c r="F131" s="89"/>
      <c r="G131" s="95"/>
      <c r="H131" s="79"/>
      <c r="I131" s="95"/>
      <c r="J131" s="79" t="s">
        <v>22</v>
      </c>
      <c r="K131" s="95"/>
      <c r="L131" s="148"/>
      <c r="M131" s="95"/>
    </row>
    <row r="132" spans="1:26" ht="15.75">
      <c r="A132" s="94" t="s">
        <v>8</v>
      </c>
      <c r="B132" s="149"/>
      <c r="C132" s="130"/>
      <c r="D132" s="150" t="s">
        <v>23</v>
      </c>
      <c r="E132" s="94" t="s">
        <v>24</v>
      </c>
      <c r="F132" s="132"/>
      <c r="G132" s="151" t="s">
        <v>11</v>
      </c>
      <c r="H132" s="152"/>
      <c r="I132" s="133"/>
      <c r="J132" s="153" t="s">
        <v>268</v>
      </c>
      <c r="K132" s="95"/>
      <c r="L132" s="148"/>
      <c r="M132" s="154"/>
    </row>
    <row r="133" spans="1:26" ht="15.75">
      <c r="C133" s="83"/>
      <c r="D133" s="95"/>
      <c r="E133" s="155"/>
      <c r="F133" s="156"/>
      <c r="G133" s="157"/>
      <c r="I133" s="158"/>
      <c r="J133" s="155"/>
      <c r="K133" s="95"/>
      <c r="L133" s="95"/>
      <c r="M133" s="95"/>
    </row>
    <row r="134" spans="1:26">
      <c r="A134" s="79"/>
      <c r="C134" s="83" t="s">
        <v>47</v>
      </c>
      <c r="D134" s="95"/>
      <c r="E134" s="95"/>
      <c r="F134" s="89"/>
      <c r="G134" s="95"/>
      <c r="H134" s="95"/>
      <c r="I134" s="95"/>
      <c r="J134" s="95"/>
      <c r="K134" s="95"/>
      <c r="L134" s="95"/>
      <c r="M134" s="95"/>
    </row>
    <row r="135" spans="1:26">
      <c r="A135" s="79">
        <v>1</v>
      </c>
      <c r="C135" s="83" t="s">
        <v>48</v>
      </c>
      <c r="D135" s="159" t="s">
        <v>451</v>
      </c>
      <c r="E135" s="96">
        <f>'Pg 4 of 8 Sch 1 Charges 561'!D28</f>
        <v>75410809</v>
      </c>
      <c r="F135" s="89"/>
      <c r="G135" s="95" t="s">
        <v>44</v>
      </c>
      <c r="H135" s="136">
        <f>J211</f>
        <v>0.90727863309517875</v>
      </c>
      <c r="I135" s="95"/>
      <c r="J135" s="96">
        <f>ROUND(H135*E135,0)</f>
        <v>68418616</v>
      </c>
      <c r="K135" s="83"/>
      <c r="L135" s="95"/>
      <c r="M135" s="95"/>
    </row>
    <row r="136" spans="1:26">
      <c r="A136" s="79">
        <v>2</v>
      </c>
      <c r="C136" s="160" t="s">
        <v>2</v>
      </c>
      <c r="D136" s="159" t="s">
        <v>452</v>
      </c>
      <c r="E136" s="138">
        <f>20085517+(1819018.25+182359.11+2476.12)</f>
        <v>22089370.48</v>
      </c>
      <c r="F136" s="135"/>
      <c r="G136" s="95" t="s">
        <v>44</v>
      </c>
      <c r="H136" s="136">
        <f>J$211</f>
        <v>0.90727863309517875</v>
      </c>
      <c r="I136" s="95"/>
      <c r="J136" s="115">
        <f t="shared" ref="J136:J143" si="2">ROUND(H136*E136,0)</f>
        <v>20041214</v>
      </c>
      <c r="K136" s="83"/>
      <c r="L136" s="161" t="s">
        <v>679</v>
      </c>
      <c r="M136" s="95"/>
    </row>
    <row r="137" spans="1:26">
      <c r="A137" s="79">
        <v>3</v>
      </c>
      <c r="C137" s="83" t="s">
        <v>49</v>
      </c>
      <c r="D137" s="159" t="s">
        <v>453</v>
      </c>
      <c r="E137" s="115">
        <f>'Pg 4 of 8 Sch 1 Charges 561'!D19</f>
        <v>57016586</v>
      </c>
      <c r="F137" s="89"/>
      <c r="G137" s="95" t="s">
        <v>31</v>
      </c>
      <c r="H137" s="136">
        <f>$J$219</f>
        <v>0.15946197715684252</v>
      </c>
      <c r="I137" s="95"/>
      <c r="J137" s="115">
        <f t="shared" si="2"/>
        <v>9091978</v>
      </c>
      <c r="K137" s="95"/>
      <c r="L137" s="95" t="s">
        <v>5</v>
      </c>
      <c r="M137" s="95"/>
    </row>
    <row r="138" spans="1:26">
      <c r="A138" s="79">
        <v>4</v>
      </c>
      <c r="C138" s="160" t="s">
        <v>270</v>
      </c>
      <c r="D138" s="95" t="s">
        <v>443</v>
      </c>
      <c r="E138" s="115">
        <v>0</v>
      </c>
      <c r="F138" s="89"/>
      <c r="G138" s="95" t="s">
        <v>31</v>
      </c>
      <c r="H138" s="136">
        <f>$J$219</f>
        <v>0.15946197715684252</v>
      </c>
      <c r="I138" s="95"/>
      <c r="J138" s="115">
        <f t="shared" si="2"/>
        <v>0</v>
      </c>
      <c r="K138" s="95"/>
      <c r="L138" s="95"/>
      <c r="M138" s="95"/>
    </row>
    <row r="139" spans="1:26">
      <c r="A139" s="79">
        <v>5</v>
      </c>
      <c r="C139" s="114" t="s">
        <v>467</v>
      </c>
      <c r="D139" s="104" t="s">
        <v>484</v>
      </c>
      <c r="E139" s="115">
        <f>'Pg 3 of 8 G&amp;A Adj'!D19</f>
        <v>426855</v>
      </c>
      <c r="F139" s="89"/>
      <c r="G139" s="95" t="s">
        <v>31</v>
      </c>
      <c r="H139" s="136">
        <f>$J$219</f>
        <v>0.15946197715684252</v>
      </c>
      <c r="I139" s="95"/>
      <c r="J139" s="115">
        <f t="shared" si="2"/>
        <v>68067</v>
      </c>
      <c r="K139" s="95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</row>
    <row r="140" spans="1:26">
      <c r="A140" s="162" t="s">
        <v>128</v>
      </c>
      <c r="C140" s="160" t="s">
        <v>466</v>
      </c>
      <c r="D140" s="104" t="s">
        <v>484</v>
      </c>
      <c r="E140" s="115">
        <f>'Pg 3 of 8 G&amp;A Adj'!D22</f>
        <v>1758529</v>
      </c>
      <c r="F140" s="89"/>
      <c r="G140" s="95" t="s">
        <v>31</v>
      </c>
      <c r="H140" s="136">
        <f>$J$219</f>
        <v>0.15946197715684252</v>
      </c>
      <c r="I140" s="95"/>
      <c r="J140" s="115">
        <f t="shared" si="2"/>
        <v>280419</v>
      </c>
      <c r="K140" s="95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</row>
    <row r="141" spans="1:26">
      <c r="A141" s="111" t="s">
        <v>465</v>
      </c>
      <c r="C141" s="114" t="s">
        <v>468</v>
      </c>
      <c r="D141" s="104" t="s">
        <v>484</v>
      </c>
      <c r="E141" s="115">
        <f>'Pg 3 of 8 G&amp;A Adj'!D28</f>
        <v>377526.01122764521</v>
      </c>
      <c r="F141" s="89"/>
      <c r="G141" s="163" t="str">
        <f>G135</f>
        <v>TE</v>
      </c>
      <c r="H141" s="136">
        <f>H135</f>
        <v>0.90727863309517875</v>
      </c>
      <c r="I141" s="95"/>
      <c r="J141" s="115">
        <f t="shared" si="2"/>
        <v>342521</v>
      </c>
      <c r="K141" s="95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7"/>
    </row>
    <row r="142" spans="1:26">
      <c r="A142" s="79">
        <v>6</v>
      </c>
      <c r="C142" s="83" t="s">
        <v>32</v>
      </c>
      <c r="D142" s="95"/>
      <c r="E142" s="138">
        <v>0</v>
      </c>
      <c r="F142" s="89"/>
      <c r="G142" s="95" t="s">
        <v>79</v>
      </c>
      <c r="H142" s="136">
        <f>H87</f>
        <v>0</v>
      </c>
      <c r="I142" s="95"/>
      <c r="J142" s="115">
        <f t="shared" si="2"/>
        <v>0</v>
      </c>
      <c r="K142" s="95"/>
      <c r="L142" s="95"/>
      <c r="M142" s="95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</row>
    <row r="143" spans="1:26" ht="15.75" thickBot="1">
      <c r="A143" s="79">
        <v>7</v>
      </c>
      <c r="C143" s="83" t="s">
        <v>50</v>
      </c>
      <c r="D143" s="95"/>
      <c r="E143" s="139">
        <v>0</v>
      </c>
      <c r="F143" s="89"/>
      <c r="G143" s="95" t="s">
        <v>5</v>
      </c>
      <c r="H143" s="136">
        <v>1</v>
      </c>
      <c r="I143" s="95"/>
      <c r="J143" s="115">
        <f t="shared" si="2"/>
        <v>0</v>
      </c>
      <c r="K143" s="95"/>
      <c r="L143" s="95"/>
      <c r="M143" s="95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Z143" s="117"/>
    </row>
    <row r="144" spans="1:26">
      <c r="A144" s="79">
        <v>8</v>
      </c>
      <c r="C144" s="83" t="s">
        <v>673</v>
      </c>
      <c r="D144" s="95"/>
      <c r="E144" s="96">
        <f>E135-E136+E137-E138-E139-E140+E141+E142+E143</f>
        <v>108530166.53122765</v>
      </c>
      <c r="F144" s="89"/>
      <c r="G144" s="95"/>
      <c r="H144" s="95"/>
      <c r="I144" s="95"/>
      <c r="J144" s="96">
        <f>J135-J136+J137-J138-J139-J140+J141+J142+J143</f>
        <v>57463415</v>
      </c>
      <c r="K144" s="95"/>
      <c r="L144" s="95"/>
      <c r="M144" s="95"/>
    </row>
    <row r="145" spans="1:14">
      <c r="A145" s="79"/>
      <c r="D145" s="95"/>
      <c r="E145" s="115"/>
      <c r="F145" s="89"/>
      <c r="G145" s="95"/>
      <c r="H145" s="95"/>
      <c r="I145" s="95"/>
      <c r="J145" s="115"/>
      <c r="K145" s="95"/>
      <c r="L145" s="95"/>
      <c r="M145" s="95"/>
    </row>
    <row r="146" spans="1:14">
      <c r="A146" s="79"/>
      <c r="C146" s="83" t="s">
        <v>51</v>
      </c>
      <c r="D146" s="95"/>
      <c r="E146" s="115"/>
      <c r="F146" s="89"/>
      <c r="G146" s="95"/>
      <c r="H146" s="95"/>
      <c r="I146" s="95"/>
      <c r="J146" s="115"/>
      <c r="K146" s="95"/>
      <c r="L146" s="95"/>
      <c r="M146" s="95"/>
    </row>
    <row r="147" spans="1:14">
      <c r="A147" s="79">
        <v>9</v>
      </c>
      <c r="C147" s="83" t="str">
        <f>C135</f>
        <v xml:space="preserve">  Transmission </v>
      </c>
      <c r="D147" s="95" t="s">
        <v>317</v>
      </c>
      <c r="E147" s="106">
        <v>20395616</v>
      </c>
      <c r="F147" s="135"/>
      <c r="G147" s="95" t="s">
        <v>12</v>
      </c>
      <c r="H147" s="136">
        <f>J201</f>
        <v>0.97100598268647564</v>
      </c>
      <c r="I147" s="95"/>
      <c r="J147" s="96">
        <f>ROUND(H147*E147,0)</f>
        <v>19804265</v>
      </c>
      <c r="K147" s="95"/>
      <c r="M147" s="95"/>
    </row>
    <row r="148" spans="1:14">
      <c r="A148" s="79">
        <v>10</v>
      </c>
      <c r="C148" s="83" t="s">
        <v>525</v>
      </c>
      <c r="D148" s="95" t="s">
        <v>318</v>
      </c>
      <c r="E148" s="138">
        <f>1526604+939012</f>
        <v>2465616</v>
      </c>
      <c r="F148" s="135"/>
      <c r="G148" s="95" t="s">
        <v>31</v>
      </c>
      <c r="H148" s="136">
        <f>H137</f>
        <v>0.15946197715684252</v>
      </c>
      <c r="I148" s="95"/>
      <c r="J148" s="115">
        <f>ROUND(H148*E148,0)</f>
        <v>393172</v>
      </c>
      <c r="K148" s="95"/>
      <c r="M148" s="95"/>
    </row>
    <row r="149" spans="1:14" ht="15.75" thickBot="1">
      <c r="A149" s="79">
        <v>11</v>
      </c>
      <c r="C149" s="83" t="str">
        <f>C142</f>
        <v xml:space="preserve">  Common</v>
      </c>
      <c r="D149" s="95" t="s">
        <v>319</v>
      </c>
      <c r="E149" s="139">
        <v>0</v>
      </c>
      <c r="F149" s="89"/>
      <c r="G149" s="95" t="s">
        <v>79</v>
      </c>
      <c r="H149" s="136">
        <f>H142</f>
        <v>0</v>
      </c>
      <c r="I149" s="95"/>
      <c r="J149" s="139">
        <f>ROUND(H149*E149,0)</f>
        <v>0</v>
      </c>
      <c r="K149" s="95"/>
      <c r="L149" s="142"/>
      <c r="M149" s="95"/>
    </row>
    <row r="150" spans="1:14">
      <c r="A150" s="79">
        <v>12</v>
      </c>
      <c r="C150" s="83" t="s">
        <v>52</v>
      </c>
      <c r="D150" s="95"/>
      <c r="E150" s="96">
        <f>SUM(E147:E149)</f>
        <v>22861232</v>
      </c>
      <c r="F150" s="89"/>
      <c r="G150" s="95"/>
      <c r="H150" s="95"/>
      <c r="I150" s="95"/>
      <c r="J150" s="96">
        <f>SUM(J147:J149)</f>
        <v>20197437</v>
      </c>
      <c r="K150" s="95" t="s">
        <v>612</v>
      </c>
      <c r="L150" s="95"/>
      <c r="M150" s="95"/>
    </row>
    <row r="151" spans="1:14">
      <c r="A151" s="79"/>
      <c r="C151" s="83"/>
      <c r="D151" s="95"/>
      <c r="E151" s="115"/>
      <c r="F151" s="89"/>
      <c r="G151" s="95"/>
      <c r="H151" s="95"/>
      <c r="I151" s="95"/>
      <c r="J151" s="115"/>
      <c r="K151" s="95"/>
      <c r="L151" s="95"/>
      <c r="M151" s="95"/>
    </row>
    <row r="152" spans="1:14">
      <c r="A152" s="79" t="s">
        <v>5</v>
      </c>
      <c r="C152" s="97" t="s">
        <v>500</v>
      </c>
      <c r="D152" s="98"/>
      <c r="E152" s="115"/>
      <c r="F152" s="89"/>
      <c r="G152" s="95"/>
      <c r="H152" s="95"/>
      <c r="I152" s="95"/>
      <c r="J152" s="115"/>
      <c r="K152" s="95"/>
      <c r="L152" s="95"/>
      <c r="M152" s="95"/>
    </row>
    <row r="153" spans="1:14">
      <c r="A153" s="79"/>
      <c r="C153" s="83" t="s">
        <v>53</v>
      </c>
      <c r="E153" s="115"/>
      <c r="F153" s="89"/>
      <c r="G153" s="95"/>
      <c r="I153" s="95"/>
      <c r="J153" s="115"/>
      <c r="K153" s="95"/>
      <c r="L153" s="142"/>
      <c r="M153" s="95"/>
    </row>
    <row r="154" spans="1:14" ht="15.75">
      <c r="A154" s="79">
        <v>13</v>
      </c>
      <c r="C154" s="164" t="s">
        <v>526</v>
      </c>
      <c r="D154" s="95" t="s">
        <v>485</v>
      </c>
      <c r="E154" s="96">
        <v>0</v>
      </c>
      <c r="F154" s="89"/>
      <c r="G154" s="95" t="s">
        <v>31</v>
      </c>
      <c r="H154" s="136">
        <f>$J$219</f>
        <v>0.15946197715684252</v>
      </c>
      <c r="I154" s="95"/>
      <c r="J154" s="96">
        <f>ROUND(H154*E154,0)</f>
        <v>0</v>
      </c>
      <c r="K154" s="95"/>
      <c r="L154" s="165"/>
      <c r="M154" s="95"/>
      <c r="N154" s="117"/>
    </row>
    <row r="155" spans="1:14">
      <c r="A155" s="79">
        <v>14</v>
      </c>
      <c r="C155" s="164" t="s">
        <v>271</v>
      </c>
      <c r="D155" s="95" t="s">
        <v>485</v>
      </c>
      <c r="E155" s="115">
        <v>0</v>
      </c>
      <c r="F155" s="89"/>
      <c r="G155" s="95" t="s">
        <v>31</v>
      </c>
      <c r="H155" s="136">
        <f>$J$219</f>
        <v>0.15946197715684252</v>
      </c>
      <c r="I155" s="95"/>
      <c r="J155" s="115">
        <f>ROUND(H155*E155,0)</f>
        <v>0</v>
      </c>
      <c r="K155" s="95"/>
      <c r="L155" s="166"/>
      <c r="M155" s="95"/>
    </row>
    <row r="156" spans="1:14">
      <c r="A156" s="79">
        <v>15</v>
      </c>
      <c r="C156" s="83" t="s">
        <v>54</v>
      </c>
      <c r="D156" s="95" t="s">
        <v>5</v>
      </c>
      <c r="E156" s="115"/>
      <c r="F156" s="89"/>
      <c r="G156" s="95"/>
      <c r="I156" s="95"/>
      <c r="J156" s="115"/>
      <c r="K156" s="95"/>
      <c r="L156" s="142"/>
      <c r="M156" s="95"/>
    </row>
    <row r="157" spans="1:14">
      <c r="A157" s="79">
        <v>16</v>
      </c>
      <c r="C157" s="83" t="s">
        <v>527</v>
      </c>
      <c r="D157" s="95" t="s">
        <v>485</v>
      </c>
      <c r="E157" s="115">
        <v>0</v>
      </c>
      <c r="F157" s="89"/>
      <c r="G157" s="95" t="s">
        <v>45</v>
      </c>
      <c r="H157" s="103">
        <f>H80</f>
        <v>0.17546375804223741</v>
      </c>
      <c r="I157" s="95"/>
      <c r="J157" s="115">
        <f>ROUND(H157*E157,0)</f>
        <v>0</v>
      </c>
      <c r="K157" s="95"/>
      <c r="L157" s="142"/>
      <c r="M157" s="95"/>
    </row>
    <row r="158" spans="1:14">
      <c r="A158" s="79">
        <v>17</v>
      </c>
      <c r="C158" s="83" t="s">
        <v>55</v>
      </c>
      <c r="D158" s="95"/>
      <c r="E158" s="115">
        <v>0</v>
      </c>
      <c r="F158" s="89"/>
      <c r="G158" s="95" t="str">
        <f>G100</f>
        <v>NA</v>
      </c>
      <c r="H158" s="167" t="s">
        <v>27</v>
      </c>
      <c r="I158" s="95"/>
      <c r="J158" s="115">
        <v>0</v>
      </c>
      <c r="K158" s="95"/>
      <c r="L158" s="142"/>
      <c r="M158" s="95"/>
      <c r="N158" s="83"/>
    </row>
    <row r="159" spans="1:14">
      <c r="A159" s="79">
        <v>18</v>
      </c>
      <c r="C159" s="83" t="s">
        <v>56</v>
      </c>
      <c r="D159" s="95"/>
      <c r="E159" s="115">
        <v>0</v>
      </c>
      <c r="F159" s="89"/>
      <c r="G159" s="95" t="str">
        <f>G157</f>
        <v>GP</v>
      </c>
      <c r="H159" s="103">
        <f>H157</f>
        <v>0.17546375804223741</v>
      </c>
      <c r="I159" s="95"/>
      <c r="J159" s="115">
        <f>ROUND(H159*E159,0)</f>
        <v>0</v>
      </c>
      <c r="K159" s="95"/>
      <c r="L159" s="142"/>
      <c r="M159" s="95"/>
      <c r="N159" s="83"/>
    </row>
    <row r="160" spans="1:14" ht="15.75" thickBot="1">
      <c r="A160" s="79">
        <v>19</v>
      </c>
      <c r="C160" s="83" t="s">
        <v>57</v>
      </c>
      <c r="D160" s="95"/>
      <c r="E160" s="139">
        <v>0</v>
      </c>
      <c r="F160" s="89"/>
      <c r="G160" s="95" t="s">
        <v>45</v>
      </c>
      <c r="H160" s="103">
        <f>H157</f>
        <v>0.17546375804223741</v>
      </c>
      <c r="I160" s="95"/>
      <c r="J160" s="139">
        <f>ROUND(H160*E160,0)</f>
        <v>0</v>
      </c>
      <c r="K160" s="95"/>
      <c r="L160" s="142"/>
      <c r="M160" s="95"/>
      <c r="N160" s="83"/>
    </row>
    <row r="161" spans="1:14">
      <c r="A161" s="79">
        <v>20</v>
      </c>
      <c r="C161" s="83" t="s">
        <v>58</v>
      </c>
      <c r="D161" s="95"/>
      <c r="E161" s="96">
        <f>E154+E155+E157+E158+E159+E160</f>
        <v>0</v>
      </c>
      <c r="F161" s="89"/>
      <c r="G161" s="95"/>
      <c r="H161" s="103"/>
      <c r="I161" s="95"/>
      <c r="J161" s="96">
        <f>J154+J155+J157+J158+J159+J160</f>
        <v>0</v>
      </c>
      <c r="K161" s="95"/>
      <c r="L161" s="95"/>
      <c r="M161" s="95"/>
      <c r="N161" s="83"/>
    </row>
    <row r="162" spans="1:14">
      <c r="A162" s="79"/>
      <c r="C162" s="83"/>
      <c r="D162" s="95"/>
      <c r="E162" s="115"/>
      <c r="F162" s="89"/>
      <c r="G162" s="95"/>
      <c r="H162" s="103"/>
      <c r="I162" s="95"/>
      <c r="J162" s="95"/>
      <c r="K162" s="95"/>
      <c r="L162" s="95"/>
      <c r="M162" s="95"/>
      <c r="N162" s="83"/>
    </row>
    <row r="163" spans="1:14">
      <c r="A163" s="79" t="s">
        <v>59</v>
      </c>
      <c r="C163" s="83"/>
      <c r="D163" s="95"/>
      <c r="E163" s="95"/>
      <c r="F163" s="89"/>
      <c r="G163" s="95"/>
      <c r="H163" s="103"/>
      <c r="I163" s="95"/>
      <c r="J163" s="95"/>
      <c r="K163" s="95"/>
      <c r="L163" s="95"/>
      <c r="M163" s="95"/>
      <c r="N163" s="83"/>
    </row>
    <row r="164" spans="1:14">
      <c r="A164" s="79" t="s">
        <v>5</v>
      </c>
      <c r="C164" s="97" t="s">
        <v>499</v>
      </c>
      <c r="D164" s="104" t="s">
        <v>486</v>
      </c>
      <c r="E164" s="95"/>
      <c r="F164" s="89"/>
      <c r="H164" s="168"/>
      <c r="I164" s="95"/>
      <c r="K164" s="95"/>
      <c r="M164" s="95"/>
      <c r="N164" s="95"/>
    </row>
    <row r="165" spans="1:14">
      <c r="A165" s="79">
        <v>21</v>
      </c>
      <c r="C165" s="166" t="s">
        <v>123</v>
      </c>
      <c r="D165" s="95"/>
      <c r="E165" s="169">
        <v>0</v>
      </c>
      <c r="F165" s="89"/>
      <c r="H165" s="168"/>
      <c r="I165" s="95"/>
      <c r="K165" s="95"/>
      <c r="M165" s="95"/>
      <c r="N165" s="95"/>
    </row>
    <row r="166" spans="1:14">
      <c r="A166" s="79">
        <v>22</v>
      </c>
      <c r="C166" s="76" t="s">
        <v>124</v>
      </c>
      <c r="D166" s="95"/>
      <c r="E166" s="169">
        <f>IF(E21&gt;0,(E165/(1-E165))*(1-J239/1),0)</f>
        <v>0</v>
      </c>
      <c r="F166" s="89"/>
      <c r="H166" s="168"/>
      <c r="I166" s="95"/>
      <c r="K166" s="95"/>
      <c r="M166" s="95"/>
      <c r="N166" s="95"/>
    </row>
    <row r="167" spans="1:14">
      <c r="A167" s="79">
        <v>23</v>
      </c>
      <c r="C167" s="166" t="s">
        <v>125</v>
      </c>
      <c r="D167" s="95"/>
      <c r="E167" s="170">
        <f>IF(E165&gt;0,1/(1-E165),0)</f>
        <v>0</v>
      </c>
      <c r="F167" s="89"/>
      <c r="H167" s="168"/>
      <c r="I167" s="95"/>
      <c r="J167" s="115"/>
      <c r="K167" s="95"/>
      <c r="M167" s="95"/>
      <c r="N167" s="95"/>
    </row>
    <row r="168" spans="1:14">
      <c r="A168" s="79">
        <v>24</v>
      </c>
      <c r="C168" s="83" t="s">
        <v>257</v>
      </c>
      <c r="D168" s="95" t="s">
        <v>256</v>
      </c>
      <c r="E168" s="115">
        <v>0</v>
      </c>
      <c r="F168" s="89"/>
      <c r="H168" s="168"/>
      <c r="I168" s="95"/>
      <c r="J168" s="115"/>
      <c r="K168" s="95"/>
      <c r="M168" s="95"/>
      <c r="N168" s="95"/>
    </row>
    <row r="169" spans="1:14">
      <c r="A169" s="79"/>
      <c r="C169" s="83"/>
      <c r="D169" s="95"/>
      <c r="E169" s="115"/>
      <c r="F169" s="89"/>
      <c r="H169" s="168"/>
      <c r="I169" s="95"/>
      <c r="J169" s="115"/>
      <c r="K169" s="95"/>
      <c r="M169" s="95"/>
    </row>
    <row r="170" spans="1:14">
      <c r="A170" s="79">
        <v>25</v>
      </c>
      <c r="C170" s="166" t="s">
        <v>259</v>
      </c>
      <c r="D170" s="171"/>
      <c r="E170" s="96">
        <f>E166*E175</f>
        <v>0</v>
      </c>
      <c r="F170" s="89"/>
      <c r="G170" s="95" t="s">
        <v>27</v>
      </c>
      <c r="H170" s="103"/>
      <c r="I170" s="95"/>
      <c r="J170" s="96">
        <f>E166*J175</f>
        <v>0</v>
      </c>
      <c r="K170" s="95"/>
      <c r="L170" s="104" t="s">
        <v>5</v>
      </c>
      <c r="M170" s="95"/>
    </row>
    <row r="171" spans="1:14" ht="15.75" thickBot="1">
      <c r="A171" s="79">
        <v>26</v>
      </c>
      <c r="C171" s="76" t="s">
        <v>126</v>
      </c>
      <c r="D171" s="171"/>
      <c r="E171" s="139">
        <f>E167*E168</f>
        <v>0</v>
      </c>
      <c r="F171" s="89"/>
      <c r="G171" s="76" t="s">
        <v>43</v>
      </c>
      <c r="H171" s="103">
        <f>H97</f>
        <v>0.22101918903750775</v>
      </c>
      <c r="I171" s="95"/>
      <c r="J171" s="139">
        <f>H171*E171</f>
        <v>0</v>
      </c>
      <c r="K171" s="95"/>
      <c r="L171" s="104"/>
      <c r="M171" s="95"/>
    </row>
    <row r="172" spans="1:14">
      <c r="A172" s="79">
        <v>27</v>
      </c>
      <c r="C172" s="172" t="s">
        <v>121</v>
      </c>
      <c r="D172" s="76" t="s">
        <v>127</v>
      </c>
      <c r="E172" s="173">
        <f>E170+E171</f>
        <v>0</v>
      </c>
      <c r="F172" s="89"/>
      <c r="G172" s="95" t="s">
        <v>5</v>
      </c>
      <c r="H172" s="103" t="s">
        <v>5</v>
      </c>
      <c r="I172" s="95"/>
      <c r="J172" s="173">
        <f>J170+J171</f>
        <v>0</v>
      </c>
      <c r="K172" s="95"/>
      <c r="L172" s="95"/>
      <c r="M172" s="95"/>
    </row>
    <row r="173" spans="1:14">
      <c r="A173" s="79" t="s">
        <v>5</v>
      </c>
      <c r="D173" s="174"/>
      <c r="E173" s="115"/>
      <c r="F173" s="89"/>
      <c r="G173" s="95"/>
      <c r="H173" s="103"/>
      <c r="I173" s="95"/>
      <c r="J173" s="115"/>
      <c r="K173" s="95"/>
      <c r="L173" s="95"/>
      <c r="M173" s="95"/>
    </row>
    <row r="174" spans="1:14">
      <c r="A174" s="79">
        <v>28</v>
      </c>
      <c r="C174" s="83" t="s">
        <v>60</v>
      </c>
      <c r="D174" s="142"/>
      <c r="K174" s="95"/>
      <c r="M174" s="95"/>
    </row>
    <row r="175" spans="1:14">
      <c r="A175" s="79"/>
      <c r="C175" s="172" t="s">
        <v>620</v>
      </c>
      <c r="E175" s="96">
        <f>J241*E115</f>
        <v>140662960.60691312</v>
      </c>
      <c r="F175" s="89"/>
      <c r="G175" s="95" t="s">
        <v>27</v>
      </c>
      <c r="H175" s="168"/>
      <c r="I175" s="95"/>
      <c r="J175" s="96">
        <f>J241*J115</f>
        <v>33636980.31363678</v>
      </c>
      <c r="K175" s="95"/>
      <c r="L175" s="142"/>
      <c r="M175" s="95"/>
    </row>
    <row r="176" spans="1:14">
      <c r="A176" s="79"/>
      <c r="C176" s="83"/>
      <c r="E176" s="115"/>
      <c r="F176" s="89"/>
      <c r="G176" s="95"/>
      <c r="H176" s="168"/>
      <c r="I176" s="95"/>
      <c r="J176" s="115"/>
      <c r="K176" s="95"/>
      <c r="L176" s="142"/>
      <c r="M176" s="95"/>
    </row>
    <row r="177" spans="1:13" ht="15.75" thickBot="1">
      <c r="A177" s="79">
        <v>29</v>
      </c>
      <c r="C177" s="83" t="s">
        <v>258</v>
      </c>
      <c r="D177" s="95"/>
      <c r="E177" s="146">
        <f>E175+E172+E161+E150+E144</f>
        <v>272054359.1381408</v>
      </c>
      <c r="F177" s="89"/>
      <c r="G177" s="95"/>
      <c r="H177" s="95"/>
      <c r="I177" s="95"/>
      <c r="J177" s="146">
        <f>J175+J172+J161+J150+J144</f>
        <v>111297832.31363678</v>
      </c>
      <c r="K177" s="83"/>
      <c r="L177" s="83"/>
      <c r="M177" s="83"/>
    </row>
    <row r="178" spans="1:13" ht="15.75" thickTop="1">
      <c r="A178" s="79"/>
      <c r="C178" s="83"/>
      <c r="D178" s="95"/>
      <c r="E178" s="95"/>
      <c r="F178" s="89"/>
      <c r="G178" s="95"/>
      <c r="H178" s="95"/>
      <c r="I178" s="95"/>
      <c r="J178" s="95"/>
      <c r="K178" s="83"/>
      <c r="L178" s="83"/>
      <c r="M178" s="83"/>
    </row>
    <row r="179" spans="1:13">
      <c r="A179" s="79"/>
      <c r="C179" s="83"/>
      <c r="D179" s="95"/>
      <c r="E179" s="95"/>
      <c r="F179" s="89"/>
      <c r="G179" s="95"/>
      <c r="H179" s="95"/>
      <c r="I179" s="95"/>
      <c r="J179" s="95"/>
      <c r="K179" s="83"/>
      <c r="L179" s="83"/>
      <c r="M179" s="83"/>
    </row>
    <row r="180" spans="1:13">
      <c r="A180" s="79"/>
      <c r="C180" s="77"/>
      <c r="D180" s="77"/>
      <c r="E180" s="78"/>
      <c r="F180" s="79"/>
      <c r="G180" s="77"/>
      <c r="H180" s="77"/>
      <c r="I180" s="77"/>
      <c r="K180" s="79"/>
      <c r="L180" s="81"/>
      <c r="M180" s="79"/>
    </row>
    <row r="181" spans="1:13" ht="18">
      <c r="A181" s="75"/>
      <c r="C181" s="77"/>
      <c r="D181" s="77"/>
      <c r="E181" s="78"/>
      <c r="F181" s="79"/>
      <c r="G181" s="77"/>
      <c r="H181" s="77"/>
      <c r="I181" s="77"/>
      <c r="J181" s="82" t="str">
        <f>J1</f>
        <v>Attachment H-24A</v>
      </c>
      <c r="M181" s="81"/>
    </row>
    <row r="182" spans="1:13">
      <c r="C182" s="77"/>
      <c r="D182" s="77"/>
      <c r="E182" s="78"/>
      <c r="F182" s="79"/>
      <c r="G182" s="77"/>
      <c r="H182" s="77"/>
      <c r="I182" s="77"/>
      <c r="J182" s="82" t="s">
        <v>423</v>
      </c>
      <c r="M182" s="82"/>
    </row>
    <row r="183" spans="1:13">
      <c r="C183" s="77"/>
      <c r="D183" s="77"/>
      <c r="E183" s="78"/>
      <c r="F183" s="79"/>
      <c r="G183" s="77"/>
      <c r="H183" s="77"/>
      <c r="I183" s="77"/>
      <c r="M183" s="82"/>
    </row>
    <row r="184" spans="1:13">
      <c r="C184" s="77"/>
      <c r="D184" s="77"/>
      <c r="E184" s="78"/>
      <c r="F184" s="79"/>
      <c r="G184" s="77"/>
      <c r="H184" s="77"/>
      <c r="I184" s="77"/>
      <c r="M184" s="82"/>
    </row>
    <row r="185" spans="1:13">
      <c r="C185" s="77"/>
      <c r="D185" s="77"/>
      <c r="E185" s="78"/>
      <c r="F185" s="79"/>
      <c r="G185" s="77"/>
      <c r="H185" s="77"/>
      <c r="I185" s="77"/>
      <c r="M185" s="82"/>
    </row>
    <row r="186" spans="1:13">
      <c r="C186" s="77"/>
      <c r="D186" s="77"/>
      <c r="E186" s="78"/>
      <c r="F186" s="79"/>
      <c r="G186" s="77"/>
      <c r="H186" s="77"/>
      <c r="I186" s="77"/>
      <c r="J186" s="82"/>
      <c r="M186" s="82"/>
    </row>
    <row r="187" spans="1:13">
      <c r="C187" s="77" t="s">
        <v>4</v>
      </c>
      <c r="D187" s="77"/>
      <c r="E187" s="78"/>
      <c r="F187" s="79"/>
      <c r="G187" s="77"/>
      <c r="H187" s="77"/>
      <c r="I187" s="77"/>
      <c r="J187" s="81" t="str">
        <f>J7</f>
        <v>For the 12 months ended 12/31/2025</v>
      </c>
      <c r="M187" s="82"/>
    </row>
    <row r="188" spans="1:13">
      <c r="A188" s="85" t="str">
        <f>A8</f>
        <v>Rate Formula Template</v>
      </c>
      <c r="B188" s="86"/>
      <c r="C188" s="86"/>
      <c r="D188" s="85"/>
      <c r="E188" s="86"/>
      <c r="F188" s="79"/>
      <c r="G188" s="85"/>
      <c r="H188" s="85"/>
      <c r="I188" s="85"/>
      <c r="J188" s="86"/>
      <c r="K188" s="90"/>
      <c r="L188" s="86"/>
      <c r="M188" s="83"/>
    </row>
    <row r="189" spans="1:13">
      <c r="A189" s="147" t="str">
        <f>$A$9</f>
        <v>Utilizing EKPC 2025 Form FF1 Data (ver. FINAL - AUDITED)</v>
      </c>
      <c r="B189" s="86"/>
      <c r="C189" s="85"/>
      <c r="D189" s="88"/>
      <c r="E189" s="86"/>
      <c r="F189" s="89"/>
      <c r="G189" s="88"/>
      <c r="H189" s="88"/>
      <c r="I189" s="85"/>
      <c r="J189" s="85"/>
      <c r="K189" s="90"/>
      <c r="L189" s="90"/>
      <c r="M189" s="83"/>
    </row>
    <row r="190" spans="1:13">
      <c r="A190" s="90"/>
      <c r="B190" s="86"/>
      <c r="C190" s="90"/>
      <c r="D190" s="90"/>
      <c r="E190" s="86"/>
      <c r="F190" s="91"/>
      <c r="G190" s="90"/>
      <c r="H190" s="90"/>
      <c r="I190" s="90"/>
      <c r="J190" s="90"/>
      <c r="K190" s="90"/>
      <c r="L190" s="90"/>
      <c r="M190" s="95"/>
    </row>
    <row r="191" spans="1:13">
      <c r="A191" s="127" t="str">
        <f>$A$11</f>
        <v>East Kentucky Power Cooperative, Inc.</v>
      </c>
      <c r="B191" s="86"/>
      <c r="C191" s="90"/>
      <c r="D191" s="90"/>
      <c r="E191" s="86"/>
      <c r="F191" s="91"/>
      <c r="G191" s="90"/>
      <c r="H191" s="90"/>
      <c r="I191" s="90"/>
      <c r="J191" s="90"/>
      <c r="K191" s="90"/>
      <c r="L191" s="90"/>
      <c r="M191" s="95"/>
    </row>
    <row r="192" spans="1:13" ht="15.75">
      <c r="A192" s="175" t="s">
        <v>221</v>
      </c>
      <c r="B192" s="86"/>
      <c r="C192" s="86"/>
      <c r="D192" s="86"/>
      <c r="E192" s="86"/>
      <c r="F192" s="91"/>
      <c r="G192" s="90"/>
      <c r="H192" s="90"/>
      <c r="I192" s="90"/>
      <c r="J192" s="90"/>
      <c r="K192" s="88"/>
      <c r="L192" s="88"/>
      <c r="M192" s="95"/>
    </row>
    <row r="193" spans="1:21" ht="15.75">
      <c r="A193" s="79" t="s">
        <v>6</v>
      </c>
      <c r="C193" s="120"/>
      <c r="D193" s="83"/>
      <c r="E193" s="83"/>
      <c r="F193" s="91"/>
      <c r="G193" s="83"/>
      <c r="H193" s="83"/>
      <c r="I193" s="83"/>
      <c r="J193" s="83"/>
      <c r="K193" s="95"/>
      <c r="L193" s="95"/>
      <c r="M193" s="95"/>
    </row>
    <row r="194" spans="1:21" ht="15.75">
      <c r="A194" s="94" t="s">
        <v>8</v>
      </c>
      <c r="B194" s="149"/>
      <c r="C194" s="154" t="s">
        <v>247</v>
      </c>
      <c r="D194" s="83"/>
      <c r="E194" s="83"/>
      <c r="F194" s="91"/>
      <c r="G194" s="83"/>
      <c r="H194" s="83"/>
      <c r="K194" s="95"/>
      <c r="L194" s="95"/>
      <c r="M194" s="95"/>
    </row>
    <row r="195" spans="1:21">
      <c r="A195" s="79"/>
      <c r="C195" s="77"/>
      <c r="D195" s="83"/>
      <c r="E195" s="83"/>
      <c r="F195" s="91"/>
      <c r="G195" s="83"/>
      <c r="H195" s="83"/>
      <c r="I195" s="83"/>
      <c r="J195" s="83"/>
      <c r="K195" s="95"/>
      <c r="L195" s="95"/>
      <c r="M195" s="95"/>
    </row>
    <row r="196" spans="1:21">
      <c r="A196" s="79">
        <v>1</v>
      </c>
      <c r="C196" s="77" t="s">
        <v>248</v>
      </c>
      <c r="D196" s="83"/>
      <c r="E196" s="95"/>
      <c r="F196" s="89"/>
      <c r="G196" s="95"/>
      <c r="H196" s="95"/>
      <c r="I196" s="95"/>
      <c r="J196" s="115">
        <f>E76</f>
        <v>876224255</v>
      </c>
      <c r="K196" s="95"/>
      <c r="L196" s="95"/>
      <c r="M196" s="95"/>
    </row>
    <row r="197" spans="1:21">
      <c r="A197" s="79">
        <v>2</v>
      </c>
      <c r="C197" s="143" t="s">
        <v>446</v>
      </c>
      <c r="J197" s="115">
        <v>0</v>
      </c>
      <c r="K197" s="95"/>
      <c r="L197" s="95"/>
      <c r="M197" s="95"/>
    </row>
    <row r="198" spans="1:21" ht="15.75" thickBot="1">
      <c r="A198" s="79">
        <v>3</v>
      </c>
      <c r="C198" s="176" t="s">
        <v>498</v>
      </c>
      <c r="D198" s="177" t="s">
        <v>534</v>
      </c>
      <c r="E198" s="178"/>
      <c r="F198" s="89"/>
      <c r="G198" s="95"/>
      <c r="H198" s="89"/>
      <c r="I198" s="95"/>
      <c r="J198" s="139">
        <f>'Pg 5 of 8 Trans Plant In OATT'!C21</f>
        <v>25405261.219999999</v>
      </c>
      <c r="K198" s="95"/>
      <c r="M198" s="95"/>
    </row>
    <row r="199" spans="1:21">
      <c r="A199" s="79">
        <v>4</v>
      </c>
      <c r="C199" s="77" t="s">
        <v>249</v>
      </c>
      <c r="D199" s="83"/>
      <c r="E199" s="95"/>
      <c r="F199" s="89"/>
      <c r="G199" s="95"/>
      <c r="H199" s="89"/>
      <c r="I199" s="95"/>
      <c r="J199" s="115">
        <f>J196-J197-J198</f>
        <v>850818993.77999997</v>
      </c>
      <c r="K199" s="95"/>
      <c r="L199" s="95"/>
      <c r="M199" s="95"/>
    </row>
    <row r="200" spans="1:21">
      <c r="A200" s="79"/>
      <c r="D200" s="83"/>
      <c r="E200" s="95"/>
      <c r="F200" s="89"/>
      <c r="G200" s="95"/>
      <c r="H200" s="89"/>
      <c r="I200" s="95"/>
      <c r="K200" s="95"/>
      <c r="L200" s="95"/>
      <c r="M200" s="95"/>
    </row>
    <row r="201" spans="1:21">
      <c r="A201" s="79">
        <v>5</v>
      </c>
      <c r="C201" s="77" t="s">
        <v>250</v>
      </c>
      <c r="D201" s="93"/>
      <c r="E201" s="93"/>
      <c r="F201" s="129"/>
      <c r="G201" s="93"/>
      <c r="H201" s="129"/>
      <c r="I201" s="95" t="s">
        <v>64</v>
      </c>
      <c r="J201" s="144">
        <f>IF(J196&gt;0,J199/J196,0)</f>
        <v>0.97100598268647564</v>
      </c>
      <c r="K201" s="95"/>
      <c r="L201" s="95"/>
      <c r="M201" s="95"/>
      <c r="N201" s="117"/>
      <c r="O201" s="117"/>
      <c r="P201" s="117"/>
      <c r="Q201" s="117"/>
      <c r="R201" s="117"/>
      <c r="S201" s="117"/>
      <c r="T201" s="117"/>
      <c r="U201" s="117"/>
    </row>
    <row r="202" spans="1:21">
      <c r="A202" s="79"/>
      <c r="K202" s="95"/>
      <c r="L202" s="95"/>
      <c r="M202" s="95"/>
      <c r="N202" s="117"/>
      <c r="O202" s="117"/>
      <c r="P202" s="117"/>
      <c r="Q202" s="117"/>
      <c r="R202" s="117"/>
      <c r="S202" s="117"/>
      <c r="T202" s="117"/>
      <c r="U202" s="117"/>
    </row>
    <row r="203" spans="1:21" ht="15.75">
      <c r="A203" s="79"/>
      <c r="C203" s="120" t="s">
        <v>61</v>
      </c>
      <c r="K203" s="95"/>
      <c r="L203" s="95"/>
      <c r="M203" s="95"/>
      <c r="N203" s="117"/>
      <c r="O203" s="117"/>
      <c r="P203" s="117"/>
      <c r="Q203" s="117"/>
      <c r="R203" s="117"/>
      <c r="S203" s="117"/>
      <c r="T203" s="117"/>
      <c r="U203" s="117"/>
    </row>
    <row r="204" spans="1:21">
      <c r="A204" s="79"/>
      <c r="K204" s="95"/>
      <c r="L204" s="95"/>
      <c r="M204" s="95"/>
      <c r="N204" s="117"/>
      <c r="O204" s="117"/>
      <c r="P204" s="117"/>
      <c r="Q204" s="117"/>
      <c r="R204" s="117"/>
      <c r="S204" s="117"/>
      <c r="T204" s="117"/>
      <c r="U204" s="117"/>
    </row>
    <row r="205" spans="1:21">
      <c r="A205" s="79">
        <v>6</v>
      </c>
      <c r="C205" s="76" t="s">
        <v>62</v>
      </c>
      <c r="E205" s="83"/>
      <c r="F205" s="91"/>
      <c r="G205" s="83"/>
      <c r="H205" s="91"/>
      <c r="I205" s="83"/>
      <c r="J205" s="115">
        <f>E135</f>
        <v>75410809</v>
      </c>
      <c r="K205" s="95"/>
      <c r="L205" s="95"/>
      <c r="M205" s="95"/>
      <c r="N205" s="117"/>
      <c r="O205" s="117"/>
      <c r="P205" s="117"/>
      <c r="Q205" s="117"/>
      <c r="R205" s="117"/>
      <c r="S205" s="117"/>
      <c r="T205" s="117"/>
      <c r="U205" s="117"/>
    </row>
    <row r="206" spans="1:21" ht="15.75" thickBot="1">
      <c r="A206" s="79">
        <v>7</v>
      </c>
      <c r="C206" s="176" t="s">
        <v>497</v>
      </c>
      <c r="D206" s="177" t="s">
        <v>487</v>
      </c>
      <c r="E206" s="178"/>
      <c r="F206" s="179"/>
      <c r="G206" s="95"/>
      <c r="H206" s="95"/>
      <c r="I206" s="95"/>
      <c r="J206" s="139">
        <f>'Pg 4 of 8 Sch 1 Charges 561'!D42</f>
        <v>4949229.0199999996</v>
      </c>
      <c r="K206" s="95"/>
      <c r="M206" s="95"/>
      <c r="N206" s="117"/>
      <c r="O206" s="117"/>
      <c r="P206" s="117"/>
      <c r="Q206" s="117"/>
      <c r="R206" s="117"/>
      <c r="S206" s="117"/>
      <c r="T206" s="117"/>
      <c r="U206" s="117"/>
    </row>
    <row r="207" spans="1:21">
      <c r="A207" s="79">
        <v>8</v>
      </c>
      <c r="C207" s="77" t="s">
        <v>131</v>
      </c>
      <c r="D207" s="93"/>
      <c r="E207" s="93"/>
      <c r="F207" s="129"/>
      <c r="G207" s="93"/>
      <c r="H207" s="129"/>
      <c r="I207" s="93"/>
      <c r="J207" s="115">
        <f>J205-J206</f>
        <v>70461579.980000004</v>
      </c>
      <c r="M207" s="95"/>
      <c r="N207" s="117"/>
      <c r="O207" s="117"/>
      <c r="P207" s="117"/>
      <c r="Q207" s="117"/>
      <c r="R207" s="117"/>
      <c r="S207" s="117"/>
      <c r="T207" s="117"/>
      <c r="U207" s="117"/>
    </row>
    <row r="208" spans="1:21">
      <c r="A208" s="79"/>
      <c r="C208" s="77"/>
      <c r="D208" s="83"/>
      <c r="E208" s="95"/>
      <c r="F208" s="89"/>
      <c r="G208" s="95"/>
      <c r="H208" s="95"/>
      <c r="M208" s="95"/>
      <c r="N208" s="117"/>
      <c r="O208" s="117"/>
      <c r="P208" s="117"/>
      <c r="Q208" s="117"/>
      <c r="R208" s="117"/>
      <c r="S208" s="117"/>
      <c r="T208" s="117"/>
      <c r="U208" s="117"/>
    </row>
    <row r="209" spans="1:21">
      <c r="A209" s="79">
        <v>9</v>
      </c>
      <c r="C209" s="77" t="s">
        <v>130</v>
      </c>
      <c r="D209" s="83"/>
      <c r="E209" s="95"/>
      <c r="F209" s="89"/>
      <c r="G209" s="95"/>
      <c r="H209" s="95"/>
      <c r="I209" s="95"/>
      <c r="J209" s="136">
        <f>IF(J205&gt;0,J207/J205,0)</f>
        <v>0.93436976627581336</v>
      </c>
      <c r="M209" s="95"/>
      <c r="N209" s="117"/>
      <c r="O209" s="117"/>
      <c r="P209" s="117"/>
      <c r="Q209" s="117"/>
      <c r="R209" s="117"/>
      <c r="S209" s="117"/>
      <c r="T209" s="117"/>
      <c r="U209" s="117"/>
    </row>
    <row r="210" spans="1:21">
      <c r="A210" s="79">
        <v>10</v>
      </c>
      <c r="C210" s="77" t="s">
        <v>251</v>
      </c>
      <c r="D210" s="83"/>
      <c r="E210" s="95"/>
      <c r="F210" s="89"/>
      <c r="G210" s="95"/>
      <c r="H210" s="95"/>
      <c r="I210" s="83" t="s">
        <v>12</v>
      </c>
      <c r="J210" s="136">
        <f>J201</f>
        <v>0.97100598268647564</v>
      </c>
      <c r="M210" s="95"/>
      <c r="N210" s="117"/>
      <c r="O210" s="117"/>
      <c r="P210" s="117"/>
      <c r="Q210" s="117"/>
      <c r="R210" s="117"/>
      <c r="S210" s="117"/>
      <c r="T210" s="117"/>
      <c r="U210" s="117"/>
    </row>
    <row r="211" spans="1:21">
      <c r="A211" s="79">
        <v>11</v>
      </c>
      <c r="C211" s="77" t="s">
        <v>252</v>
      </c>
      <c r="D211" s="83"/>
      <c r="E211" s="83"/>
      <c r="F211" s="91"/>
      <c r="G211" s="83"/>
      <c r="H211" s="83"/>
      <c r="I211" s="83" t="s">
        <v>63</v>
      </c>
      <c r="J211" s="103">
        <f>J210*J209</f>
        <v>0.90727863309517875</v>
      </c>
      <c r="M211" s="95"/>
      <c r="N211" s="117"/>
      <c r="O211" s="117"/>
      <c r="P211" s="117"/>
      <c r="Q211" s="117"/>
      <c r="R211" s="117"/>
      <c r="S211" s="117"/>
      <c r="T211" s="117"/>
      <c r="U211" s="117"/>
    </row>
    <row r="212" spans="1:21">
      <c r="A212" s="79"/>
      <c r="D212" s="83"/>
      <c r="E212" s="95"/>
      <c r="F212" s="89"/>
      <c r="G212" s="95"/>
      <c r="H212" s="89"/>
      <c r="I212" s="95"/>
      <c r="M212" s="95"/>
      <c r="N212" s="117"/>
      <c r="O212" s="117"/>
      <c r="P212" s="117"/>
      <c r="Q212" s="117"/>
      <c r="R212" s="117"/>
      <c r="S212" s="117"/>
      <c r="T212" s="117"/>
      <c r="U212" s="117"/>
    </row>
    <row r="213" spans="1:21" ht="15.75">
      <c r="A213" s="79" t="s">
        <v>5</v>
      </c>
      <c r="C213" s="120" t="s">
        <v>65</v>
      </c>
      <c r="D213" s="95"/>
      <c r="E213" s="95"/>
      <c r="F213" s="89"/>
      <c r="G213" s="95"/>
      <c r="H213" s="95"/>
      <c r="I213" s="95"/>
      <c r="J213" s="95"/>
      <c r="K213" s="95"/>
      <c r="L213" s="95"/>
      <c r="M213" s="95"/>
      <c r="N213" s="117"/>
      <c r="O213" s="117"/>
      <c r="P213" s="117"/>
      <c r="Q213" s="117"/>
      <c r="R213" s="117"/>
      <c r="S213" s="117"/>
      <c r="T213" s="117"/>
      <c r="U213" s="117"/>
    </row>
    <row r="214" spans="1:21" ht="15.75" thickBot="1">
      <c r="A214" s="79" t="s">
        <v>5</v>
      </c>
      <c r="C214" s="83"/>
      <c r="D214" s="178" t="s">
        <v>66</v>
      </c>
      <c r="E214" s="179" t="s">
        <v>67</v>
      </c>
      <c r="F214" s="179" t="s">
        <v>12</v>
      </c>
      <c r="G214" s="95"/>
      <c r="H214" s="179" t="s">
        <v>68</v>
      </c>
      <c r="I214" s="95"/>
      <c r="J214" s="95"/>
      <c r="K214" s="95"/>
      <c r="L214" s="95"/>
      <c r="M214" s="95"/>
      <c r="N214" s="117"/>
      <c r="O214" s="117"/>
      <c r="P214" s="117"/>
      <c r="Q214" s="117"/>
      <c r="R214" s="117"/>
      <c r="S214" s="117"/>
      <c r="T214" s="117"/>
      <c r="U214" s="117"/>
    </row>
    <row r="215" spans="1:21">
      <c r="A215" s="79">
        <v>12</v>
      </c>
      <c r="C215" s="83" t="s">
        <v>26</v>
      </c>
      <c r="D215" s="95" t="s">
        <v>310</v>
      </c>
      <c r="E215" s="138">
        <v>52339789</v>
      </c>
      <c r="F215" s="180">
        <v>0</v>
      </c>
      <c r="G215" s="135"/>
      <c r="H215" s="115">
        <f>E215*F215</f>
        <v>0</v>
      </c>
      <c r="I215" s="95"/>
      <c r="J215" s="95"/>
      <c r="K215" s="95"/>
      <c r="L215" s="181"/>
      <c r="M215" s="95"/>
      <c r="N215" s="117"/>
      <c r="O215" s="117"/>
      <c r="P215" s="117"/>
      <c r="Q215" s="117"/>
      <c r="R215" s="117"/>
      <c r="S215" s="117"/>
      <c r="T215" s="117"/>
      <c r="U215" s="117"/>
    </row>
    <row r="216" spans="1:21">
      <c r="A216" s="79">
        <v>13</v>
      </c>
      <c r="C216" s="83" t="s">
        <v>28</v>
      </c>
      <c r="D216" s="95" t="s">
        <v>311</v>
      </c>
      <c r="E216" s="138">
        <v>14565173</v>
      </c>
      <c r="F216" s="180">
        <f>J201</f>
        <v>0.97100598268647564</v>
      </c>
      <c r="G216" s="135"/>
      <c r="H216" s="115">
        <f>E216*F216</f>
        <v>14142870.121863522</v>
      </c>
      <c r="I216" s="95"/>
      <c r="J216" s="95"/>
      <c r="K216" s="95"/>
      <c r="L216" s="181"/>
      <c r="M216" s="83"/>
      <c r="N216" s="117"/>
      <c r="O216" s="117"/>
      <c r="P216" s="117"/>
      <c r="Q216" s="117"/>
      <c r="R216" s="117"/>
      <c r="S216" s="117"/>
      <c r="T216" s="117"/>
      <c r="U216" s="117"/>
    </row>
    <row r="217" spans="1:21">
      <c r="A217" s="79">
        <v>14</v>
      </c>
      <c r="C217" s="83" t="s">
        <v>29</v>
      </c>
      <c r="D217" s="95" t="s">
        <v>69</v>
      </c>
      <c r="E217" s="138">
        <v>1348124</v>
      </c>
      <c r="F217" s="180">
        <v>0</v>
      </c>
      <c r="G217" s="135"/>
      <c r="H217" s="115">
        <f>E217*F217</f>
        <v>0</v>
      </c>
      <c r="I217" s="95"/>
      <c r="J217" s="89" t="s">
        <v>70</v>
      </c>
      <c r="K217" s="95"/>
      <c r="L217" s="181"/>
      <c r="M217" s="95"/>
      <c r="N217" s="117"/>
      <c r="O217" s="117"/>
      <c r="P217" s="117"/>
      <c r="Q217" s="117"/>
      <c r="R217" s="117"/>
      <c r="S217" s="117"/>
      <c r="T217" s="117"/>
      <c r="U217" s="117"/>
    </row>
    <row r="218" spans="1:21" ht="15.75" thickBot="1">
      <c r="A218" s="79">
        <v>15</v>
      </c>
      <c r="C218" s="83" t="s">
        <v>71</v>
      </c>
      <c r="D218" s="95" t="s">
        <v>674</v>
      </c>
      <c r="E218" s="138">
        <f>2182970+26175+18228944</f>
        <v>20438089</v>
      </c>
      <c r="F218" s="180">
        <v>0</v>
      </c>
      <c r="G218" s="135"/>
      <c r="H218" s="139">
        <f>E218*F218</f>
        <v>0</v>
      </c>
      <c r="I218" s="95"/>
      <c r="J218" s="79" t="s">
        <v>72</v>
      </c>
      <c r="K218" s="95"/>
      <c r="L218" s="181"/>
      <c r="M218" s="95"/>
      <c r="N218" s="117"/>
      <c r="O218" s="117"/>
      <c r="P218" s="117"/>
      <c r="Q218" s="117"/>
      <c r="R218" s="117"/>
      <c r="S218" s="117"/>
      <c r="T218" s="117"/>
      <c r="U218" s="117"/>
    </row>
    <row r="219" spans="1:21">
      <c r="A219" s="79">
        <v>16</v>
      </c>
      <c r="C219" s="83" t="s">
        <v>621</v>
      </c>
      <c r="D219" s="95"/>
      <c r="E219" s="115">
        <f>SUM(E215:E218)</f>
        <v>88691175</v>
      </c>
      <c r="F219" s="89"/>
      <c r="G219" s="95"/>
      <c r="H219" s="115">
        <f>SUM(H215:H218)</f>
        <v>14142870.121863522</v>
      </c>
      <c r="I219" s="91" t="s">
        <v>73</v>
      </c>
      <c r="J219" s="136">
        <f>IF(H219&gt;0,H219/E219,0)</f>
        <v>0.15946197715684252</v>
      </c>
      <c r="K219" s="117"/>
      <c r="L219" s="117"/>
      <c r="M219" s="95"/>
    </row>
    <row r="220" spans="1:21">
      <c r="A220" s="79"/>
      <c r="C220" s="83"/>
      <c r="D220" s="95"/>
      <c r="E220" s="95"/>
      <c r="F220" s="89"/>
      <c r="G220" s="95"/>
      <c r="H220" s="95"/>
      <c r="I220" s="95"/>
      <c r="J220" s="95"/>
      <c r="K220" s="117"/>
      <c r="L220" s="117"/>
      <c r="M220" s="95" t="s">
        <v>5</v>
      </c>
    </row>
    <row r="221" spans="1:21" ht="15.75">
      <c r="A221" s="79"/>
      <c r="C221" s="120" t="s">
        <v>255</v>
      </c>
      <c r="D221" s="95"/>
      <c r="E221" s="95"/>
      <c r="F221" s="89"/>
      <c r="G221" s="95"/>
      <c r="H221" s="95"/>
      <c r="I221" s="95"/>
      <c r="J221" s="95"/>
      <c r="K221" s="117"/>
      <c r="L221" s="117"/>
      <c r="M221" s="95"/>
    </row>
    <row r="222" spans="1:21">
      <c r="A222" s="79"/>
      <c r="C222" s="83"/>
      <c r="D222" s="95"/>
      <c r="E222" s="89" t="s">
        <v>86</v>
      </c>
      <c r="F222" s="89"/>
      <c r="G222" s="95"/>
      <c r="H222" s="89" t="s">
        <v>74</v>
      </c>
      <c r="I222" s="168" t="s">
        <v>5</v>
      </c>
      <c r="J222" s="142" t="str">
        <f>J217</f>
        <v>W&amp;S Allocator</v>
      </c>
      <c r="K222" s="117"/>
      <c r="L222" s="117"/>
      <c r="M222" s="95"/>
    </row>
    <row r="223" spans="1:21">
      <c r="A223" s="79">
        <v>17</v>
      </c>
      <c r="C223" s="83" t="s">
        <v>75</v>
      </c>
      <c r="D223" s="95" t="s">
        <v>76</v>
      </c>
      <c r="E223" s="182">
        <v>0</v>
      </c>
      <c r="F223" s="89"/>
      <c r="H223" s="79" t="s">
        <v>77</v>
      </c>
      <c r="I223" s="183"/>
      <c r="J223" s="79" t="s">
        <v>78</v>
      </c>
      <c r="K223" s="117"/>
      <c r="L223" s="117"/>
      <c r="M223" s="95"/>
    </row>
    <row r="224" spans="1:21">
      <c r="A224" s="79">
        <v>18</v>
      </c>
      <c r="C224" s="83" t="s">
        <v>80</v>
      </c>
      <c r="D224" s="95" t="s">
        <v>675</v>
      </c>
      <c r="E224" s="182">
        <v>0</v>
      </c>
      <c r="F224" s="89"/>
      <c r="H224" s="103">
        <f>IF(E226&gt;0,E223/E226,0)</f>
        <v>0</v>
      </c>
      <c r="I224" s="89" t="s">
        <v>81</v>
      </c>
      <c r="J224" s="103">
        <f>J219</f>
        <v>0.15946197715684252</v>
      </c>
      <c r="K224" s="117"/>
      <c r="L224" s="117"/>
      <c r="M224" s="95"/>
    </row>
    <row r="225" spans="1:13" ht="15.75" thickBot="1">
      <c r="A225" s="79">
        <v>19</v>
      </c>
      <c r="C225" s="184" t="s">
        <v>82</v>
      </c>
      <c r="D225" s="178" t="s">
        <v>676</v>
      </c>
      <c r="E225" s="185">
        <v>0</v>
      </c>
      <c r="F225" s="89"/>
      <c r="G225" s="95"/>
      <c r="H225" s="95" t="s">
        <v>5</v>
      </c>
      <c r="I225" s="95"/>
      <c r="J225" s="95">
        <f>H224*J224</f>
        <v>0</v>
      </c>
      <c r="K225" s="117"/>
      <c r="L225" s="117"/>
      <c r="M225" s="95"/>
    </row>
    <row r="226" spans="1:13">
      <c r="A226" s="79">
        <v>20</v>
      </c>
      <c r="C226" s="83" t="s">
        <v>622</v>
      </c>
      <c r="D226" s="95"/>
      <c r="E226" s="64">
        <f>E223+E224+E225</f>
        <v>0</v>
      </c>
      <c r="F226" s="89"/>
      <c r="G226" s="95"/>
      <c r="H226" s="95"/>
      <c r="I226" s="95"/>
      <c r="J226" s="95"/>
      <c r="K226" s="117"/>
      <c r="L226" s="117"/>
      <c r="M226" s="95"/>
    </row>
    <row r="227" spans="1:13">
      <c r="A227" s="79"/>
      <c r="C227" s="83"/>
      <c r="D227" s="95"/>
      <c r="F227" s="89"/>
      <c r="G227" s="95"/>
      <c r="H227" s="95"/>
      <c r="I227" s="95"/>
      <c r="J227" s="95"/>
      <c r="K227" s="117"/>
      <c r="L227" s="117"/>
      <c r="M227" s="95"/>
    </row>
    <row r="228" spans="1:13" ht="16.5" thickBot="1">
      <c r="A228" s="79"/>
      <c r="B228" s="77"/>
      <c r="C228" s="154" t="s">
        <v>83</v>
      </c>
      <c r="D228" s="95"/>
      <c r="E228" s="95"/>
      <c r="F228" s="89"/>
      <c r="G228" s="95"/>
      <c r="H228" s="95"/>
      <c r="I228" s="95"/>
      <c r="J228" s="179" t="s">
        <v>67</v>
      </c>
      <c r="K228" s="117"/>
      <c r="L228" s="117"/>
      <c r="M228" s="95"/>
    </row>
    <row r="229" spans="1:13">
      <c r="A229" s="79">
        <v>21</v>
      </c>
      <c r="B229" s="77"/>
      <c r="C229" s="77"/>
      <c r="D229" s="95" t="s">
        <v>320</v>
      </c>
      <c r="E229" s="95"/>
      <c r="F229" s="89"/>
      <c r="G229" s="95"/>
      <c r="H229" s="95"/>
      <c r="I229" s="95"/>
      <c r="J229" s="186">
        <f>'Pg 7 of 8 Cap Str'!C18</f>
        <v>114259747</v>
      </c>
      <c r="K229" s="117"/>
      <c r="L229" s="117"/>
      <c r="M229" s="95"/>
    </row>
    <row r="230" spans="1:13">
      <c r="A230" s="79">
        <v>22</v>
      </c>
      <c r="B230" s="77"/>
      <c r="C230" s="77"/>
      <c r="D230" s="95" t="s">
        <v>84</v>
      </c>
      <c r="E230" s="95"/>
      <c r="F230" s="89"/>
      <c r="G230" s="95"/>
      <c r="H230" s="95"/>
      <c r="I230" s="95"/>
      <c r="J230" s="187">
        <v>0</v>
      </c>
      <c r="K230" s="117"/>
      <c r="L230" s="117"/>
      <c r="M230" s="95"/>
    </row>
    <row r="231" spans="1:13">
      <c r="A231" s="79"/>
      <c r="B231" s="77"/>
      <c r="C231" s="77"/>
      <c r="D231" s="95"/>
      <c r="E231" s="95"/>
      <c r="F231" s="89"/>
      <c r="G231" s="95"/>
      <c r="H231" s="95"/>
      <c r="I231" s="95"/>
      <c r="J231" s="115"/>
      <c r="K231" s="117"/>
      <c r="L231" s="117"/>
      <c r="M231" s="95"/>
    </row>
    <row r="232" spans="1:13" ht="15.75">
      <c r="A232" s="79"/>
      <c r="B232" s="77"/>
      <c r="C232" s="154" t="s">
        <v>489</v>
      </c>
      <c r="D232" s="95"/>
      <c r="E232" s="95"/>
      <c r="F232" s="89"/>
      <c r="G232" s="95"/>
      <c r="H232" s="95"/>
      <c r="I232" s="95"/>
      <c r="J232" s="115"/>
      <c r="K232" s="117"/>
      <c r="L232" s="117"/>
      <c r="M232" s="95"/>
    </row>
    <row r="233" spans="1:13">
      <c r="A233" s="79">
        <v>23</v>
      </c>
      <c r="B233" s="77"/>
      <c r="C233" s="76" t="s">
        <v>458</v>
      </c>
      <c r="D233" s="76" t="s">
        <v>533</v>
      </c>
      <c r="J233" s="188">
        <f>'Pg 7 of 8 Cap Str'!C24</f>
        <v>3041155293</v>
      </c>
      <c r="K233" s="117"/>
      <c r="L233" s="117"/>
      <c r="M233" s="95"/>
    </row>
    <row r="234" spans="1:13">
      <c r="A234" s="79">
        <v>24</v>
      </c>
      <c r="B234" s="77"/>
      <c r="C234" s="95" t="s">
        <v>493</v>
      </c>
      <c r="D234" s="76" t="s">
        <v>490</v>
      </c>
      <c r="E234" s="77"/>
      <c r="F234" s="89"/>
      <c r="G234" s="95"/>
      <c r="H234" s="95"/>
      <c r="I234" s="95"/>
      <c r="J234" s="115">
        <f>'Pg 7 of 8 Cap Str'!C25</f>
        <v>823544172</v>
      </c>
      <c r="K234" s="117"/>
      <c r="L234" s="117"/>
      <c r="M234" s="95"/>
    </row>
    <row r="235" spans="1:13" ht="15.75" thickBot="1">
      <c r="A235" s="79">
        <v>25</v>
      </c>
      <c r="B235" s="77"/>
      <c r="C235" s="95" t="s">
        <v>491</v>
      </c>
      <c r="D235" s="76" t="s">
        <v>492</v>
      </c>
      <c r="E235" s="95"/>
      <c r="F235" s="89"/>
      <c r="G235" s="95"/>
      <c r="H235" s="95"/>
      <c r="I235" s="95"/>
      <c r="J235" s="139">
        <v>0</v>
      </c>
      <c r="K235" s="117"/>
      <c r="L235" s="117"/>
      <c r="M235" s="95"/>
    </row>
    <row r="236" spans="1:13">
      <c r="A236" s="79">
        <v>26</v>
      </c>
      <c r="B236" s="77"/>
      <c r="C236" s="77"/>
      <c r="D236" s="95" t="s">
        <v>541</v>
      </c>
      <c r="E236" s="77" t="s">
        <v>85</v>
      </c>
      <c r="F236" s="79"/>
      <c r="G236" s="77"/>
      <c r="H236" s="77"/>
      <c r="I236" s="77"/>
      <c r="J236" s="58">
        <f>J233+J234+J235</f>
        <v>3864699465</v>
      </c>
      <c r="K236" s="117"/>
      <c r="L236" s="117"/>
      <c r="M236" s="95"/>
    </row>
    <row r="237" spans="1:13">
      <c r="A237" s="79"/>
      <c r="C237" s="83"/>
      <c r="D237" s="95"/>
      <c r="E237" s="95"/>
      <c r="F237" s="89"/>
      <c r="G237" s="95"/>
      <c r="H237" s="89"/>
      <c r="I237" s="95"/>
      <c r="J237" s="95"/>
      <c r="K237" s="117"/>
      <c r="L237" s="117"/>
      <c r="M237" s="95"/>
    </row>
    <row r="238" spans="1:13" ht="15.75" thickBot="1">
      <c r="A238" s="79"/>
      <c r="C238" s="83"/>
      <c r="E238" s="99" t="s">
        <v>67</v>
      </c>
      <c r="F238" s="99" t="s">
        <v>86</v>
      </c>
      <c r="G238" s="95"/>
      <c r="H238" s="99" t="s">
        <v>537</v>
      </c>
      <c r="I238" s="95"/>
      <c r="J238" s="99" t="s">
        <v>87</v>
      </c>
      <c r="K238" s="117"/>
      <c r="L238" s="117"/>
      <c r="M238" s="95"/>
    </row>
    <row r="239" spans="1:13">
      <c r="A239" s="79">
        <v>27</v>
      </c>
      <c r="C239" s="76" t="s">
        <v>447</v>
      </c>
      <c r="D239" s="78" t="s">
        <v>496</v>
      </c>
      <c r="E239" s="115">
        <f>J233</f>
        <v>3041155293</v>
      </c>
      <c r="F239" s="189">
        <f>E239/E241</f>
        <v>0.78690602478710459</v>
      </c>
      <c r="G239" s="190"/>
      <c r="H239" s="18">
        <f>'Pg 7 of 8 Cap Str'!E24</f>
        <v>3.7571164900062209E-2</v>
      </c>
      <c r="J239" s="18">
        <f>F239*H239</f>
        <v>2.9564976018128748E-2</v>
      </c>
      <c r="K239" s="117"/>
      <c r="L239" s="117"/>
      <c r="M239" s="95"/>
    </row>
    <row r="240" spans="1:13" ht="16.5" thickBot="1">
      <c r="A240" s="79">
        <v>28</v>
      </c>
      <c r="C240" s="95" t="s">
        <v>321</v>
      </c>
      <c r="D240" s="98" t="s">
        <v>488</v>
      </c>
      <c r="E240" s="139">
        <f>J234</f>
        <v>823544172</v>
      </c>
      <c r="F240" s="189">
        <f>E240/E241</f>
        <v>0.21309397521289536</v>
      </c>
      <c r="G240" s="190"/>
      <c r="H240" s="60">
        <f>'Pg 7 of 8 Cap Str'!E25</f>
        <v>6.937074590821099E-2</v>
      </c>
      <c r="J240" s="59">
        <f>F240*H240</f>
        <v>1.4782488009064374E-2</v>
      </c>
      <c r="K240" s="117"/>
      <c r="L240" s="117"/>
      <c r="M240" s="95"/>
    </row>
    <row r="241" spans="1:20" ht="15.75">
      <c r="A241" s="79">
        <v>29</v>
      </c>
      <c r="C241" s="83" t="s">
        <v>378</v>
      </c>
      <c r="D241" s="98"/>
      <c r="E241" s="115">
        <f>E239+E240</f>
        <v>3864699465</v>
      </c>
      <c r="F241" s="189"/>
      <c r="G241" s="190"/>
      <c r="H241" s="191" t="s">
        <v>575</v>
      </c>
      <c r="J241" s="60">
        <f>J239+J240</f>
        <v>4.4347464027193126E-2</v>
      </c>
      <c r="K241" s="117"/>
      <c r="L241" s="117"/>
      <c r="M241" s="95"/>
    </row>
    <row r="242" spans="1:20">
      <c r="D242" s="98"/>
      <c r="M242" s="95"/>
    </row>
    <row r="243" spans="1:20" ht="15.75">
      <c r="A243" s="79">
        <v>30</v>
      </c>
      <c r="C243" s="76" t="s">
        <v>495</v>
      </c>
      <c r="D243" s="98" t="s">
        <v>538</v>
      </c>
      <c r="E243" s="115"/>
      <c r="F243" s="89" t="s">
        <v>5</v>
      </c>
      <c r="G243" s="95"/>
      <c r="H243" s="192" t="s">
        <v>379</v>
      </c>
      <c r="I243" s="193"/>
      <c r="J243" s="61">
        <f>(J239+J240)/J239</f>
        <v>1.5000000000000002</v>
      </c>
      <c r="M243" s="95"/>
    </row>
    <row r="244" spans="1:20" ht="15.75">
      <c r="C244" s="154"/>
      <c r="D244" s="98"/>
      <c r="J244" s="77"/>
      <c r="L244" s="95"/>
      <c r="M244" s="95"/>
    </row>
    <row r="245" spans="1:20" ht="15.75">
      <c r="A245" s="79"/>
      <c r="C245" s="154" t="s">
        <v>88</v>
      </c>
      <c r="D245" s="78"/>
      <c r="E245" s="77"/>
      <c r="F245" s="79"/>
      <c r="G245" s="77"/>
      <c r="H245" s="77"/>
      <c r="I245" s="77"/>
      <c r="J245" s="79"/>
      <c r="K245" s="77"/>
      <c r="L245" s="77"/>
      <c r="M245" s="95"/>
    </row>
    <row r="246" spans="1:20">
      <c r="A246" s="79"/>
      <c r="C246" s="77"/>
      <c r="D246" s="78"/>
      <c r="E246" s="77"/>
      <c r="F246" s="79"/>
      <c r="G246" s="77"/>
      <c r="H246" s="77"/>
      <c r="I246" s="77"/>
      <c r="J246" s="194"/>
      <c r="K246" s="79"/>
    </row>
    <row r="247" spans="1:20">
      <c r="A247" s="79"/>
      <c r="C247" s="143" t="s">
        <v>410</v>
      </c>
      <c r="D247" s="78"/>
      <c r="E247" s="77" t="s">
        <v>89</v>
      </c>
      <c r="F247" s="79"/>
      <c r="G247" s="77"/>
      <c r="H247" s="77" t="s">
        <v>5</v>
      </c>
      <c r="J247" s="187"/>
      <c r="K247" s="194"/>
      <c r="M247" s="117"/>
      <c r="N247" s="117"/>
    </row>
    <row r="248" spans="1:20">
      <c r="A248" s="79">
        <v>31</v>
      </c>
      <c r="C248" s="76" t="s">
        <v>322</v>
      </c>
      <c r="D248" s="78"/>
      <c r="E248" s="77"/>
      <c r="G248" s="77"/>
      <c r="J248" s="47">
        <v>0</v>
      </c>
      <c r="K248" s="195"/>
      <c r="M248" s="117"/>
      <c r="N248" s="117"/>
      <c r="O248" s="117"/>
      <c r="P248" s="117"/>
      <c r="Q248" s="117"/>
      <c r="R248" s="117"/>
      <c r="S248" s="117"/>
      <c r="T248" s="117"/>
    </row>
    <row r="249" spans="1:20" ht="15.75" thickBot="1">
      <c r="A249" s="79">
        <v>32</v>
      </c>
      <c r="C249" s="196" t="s">
        <v>260</v>
      </c>
      <c r="D249" s="177"/>
      <c r="E249" s="196"/>
      <c r="F249" s="99"/>
      <c r="G249" s="197"/>
      <c r="H249" s="197"/>
      <c r="I249" s="77"/>
      <c r="J249" s="198">
        <f>J247-J248</f>
        <v>0</v>
      </c>
      <c r="K249" s="199"/>
      <c r="M249" s="117"/>
      <c r="N249" s="117"/>
      <c r="O249" s="117"/>
      <c r="P249" s="117"/>
      <c r="Q249" s="117"/>
      <c r="R249" s="117"/>
      <c r="S249" s="117"/>
      <c r="T249" s="117"/>
    </row>
    <row r="250" spans="1:20">
      <c r="A250" s="79">
        <v>33</v>
      </c>
      <c r="C250" s="76" t="s">
        <v>90</v>
      </c>
      <c r="D250" s="108"/>
      <c r="F250" s="79"/>
      <c r="G250" s="77"/>
      <c r="H250" s="77"/>
      <c r="I250" s="77"/>
      <c r="J250" s="200">
        <f>J248-J249</f>
        <v>0</v>
      </c>
      <c r="K250" s="195"/>
    </row>
    <row r="251" spans="1:20">
      <c r="A251" s="79"/>
      <c r="C251" s="76" t="s">
        <v>5</v>
      </c>
      <c r="D251" s="108"/>
      <c r="F251" s="79"/>
      <c r="G251" s="77"/>
      <c r="H251" s="201"/>
      <c r="I251" s="77"/>
      <c r="K251" s="194"/>
      <c r="L251" s="202"/>
      <c r="M251" s="95"/>
    </row>
    <row r="252" spans="1:20">
      <c r="A252" s="79">
        <v>34</v>
      </c>
      <c r="C252" s="143" t="s">
        <v>494</v>
      </c>
      <c r="D252" s="108" t="s">
        <v>539</v>
      </c>
      <c r="F252" s="79"/>
      <c r="G252" s="77"/>
      <c r="H252" s="203"/>
      <c r="I252" s="77"/>
      <c r="J252" s="204">
        <f>ROUND('Pg 6 of 8 Rev Cred Support'!E24,0)</f>
        <v>138107</v>
      </c>
      <c r="K252" s="194"/>
      <c r="L252" s="202"/>
      <c r="M252" s="95"/>
    </row>
    <row r="253" spans="1:20">
      <c r="A253" s="79"/>
      <c r="D253" s="77"/>
      <c r="E253" s="77"/>
      <c r="F253" s="79"/>
      <c r="G253" s="77"/>
      <c r="H253" s="77"/>
      <c r="I253" s="77"/>
      <c r="J253" s="200"/>
      <c r="K253" s="194"/>
      <c r="L253" s="202"/>
      <c r="M253" s="95"/>
    </row>
    <row r="254" spans="1:20">
      <c r="A254" s="79">
        <v>35</v>
      </c>
      <c r="C254" s="143" t="s">
        <v>448</v>
      </c>
      <c r="D254" s="77" t="s">
        <v>540</v>
      </c>
      <c r="E254" s="77"/>
      <c r="F254" s="79"/>
      <c r="G254" s="77"/>
      <c r="H254" s="77"/>
      <c r="I254" s="77"/>
      <c r="J254" s="204">
        <f>'Pg 6 of 8 Rev Cred Support'!E46</f>
        <v>6821036.3699999992</v>
      </c>
      <c r="L254" s="202"/>
      <c r="M254" s="95"/>
    </row>
    <row r="255" spans="1:20">
      <c r="A255" s="79"/>
      <c r="C255" s="77"/>
      <c r="D255" s="77"/>
      <c r="E255" s="78"/>
      <c r="F255" s="79"/>
      <c r="G255" s="77"/>
      <c r="H255" s="77"/>
      <c r="I255" s="77"/>
      <c r="K255" s="79"/>
      <c r="L255" s="81"/>
      <c r="M255" s="79"/>
    </row>
    <row r="256" spans="1:20">
      <c r="C256" s="77"/>
      <c r="D256" s="77"/>
      <c r="E256" s="78"/>
      <c r="F256" s="79"/>
      <c r="G256" s="77"/>
      <c r="H256" s="77"/>
      <c r="I256" s="77"/>
      <c r="M256" s="82"/>
    </row>
    <row r="257" spans="1:13">
      <c r="C257" s="77"/>
      <c r="D257" s="77"/>
      <c r="E257" s="78"/>
      <c r="F257" s="79"/>
      <c r="G257" s="77"/>
      <c r="H257" s="77"/>
      <c r="I257" s="77"/>
      <c r="M257" s="82"/>
    </row>
    <row r="258" spans="1:13" ht="18">
      <c r="A258" s="75"/>
      <c r="C258" s="77"/>
      <c r="D258" s="77"/>
      <c r="E258" s="78"/>
      <c r="F258" s="79"/>
      <c r="G258" s="77"/>
      <c r="H258" s="77"/>
      <c r="I258" s="77"/>
      <c r="J258" s="82" t="str">
        <f>J1</f>
        <v>Attachment H-24A</v>
      </c>
      <c r="K258" s="81"/>
      <c r="M258" s="81"/>
    </row>
    <row r="259" spans="1:13">
      <c r="C259" s="77"/>
      <c r="D259" s="77"/>
      <c r="E259" s="78"/>
      <c r="F259" s="79"/>
      <c r="G259" s="77"/>
      <c r="H259" s="77"/>
      <c r="I259" s="77"/>
      <c r="J259" s="82" t="s">
        <v>422</v>
      </c>
      <c r="M259" s="82"/>
    </row>
    <row r="260" spans="1:13">
      <c r="C260" s="77"/>
      <c r="D260" s="77"/>
      <c r="E260" s="78"/>
      <c r="F260" s="79"/>
      <c r="G260" s="77"/>
      <c r="H260" s="77"/>
      <c r="I260" s="77"/>
      <c r="M260" s="82"/>
    </row>
    <row r="261" spans="1:13">
      <c r="C261" s="77"/>
      <c r="D261" s="77"/>
      <c r="E261" s="78"/>
      <c r="F261" s="79"/>
      <c r="G261" s="77"/>
      <c r="H261" s="77"/>
      <c r="I261" s="77"/>
      <c r="M261" s="82"/>
    </row>
    <row r="262" spans="1:13">
      <c r="C262" s="77"/>
      <c r="D262" s="77"/>
      <c r="E262" s="78"/>
      <c r="F262" s="79"/>
      <c r="G262" s="77"/>
      <c r="H262" s="77"/>
      <c r="I262" s="77"/>
      <c r="J262" s="82"/>
      <c r="K262" s="83"/>
      <c r="M262" s="82"/>
    </row>
    <row r="263" spans="1:13">
      <c r="C263" s="77" t="s">
        <v>4</v>
      </c>
      <c r="D263" s="77"/>
      <c r="E263" s="78"/>
      <c r="F263" s="79"/>
      <c r="G263" s="77"/>
      <c r="H263" s="77"/>
      <c r="I263" s="77"/>
      <c r="J263" s="81" t="str">
        <f>$J$7</f>
        <v>For the 12 months ended 12/31/2025</v>
      </c>
      <c r="K263" s="83"/>
      <c r="M263" s="82"/>
    </row>
    <row r="264" spans="1:13">
      <c r="C264" s="77"/>
      <c r="D264" s="77"/>
      <c r="E264" s="78"/>
      <c r="F264" s="79"/>
      <c r="G264" s="77"/>
      <c r="H264" s="77"/>
      <c r="I264" s="77"/>
      <c r="J264" s="86"/>
      <c r="K264" s="83"/>
      <c r="M264" s="82"/>
    </row>
    <row r="265" spans="1:13">
      <c r="A265" s="205" t="str">
        <f>$A$8</f>
        <v>Rate Formula Template</v>
      </c>
      <c r="B265" s="205"/>
      <c r="C265" s="205"/>
      <c r="D265" s="205"/>
      <c r="E265" s="205"/>
      <c r="F265" s="205"/>
      <c r="G265" s="205"/>
      <c r="H265" s="205"/>
      <c r="I265" s="205"/>
      <c r="J265" s="205"/>
      <c r="K265" s="77"/>
      <c r="L265" s="86"/>
      <c r="M265" s="83"/>
    </row>
    <row r="266" spans="1:13">
      <c r="A266" s="147" t="str">
        <f>$A$9</f>
        <v>Utilizing EKPC 2025 Form FF1 Data (ver. FINAL - AUDITED)</v>
      </c>
      <c r="B266" s="86"/>
      <c r="C266" s="85"/>
      <c r="D266" s="88"/>
      <c r="E266" s="86"/>
      <c r="F266" s="89"/>
      <c r="G266" s="88"/>
      <c r="H266" s="88"/>
      <c r="I266" s="85"/>
      <c r="J266" s="90"/>
      <c r="K266" s="77"/>
      <c r="L266" s="90"/>
      <c r="M266" s="83"/>
    </row>
    <row r="267" spans="1:13">
      <c r="A267" s="88"/>
      <c r="B267" s="86"/>
      <c r="C267" s="90"/>
      <c r="D267" s="90"/>
      <c r="E267" s="86"/>
      <c r="F267" s="91"/>
      <c r="G267" s="90"/>
      <c r="H267" s="90"/>
      <c r="I267" s="90"/>
      <c r="J267" s="90"/>
      <c r="K267" s="77"/>
      <c r="L267" s="90"/>
      <c r="M267" s="77"/>
    </row>
    <row r="268" spans="1:13">
      <c r="A268" s="206" t="str">
        <f>$A$11</f>
        <v>East Kentucky Power Cooperative, Inc.</v>
      </c>
      <c r="B268" s="206"/>
      <c r="C268" s="206"/>
      <c r="D268" s="206"/>
      <c r="E268" s="206"/>
      <c r="F268" s="206"/>
      <c r="G268" s="206"/>
      <c r="H268" s="206"/>
      <c r="I268" s="206"/>
      <c r="J268" s="206"/>
      <c r="K268" s="77"/>
      <c r="L268" s="90"/>
      <c r="M268" s="77"/>
    </row>
    <row r="269" spans="1:13" ht="15.75">
      <c r="A269" s="92"/>
      <c r="B269" s="77"/>
      <c r="C269" s="207"/>
      <c r="D269" s="79"/>
      <c r="E269" s="95"/>
      <c r="F269" s="89"/>
      <c r="G269" s="95"/>
      <c r="H269" s="95"/>
      <c r="I269" s="77"/>
      <c r="J269" s="95"/>
      <c r="K269" s="77"/>
      <c r="L269" s="208"/>
      <c r="M269" s="77"/>
    </row>
    <row r="270" spans="1:13" ht="20.25">
      <c r="A270" s="79"/>
      <c r="B270" s="77"/>
      <c r="C270" s="154" t="s">
        <v>91</v>
      </c>
      <c r="D270" s="148"/>
      <c r="E270" s="95"/>
      <c r="F270" s="89"/>
      <c r="G270" s="95"/>
      <c r="H270" s="95"/>
      <c r="I270" s="77"/>
      <c r="J270" s="95"/>
      <c r="K270" s="77"/>
      <c r="L270" s="95"/>
      <c r="M270" s="209"/>
    </row>
    <row r="271" spans="1:13" ht="20.25">
      <c r="A271" s="79" t="s">
        <v>93</v>
      </c>
      <c r="B271" s="77"/>
      <c r="C271" s="154" t="s">
        <v>92</v>
      </c>
      <c r="D271" s="154"/>
      <c r="E271" s="95"/>
      <c r="F271" s="89"/>
      <c r="G271" s="95"/>
      <c r="H271" s="95"/>
      <c r="I271" s="77"/>
      <c r="J271" s="95"/>
      <c r="K271" s="77"/>
      <c r="L271" s="95"/>
      <c r="M271" s="209"/>
    </row>
    <row r="272" spans="1:13" ht="20.25">
      <c r="A272" s="94" t="s">
        <v>94</v>
      </c>
      <c r="B272" s="77"/>
      <c r="C272" s="77"/>
      <c r="D272" s="77"/>
      <c r="E272" s="95"/>
      <c r="F272" s="89"/>
      <c r="G272" s="95"/>
      <c r="H272" s="95"/>
      <c r="I272" s="77"/>
      <c r="J272" s="95"/>
      <c r="K272" s="77"/>
      <c r="L272" s="95"/>
      <c r="M272" s="209"/>
    </row>
    <row r="273" spans="1:13" ht="20.25" customHeight="1">
      <c r="A273" s="111" t="s">
        <v>95</v>
      </c>
      <c r="C273" s="83" t="s">
        <v>292</v>
      </c>
      <c r="D273" s="83"/>
      <c r="E273" s="83"/>
      <c r="F273" s="91"/>
      <c r="G273" s="95"/>
      <c r="H273" s="95"/>
      <c r="I273" s="77"/>
      <c r="J273" s="95"/>
      <c r="K273" s="77"/>
      <c r="L273" s="95"/>
      <c r="M273" s="209"/>
    </row>
    <row r="274" spans="1:13" ht="20.25" customHeight="1">
      <c r="A274" s="111"/>
      <c r="C274" s="83" t="s">
        <v>242</v>
      </c>
      <c r="D274" s="210"/>
      <c r="E274" s="83"/>
      <c r="F274" s="91"/>
      <c r="G274" s="95"/>
      <c r="H274" s="95"/>
      <c r="I274" s="77"/>
      <c r="J274" s="95"/>
      <c r="K274" s="77"/>
      <c r="L274" s="95"/>
      <c r="M274" s="209"/>
    </row>
    <row r="275" spans="1:13" ht="20.25" customHeight="1">
      <c r="A275" s="111"/>
      <c r="C275" s="83" t="s">
        <v>272</v>
      </c>
      <c r="D275" s="83"/>
      <c r="E275" s="83"/>
      <c r="F275" s="91"/>
      <c r="G275" s="95"/>
      <c r="H275" s="95"/>
      <c r="I275" s="77"/>
      <c r="J275" s="95"/>
      <c r="K275" s="77"/>
      <c r="L275" s="95"/>
      <c r="M275" s="209"/>
    </row>
    <row r="276" spans="1:13" ht="20.25" customHeight="1">
      <c r="A276" s="111"/>
      <c r="C276" s="83" t="s">
        <v>421</v>
      </c>
      <c r="D276" s="83"/>
      <c r="E276" s="210"/>
      <c r="F276" s="91"/>
      <c r="G276" s="95"/>
      <c r="H276" s="95"/>
      <c r="I276" s="77"/>
      <c r="J276" s="95"/>
      <c r="K276" s="77"/>
      <c r="L276" s="95"/>
      <c r="M276" s="209"/>
    </row>
    <row r="277" spans="1:13" ht="20.25" customHeight="1">
      <c r="A277" s="111" t="s">
        <v>96</v>
      </c>
      <c r="B277" s="77"/>
      <c r="C277" s="77" t="s">
        <v>634</v>
      </c>
      <c r="D277" s="77"/>
      <c r="E277" s="95"/>
      <c r="F277" s="89"/>
      <c r="G277" s="95"/>
      <c r="H277" s="95"/>
      <c r="I277" s="77"/>
      <c r="J277" s="95"/>
      <c r="K277" s="77"/>
      <c r="L277" s="95"/>
      <c r="M277" s="209"/>
    </row>
    <row r="278" spans="1:13" ht="20.25" customHeight="1">
      <c r="A278" s="111" t="s">
        <v>97</v>
      </c>
      <c r="B278" s="77"/>
      <c r="C278" s="77" t="s">
        <v>544</v>
      </c>
      <c r="D278" s="77"/>
      <c r="E278" s="95"/>
      <c r="F278" s="89"/>
      <c r="G278" s="95"/>
      <c r="H278" s="95"/>
      <c r="I278" s="77"/>
      <c r="J278" s="95"/>
      <c r="K278" s="77"/>
      <c r="L278" s="95"/>
      <c r="M278" s="209"/>
    </row>
    <row r="279" spans="1:13" ht="20.25" customHeight="1">
      <c r="A279" s="111" t="s">
        <v>98</v>
      </c>
      <c r="B279" s="77"/>
      <c r="C279" s="77" t="s">
        <v>560</v>
      </c>
      <c r="D279" s="77"/>
      <c r="E279" s="95"/>
      <c r="F279" s="89"/>
      <c r="G279" s="95"/>
      <c r="H279" s="95"/>
      <c r="I279" s="77"/>
      <c r="J279" s="95"/>
      <c r="K279" s="77"/>
      <c r="L279" s="95"/>
      <c r="M279" s="209"/>
    </row>
    <row r="280" spans="1:13" ht="20.25" customHeight="1">
      <c r="A280" s="111"/>
      <c r="B280" s="77"/>
      <c r="C280" s="77" t="s">
        <v>390</v>
      </c>
      <c r="D280" s="77"/>
      <c r="E280" s="95"/>
      <c r="F280" s="89"/>
      <c r="G280" s="95"/>
      <c r="H280" s="95"/>
      <c r="I280" s="77"/>
      <c r="J280" s="95"/>
      <c r="K280" s="77"/>
      <c r="L280" s="95"/>
      <c r="M280" s="209"/>
    </row>
    <row r="281" spans="1:13" ht="20.25" customHeight="1">
      <c r="A281" s="111"/>
      <c r="B281" s="77"/>
      <c r="C281" s="77" t="s">
        <v>561</v>
      </c>
      <c r="D281" s="77"/>
      <c r="E281" s="95"/>
      <c r="F281" s="89"/>
      <c r="G281" s="95"/>
      <c r="H281" s="95"/>
      <c r="I281" s="77"/>
      <c r="J281" s="95"/>
      <c r="K281" s="77"/>
      <c r="L281" s="95"/>
      <c r="M281" s="209"/>
    </row>
    <row r="282" spans="1:13" ht="20.25" customHeight="1">
      <c r="A282" s="111" t="s">
        <v>99</v>
      </c>
      <c r="B282" s="77"/>
      <c r="C282" s="77" t="s">
        <v>562</v>
      </c>
      <c r="D282" s="77"/>
      <c r="E282" s="95"/>
      <c r="F282" s="89"/>
      <c r="G282" s="95"/>
      <c r="H282" s="95"/>
      <c r="I282" s="77"/>
      <c r="J282" s="95"/>
      <c r="K282" s="77"/>
      <c r="L282" s="95"/>
      <c r="M282" s="209"/>
    </row>
    <row r="283" spans="1:13" ht="20.25" customHeight="1">
      <c r="A283" s="111"/>
      <c r="B283" s="77"/>
      <c r="C283" s="77" t="s">
        <v>390</v>
      </c>
      <c r="D283" s="77"/>
      <c r="E283" s="95"/>
      <c r="F283" s="89"/>
      <c r="G283" s="95"/>
      <c r="H283" s="95"/>
      <c r="I283" s="77"/>
      <c r="J283" s="95"/>
      <c r="K283" s="77"/>
      <c r="L283" s="95"/>
      <c r="M283" s="209"/>
    </row>
    <row r="284" spans="1:13" ht="20.25" customHeight="1">
      <c r="A284" s="111"/>
      <c r="B284" s="77"/>
      <c r="C284" s="77" t="s">
        <v>563</v>
      </c>
      <c r="D284" s="77"/>
      <c r="E284" s="95"/>
      <c r="F284" s="89"/>
      <c r="G284" s="95"/>
      <c r="H284" s="95"/>
      <c r="I284" s="77"/>
      <c r="J284" s="95"/>
      <c r="K284" s="77"/>
      <c r="L284" s="95"/>
      <c r="M284" s="209"/>
    </row>
    <row r="285" spans="1:13" ht="20.25" customHeight="1">
      <c r="A285" s="111" t="s">
        <v>100</v>
      </c>
      <c r="B285" s="77"/>
      <c r="C285" s="77" t="s">
        <v>635</v>
      </c>
      <c r="D285" s="77"/>
      <c r="E285" s="95"/>
      <c r="F285" s="89"/>
      <c r="G285" s="95"/>
      <c r="H285" s="95"/>
      <c r="I285" s="77"/>
      <c r="J285" s="95"/>
      <c r="K285" s="77"/>
      <c r="L285" s="95"/>
      <c r="M285" s="209"/>
    </row>
    <row r="286" spans="1:13" ht="20.25" customHeight="1">
      <c r="A286" s="111" t="s">
        <v>101</v>
      </c>
      <c r="C286" s="77" t="s">
        <v>542</v>
      </c>
      <c r="D286" s="77"/>
      <c r="E286" s="95"/>
      <c r="F286" s="89"/>
      <c r="G286" s="95"/>
      <c r="H286" s="95"/>
      <c r="I286" s="77"/>
      <c r="J286" s="95"/>
      <c r="K286" s="77"/>
      <c r="L286" s="95"/>
      <c r="M286" s="209"/>
    </row>
    <row r="287" spans="1:13" ht="20.25" customHeight="1">
      <c r="A287" s="111"/>
      <c r="B287" s="77"/>
      <c r="C287" s="77" t="s">
        <v>545</v>
      </c>
      <c r="F287" s="89"/>
      <c r="G287" s="95"/>
      <c r="I287" s="77"/>
      <c r="J287" s="77"/>
      <c r="K287" s="77"/>
      <c r="L287" s="95"/>
      <c r="M287" s="209"/>
    </row>
    <row r="288" spans="1:13" ht="20.25" customHeight="1">
      <c r="A288" s="111" t="s">
        <v>102</v>
      </c>
      <c r="B288" s="77"/>
      <c r="C288" s="77" t="s">
        <v>636</v>
      </c>
      <c r="D288" s="77"/>
      <c r="E288" s="77"/>
      <c r="F288" s="79"/>
      <c r="G288" s="77"/>
      <c r="H288" s="77"/>
      <c r="I288" s="77"/>
      <c r="J288" s="95"/>
      <c r="K288" s="77"/>
      <c r="L288" s="95"/>
      <c r="M288" s="209"/>
    </row>
    <row r="289" spans="1:19" ht="20.25" customHeight="1">
      <c r="A289" s="111"/>
      <c r="B289" s="77"/>
      <c r="C289" s="76" t="s">
        <v>637</v>
      </c>
      <c r="D289" s="77"/>
      <c r="E289" s="77"/>
      <c r="F289" s="79"/>
      <c r="G289" s="77"/>
      <c r="H289" s="77"/>
      <c r="I289" s="77"/>
      <c r="J289" s="95"/>
      <c r="K289" s="77"/>
      <c r="L289" s="95"/>
      <c r="M289" s="209"/>
    </row>
    <row r="290" spans="1:19" ht="15" customHeight="1">
      <c r="A290" s="111"/>
      <c r="B290" s="77"/>
      <c r="C290" s="112" t="s">
        <v>638</v>
      </c>
      <c r="D290" s="112"/>
      <c r="E290" s="112"/>
      <c r="F290" s="112"/>
      <c r="G290" s="112"/>
      <c r="H290" s="112"/>
      <c r="I290" s="112"/>
      <c r="J290" s="112"/>
      <c r="K290" s="77"/>
      <c r="L290" s="95"/>
      <c r="M290" s="211"/>
      <c r="O290" s="117"/>
      <c r="P290" s="117"/>
      <c r="Q290" s="117"/>
      <c r="R290" s="117"/>
      <c r="S290" s="117"/>
    </row>
    <row r="291" spans="1:19" ht="20.25" customHeight="1">
      <c r="A291" s="111" t="s">
        <v>103</v>
      </c>
      <c r="B291" s="77"/>
      <c r="C291" s="77" t="s">
        <v>521</v>
      </c>
      <c r="D291" s="77"/>
      <c r="E291" s="77"/>
      <c r="F291" s="79"/>
      <c r="G291" s="77"/>
      <c r="H291" s="77"/>
      <c r="I291" s="77"/>
      <c r="J291" s="95"/>
      <c r="K291" s="77"/>
      <c r="L291" s="95"/>
      <c r="M291" s="211"/>
      <c r="O291" s="117"/>
      <c r="P291" s="117"/>
      <c r="Q291" s="117"/>
      <c r="R291" s="117"/>
      <c r="S291" s="117"/>
    </row>
    <row r="292" spans="1:19" ht="20.25" customHeight="1">
      <c r="A292" s="111"/>
      <c r="B292" s="77"/>
      <c r="C292" s="77" t="s">
        <v>522</v>
      </c>
      <c r="D292" s="77"/>
      <c r="E292" s="77"/>
      <c r="F292" s="79"/>
      <c r="G292" s="77"/>
      <c r="H292" s="77"/>
      <c r="I292" s="77"/>
      <c r="J292" s="95"/>
      <c r="K292" s="77"/>
      <c r="L292" s="95"/>
      <c r="M292" s="211"/>
      <c r="O292" s="117"/>
      <c r="P292" s="117"/>
      <c r="Q292" s="117"/>
      <c r="R292" s="117"/>
      <c r="S292" s="117"/>
    </row>
    <row r="293" spans="1:19" ht="20.25" customHeight="1">
      <c r="A293" s="111" t="s">
        <v>104</v>
      </c>
      <c r="B293" s="77"/>
      <c r="C293" s="77" t="s">
        <v>529</v>
      </c>
      <c r="D293" s="77"/>
      <c r="E293" s="77"/>
      <c r="F293" s="79"/>
      <c r="G293" s="77"/>
      <c r="H293" s="77"/>
      <c r="I293" s="77"/>
      <c r="J293" s="77"/>
      <c r="K293" s="77"/>
      <c r="L293" s="117"/>
      <c r="N293" s="117"/>
      <c r="O293" s="117"/>
    </row>
    <row r="294" spans="1:19" ht="20.25" customHeight="1">
      <c r="A294" s="111" t="s">
        <v>105</v>
      </c>
      <c r="B294" s="77"/>
      <c r="C294" s="77" t="s">
        <v>520</v>
      </c>
      <c r="D294" s="77"/>
      <c r="E294" s="77"/>
      <c r="I294" s="77"/>
      <c r="J294" s="95"/>
      <c r="K294" s="77"/>
      <c r="L294" s="95"/>
      <c r="M294" s="209"/>
    </row>
    <row r="295" spans="1:19" ht="20.25" customHeight="1">
      <c r="A295" s="111"/>
      <c r="B295" s="77"/>
      <c r="C295" s="77" t="s">
        <v>523</v>
      </c>
      <c r="D295" s="77"/>
      <c r="E295" s="77"/>
      <c r="F295" s="79"/>
      <c r="G295" s="77"/>
      <c r="H295" s="77"/>
      <c r="I295" s="77"/>
      <c r="J295" s="95"/>
      <c r="K295" s="77"/>
      <c r="L295" s="77"/>
      <c r="M295" s="209"/>
    </row>
    <row r="296" spans="1:19" ht="20.25" customHeight="1">
      <c r="A296" s="111"/>
      <c r="B296" s="77"/>
      <c r="C296" s="77" t="s">
        <v>524</v>
      </c>
      <c r="D296" s="77"/>
      <c r="E296" s="77"/>
      <c r="F296" s="79"/>
      <c r="G296" s="77"/>
      <c r="H296" s="77"/>
      <c r="I296" s="77"/>
      <c r="K296" s="77"/>
      <c r="L296" s="77"/>
      <c r="M296" s="209"/>
    </row>
    <row r="297" spans="1:19" ht="20.25" customHeight="1">
      <c r="A297" s="111" t="s">
        <v>106</v>
      </c>
      <c r="B297" s="77"/>
      <c r="C297" s="77" t="s">
        <v>639</v>
      </c>
      <c r="D297" s="77"/>
      <c r="E297" s="77"/>
      <c r="F297" s="79"/>
      <c r="G297" s="77"/>
      <c r="H297" s="77"/>
      <c r="I297" s="77"/>
      <c r="J297" s="77"/>
      <c r="L297" s="117"/>
      <c r="M297" s="117"/>
      <c r="N297" s="117"/>
    </row>
    <row r="298" spans="1:19" ht="20.25" customHeight="1">
      <c r="A298" s="111" t="s">
        <v>107</v>
      </c>
      <c r="B298" s="77"/>
      <c r="C298" s="77" t="s">
        <v>420</v>
      </c>
      <c r="D298" s="77"/>
      <c r="E298" s="77"/>
      <c r="F298" s="79"/>
      <c r="G298" s="77"/>
      <c r="H298" s="77"/>
      <c r="I298" s="77"/>
      <c r="J298" s="77"/>
      <c r="K298" s="77"/>
      <c r="L298" s="117"/>
      <c r="M298" s="117"/>
      <c r="N298" s="117"/>
    </row>
    <row r="299" spans="1:19" ht="20.25" customHeight="1">
      <c r="A299" s="111" t="s">
        <v>108</v>
      </c>
      <c r="B299" s="77"/>
      <c r="C299" s="77" t="s">
        <v>623</v>
      </c>
      <c r="D299" s="77"/>
      <c r="F299" s="79"/>
      <c r="G299" s="77"/>
      <c r="H299" s="77"/>
      <c r="I299" s="77"/>
      <c r="J299" s="77"/>
      <c r="K299" s="77"/>
      <c r="L299" s="117"/>
      <c r="M299" s="117"/>
      <c r="N299" s="117"/>
    </row>
    <row r="300" spans="1:19" ht="20.25" customHeight="1">
      <c r="A300" s="111" t="s">
        <v>109</v>
      </c>
      <c r="B300" s="77"/>
      <c r="C300" s="212" t="s">
        <v>640</v>
      </c>
      <c r="D300" s="77"/>
      <c r="F300" s="79"/>
      <c r="G300" s="77"/>
      <c r="H300" s="77"/>
      <c r="I300" s="77"/>
      <c r="J300" s="77"/>
      <c r="K300" s="77"/>
      <c r="L300" s="77"/>
      <c r="M300" s="209"/>
    </row>
    <row r="301" spans="1:19" ht="20.25" customHeight="1">
      <c r="A301" s="111" t="s">
        <v>110</v>
      </c>
      <c r="B301" s="77"/>
      <c r="C301" s="77" t="s">
        <v>113</v>
      </c>
      <c r="F301" s="79"/>
      <c r="G301" s="211"/>
      <c r="H301" s="77"/>
      <c r="I301" s="77"/>
      <c r="J301" s="77"/>
      <c r="K301" s="77"/>
      <c r="L301" s="77"/>
      <c r="M301" s="209"/>
    </row>
    <row r="302" spans="1:19" ht="20.25" customHeight="1">
      <c r="A302" s="111" t="s">
        <v>111</v>
      </c>
      <c r="B302" s="77"/>
      <c r="C302" s="77" t="s">
        <v>633</v>
      </c>
      <c r="K302" s="77"/>
      <c r="L302" s="77"/>
      <c r="M302" s="209"/>
    </row>
    <row r="303" spans="1:19">
      <c r="J303" s="77"/>
      <c r="K303" s="77"/>
      <c r="L303" s="117"/>
      <c r="M303" s="117"/>
      <c r="N303" s="117"/>
    </row>
    <row r="304" spans="1:19">
      <c r="J304" s="77"/>
      <c r="K304" s="77"/>
      <c r="L304" s="117"/>
      <c r="M304" s="117"/>
      <c r="N304" s="117"/>
    </row>
    <row r="305" spans="4:13" ht="20.25">
      <c r="I305" s="77"/>
      <c r="J305" s="77"/>
      <c r="K305" s="77"/>
      <c r="L305" s="77"/>
      <c r="M305" s="209"/>
    </row>
    <row r="306" spans="4:13" ht="20.25">
      <c r="K306" s="77"/>
      <c r="L306" s="77"/>
      <c r="M306" s="209"/>
    </row>
    <row r="307" spans="4:13" ht="20.25">
      <c r="F307" s="79"/>
      <c r="G307" s="77"/>
      <c r="H307" s="77"/>
      <c r="I307" s="77"/>
      <c r="J307" s="77"/>
      <c r="K307" s="77"/>
      <c r="L307" s="77"/>
      <c r="M307" s="209"/>
    </row>
    <row r="308" spans="4:13" ht="20.25">
      <c r="D308" s="77"/>
      <c r="E308" s="77"/>
      <c r="F308" s="79"/>
      <c r="G308" s="77"/>
      <c r="H308" s="77"/>
      <c r="I308" s="77"/>
      <c r="J308" s="77"/>
      <c r="K308" s="77"/>
      <c r="L308" s="77"/>
      <c r="M308" s="209"/>
    </row>
    <row r="309" spans="4:13" ht="20.25">
      <c r="F309" s="79"/>
      <c r="G309" s="77"/>
      <c r="H309" s="77"/>
      <c r="I309" s="77"/>
      <c r="J309" s="77"/>
      <c r="K309" s="77"/>
      <c r="L309" s="77"/>
      <c r="M309" s="209"/>
    </row>
    <row r="310" spans="4:13" ht="20.25">
      <c r="F310" s="79"/>
      <c r="G310" s="77"/>
      <c r="H310" s="77"/>
      <c r="I310" s="77"/>
      <c r="J310" s="77"/>
      <c r="K310" s="77"/>
      <c r="L310" s="77"/>
      <c r="M310" s="209"/>
    </row>
  </sheetData>
  <mergeCells count="2">
    <mergeCell ref="A268:J268"/>
    <mergeCell ref="A265:J265"/>
  </mergeCells>
  <phoneticPr fontId="0" type="noConversion"/>
  <printOptions horizontalCentered="1"/>
  <pageMargins left="0.25" right="0.25" top="1" bottom="0.5" header="0.25" footer="0.25"/>
  <pageSetup scale="50" fitToHeight="0" orientation="portrait" blackAndWhite="1" r:id="rId1"/>
  <headerFooter alignWithMargins="0"/>
  <rowBreaks count="4" manualBreakCount="4">
    <brk id="56" max="9" man="1"/>
    <brk id="117" max="9" man="1"/>
    <brk id="180" max="9" man="1"/>
    <brk id="257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pageSetUpPr fitToPage="1"/>
  </sheetPr>
  <dimension ref="A1:L151"/>
  <sheetViews>
    <sheetView zoomScale="70" zoomScaleNormal="70" workbookViewId="0">
      <selection activeCell="D28" sqref="D28"/>
    </sheetView>
  </sheetViews>
  <sheetFormatPr defaultColWidth="7.109375" defaultRowHeight="15"/>
  <cols>
    <col min="1" max="1" width="7.109375" style="409"/>
    <col min="2" max="2" width="60.5546875" style="409" customWidth="1"/>
    <col min="3" max="3" width="14.77734375" style="409" customWidth="1"/>
    <col min="4" max="4" width="11.6640625" style="409" customWidth="1"/>
    <col min="5" max="5" width="17.6640625" style="22" customWidth="1"/>
    <col min="6" max="6" width="11.6640625" style="409" customWidth="1"/>
    <col min="7" max="7" width="10.109375" style="409" customWidth="1"/>
    <col min="8" max="8" width="14.77734375" style="409" customWidth="1"/>
    <col min="9" max="9" width="16.77734375" style="409" customWidth="1"/>
    <col min="10" max="10" width="8.77734375" style="409" bestFit="1" customWidth="1"/>
    <col min="11" max="17" width="25.5546875" style="409" customWidth="1"/>
    <col min="18" max="19" width="25.5546875" style="409" bestFit="1" customWidth="1"/>
    <col min="20" max="20" width="29.21875" style="409" bestFit="1" customWidth="1"/>
    <col min="21" max="28" width="13" style="409" customWidth="1"/>
    <col min="29" max="29" width="13" style="409" bestFit="1" customWidth="1"/>
    <col min="30" max="33" width="13" style="409" customWidth="1"/>
    <col min="34" max="34" width="16.77734375" style="409" bestFit="1" customWidth="1"/>
    <col min="35" max="35" width="8.21875" style="409" customWidth="1"/>
    <col min="36" max="53" width="16.21875" style="409" bestFit="1" customWidth="1"/>
    <col min="54" max="54" width="16.77734375" style="409" bestFit="1" customWidth="1"/>
    <col min="55" max="55" width="7.77734375" style="409" bestFit="1" customWidth="1"/>
    <col min="56" max="56" width="8.21875" style="409" bestFit="1" customWidth="1"/>
    <col min="57" max="57" width="9.88671875" style="409" bestFit="1" customWidth="1"/>
    <col min="58" max="58" width="6.33203125" style="409" customWidth="1"/>
    <col min="59" max="59" width="9.88671875" style="409" bestFit="1" customWidth="1"/>
    <col min="60" max="60" width="6.33203125" style="409" customWidth="1"/>
    <col min="61" max="61" width="9.88671875" style="409" bestFit="1" customWidth="1"/>
    <col min="62" max="63" width="6.33203125" style="409" customWidth="1"/>
    <col min="64" max="64" width="9.88671875" style="409" bestFit="1" customWidth="1"/>
    <col min="65" max="65" width="6.33203125" style="409" customWidth="1"/>
    <col min="66" max="66" width="9.88671875" style="409" bestFit="1" customWidth="1"/>
    <col min="67" max="67" width="6.33203125" style="409" customWidth="1"/>
    <col min="68" max="68" width="9.88671875" style="409" bestFit="1" customWidth="1"/>
    <col min="69" max="69" width="6.33203125" style="409" customWidth="1"/>
    <col min="70" max="70" width="9.88671875" style="409" bestFit="1" customWidth="1"/>
    <col min="71" max="71" width="8.21875" style="409" bestFit="1" customWidth="1"/>
    <col min="72" max="16384" width="7.109375" style="409"/>
  </cols>
  <sheetData>
    <row r="1" spans="1:11" s="409" customFormat="1">
      <c r="B1" s="76"/>
      <c r="C1" s="76"/>
      <c r="D1" s="279" t="str">
        <f>EKPC!J1</f>
        <v>Attachment H-24A</v>
      </c>
      <c r="E1" s="22"/>
    </row>
    <row r="2" spans="1:11" s="409" customFormat="1">
      <c r="B2" s="76"/>
      <c r="C2" s="76"/>
      <c r="D2" s="281" t="s">
        <v>532</v>
      </c>
      <c r="E2" s="22"/>
    </row>
    <row r="3" spans="1:11" s="409" customFormat="1">
      <c r="B3" s="300"/>
      <c r="C3" s="86"/>
      <c r="D3" s="281" t="s">
        <v>370</v>
      </c>
      <c r="E3" s="22"/>
    </row>
    <row r="4" spans="1:11" s="409" customFormat="1" ht="15.75">
      <c r="B4" s="327"/>
      <c r="C4" s="86"/>
      <c r="D4" s="281" t="str">
        <f>EKPC!$J$7</f>
        <v>For the 12 months ended 12/31/2025</v>
      </c>
      <c r="E4" s="22"/>
    </row>
    <row r="5" spans="1:11" s="409" customFormat="1" ht="15.75">
      <c r="B5" s="327"/>
      <c r="C5" s="86"/>
      <c r="D5" s="86"/>
      <c r="E5" s="281"/>
    </row>
    <row r="6" spans="1:11" s="409" customFormat="1" ht="15.75">
      <c r="B6" s="365" t="str">
        <f>EKPC!A11</f>
        <v>East Kentucky Power Cooperative, Inc.</v>
      </c>
      <c r="C6" s="365"/>
      <c r="D6" s="365"/>
      <c r="E6" s="231"/>
    </row>
    <row r="7" spans="1:11" s="409" customFormat="1" ht="15.75">
      <c r="B7" s="365" t="str">
        <f>EKPC!A9</f>
        <v>Utilizing EKPC 2025 Form FF1 Data (ver. FINAL - AUDITED)</v>
      </c>
      <c r="C7" s="365"/>
      <c r="D7" s="365"/>
      <c r="E7" s="410"/>
    </row>
    <row r="8" spans="1:11" s="409" customFormat="1" ht="15.75">
      <c r="B8" s="327"/>
      <c r="C8" s="281"/>
      <c r="E8" s="22"/>
    </row>
    <row r="9" spans="1:11" s="409" customFormat="1" ht="15.75">
      <c r="B9" s="327"/>
      <c r="C9" s="81"/>
      <c r="E9" s="22"/>
    </row>
    <row r="10" spans="1:11" s="409" customFormat="1" ht="15.75">
      <c r="B10" s="327" t="s">
        <v>253</v>
      </c>
      <c r="C10" s="86"/>
      <c r="E10" s="22"/>
    </row>
    <row r="11" spans="1:11" s="409" customFormat="1" ht="15.75">
      <c r="B11" s="327"/>
      <c r="C11" s="86"/>
      <c r="E11" s="22"/>
    </row>
    <row r="12" spans="1:11" s="409" customFormat="1">
      <c r="B12" s="76"/>
      <c r="C12" s="76"/>
      <c r="E12" s="22"/>
    </row>
    <row r="13" spans="1:11" s="409" customFormat="1">
      <c r="B13" s="76"/>
      <c r="C13" s="76"/>
      <c r="E13" s="22"/>
    </row>
    <row r="14" spans="1:11" s="409" customFormat="1">
      <c r="B14" s="369"/>
      <c r="C14" s="411"/>
      <c r="E14" s="22" t="s">
        <v>389</v>
      </c>
      <c r="H14" s="409" t="s">
        <v>611</v>
      </c>
    </row>
    <row r="15" spans="1:11" s="409" customFormat="1" ht="20.25">
      <c r="A15" s="412" t="s">
        <v>182</v>
      </c>
      <c r="B15" s="369"/>
      <c r="C15" s="413" t="s">
        <v>313</v>
      </c>
      <c r="D15" s="135"/>
      <c r="E15" s="53">
        <v>32521415.539999999</v>
      </c>
      <c r="F15" s="409" t="s">
        <v>314</v>
      </c>
      <c r="G15" s="135"/>
      <c r="H15" s="53">
        <v>25405261.219999999</v>
      </c>
      <c r="I15" s="409" t="s">
        <v>314</v>
      </c>
      <c r="K15" s="414"/>
    </row>
    <row r="16" spans="1:11" s="409" customFormat="1" ht="20.25">
      <c r="B16" s="369"/>
      <c r="C16" s="375"/>
      <c r="D16" s="135"/>
      <c r="E16" s="53">
        <v>16223607.67</v>
      </c>
      <c r="F16" s="409" t="s">
        <v>315</v>
      </c>
      <c r="G16" s="135"/>
      <c r="H16" s="53">
        <v>12571894.789999999</v>
      </c>
      <c r="I16" s="409" t="s">
        <v>315</v>
      </c>
      <c r="K16" s="414"/>
    </row>
    <row r="17" spans="1:12" s="409" customFormat="1">
      <c r="A17" s="415" t="s">
        <v>471</v>
      </c>
      <c r="B17" s="386" t="s">
        <v>385</v>
      </c>
      <c r="C17" s="416">
        <f>$H$15</f>
        <v>25405261.219999999</v>
      </c>
      <c r="D17" s="135"/>
      <c r="E17" s="50">
        <f>E15-E16</f>
        <v>16297807.869999999</v>
      </c>
      <c r="F17" s="409" t="s">
        <v>316</v>
      </c>
      <c r="H17" s="50">
        <f>H15-H16</f>
        <v>12833366.43</v>
      </c>
      <c r="I17" s="409" t="s">
        <v>316</v>
      </c>
      <c r="K17" s="414"/>
    </row>
    <row r="18" spans="1:12" s="409" customFormat="1" ht="15.75">
      <c r="A18" s="415" t="s">
        <v>200</v>
      </c>
      <c r="B18" s="386" t="s">
        <v>165</v>
      </c>
      <c r="C18" s="6">
        <v>0</v>
      </c>
      <c r="E18" s="417"/>
    </row>
    <row r="19" spans="1:12" s="409" customFormat="1" ht="17.25">
      <c r="A19" s="415" t="s">
        <v>472</v>
      </c>
      <c r="B19" s="386" t="s">
        <v>166</v>
      </c>
      <c r="C19" s="48">
        <v>0</v>
      </c>
      <c r="E19" s="117"/>
      <c r="F19" s="117"/>
      <c r="G19" s="117"/>
      <c r="H19" s="117"/>
      <c r="I19" s="117"/>
      <c r="J19" s="117"/>
      <c r="K19" s="117"/>
      <c r="L19" s="117"/>
    </row>
    <row r="20" spans="1:12" s="409" customFormat="1">
      <c r="A20" s="418"/>
      <c r="B20" s="419"/>
      <c r="C20" s="369"/>
      <c r="D20" s="369"/>
      <c r="E20" s="117"/>
      <c r="F20" s="117"/>
      <c r="G20" s="117"/>
      <c r="H20" s="117"/>
      <c r="I20" s="117"/>
      <c r="J20" s="117"/>
      <c r="K20" s="117"/>
      <c r="L20" s="117"/>
    </row>
    <row r="21" spans="1:12" s="409" customFormat="1" ht="17.25" customHeight="1" thickBot="1">
      <c r="A21" s="415" t="s">
        <v>473</v>
      </c>
      <c r="B21" s="420" t="s">
        <v>432</v>
      </c>
      <c r="C21" s="421">
        <f>SUM(C17:C20)</f>
        <v>25405261.219999999</v>
      </c>
      <c r="E21" s="422"/>
      <c r="F21" s="22"/>
    </row>
    <row r="22" spans="1:12" s="409" customFormat="1" ht="15.75" thickTop="1">
      <c r="B22" s="369"/>
      <c r="C22" s="423"/>
      <c r="E22" s="424"/>
      <c r="F22" s="22"/>
    </row>
    <row r="23" spans="1:12" s="409" customFormat="1">
      <c r="B23" s="425" t="s">
        <v>382</v>
      </c>
      <c r="C23" s="426"/>
      <c r="D23" s="426"/>
      <c r="E23" s="22"/>
    </row>
    <row r="24" spans="1:12" s="409" customFormat="1" ht="29.25" customHeight="1">
      <c r="B24" s="427" t="s">
        <v>573</v>
      </c>
      <c r="C24" s="427"/>
      <c r="D24" s="427"/>
      <c r="E24" s="117"/>
      <c r="F24" s="117"/>
      <c r="G24" s="117"/>
      <c r="H24" s="117"/>
      <c r="I24" s="117"/>
      <c r="J24" s="117"/>
      <c r="K24" s="117"/>
      <c r="L24" s="117"/>
    </row>
    <row r="25" spans="1:12" s="409" customFormat="1">
      <c r="B25" s="409" t="s">
        <v>657</v>
      </c>
      <c r="E25" s="117"/>
      <c r="F25" s="117"/>
      <c r="G25" s="117"/>
      <c r="H25" s="117"/>
      <c r="I25" s="117"/>
      <c r="J25" s="117"/>
      <c r="K25" s="117"/>
      <c r="L25" s="117"/>
    </row>
    <row r="27" spans="1:12" s="409" customFormat="1" ht="15.75">
      <c r="E27" s="428"/>
    </row>
    <row r="151" spans="5:11" s="409" customFormat="1">
      <c r="E151" s="22"/>
      <c r="K151" s="409" t="s">
        <v>612</v>
      </c>
    </row>
  </sheetData>
  <mergeCells count="3">
    <mergeCell ref="B6:D6"/>
    <mergeCell ref="B7:D7"/>
    <mergeCell ref="B24:D24"/>
  </mergeCells>
  <pageMargins left="1" right="1" top="1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0">
    <pageSetUpPr fitToPage="1"/>
  </sheetPr>
  <dimension ref="A1:R151"/>
  <sheetViews>
    <sheetView topLeftCell="A7" zoomScale="70" zoomScaleNormal="70" workbookViewId="0">
      <selection activeCell="D28" sqref="D28"/>
    </sheetView>
  </sheetViews>
  <sheetFormatPr defaultColWidth="7.109375" defaultRowHeight="15"/>
  <cols>
    <col min="1" max="1" width="7.109375" style="367"/>
    <col min="2" max="2" width="51.33203125" style="369" customWidth="1"/>
    <col min="3" max="3" width="14.77734375" style="369" customWidth="1"/>
    <col min="4" max="4" width="1.77734375" style="369" customWidth="1"/>
    <col min="5" max="5" width="24.88671875" style="369" customWidth="1"/>
    <col min="6" max="6" width="7.109375" style="369"/>
    <col min="7" max="7" width="8.44140625" style="369" bestFit="1" customWidth="1"/>
    <col min="8" max="8" width="10.21875" style="369" bestFit="1" customWidth="1"/>
    <col min="9" max="9" width="13.44140625" style="6" bestFit="1" customWidth="1"/>
    <col min="10" max="10" width="7.109375" style="369"/>
    <col min="11" max="11" width="2.5546875" style="117" customWidth="1"/>
    <col min="12" max="12" width="14.5546875" style="369" bestFit="1" customWidth="1"/>
    <col min="13" max="13" width="7.109375" style="369"/>
    <col min="14" max="14" width="15.21875" style="369" customWidth="1"/>
    <col min="15" max="15" width="14.6640625" style="369" customWidth="1"/>
    <col min="16" max="16384" width="7.109375" style="369"/>
  </cols>
  <sheetData>
    <row r="1" spans="1:18" s="76" customFormat="1">
      <c r="A1" s="322"/>
      <c r="F1" s="279" t="str">
        <f>EKPC!J1</f>
        <v>Attachment H-24A</v>
      </c>
      <c r="I1" s="6"/>
      <c r="K1" s="117"/>
    </row>
    <row r="2" spans="1:18" s="76" customFormat="1">
      <c r="A2" s="322"/>
      <c r="B2" s="181"/>
      <c r="F2" s="281" t="s">
        <v>532</v>
      </c>
      <c r="I2" s="6"/>
      <c r="K2" s="117"/>
    </row>
    <row r="3" spans="1:18" s="76" customFormat="1">
      <c r="A3" s="322"/>
      <c r="B3" s="117"/>
      <c r="C3" s="117"/>
      <c r="D3" s="86"/>
      <c r="E3" s="86"/>
      <c r="F3" s="281" t="s">
        <v>369</v>
      </c>
      <c r="I3" s="6"/>
      <c r="K3" s="117"/>
    </row>
    <row r="4" spans="1:18" s="76" customFormat="1" ht="18">
      <c r="A4" s="322"/>
      <c r="B4" s="364"/>
      <c r="C4" s="364"/>
      <c r="D4" s="86"/>
      <c r="E4" s="86"/>
      <c r="F4" s="281" t="str">
        <f>EKPC!$J$7</f>
        <v>For the 12 months ended 12/31/2025</v>
      </c>
      <c r="I4" s="6"/>
      <c r="K4" s="117"/>
    </row>
    <row r="5" spans="1:18" s="76" customFormat="1" ht="18">
      <c r="A5" s="322"/>
      <c r="B5" s="364"/>
      <c r="C5" s="364"/>
      <c r="D5" s="86"/>
      <c r="E5" s="86"/>
      <c r="F5" s="281"/>
      <c r="I5" s="6"/>
      <c r="K5" s="117"/>
    </row>
    <row r="6" spans="1:18" s="76" customFormat="1" ht="15.75">
      <c r="A6" s="322"/>
      <c r="B6" s="365" t="str">
        <f>EKPC!A11</f>
        <v>East Kentucky Power Cooperative, Inc.</v>
      </c>
      <c r="C6" s="365"/>
      <c r="D6" s="365"/>
      <c r="E6" s="365"/>
      <c r="F6" s="365"/>
      <c r="H6" s="366"/>
      <c r="I6" s="6"/>
      <c r="K6" s="117"/>
    </row>
    <row r="7" spans="1:18" s="76" customFormat="1" ht="15.75">
      <c r="A7" s="322"/>
      <c r="B7" s="365" t="str">
        <f>EKPC!A9</f>
        <v>Utilizing EKPC 2025 Form FF1 Data (ver. FINAL - AUDITED)</v>
      </c>
      <c r="C7" s="365"/>
      <c r="D7" s="365"/>
      <c r="E7" s="365"/>
      <c r="F7" s="365"/>
      <c r="I7" s="6"/>
      <c r="K7" s="117"/>
    </row>
    <row r="8" spans="1:18" s="76" customFormat="1" ht="15.75">
      <c r="A8" s="322"/>
      <c r="B8" s="327"/>
      <c r="C8" s="327"/>
      <c r="D8" s="327"/>
      <c r="E8" s="281"/>
      <c r="I8" s="6"/>
      <c r="K8" s="117"/>
    </row>
    <row r="9" spans="1:18" s="76" customFormat="1" ht="15.75">
      <c r="A9" s="322"/>
      <c r="B9" s="327"/>
      <c r="C9" s="327"/>
      <c r="D9" s="327"/>
      <c r="E9" s="281"/>
      <c r="I9" s="6"/>
      <c r="K9" s="117"/>
    </row>
    <row r="10" spans="1:18" s="76" customFormat="1" ht="15.75">
      <c r="A10" s="322"/>
      <c r="B10" s="327" t="s">
        <v>518</v>
      </c>
      <c r="C10" s="327"/>
      <c r="D10" s="327"/>
      <c r="E10" s="86"/>
      <c r="I10" s="6"/>
      <c r="K10" s="117"/>
    </row>
    <row r="12" spans="1:18" ht="15.75">
      <c r="B12" s="368"/>
      <c r="C12" s="368"/>
      <c r="D12" s="368"/>
    </row>
    <row r="13" spans="1:18" ht="20.25">
      <c r="A13" s="370"/>
      <c r="E13" s="371" t="s">
        <v>112</v>
      </c>
      <c r="F13" s="372"/>
      <c r="G13" s="372"/>
      <c r="H13" s="372"/>
      <c r="J13" s="373"/>
    </row>
    <row r="14" spans="1:18" ht="20.25">
      <c r="A14" s="374" t="s">
        <v>182</v>
      </c>
      <c r="E14" s="375" t="s">
        <v>313</v>
      </c>
      <c r="F14" s="376"/>
      <c r="G14" s="117"/>
      <c r="H14" s="117"/>
      <c r="I14" s="117"/>
      <c r="J14" s="117"/>
      <c r="L14" s="117"/>
      <c r="M14" s="117"/>
      <c r="N14" s="117"/>
      <c r="O14" s="117"/>
      <c r="P14" s="117"/>
      <c r="Q14" s="117"/>
      <c r="R14" s="117"/>
    </row>
    <row r="15" spans="1:18">
      <c r="A15" s="377">
        <v>1</v>
      </c>
      <c r="B15" s="19" t="s">
        <v>514</v>
      </c>
      <c r="C15" s="378"/>
      <c r="D15" s="379"/>
      <c r="E15" s="380">
        <v>1266452774</v>
      </c>
      <c r="F15" s="135"/>
      <c r="G15" s="181"/>
      <c r="H15" s="117"/>
      <c r="I15" s="117"/>
      <c r="J15" s="117"/>
      <c r="L15" s="117"/>
      <c r="M15" s="117"/>
      <c r="N15" s="117"/>
      <c r="O15" s="117"/>
      <c r="P15" s="117"/>
      <c r="Q15" s="117"/>
      <c r="R15" s="117"/>
    </row>
    <row r="16" spans="1:18">
      <c r="A16" s="377"/>
      <c r="B16" s="22"/>
      <c r="G16" s="117"/>
      <c r="H16" s="117"/>
      <c r="I16" s="117"/>
      <c r="J16" s="117"/>
      <c r="L16" s="117"/>
      <c r="M16" s="117"/>
      <c r="N16" s="117"/>
      <c r="O16" s="117"/>
      <c r="P16" s="117"/>
      <c r="Q16" s="117"/>
      <c r="R16" s="117"/>
    </row>
    <row r="17" spans="1:18">
      <c r="A17" s="377">
        <v>2</v>
      </c>
      <c r="B17" s="22" t="s">
        <v>207</v>
      </c>
      <c r="C17" s="377"/>
      <c r="E17" s="42">
        <v>0</v>
      </c>
      <c r="G17" s="117"/>
      <c r="H17" s="117"/>
      <c r="I17" s="117"/>
      <c r="J17" s="117"/>
      <c r="L17" s="117"/>
      <c r="M17" s="117"/>
      <c r="N17" s="117"/>
      <c r="O17" s="117"/>
      <c r="P17" s="117"/>
      <c r="Q17" s="117"/>
      <c r="R17" s="117"/>
    </row>
    <row r="18" spans="1:18">
      <c r="A18" s="377"/>
      <c r="B18" s="22"/>
      <c r="C18" s="377"/>
      <c r="G18" s="117"/>
      <c r="H18" s="117"/>
      <c r="I18" s="117"/>
      <c r="J18" s="117"/>
      <c r="L18" s="117"/>
      <c r="M18" s="117"/>
      <c r="N18" s="117"/>
      <c r="O18" s="117"/>
      <c r="P18" s="117"/>
      <c r="Q18" s="117"/>
      <c r="R18" s="117"/>
    </row>
    <row r="19" spans="1:18">
      <c r="A19" s="377">
        <v>3</v>
      </c>
      <c r="B19" s="22" t="s">
        <v>475</v>
      </c>
      <c r="C19" s="377" t="s">
        <v>461</v>
      </c>
      <c r="E19" s="381">
        <v>138107</v>
      </c>
      <c r="F19" s="135"/>
      <c r="G19" s="181"/>
      <c r="H19" s="117"/>
      <c r="I19" s="117"/>
      <c r="J19" s="117"/>
      <c r="L19" s="117"/>
      <c r="M19" s="117"/>
      <c r="N19" s="117"/>
      <c r="O19" s="117"/>
      <c r="P19" s="117"/>
      <c r="Q19" s="117"/>
      <c r="R19" s="117"/>
    </row>
    <row r="20" spans="1:18">
      <c r="A20" s="377">
        <v>4</v>
      </c>
      <c r="B20" s="22" t="s">
        <v>309</v>
      </c>
      <c r="C20" s="377"/>
      <c r="E20" s="382">
        <v>1</v>
      </c>
      <c r="G20" s="117"/>
      <c r="H20" s="117"/>
      <c r="I20" s="117"/>
      <c r="J20" s="117"/>
      <c r="L20" s="117"/>
      <c r="M20" s="117"/>
      <c r="N20" s="117"/>
      <c r="O20" s="117"/>
      <c r="P20" s="117"/>
      <c r="Q20" s="117"/>
      <c r="R20" s="117"/>
    </row>
    <row r="21" spans="1:18" ht="17.25">
      <c r="A21" s="377">
        <v>5</v>
      </c>
      <c r="B21" s="20" t="s">
        <v>658</v>
      </c>
      <c r="C21" s="377"/>
      <c r="D21" s="383"/>
      <c r="E21" s="384">
        <f>ROUND(E19*E20,0)+E17</f>
        <v>138107</v>
      </c>
      <c r="G21" s="117"/>
      <c r="H21" s="117"/>
      <c r="I21" s="117"/>
      <c r="J21" s="117"/>
      <c r="L21" s="117"/>
      <c r="M21" s="117"/>
      <c r="N21" s="117"/>
      <c r="O21" s="117"/>
      <c r="P21" s="117"/>
      <c r="Q21" s="117"/>
      <c r="R21" s="117"/>
    </row>
    <row r="22" spans="1:18">
      <c r="A22" s="377"/>
      <c r="B22" s="22"/>
      <c r="C22" s="377"/>
      <c r="E22" s="385"/>
      <c r="G22" s="117"/>
      <c r="H22" s="117"/>
      <c r="I22" s="117"/>
      <c r="J22" s="117"/>
      <c r="L22" s="117"/>
      <c r="M22" s="117"/>
      <c r="N22" s="117"/>
      <c r="O22" s="117"/>
      <c r="P22" s="117"/>
      <c r="Q22" s="117"/>
      <c r="R22" s="117"/>
    </row>
    <row r="23" spans="1:18">
      <c r="A23" s="377"/>
      <c r="B23" s="22"/>
      <c r="C23" s="377"/>
      <c r="E23" s="385"/>
      <c r="G23" s="117"/>
      <c r="H23" s="117"/>
      <c r="I23" s="117"/>
      <c r="J23" s="117"/>
      <c r="L23" s="117"/>
      <c r="M23" s="117"/>
      <c r="N23" s="117"/>
      <c r="O23" s="117"/>
      <c r="P23" s="117"/>
      <c r="Q23" s="117"/>
      <c r="R23" s="117"/>
    </row>
    <row r="24" spans="1:18" ht="17.25">
      <c r="A24" s="377">
        <v>6</v>
      </c>
      <c r="B24" s="19" t="s">
        <v>478</v>
      </c>
      <c r="C24" s="373" t="s">
        <v>460</v>
      </c>
      <c r="E24" s="384">
        <f>E23+E21</f>
        <v>138107</v>
      </c>
      <c r="G24" s="117"/>
      <c r="H24" s="117"/>
      <c r="I24" s="117"/>
      <c r="J24" s="117"/>
      <c r="L24" s="117"/>
      <c r="M24" s="117"/>
      <c r="N24" s="117"/>
      <c r="O24" s="117"/>
      <c r="P24" s="117"/>
      <c r="Q24" s="117"/>
      <c r="R24" s="117"/>
    </row>
    <row r="25" spans="1:18">
      <c r="A25" s="377"/>
      <c r="C25" s="377"/>
      <c r="E25" s="385"/>
      <c r="G25" s="117"/>
      <c r="H25" s="117"/>
      <c r="I25" s="117"/>
      <c r="J25" s="117"/>
      <c r="L25" s="117"/>
      <c r="M25" s="117"/>
      <c r="N25" s="117"/>
      <c r="O25" s="117"/>
      <c r="P25" s="117"/>
      <c r="Q25" s="117"/>
      <c r="R25" s="117"/>
    </row>
    <row r="26" spans="1:18" ht="15.75">
      <c r="A26" s="377"/>
      <c r="B26" s="368"/>
      <c r="C26" s="368"/>
      <c r="D26" s="368"/>
      <c r="G26" s="117"/>
      <c r="H26" s="117"/>
      <c r="I26" s="117"/>
      <c r="J26" s="117"/>
      <c r="L26" s="117"/>
      <c r="M26" s="117"/>
      <c r="N26" s="117"/>
      <c r="O26" s="117"/>
      <c r="P26" s="117"/>
      <c r="Q26" s="117"/>
      <c r="R26" s="117"/>
    </row>
    <row r="27" spans="1:18" ht="20.25">
      <c r="A27" s="377"/>
      <c r="C27" s="377"/>
      <c r="E27" s="371" t="s">
        <v>392</v>
      </c>
      <c r="F27" s="372"/>
      <c r="G27" s="117"/>
      <c r="H27" s="117"/>
      <c r="I27" s="117"/>
      <c r="J27" s="117"/>
      <c r="L27" s="117"/>
      <c r="M27" s="117"/>
      <c r="N27" s="117"/>
      <c r="O27" s="117"/>
      <c r="P27" s="117"/>
      <c r="Q27" s="117"/>
      <c r="R27" s="117"/>
    </row>
    <row r="28" spans="1:18" ht="20.25">
      <c r="A28" s="377"/>
      <c r="C28" s="377"/>
      <c r="E28" s="375" t="s">
        <v>313</v>
      </c>
      <c r="F28" s="376"/>
      <c r="G28" s="117"/>
      <c r="H28" s="117"/>
      <c r="I28" s="117"/>
      <c r="J28" s="117"/>
      <c r="L28" s="117"/>
      <c r="M28" s="117"/>
      <c r="N28" s="117"/>
      <c r="O28" s="117"/>
      <c r="P28" s="117"/>
      <c r="Q28" s="117"/>
      <c r="R28" s="117"/>
    </row>
    <row r="29" spans="1:18" ht="15.75">
      <c r="A29" s="377">
        <v>7</v>
      </c>
      <c r="B29" s="386" t="s">
        <v>570</v>
      </c>
      <c r="C29" s="373" t="s">
        <v>463</v>
      </c>
      <c r="D29" s="386"/>
      <c r="E29" s="380">
        <f>22463260+(1819018.25+182359.11+2476.12)</f>
        <v>24467113.48</v>
      </c>
      <c r="F29" s="387"/>
      <c r="G29" s="181"/>
      <c r="H29" s="388"/>
      <c r="I29" s="161" t="s">
        <v>679</v>
      </c>
      <c r="J29" s="388"/>
      <c r="K29" s="388"/>
      <c r="L29" s="389"/>
      <c r="M29" s="117"/>
      <c r="N29" s="117"/>
      <c r="O29" s="117"/>
      <c r="P29" s="117"/>
      <c r="Q29" s="117"/>
      <c r="R29" s="117"/>
    </row>
    <row r="30" spans="1:18" ht="17.25">
      <c r="A30" s="377"/>
      <c r="B30" s="386" t="s">
        <v>246</v>
      </c>
      <c r="C30" s="373"/>
      <c r="D30" s="386"/>
      <c r="E30" s="384"/>
      <c r="G30" s="117"/>
      <c r="H30" s="117"/>
      <c r="I30" s="117"/>
      <c r="J30" s="117"/>
      <c r="L30" s="117"/>
      <c r="M30" s="117"/>
      <c r="N30" s="117"/>
      <c r="O30" s="117"/>
      <c r="P30" s="117"/>
      <c r="Q30" s="117"/>
      <c r="R30" s="117"/>
    </row>
    <row r="31" spans="1:18">
      <c r="A31" s="377">
        <v>8</v>
      </c>
      <c r="B31" s="379" t="s">
        <v>568</v>
      </c>
      <c r="C31" s="373"/>
      <c r="D31" s="379"/>
      <c r="E31" s="390">
        <f>13564793+786+51467</f>
        <v>13617046</v>
      </c>
      <c r="F31" s="387"/>
      <c r="G31" s="181"/>
      <c r="H31" s="117"/>
      <c r="I31" s="117"/>
      <c r="J31" s="117"/>
      <c r="L31" s="117"/>
      <c r="M31" s="117"/>
      <c r="N31" s="117"/>
      <c r="O31" s="117"/>
      <c r="P31" s="117"/>
      <c r="Q31" s="117"/>
      <c r="R31" s="117"/>
    </row>
    <row r="32" spans="1:18" ht="15.75">
      <c r="A32" s="377">
        <v>9</v>
      </c>
      <c r="B32" s="379" t="s">
        <v>364</v>
      </c>
      <c r="C32" s="373"/>
      <c r="D32" s="379"/>
      <c r="E32" s="381">
        <v>0</v>
      </c>
      <c r="G32" s="117"/>
      <c r="H32" s="117"/>
      <c r="I32" s="117"/>
      <c r="J32" s="117"/>
      <c r="L32" s="117"/>
      <c r="M32" s="117"/>
      <c r="N32" s="117"/>
      <c r="O32" s="117"/>
      <c r="P32" s="117"/>
      <c r="Q32" s="117"/>
      <c r="R32" s="117"/>
    </row>
    <row r="33" spans="1:18">
      <c r="A33" s="377">
        <v>10</v>
      </c>
      <c r="B33" s="379" t="s">
        <v>146</v>
      </c>
      <c r="C33" s="373"/>
      <c r="D33" s="379"/>
      <c r="E33" s="381">
        <v>0</v>
      </c>
      <c r="G33" s="117"/>
      <c r="H33" s="117"/>
      <c r="I33" s="117"/>
      <c r="J33" s="117"/>
      <c r="L33" s="117"/>
      <c r="M33" s="117"/>
      <c r="N33" s="117"/>
      <c r="O33" s="117"/>
      <c r="P33" s="117"/>
      <c r="Q33" s="117"/>
      <c r="R33" s="117"/>
    </row>
    <row r="34" spans="1:18">
      <c r="A34" s="377">
        <v>11</v>
      </c>
      <c r="B34" s="379" t="s">
        <v>554</v>
      </c>
      <c r="C34" s="373"/>
      <c r="D34" s="379"/>
      <c r="E34" s="381">
        <f>43200+55518.96</f>
        <v>98718.959999999992</v>
      </c>
      <c r="F34" s="135"/>
      <c r="G34" s="181"/>
      <c r="H34" s="391"/>
      <c r="I34" s="391"/>
      <c r="J34" s="391"/>
      <c r="K34" s="391"/>
      <c r="L34" s="391"/>
      <c r="M34" s="391"/>
      <c r="N34" s="391"/>
      <c r="O34" s="391"/>
      <c r="P34" s="391"/>
      <c r="Q34" s="391"/>
      <c r="R34" s="117"/>
    </row>
    <row r="35" spans="1:18" ht="17.25">
      <c r="A35" s="377">
        <v>12</v>
      </c>
      <c r="B35" s="379" t="s">
        <v>555</v>
      </c>
      <c r="C35" s="373"/>
      <c r="D35" s="379"/>
      <c r="E35" s="392">
        <v>600</v>
      </c>
      <c r="F35" s="135"/>
      <c r="G35" s="181"/>
      <c r="H35" s="391"/>
      <c r="I35" s="391"/>
      <c r="J35" s="391"/>
      <c r="K35" s="391"/>
      <c r="L35" s="391"/>
      <c r="M35" s="391"/>
      <c r="N35" s="391"/>
      <c r="O35" s="391"/>
      <c r="P35" s="117"/>
      <c r="Q35" s="117"/>
      <c r="R35" s="117"/>
    </row>
    <row r="36" spans="1:18" ht="17.25">
      <c r="A36" s="377">
        <v>13</v>
      </c>
      <c r="B36" s="386" t="s">
        <v>366</v>
      </c>
      <c r="C36" s="373"/>
      <c r="D36" s="379"/>
      <c r="E36" s="384">
        <f>E29-SUM(E31:E35)</f>
        <v>10750748.52</v>
      </c>
      <c r="G36" s="117"/>
      <c r="H36" s="117"/>
      <c r="I36" s="117"/>
      <c r="J36" s="117"/>
      <c r="L36" s="117"/>
      <c r="M36" s="117"/>
      <c r="N36" s="117"/>
      <c r="O36" s="117"/>
      <c r="P36" s="117"/>
      <c r="Q36" s="117"/>
      <c r="R36" s="117"/>
    </row>
    <row r="37" spans="1:18">
      <c r="A37" s="377"/>
      <c r="C37" s="377"/>
      <c r="D37" s="379"/>
      <c r="G37" s="117"/>
      <c r="H37" s="117"/>
      <c r="I37" s="117"/>
      <c r="J37" s="117"/>
      <c r="L37" s="117"/>
      <c r="M37" s="117"/>
      <c r="N37" s="117"/>
      <c r="O37" s="117"/>
      <c r="P37" s="117"/>
      <c r="Q37" s="117"/>
      <c r="R37" s="117"/>
    </row>
    <row r="38" spans="1:18" ht="17.25">
      <c r="A38" s="377">
        <v>14</v>
      </c>
      <c r="B38" s="369" t="s">
        <v>455</v>
      </c>
      <c r="C38" s="377"/>
      <c r="E38" s="393">
        <v>3826806.15</v>
      </c>
      <c r="F38" s="135"/>
      <c r="G38" s="181"/>
      <c r="H38" s="117"/>
      <c r="I38" s="117"/>
      <c r="J38" s="117"/>
      <c r="L38" s="117"/>
      <c r="M38" s="117"/>
      <c r="N38" s="117"/>
      <c r="O38" s="117"/>
      <c r="P38" s="117"/>
      <c r="Q38" s="117"/>
      <c r="R38" s="117"/>
    </row>
    <row r="39" spans="1:18">
      <c r="A39" s="377"/>
      <c r="C39" s="377"/>
      <c r="G39" s="117"/>
      <c r="H39" s="117"/>
      <c r="I39" s="117"/>
      <c r="J39" s="117"/>
      <c r="L39" s="117"/>
      <c r="M39" s="117"/>
      <c r="N39" s="117"/>
      <c r="O39" s="117"/>
      <c r="P39" s="117"/>
      <c r="Q39" s="117"/>
      <c r="R39" s="117"/>
    </row>
    <row r="40" spans="1:18" ht="17.25">
      <c r="A40" s="377">
        <v>15</v>
      </c>
      <c r="B40" s="379" t="s">
        <v>571</v>
      </c>
      <c r="C40" s="373"/>
      <c r="E40" s="384">
        <f>E36-E38</f>
        <v>6923942.3699999992</v>
      </c>
      <c r="G40" s="117"/>
      <c r="H40" s="117"/>
      <c r="I40" s="117"/>
      <c r="J40" s="117"/>
      <c r="L40" s="117"/>
      <c r="M40" s="117"/>
      <c r="N40" s="117"/>
      <c r="O40" s="117"/>
      <c r="P40" s="117"/>
      <c r="Q40" s="117"/>
      <c r="R40" s="117"/>
    </row>
    <row r="41" spans="1:18">
      <c r="A41" s="377"/>
      <c r="C41" s="377"/>
      <c r="I41" s="15"/>
    </row>
    <row r="42" spans="1:18">
      <c r="A42" s="377"/>
      <c r="C42" s="377"/>
      <c r="I42" s="15"/>
    </row>
    <row r="43" spans="1:18" ht="15.75">
      <c r="A43" s="377"/>
      <c r="C43" s="377"/>
      <c r="E43" s="394" t="s">
        <v>391</v>
      </c>
      <c r="I43" s="15"/>
    </row>
    <row r="44" spans="1:18">
      <c r="A44" s="377">
        <v>16</v>
      </c>
      <c r="B44" s="369" t="s">
        <v>583</v>
      </c>
      <c r="C44" s="377" t="s">
        <v>477</v>
      </c>
      <c r="E44" s="395">
        <v>102906</v>
      </c>
      <c r="F44" s="135"/>
      <c r="G44" s="181"/>
      <c r="I44" s="15"/>
    </row>
    <row r="45" spans="1:18" ht="15.75">
      <c r="A45" s="377"/>
      <c r="C45" s="377"/>
      <c r="E45" s="396"/>
      <c r="I45" s="15"/>
    </row>
    <row r="46" spans="1:18" ht="15.75">
      <c r="A46" s="377">
        <v>17</v>
      </c>
      <c r="B46" s="369" t="s">
        <v>476</v>
      </c>
      <c r="C46" s="377" t="s">
        <v>574</v>
      </c>
      <c r="E46" s="397">
        <f>E40-E44</f>
        <v>6821036.3699999992</v>
      </c>
      <c r="I46" s="15"/>
    </row>
    <row r="47" spans="1:18" ht="15.75">
      <c r="E47" s="396"/>
      <c r="I47" s="15"/>
    </row>
    <row r="48" spans="1:18">
      <c r="I48" s="15"/>
    </row>
    <row r="49" spans="2:9">
      <c r="B49" s="398" t="s">
        <v>382</v>
      </c>
      <c r="C49" s="398"/>
      <c r="D49" s="379"/>
      <c r="F49" s="399"/>
    </row>
    <row r="50" spans="2:9">
      <c r="B50" s="372" t="s">
        <v>609</v>
      </c>
      <c r="C50" s="372"/>
      <c r="D50" s="379"/>
      <c r="F50" s="399"/>
      <c r="I50" s="15"/>
    </row>
    <row r="51" spans="2:9">
      <c r="B51" s="400" t="s">
        <v>659</v>
      </c>
      <c r="C51" s="400"/>
      <c r="D51" s="379"/>
      <c r="F51" s="399"/>
      <c r="I51" s="15"/>
    </row>
    <row r="52" spans="2:9" ht="30" customHeight="1">
      <c r="B52" s="401" t="s">
        <v>582</v>
      </c>
      <c r="C52" s="401"/>
      <c r="D52" s="401"/>
      <c r="E52" s="401"/>
      <c r="F52" s="399"/>
      <c r="I52" s="15"/>
    </row>
    <row r="53" spans="2:9" ht="15" customHeight="1">
      <c r="B53" s="402" t="s">
        <v>660</v>
      </c>
      <c r="C53" s="402"/>
      <c r="E53" s="375"/>
    </row>
    <row r="54" spans="2:9" ht="15.75">
      <c r="B54" s="403" t="s">
        <v>661</v>
      </c>
      <c r="C54" s="403"/>
      <c r="D54" s="399"/>
      <c r="E54" s="385"/>
      <c r="G54" s="404"/>
    </row>
    <row r="55" spans="2:9" ht="15.75">
      <c r="B55" s="399"/>
      <c r="C55" s="399"/>
      <c r="D55" s="399"/>
      <c r="E55" s="385"/>
      <c r="G55" s="404"/>
    </row>
    <row r="56" spans="2:9" ht="15.75">
      <c r="B56" s="399"/>
      <c r="C56" s="399"/>
      <c r="D56" s="399"/>
      <c r="E56" s="385"/>
      <c r="G56" s="404"/>
    </row>
    <row r="57" spans="2:9" ht="15.75">
      <c r="B57" s="399"/>
      <c r="C57" s="399"/>
      <c r="D57" s="399"/>
      <c r="E57" s="385"/>
      <c r="G57" s="404"/>
    </row>
    <row r="58" spans="2:9" ht="15.75">
      <c r="B58" s="399"/>
      <c r="C58" s="399"/>
      <c r="D58" s="399"/>
      <c r="E58" s="385"/>
      <c r="G58" s="404"/>
    </row>
    <row r="59" spans="2:9" ht="15.75">
      <c r="B59" s="399"/>
      <c r="C59" s="399"/>
      <c r="D59" s="399"/>
      <c r="E59" s="385"/>
      <c r="G59" s="404"/>
    </row>
    <row r="60" spans="2:9" ht="15.75">
      <c r="B60" s="399"/>
      <c r="C60" s="399"/>
      <c r="D60" s="399"/>
      <c r="E60" s="385"/>
      <c r="G60" s="404"/>
    </row>
    <row r="61" spans="2:9" ht="15.75">
      <c r="E61" s="405"/>
      <c r="G61" s="404"/>
    </row>
    <row r="62" spans="2:9" ht="15.75">
      <c r="B62" s="406"/>
      <c r="C62" s="406"/>
      <c r="D62" s="399"/>
      <c r="E62" s="407"/>
      <c r="G62" s="404"/>
    </row>
    <row r="63" spans="2:9" ht="15.75">
      <c r="B63" s="399"/>
      <c r="C63" s="399"/>
      <c r="D63" s="399"/>
      <c r="E63" s="405"/>
      <c r="G63" s="404"/>
    </row>
    <row r="64" spans="2:9" ht="15.75">
      <c r="B64" s="399"/>
      <c r="C64" s="399"/>
      <c r="D64" s="399"/>
      <c r="E64" s="385"/>
      <c r="G64" s="404"/>
    </row>
    <row r="65" spans="2:7" ht="17.25">
      <c r="B65" s="399"/>
      <c r="C65" s="399"/>
      <c r="D65" s="399"/>
      <c r="E65" s="408"/>
      <c r="G65" s="404"/>
    </row>
    <row r="66" spans="2:7" ht="15.75">
      <c r="B66" s="399"/>
      <c r="C66" s="399"/>
      <c r="D66" s="399"/>
      <c r="E66" s="5"/>
      <c r="G66" s="404"/>
    </row>
    <row r="67" spans="2:7" ht="15.75">
      <c r="E67" s="5"/>
      <c r="G67" s="404"/>
    </row>
    <row r="68" spans="2:7" ht="15.75">
      <c r="E68" s="5"/>
      <c r="G68" s="404"/>
    </row>
    <row r="69" spans="2:7" ht="15.75">
      <c r="E69" s="5"/>
      <c r="G69" s="404"/>
    </row>
    <row r="70" spans="2:7" ht="15.75">
      <c r="B70" s="399"/>
      <c r="C70" s="399"/>
      <c r="D70" s="399"/>
      <c r="E70" s="385"/>
      <c r="G70" s="404"/>
    </row>
    <row r="71" spans="2:7" ht="15.75">
      <c r="B71" s="399"/>
      <c r="C71" s="399"/>
      <c r="D71" s="399"/>
      <c r="E71" s="385"/>
      <c r="G71" s="404"/>
    </row>
    <row r="72" spans="2:7" ht="15.75">
      <c r="B72" s="399"/>
      <c r="C72" s="399"/>
      <c r="D72" s="399"/>
      <c r="E72" s="385"/>
      <c r="G72" s="404"/>
    </row>
    <row r="73" spans="2:7" ht="15.75">
      <c r="B73" s="399"/>
      <c r="C73" s="399"/>
      <c r="D73" s="399"/>
      <c r="E73" s="385"/>
      <c r="G73" s="404"/>
    </row>
    <row r="74" spans="2:7" ht="15.75">
      <c r="B74" s="399"/>
      <c r="C74" s="399"/>
      <c r="D74" s="399"/>
      <c r="E74" s="385"/>
      <c r="G74" s="404"/>
    </row>
    <row r="75" spans="2:7" ht="15.75">
      <c r="B75" s="399"/>
      <c r="C75" s="399"/>
      <c r="D75" s="399"/>
      <c r="E75" s="385"/>
      <c r="G75" s="404"/>
    </row>
    <row r="76" spans="2:7" ht="17.25">
      <c r="B76" s="399"/>
      <c r="C76" s="399"/>
      <c r="D76" s="399"/>
      <c r="E76" s="408"/>
      <c r="G76" s="404"/>
    </row>
    <row r="77" spans="2:7">
      <c r="B77" s="399"/>
      <c r="C77" s="399"/>
      <c r="D77" s="399"/>
      <c r="E77" s="407"/>
    </row>
    <row r="151" spans="11:11">
      <c r="K151" s="117" t="s">
        <v>612</v>
      </c>
    </row>
  </sheetData>
  <mergeCells count="2">
    <mergeCell ref="B6:F6"/>
    <mergeCell ref="B7:F7"/>
  </mergeCells>
  <phoneticPr fontId="21" type="noConversion"/>
  <pageMargins left="1" right="1" top="1" bottom="1" header="0.5" footer="0.5"/>
  <pageSetup scale="6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>
    <pageSetUpPr fitToPage="1"/>
  </sheetPr>
  <dimension ref="A1:N48"/>
  <sheetViews>
    <sheetView zoomScale="70" zoomScaleNormal="70" workbookViewId="0">
      <selection activeCell="D28" sqref="D28"/>
    </sheetView>
  </sheetViews>
  <sheetFormatPr defaultRowHeight="14.25"/>
  <cols>
    <col min="1" max="1" width="7" style="329" customWidth="1"/>
    <col min="2" max="2" width="43.6640625" style="329" customWidth="1"/>
    <col min="3" max="3" width="14.77734375" style="329" customWidth="1"/>
    <col min="4" max="4" width="8.33203125" style="329" customWidth="1"/>
    <col min="5" max="5" width="15" style="329" customWidth="1"/>
    <col min="6" max="6" width="13.5546875" style="329" customWidth="1"/>
    <col min="7" max="7" width="16.77734375" style="329" bestFit="1" customWidth="1"/>
    <col min="8" max="8" width="5.77734375" style="329" customWidth="1"/>
    <col min="9" max="241" width="8.77734375" style="329"/>
    <col min="242" max="242" width="54.6640625" style="329" customWidth="1"/>
    <col min="243" max="243" width="13.77734375" style="329" customWidth="1"/>
    <col min="244" max="244" width="0" style="329" hidden="1" customWidth="1"/>
    <col min="245" max="245" width="6.6640625" style="329" customWidth="1"/>
    <col min="246" max="246" width="15" style="329" customWidth="1"/>
    <col min="247" max="247" width="3.6640625" style="329" bestFit="1" customWidth="1"/>
    <col min="248" max="248" width="15.44140625" style="329" bestFit="1" customWidth="1"/>
    <col min="249" max="249" width="3.77734375" style="329" customWidth="1"/>
    <col min="250" max="250" width="11.21875" style="329" bestFit="1" customWidth="1"/>
    <col min="251" max="251" width="3.6640625" style="329" customWidth="1"/>
    <col min="252" max="252" width="13.5546875" style="329" customWidth="1"/>
    <col min="253" max="253" width="1" style="329" customWidth="1"/>
    <col min="254" max="254" width="14.21875" style="329" bestFit="1" customWidth="1"/>
    <col min="255" max="255" width="3.33203125" style="329" customWidth="1"/>
    <col min="256" max="256" width="20.44140625" style="329" customWidth="1"/>
    <col min="257" max="497" width="8.77734375" style="329"/>
    <col min="498" max="498" width="54.6640625" style="329" customWidth="1"/>
    <col min="499" max="499" width="13.77734375" style="329" customWidth="1"/>
    <col min="500" max="500" width="0" style="329" hidden="1" customWidth="1"/>
    <col min="501" max="501" width="6.6640625" style="329" customWidth="1"/>
    <col min="502" max="502" width="15" style="329" customWidth="1"/>
    <col min="503" max="503" width="3.6640625" style="329" bestFit="1" customWidth="1"/>
    <col min="504" max="504" width="15.44140625" style="329" bestFit="1" customWidth="1"/>
    <col min="505" max="505" width="3.77734375" style="329" customWidth="1"/>
    <col min="506" max="506" width="11.21875" style="329" bestFit="1" customWidth="1"/>
    <col min="507" max="507" width="3.6640625" style="329" customWidth="1"/>
    <col min="508" max="508" width="13.5546875" style="329" customWidth="1"/>
    <col min="509" max="509" width="1" style="329" customWidth="1"/>
    <col min="510" max="510" width="14.21875" style="329" bestFit="1" customWidth="1"/>
    <col min="511" max="511" width="3.33203125" style="329" customWidth="1"/>
    <col min="512" max="512" width="20.44140625" style="329" customWidth="1"/>
    <col min="513" max="753" width="8.77734375" style="329"/>
    <col min="754" max="754" width="54.6640625" style="329" customWidth="1"/>
    <col min="755" max="755" width="13.77734375" style="329" customWidth="1"/>
    <col min="756" max="756" width="0" style="329" hidden="1" customWidth="1"/>
    <col min="757" max="757" width="6.6640625" style="329" customWidth="1"/>
    <col min="758" max="758" width="15" style="329" customWidth="1"/>
    <col min="759" max="759" width="3.6640625" style="329" bestFit="1" customWidth="1"/>
    <col min="760" max="760" width="15.44140625" style="329" bestFit="1" customWidth="1"/>
    <col min="761" max="761" width="3.77734375" style="329" customWidth="1"/>
    <col min="762" max="762" width="11.21875" style="329" bestFit="1" customWidth="1"/>
    <col min="763" max="763" width="3.6640625" style="329" customWidth="1"/>
    <col min="764" max="764" width="13.5546875" style="329" customWidth="1"/>
    <col min="765" max="765" width="1" style="329" customWidth="1"/>
    <col min="766" max="766" width="14.21875" style="329" bestFit="1" customWidth="1"/>
    <col min="767" max="767" width="3.33203125" style="329" customWidth="1"/>
    <col min="768" max="768" width="20.44140625" style="329" customWidth="1"/>
    <col min="769" max="1009" width="8.77734375" style="329"/>
    <col min="1010" max="1010" width="54.6640625" style="329" customWidth="1"/>
    <col min="1011" max="1011" width="13.77734375" style="329" customWidth="1"/>
    <col min="1012" max="1012" width="0" style="329" hidden="1" customWidth="1"/>
    <col min="1013" max="1013" width="6.6640625" style="329" customWidth="1"/>
    <col min="1014" max="1014" width="15" style="329" customWidth="1"/>
    <col min="1015" max="1015" width="3.6640625" style="329" bestFit="1" customWidth="1"/>
    <col min="1016" max="1016" width="15.44140625" style="329" bestFit="1" customWidth="1"/>
    <col min="1017" max="1017" width="3.77734375" style="329" customWidth="1"/>
    <col min="1018" max="1018" width="11.21875" style="329" bestFit="1" customWidth="1"/>
    <col min="1019" max="1019" width="3.6640625" style="329" customWidth="1"/>
    <col min="1020" max="1020" width="13.5546875" style="329" customWidth="1"/>
    <col min="1021" max="1021" width="1" style="329" customWidth="1"/>
    <col min="1022" max="1022" width="14.21875" style="329" bestFit="1" customWidth="1"/>
    <col min="1023" max="1023" width="3.33203125" style="329" customWidth="1"/>
    <col min="1024" max="1024" width="20.44140625" style="329" customWidth="1"/>
    <col min="1025" max="1265" width="8.77734375" style="329"/>
    <col min="1266" max="1266" width="54.6640625" style="329" customWidth="1"/>
    <col min="1267" max="1267" width="13.77734375" style="329" customWidth="1"/>
    <col min="1268" max="1268" width="0" style="329" hidden="1" customWidth="1"/>
    <col min="1269" max="1269" width="6.6640625" style="329" customWidth="1"/>
    <col min="1270" max="1270" width="15" style="329" customWidth="1"/>
    <col min="1271" max="1271" width="3.6640625" style="329" bestFit="1" customWidth="1"/>
    <col min="1272" max="1272" width="15.44140625" style="329" bestFit="1" customWidth="1"/>
    <col min="1273" max="1273" width="3.77734375" style="329" customWidth="1"/>
    <col min="1274" max="1274" width="11.21875" style="329" bestFit="1" customWidth="1"/>
    <col min="1275" max="1275" width="3.6640625" style="329" customWidth="1"/>
    <col min="1276" max="1276" width="13.5546875" style="329" customWidth="1"/>
    <col min="1277" max="1277" width="1" style="329" customWidth="1"/>
    <col min="1278" max="1278" width="14.21875" style="329" bestFit="1" customWidth="1"/>
    <col min="1279" max="1279" width="3.33203125" style="329" customWidth="1"/>
    <col min="1280" max="1280" width="20.44140625" style="329" customWidth="1"/>
    <col min="1281" max="1521" width="8.77734375" style="329"/>
    <col min="1522" max="1522" width="54.6640625" style="329" customWidth="1"/>
    <col min="1523" max="1523" width="13.77734375" style="329" customWidth="1"/>
    <col min="1524" max="1524" width="0" style="329" hidden="1" customWidth="1"/>
    <col min="1525" max="1525" width="6.6640625" style="329" customWidth="1"/>
    <col min="1526" max="1526" width="15" style="329" customWidth="1"/>
    <col min="1527" max="1527" width="3.6640625" style="329" bestFit="1" customWidth="1"/>
    <col min="1528" max="1528" width="15.44140625" style="329" bestFit="1" customWidth="1"/>
    <col min="1529" max="1529" width="3.77734375" style="329" customWidth="1"/>
    <col min="1530" max="1530" width="11.21875" style="329" bestFit="1" customWidth="1"/>
    <col min="1531" max="1531" width="3.6640625" style="329" customWidth="1"/>
    <col min="1532" max="1532" width="13.5546875" style="329" customWidth="1"/>
    <col min="1533" max="1533" width="1" style="329" customWidth="1"/>
    <col min="1534" max="1534" width="14.21875" style="329" bestFit="1" customWidth="1"/>
    <col min="1535" max="1535" width="3.33203125" style="329" customWidth="1"/>
    <col min="1536" max="1536" width="20.44140625" style="329" customWidth="1"/>
    <col min="1537" max="1777" width="8.77734375" style="329"/>
    <col min="1778" max="1778" width="54.6640625" style="329" customWidth="1"/>
    <col min="1779" max="1779" width="13.77734375" style="329" customWidth="1"/>
    <col min="1780" max="1780" width="0" style="329" hidden="1" customWidth="1"/>
    <col min="1781" max="1781" width="6.6640625" style="329" customWidth="1"/>
    <col min="1782" max="1782" width="15" style="329" customWidth="1"/>
    <col min="1783" max="1783" width="3.6640625" style="329" bestFit="1" customWidth="1"/>
    <col min="1784" max="1784" width="15.44140625" style="329" bestFit="1" customWidth="1"/>
    <col min="1785" max="1785" width="3.77734375" style="329" customWidth="1"/>
    <col min="1786" max="1786" width="11.21875" style="329" bestFit="1" customWidth="1"/>
    <col min="1787" max="1787" width="3.6640625" style="329" customWidth="1"/>
    <col min="1788" max="1788" width="13.5546875" style="329" customWidth="1"/>
    <col min="1789" max="1789" width="1" style="329" customWidth="1"/>
    <col min="1790" max="1790" width="14.21875" style="329" bestFit="1" customWidth="1"/>
    <col min="1791" max="1791" width="3.33203125" style="329" customWidth="1"/>
    <col min="1792" max="1792" width="20.44140625" style="329" customWidth="1"/>
    <col min="1793" max="2033" width="8.77734375" style="329"/>
    <col min="2034" max="2034" width="54.6640625" style="329" customWidth="1"/>
    <col min="2035" max="2035" width="13.77734375" style="329" customWidth="1"/>
    <col min="2036" max="2036" width="0" style="329" hidden="1" customWidth="1"/>
    <col min="2037" max="2037" width="6.6640625" style="329" customWidth="1"/>
    <col min="2038" max="2038" width="15" style="329" customWidth="1"/>
    <col min="2039" max="2039" width="3.6640625" style="329" bestFit="1" customWidth="1"/>
    <col min="2040" max="2040" width="15.44140625" style="329" bestFit="1" customWidth="1"/>
    <col min="2041" max="2041" width="3.77734375" style="329" customWidth="1"/>
    <col min="2042" max="2042" width="11.21875" style="329" bestFit="1" customWidth="1"/>
    <col min="2043" max="2043" width="3.6640625" style="329" customWidth="1"/>
    <col min="2044" max="2044" width="13.5546875" style="329" customWidth="1"/>
    <col min="2045" max="2045" width="1" style="329" customWidth="1"/>
    <col min="2046" max="2046" width="14.21875" style="329" bestFit="1" customWidth="1"/>
    <col min="2047" max="2047" width="3.33203125" style="329" customWidth="1"/>
    <col min="2048" max="2048" width="20.44140625" style="329" customWidth="1"/>
    <col min="2049" max="2289" width="8.77734375" style="329"/>
    <col min="2290" max="2290" width="54.6640625" style="329" customWidth="1"/>
    <col min="2291" max="2291" width="13.77734375" style="329" customWidth="1"/>
    <col min="2292" max="2292" width="0" style="329" hidden="1" customWidth="1"/>
    <col min="2293" max="2293" width="6.6640625" style="329" customWidth="1"/>
    <col min="2294" max="2294" width="15" style="329" customWidth="1"/>
    <col min="2295" max="2295" width="3.6640625" style="329" bestFit="1" customWidth="1"/>
    <col min="2296" max="2296" width="15.44140625" style="329" bestFit="1" customWidth="1"/>
    <col min="2297" max="2297" width="3.77734375" style="329" customWidth="1"/>
    <col min="2298" max="2298" width="11.21875" style="329" bestFit="1" customWidth="1"/>
    <col min="2299" max="2299" width="3.6640625" style="329" customWidth="1"/>
    <col min="2300" max="2300" width="13.5546875" style="329" customWidth="1"/>
    <col min="2301" max="2301" width="1" style="329" customWidth="1"/>
    <col min="2302" max="2302" width="14.21875" style="329" bestFit="1" customWidth="1"/>
    <col min="2303" max="2303" width="3.33203125" style="329" customWidth="1"/>
    <col min="2304" max="2304" width="20.44140625" style="329" customWidth="1"/>
    <col min="2305" max="2545" width="8.77734375" style="329"/>
    <col min="2546" max="2546" width="54.6640625" style="329" customWidth="1"/>
    <col min="2547" max="2547" width="13.77734375" style="329" customWidth="1"/>
    <col min="2548" max="2548" width="0" style="329" hidden="1" customWidth="1"/>
    <col min="2549" max="2549" width="6.6640625" style="329" customWidth="1"/>
    <col min="2550" max="2550" width="15" style="329" customWidth="1"/>
    <col min="2551" max="2551" width="3.6640625" style="329" bestFit="1" customWidth="1"/>
    <col min="2552" max="2552" width="15.44140625" style="329" bestFit="1" customWidth="1"/>
    <col min="2553" max="2553" width="3.77734375" style="329" customWidth="1"/>
    <col min="2554" max="2554" width="11.21875" style="329" bestFit="1" customWidth="1"/>
    <col min="2555" max="2555" width="3.6640625" style="329" customWidth="1"/>
    <col min="2556" max="2556" width="13.5546875" style="329" customWidth="1"/>
    <col min="2557" max="2557" width="1" style="329" customWidth="1"/>
    <col min="2558" max="2558" width="14.21875" style="329" bestFit="1" customWidth="1"/>
    <col min="2559" max="2559" width="3.33203125" style="329" customWidth="1"/>
    <col min="2560" max="2560" width="20.44140625" style="329" customWidth="1"/>
    <col min="2561" max="2801" width="8.77734375" style="329"/>
    <col min="2802" max="2802" width="54.6640625" style="329" customWidth="1"/>
    <col min="2803" max="2803" width="13.77734375" style="329" customWidth="1"/>
    <col min="2804" max="2804" width="0" style="329" hidden="1" customWidth="1"/>
    <col min="2805" max="2805" width="6.6640625" style="329" customWidth="1"/>
    <col min="2806" max="2806" width="15" style="329" customWidth="1"/>
    <col min="2807" max="2807" width="3.6640625" style="329" bestFit="1" customWidth="1"/>
    <col min="2808" max="2808" width="15.44140625" style="329" bestFit="1" customWidth="1"/>
    <col min="2809" max="2809" width="3.77734375" style="329" customWidth="1"/>
    <col min="2810" max="2810" width="11.21875" style="329" bestFit="1" customWidth="1"/>
    <col min="2811" max="2811" width="3.6640625" style="329" customWidth="1"/>
    <col min="2812" max="2812" width="13.5546875" style="329" customWidth="1"/>
    <col min="2813" max="2813" width="1" style="329" customWidth="1"/>
    <col min="2814" max="2814" width="14.21875" style="329" bestFit="1" customWidth="1"/>
    <col min="2815" max="2815" width="3.33203125" style="329" customWidth="1"/>
    <col min="2816" max="2816" width="20.44140625" style="329" customWidth="1"/>
    <col min="2817" max="3057" width="8.77734375" style="329"/>
    <col min="3058" max="3058" width="54.6640625" style="329" customWidth="1"/>
    <col min="3059" max="3059" width="13.77734375" style="329" customWidth="1"/>
    <col min="3060" max="3060" width="0" style="329" hidden="1" customWidth="1"/>
    <col min="3061" max="3061" width="6.6640625" style="329" customWidth="1"/>
    <col min="3062" max="3062" width="15" style="329" customWidth="1"/>
    <col min="3063" max="3063" width="3.6640625" style="329" bestFit="1" customWidth="1"/>
    <col min="3064" max="3064" width="15.44140625" style="329" bestFit="1" customWidth="1"/>
    <col min="3065" max="3065" width="3.77734375" style="329" customWidth="1"/>
    <col min="3066" max="3066" width="11.21875" style="329" bestFit="1" customWidth="1"/>
    <col min="3067" max="3067" width="3.6640625" style="329" customWidth="1"/>
    <col min="3068" max="3068" width="13.5546875" style="329" customWidth="1"/>
    <col min="3069" max="3069" width="1" style="329" customWidth="1"/>
    <col min="3070" max="3070" width="14.21875" style="329" bestFit="1" customWidth="1"/>
    <col min="3071" max="3071" width="3.33203125" style="329" customWidth="1"/>
    <col min="3072" max="3072" width="20.44140625" style="329" customWidth="1"/>
    <col min="3073" max="3313" width="8.77734375" style="329"/>
    <col min="3314" max="3314" width="54.6640625" style="329" customWidth="1"/>
    <col min="3315" max="3315" width="13.77734375" style="329" customWidth="1"/>
    <col min="3316" max="3316" width="0" style="329" hidden="1" customWidth="1"/>
    <col min="3317" max="3317" width="6.6640625" style="329" customWidth="1"/>
    <col min="3318" max="3318" width="15" style="329" customWidth="1"/>
    <col min="3319" max="3319" width="3.6640625" style="329" bestFit="1" customWidth="1"/>
    <col min="3320" max="3320" width="15.44140625" style="329" bestFit="1" customWidth="1"/>
    <col min="3321" max="3321" width="3.77734375" style="329" customWidth="1"/>
    <col min="3322" max="3322" width="11.21875" style="329" bestFit="1" customWidth="1"/>
    <col min="3323" max="3323" width="3.6640625" style="329" customWidth="1"/>
    <col min="3324" max="3324" width="13.5546875" style="329" customWidth="1"/>
    <col min="3325" max="3325" width="1" style="329" customWidth="1"/>
    <col min="3326" max="3326" width="14.21875" style="329" bestFit="1" customWidth="1"/>
    <col min="3327" max="3327" width="3.33203125" style="329" customWidth="1"/>
    <col min="3328" max="3328" width="20.44140625" style="329" customWidth="1"/>
    <col min="3329" max="3569" width="8.77734375" style="329"/>
    <col min="3570" max="3570" width="54.6640625" style="329" customWidth="1"/>
    <col min="3571" max="3571" width="13.77734375" style="329" customWidth="1"/>
    <col min="3572" max="3572" width="0" style="329" hidden="1" customWidth="1"/>
    <col min="3573" max="3573" width="6.6640625" style="329" customWidth="1"/>
    <col min="3574" max="3574" width="15" style="329" customWidth="1"/>
    <col min="3575" max="3575" width="3.6640625" style="329" bestFit="1" customWidth="1"/>
    <col min="3576" max="3576" width="15.44140625" style="329" bestFit="1" customWidth="1"/>
    <col min="3577" max="3577" width="3.77734375" style="329" customWidth="1"/>
    <col min="3578" max="3578" width="11.21875" style="329" bestFit="1" customWidth="1"/>
    <col min="3579" max="3579" width="3.6640625" style="329" customWidth="1"/>
    <col min="3580" max="3580" width="13.5546875" style="329" customWidth="1"/>
    <col min="3581" max="3581" width="1" style="329" customWidth="1"/>
    <col min="3582" max="3582" width="14.21875" style="329" bestFit="1" customWidth="1"/>
    <col min="3583" max="3583" width="3.33203125" style="329" customWidth="1"/>
    <col min="3584" max="3584" width="20.44140625" style="329" customWidth="1"/>
    <col min="3585" max="3825" width="8.77734375" style="329"/>
    <col min="3826" max="3826" width="54.6640625" style="329" customWidth="1"/>
    <col min="3827" max="3827" width="13.77734375" style="329" customWidth="1"/>
    <col min="3828" max="3828" width="0" style="329" hidden="1" customWidth="1"/>
    <col min="3829" max="3829" width="6.6640625" style="329" customWidth="1"/>
    <col min="3830" max="3830" width="15" style="329" customWidth="1"/>
    <col min="3831" max="3831" width="3.6640625" style="329" bestFit="1" customWidth="1"/>
    <col min="3832" max="3832" width="15.44140625" style="329" bestFit="1" customWidth="1"/>
    <col min="3833" max="3833" width="3.77734375" style="329" customWidth="1"/>
    <col min="3834" max="3834" width="11.21875" style="329" bestFit="1" customWidth="1"/>
    <col min="3835" max="3835" width="3.6640625" style="329" customWidth="1"/>
    <col min="3836" max="3836" width="13.5546875" style="329" customWidth="1"/>
    <col min="3837" max="3837" width="1" style="329" customWidth="1"/>
    <col min="3838" max="3838" width="14.21875" style="329" bestFit="1" customWidth="1"/>
    <col min="3839" max="3839" width="3.33203125" style="329" customWidth="1"/>
    <col min="3840" max="3840" width="20.44140625" style="329" customWidth="1"/>
    <col min="3841" max="4081" width="8.77734375" style="329"/>
    <col min="4082" max="4082" width="54.6640625" style="329" customWidth="1"/>
    <col min="4083" max="4083" width="13.77734375" style="329" customWidth="1"/>
    <col min="4084" max="4084" width="0" style="329" hidden="1" customWidth="1"/>
    <col min="4085" max="4085" width="6.6640625" style="329" customWidth="1"/>
    <col min="4086" max="4086" width="15" style="329" customWidth="1"/>
    <col min="4087" max="4087" width="3.6640625" style="329" bestFit="1" customWidth="1"/>
    <col min="4088" max="4088" width="15.44140625" style="329" bestFit="1" customWidth="1"/>
    <col min="4089" max="4089" width="3.77734375" style="329" customWidth="1"/>
    <col min="4090" max="4090" width="11.21875" style="329" bestFit="1" customWidth="1"/>
    <col min="4091" max="4091" width="3.6640625" style="329" customWidth="1"/>
    <col min="4092" max="4092" width="13.5546875" style="329" customWidth="1"/>
    <col min="4093" max="4093" width="1" style="329" customWidth="1"/>
    <col min="4094" max="4094" width="14.21875" style="329" bestFit="1" customWidth="1"/>
    <col min="4095" max="4095" width="3.33203125" style="329" customWidth="1"/>
    <col min="4096" max="4096" width="20.44140625" style="329" customWidth="1"/>
    <col min="4097" max="4337" width="8.77734375" style="329"/>
    <col min="4338" max="4338" width="54.6640625" style="329" customWidth="1"/>
    <col min="4339" max="4339" width="13.77734375" style="329" customWidth="1"/>
    <col min="4340" max="4340" width="0" style="329" hidden="1" customWidth="1"/>
    <col min="4341" max="4341" width="6.6640625" style="329" customWidth="1"/>
    <col min="4342" max="4342" width="15" style="329" customWidth="1"/>
    <col min="4343" max="4343" width="3.6640625" style="329" bestFit="1" customWidth="1"/>
    <col min="4344" max="4344" width="15.44140625" style="329" bestFit="1" customWidth="1"/>
    <col min="4345" max="4345" width="3.77734375" style="329" customWidth="1"/>
    <col min="4346" max="4346" width="11.21875" style="329" bestFit="1" customWidth="1"/>
    <col min="4347" max="4347" width="3.6640625" style="329" customWidth="1"/>
    <col min="4348" max="4348" width="13.5546875" style="329" customWidth="1"/>
    <col min="4349" max="4349" width="1" style="329" customWidth="1"/>
    <col min="4350" max="4350" width="14.21875" style="329" bestFit="1" customWidth="1"/>
    <col min="4351" max="4351" width="3.33203125" style="329" customWidth="1"/>
    <col min="4352" max="4352" width="20.44140625" style="329" customWidth="1"/>
    <col min="4353" max="4593" width="8.77734375" style="329"/>
    <col min="4594" max="4594" width="54.6640625" style="329" customWidth="1"/>
    <col min="4595" max="4595" width="13.77734375" style="329" customWidth="1"/>
    <col min="4596" max="4596" width="0" style="329" hidden="1" customWidth="1"/>
    <col min="4597" max="4597" width="6.6640625" style="329" customWidth="1"/>
    <col min="4598" max="4598" width="15" style="329" customWidth="1"/>
    <col min="4599" max="4599" width="3.6640625" style="329" bestFit="1" customWidth="1"/>
    <col min="4600" max="4600" width="15.44140625" style="329" bestFit="1" customWidth="1"/>
    <col min="4601" max="4601" width="3.77734375" style="329" customWidth="1"/>
    <col min="4602" max="4602" width="11.21875" style="329" bestFit="1" customWidth="1"/>
    <col min="4603" max="4603" width="3.6640625" style="329" customWidth="1"/>
    <col min="4604" max="4604" width="13.5546875" style="329" customWidth="1"/>
    <col min="4605" max="4605" width="1" style="329" customWidth="1"/>
    <col min="4606" max="4606" width="14.21875" style="329" bestFit="1" customWidth="1"/>
    <col min="4607" max="4607" width="3.33203125" style="329" customWidth="1"/>
    <col min="4608" max="4608" width="20.44140625" style="329" customWidth="1"/>
    <col min="4609" max="4849" width="8.77734375" style="329"/>
    <col min="4850" max="4850" width="54.6640625" style="329" customWidth="1"/>
    <col min="4851" max="4851" width="13.77734375" style="329" customWidth="1"/>
    <col min="4852" max="4852" width="0" style="329" hidden="1" customWidth="1"/>
    <col min="4853" max="4853" width="6.6640625" style="329" customWidth="1"/>
    <col min="4854" max="4854" width="15" style="329" customWidth="1"/>
    <col min="4855" max="4855" width="3.6640625" style="329" bestFit="1" customWidth="1"/>
    <col min="4856" max="4856" width="15.44140625" style="329" bestFit="1" customWidth="1"/>
    <col min="4857" max="4857" width="3.77734375" style="329" customWidth="1"/>
    <col min="4858" max="4858" width="11.21875" style="329" bestFit="1" customWidth="1"/>
    <col min="4859" max="4859" width="3.6640625" style="329" customWidth="1"/>
    <col min="4860" max="4860" width="13.5546875" style="329" customWidth="1"/>
    <col min="4861" max="4861" width="1" style="329" customWidth="1"/>
    <col min="4862" max="4862" width="14.21875" style="329" bestFit="1" customWidth="1"/>
    <col min="4863" max="4863" width="3.33203125" style="329" customWidth="1"/>
    <col min="4864" max="4864" width="20.44140625" style="329" customWidth="1"/>
    <col min="4865" max="5105" width="8.77734375" style="329"/>
    <col min="5106" max="5106" width="54.6640625" style="329" customWidth="1"/>
    <col min="5107" max="5107" width="13.77734375" style="329" customWidth="1"/>
    <col min="5108" max="5108" width="0" style="329" hidden="1" customWidth="1"/>
    <col min="5109" max="5109" width="6.6640625" style="329" customWidth="1"/>
    <col min="5110" max="5110" width="15" style="329" customWidth="1"/>
    <col min="5111" max="5111" width="3.6640625" style="329" bestFit="1" customWidth="1"/>
    <col min="5112" max="5112" width="15.44140625" style="329" bestFit="1" customWidth="1"/>
    <col min="5113" max="5113" width="3.77734375" style="329" customWidth="1"/>
    <col min="5114" max="5114" width="11.21875" style="329" bestFit="1" customWidth="1"/>
    <col min="5115" max="5115" width="3.6640625" style="329" customWidth="1"/>
    <col min="5116" max="5116" width="13.5546875" style="329" customWidth="1"/>
    <col min="5117" max="5117" width="1" style="329" customWidth="1"/>
    <col min="5118" max="5118" width="14.21875" style="329" bestFit="1" customWidth="1"/>
    <col min="5119" max="5119" width="3.33203125" style="329" customWidth="1"/>
    <col min="5120" max="5120" width="20.44140625" style="329" customWidth="1"/>
    <col min="5121" max="5361" width="8.77734375" style="329"/>
    <col min="5362" max="5362" width="54.6640625" style="329" customWidth="1"/>
    <col min="5363" max="5363" width="13.77734375" style="329" customWidth="1"/>
    <col min="5364" max="5364" width="0" style="329" hidden="1" customWidth="1"/>
    <col min="5365" max="5365" width="6.6640625" style="329" customWidth="1"/>
    <col min="5366" max="5366" width="15" style="329" customWidth="1"/>
    <col min="5367" max="5367" width="3.6640625" style="329" bestFit="1" customWidth="1"/>
    <col min="5368" max="5368" width="15.44140625" style="329" bestFit="1" customWidth="1"/>
    <col min="5369" max="5369" width="3.77734375" style="329" customWidth="1"/>
    <col min="5370" max="5370" width="11.21875" style="329" bestFit="1" customWidth="1"/>
    <col min="5371" max="5371" width="3.6640625" style="329" customWidth="1"/>
    <col min="5372" max="5372" width="13.5546875" style="329" customWidth="1"/>
    <col min="5373" max="5373" width="1" style="329" customWidth="1"/>
    <col min="5374" max="5374" width="14.21875" style="329" bestFit="1" customWidth="1"/>
    <col min="5375" max="5375" width="3.33203125" style="329" customWidth="1"/>
    <col min="5376" max="5376" width="20.44140625" style="329" customWidth="1"/>
    <col min="5377" max="5617" width="8.77734375" style="329"/>
    <col min="5618" max="5618" width="54.6640625" style="329" customWidth="1"/>
    <col min="5619" max="5619" width="13.77734375" style="329" customWidth="1"/>
    <col min="5620" max="5620" width="0" style="329" hidden="1" customWidth="1"/>
    <col min="5621" max="5621" width="6.6640625" style="329" customWidth="1"/>
    <col min="5622" max="5622" width="15" style="329" customWidth="1"/>
    <col min="5623" max="5623" width="3.6640625" style="329" bestFit="1" customWidth="1"/>
    <col min="5624" max="5624" width="15.44140625" style="329" bestFit="1" customWidth="1"/>
    <col min="5625" max="5625" width="3.77734375" style="329" customWidth="1"/>
    <col min="5626" max="5626" width="11.21875" style="329" bestFit="1" customWidth="1"/>
    <col min="5627" max="5627" width="3.6640625" style="329" customWidth="1"/>
    <col min="5628" max="5628" width="13.5546875" style="329" customWidth="1"/>
    <col min="5629" max="5629" width="1" style="329" customWidth="1"/>
    <col min="5630" max="5630" width="14.21875" style="329" bestFit="1" customWidth="1"/>
    <col min="5631" max="5631" width="3.33203125" style="329" customWidth="1"/>
    <col min="5632" max="5632" width="20.44140625" style="329" customWidth="1"/>
    <col min="5633" max="5873" width="8.77734375" style="329"/>
    <col min="5874" max="5874" width="54.6640625" style="329" customWidth="1"/>
    <col min="5875" max="5875" width="13.77734375" style="329" customWidth="1"/>
    <col min="5876" max="5876" width="0" style="329" hidden="1" customWidth="1"/>
    <col min="5877" max="5877" width="6.6640625" style="329" customWidth="1"/>
    <col min="5878" max="5878" width="15" style="329" customWidth="1"/>
    <col min="5879" max="5879" width="3.6640625" style="329" bestFit="1" customWidth="1"/>
    <col min="5880" max="5880" width="15.44140625" style="329" bestFit="1" customWidth="1"/>
    <col min="5881" max="5881" width="3.77734375" style="329" customWidth="1"/>
    <col min="5882" max="5882" width="11.21875" style="329" bestFit="1" customWidth="1"/>
    <col min="5883" max="5883" width="3.6640625" style="329" customWidth="1"/>
    <col min="5884" max="5884" width="13.5546875" style="329" customWidth="1"/>
    <col min="5885" max="5885" width="1" style="329" customWidth="1"/>
    <col min="5886" max="5886" width="14.21875" style="329" bestFit="1" customWidth="1"/>
    <col min="5887" max="5887" width="3.33203125" style="329" customWidth="1"/>
    <col min="5888" max="5888" width="20.44140625" style="329" customWidth="1"/>
    <col min="5889" max="6129" width="8.77734375" style="329"/>
    <col min="6130" max="6130" width="54.6640625" style="329" customWidth="1"/>
    <col min="6131" max="6131" width="13.77734375" style="329" customWidth="1"/>
    <col min="6132" max="6132" width="0" style="329" hidden="1" customWidth="1"/>
    <col min="6133" max="6133" width="6.6640625" style="329" customWidth="1"/>
    <col min="6134" max="6134" width="15" style="329" customWidth="1"/>
    <col min="6135" max="6135" width="3.6640625" style="329" bestFit="1" customWidth="1"/>
    <col min="6136" max="6136" width="15.44140625" style="329" bestFit="1" customWidth="1"/>
    <col min="6137" max="6137" width="3.77734375" style="329" customWidth="1"/>
    <col min="6138" max="6138" width="11.21875" style="329" bestFit="1" customWidth="1"/>
    <col min="6139" max="6139" width="3.6640625" style="329" customWidth="1"/>
    <col min="6140" max="6140" width="13.5546875" style="329" customWidth="1"/>
    <col min="6141" max="6141" width="1" style="329" customWidth="1"/>
    <col min="6142" max="6142" width="14.21875" style="329" bestFit="1" customWidth="1"/>
    <col min="6143" max="6143" width="3.33203125" style="329" customWidth="1"/>
    <col min="6144" max="6144" width="20.44140625" style="329" customWidth="1"/>
    <col min="6145" max="6385" width="8.77734375" style="329"/>
    <col min="6386" max="6386" width="54.6640625" style="329" customWidth="1"/>
    <col min="6387" max="6387" width="13.77734375" style="329" customWidth="1"/>
    <col min="6388" max="6388" width="0" style="329" hidden="1" customWidth="1"/>
    <col min="6389" max="6389" width="6.6640625" style="329" customWidth="1"/>
    <col min="6390" max="6390" width="15" style="329" customWidth="1"/>
    <col min="6391" max="6391" width="3.6640625" style="329" bestFit="1" customWidth="1"/>
    <col min="6392" max="6392" width="15.44140625" style="329" bestFit="1" customWidth="1"/>
    <col min="6393" max="6393" width="3.77734375" style="329" customWidth="1"/>
    <col min="6394" max="6394" width="11.21875" style="329" bestFit="1" customWidth="1"/>
    <col min="6395" max="6395" width="3.6640625" style="329" customWidth="1"/>
    <col min="6396" max="6396" width="13.5546875" style="329" customWidth="1"/>
    <col min="6397" max="6397" width="1" style="329" customWidth="1"/>
    <col min="6398" max="6398" width="14.21875" style="329" bestFit="1" customWidth="1"/>
    <col min="6399" max="6399" width="3.33203125" style="329" customWidth="1"/>
    <col min="6400" max="6400" width="20.44140625" style="329" customWidth="1"/>
    <col min="6401" max="6641" width="8.77734375" style="329"/>
    <col min="6642" max="6642" width="54.6640625" style="329" customWidth="1"/>
    <col min="6643" max="6643" width="13.77734375" style="329" customWidth="1"/>
    <col min="6644" max="6644" width="0" style="329" hidden="1" customWidth="1"/>
    <col min="6645" max="6645" width="6.6640625" style="329" customWidth="1"/>
    <col min="6646" max="6646" width="15" style="329" customWidth="1"/>
    <col min="6647" max="6647" width="3.6640625" style="329" bestFit="1" customWidth="1"/>
    <col min="6648" max="6648" width="15.44140625" style="329" bestFit="1" customWidth="1"/>
    <col min="6649" max="6649" width="3.77734375" style="329" customWidth="1"/>
    <col min="6650" max="6650" width="11.21875" style="329" bestFit="1" customWidth="1"/>
    <col min="6651" max="6651" width="3.6640625" style="329" customWidth="1"/>
    <col min="6652" max="6652" width="13.5546875" style="329" customWidth="1"/>
    <col min="6653" max="6653" width="1" style="329" customWidth="1"/>
    <col min="6654" max="6654" width="14.21875" style="329" bestFit="1" customWidth="1"/>
    <col min="6655" max="6655" width="3.33203125" style="329" customWidth="1"/>
    <col min="6656" max="6656" width="20.44140625" style="329" customWidth="1"/>
    <col min="6657" max="6897" width="8.77734375" style="329"/>
    <col min="6898" max="6898" width="54.6640625" style="329" customWidth="1"/>
    <col min="6899" max="6899" width="13.77734375" style="329" customWidth="1"/>
    <col min="6900" max="6900" width="0" style="329" hidden="1" customWidth="1"/>
    <col min="6901" max="6901" width="6.6640625" style="329" customWidth="1"/>
    <col min="6902" max="6902" width="15" style="329" customWidth="1"/>
    <col min="6903" max="6903" width="3.6640625" style="329" bestFit="1" customWidth="1"/>
    <col min="6904" max="6904" width="15.44140625" style="329" bestFit="1" customWidth="1"/>
    <col min="6905" max="6905" width="3.77734375" style="329" customWidth="1"/>
    <col min="6906" max="6906" width="11.21875" style="329" bestFit="1" customWidth="1"/>
    <col min="6907" max="6907" width="3.6640625" style="329" customWidth="1"/>
    <col min="6908" max="6908" width="13.5546875" style="329" customWidth="1"/>
    <col min="6909" max="6909" width="1" style="329" customWidth="1"/>
    <col min="6910" max="6910" width="14.21875" style="329" bestFit="1" customWidth="1"/>
    <col min="6911" max="6911" width="3.33203125" style="329" customWidth="1"/>
    <col min="6912" max="6912" width="20.44140625" style="329" customWidth="1"/>
    <col min="6913" max="7153" width="8.77734375" style="329"/>
    <col min="7154" max="7154" width="54.6640625" style="329" customWidth="1"/>
    <col min="7155" max="7155" width="13.77734375" style="329" customWidth="1"/>
    <col min="7156" max="7156" width="0" style="329" hidden="1" customWidth="1"/>
    <col min="7157" max="7157" width="6.6640625" style="329" customWidth="1"/>
    <col min="7158" max="7158" width="15" style="329" customWidth="1"/>
    <col min="7159" max="7159" width="3.6640625" style="329" bestFit="1" customWidth="1"/>
    <col min="7160" max="7160" width="15.44140625" style="329" bestFit="1" customWidth="1"/>
    <col min="7161" max="7161" width="3.77734375" style="329" customWidth="1"/>
    <col min="7162" max="7162" width="11.21875" style="329" bestFit="1" customWidth="1"/>
    <col min="7163" max="7163" width="3.6640625" style="329" customWidth="1"/>
    <col min="7164" max="7164" width="13.5546875" style="329" customWidth="1"/>
    <col min="7165" max="7165" width="1" style="329" customWidth="1"/>
    <col min="7166" max="7166" width="14.21875" style="329" bestFit="1" customWidth="1"/>
    <col min="7167" max="7167" width="3.33203125" style="329" customWidth="1"/>
    <col min="7168" max="7168" width="20.44140625" style="329" customWidth="1"/>
    <col min="7169" max="7409" width="8.77734375" style="329"/>
    <col min="7410" max="7410" width="54.6640625" style="329" customWidth="1"/>
    <col min="7411" max="7411" width="13.77734375" style="329" customWidth="1"/>
    <col min="7412" max="7412" width="0" style="329" hidden="1" customWidth="1"/>
    <col min="7413" max="7413" width="6.6640625" style="329" customWidth="1"/>
    <col min="7414" max="7414" width="15" style="329" customWidth="1"/>
    <col min="7415" max="7415" width="3.6640625" style="329" bestFit="1" customWidth="1"/>
    <col min="7416" max="7416" width="15.44140625" style="329" bestFit="1" customWidth="1"/>
    <col min="7417" max="7417" width="3.77734375" style="329" customWidth="1"/>
    <col min="7418" max="7418" width="11.21875" style="329" bestFit="1" customWidth="1"/>
    <col min="7419" max="7419" width="3.6640625" style="329" customWidth="1"/>
    <col min="7420" max="7420" width="13.5546875" style="329" customWidth="1"/>
    <col min="7421" max="7421" width="1" style="329" customWidth="1"/>
    <col min="7422" max="7422" width="14.21875" style="329" bestFit="1" customWidth="1"/>
    <col min="7423" max="7423" width="3.33203125" style="329" customWidth="1"/>
    <col min="7424" max="7424" width="20.44140625" style="329" customWidth="1"/>
    <col min="7425" max="7665" width="8.77734375" style="329"/>
    <col min="7666" max="7666" width="54.6640625" style="329" customWidth="1"/>
    <col min="7667" max="7667" width="13.77734375" style="329" customWidth="1"/>
    <col min="7668" max="7668" width="0" style="329" hidden="1" customWidth="1"/>
    <col min="7669" max="7669" width="6.6640625" style="329" customWidth="1"/>
    <col min="7670" max="7670" width="15" style="329" customWidth="1"/>
    <col min="7671" max="7671" width="3.6640625" style="329" bestFit="1" customWidth="1"/>
    <col min="7672" max="7672" width="15.44140625" style="329" bestFit="1" customWidth="1"/>
    <col min="7673" max="7673" width="3.77734375" style="329" customWidth="1"/>
    <col min="7674" max="7674" width="11.21875" style="329" bestFit="1" customWidth="1"/>
    <col min="7675" max="7675" width="3.6640625" style="329" customWidth="1"/>
    <col min="7676" max="7676" width="13.5546875" style="329" customWidth="1"/>
    <col min="7677" max="7677" width="1" style="329" customWidth="1"/>
    <col min="7678" max="7678" width="14.21875" style="329" bestFit="1" customWidth="1"/>
    <col min="7679" max="7679" width="3.33203125" style="329" customWidth="1"/>
    <col min="7680" max="7680" width="20.44140625" style="329" customWidth="1"/>
    <col min="7681" max="7921" width="8.77734375" style="329"/>
    <col min="7922" max="7922" width="54.6640625" style="329" customWidth="1"/>
    <col min="7923" max="7923" width="13.77734375" style="329" customWidth="1"/>
    <col min="7924" max="7924" width="0" style="329" hidden="1" customWidth="1"/>
    <col min="7925" max="7925" width="6.6640625" style="329" customWidth="1"/>
    <col min="7926" max="7926" width="15" style="329" customWidth="1"/>
    <col min="7927" max="7927" width="3.6640625" style="329" bestFit="1" customWidth="1"/>
    <col min="7928" max="7928" width="15.44140625" style="329" bestFit="1" customWidth="1"/>
    <col min="7929" max="7929" width="3.77734375" style="329" customWidth="1"/>
    <col min="7930" max="7930" width="11.21875" style="329" bestFit="1" customWidth="1"/>
    <col min="7931" max="7931" width="3.6640625" style="329" customWidth="1"/>
    <col min="7932" max="7932" width="13.5546875" style="329" customWidth="1"/>
    <col min="7933" max="7933" width="1" style="329" customWidth="1"/>
    <col min="7934" max="7934" width="14.21875" style="329" bestFit="1" customWidth="1"/>
    <col min="7935" max="7935" width="3.33203125" style="329" customWidth="1"/>
    <col min="7936" max="7936" width="20.44140625" style="329" customWidth="1"/>
    <col min="7937" max="8177" width="8.77734375" style="329"/>
    <col min="8178" max="8178" width="54.6640625" style="329" customWidth="1"/>
    <col min="8179" max="8179" width="13.77734375" style="329" customWidth="1"/>
    <col min="8180" max="8180" width="0" style="329" hidden="1" customWidth="1"/>
    <col min="8181" max="8181" width="6.6640625" style="329" customWidth="1"/>
    <col min="8182" max="8182" width="15" style="329" customWidth="1"/>
    <col min="8183" max="8183" width="3.6640625" style="329" bestFit="1" customWidth="1"/>
    <col min="8184" max="8184" width="15.44140625" style="329" bestFit="1" customWidth="1"/>
    <col min="8185" max="8185" width="3.77734375" style="329" customWidth="1"/>
    <col min="8186" max="8186" width="11.21875" style="329" bestFit="1" customWidth="1"/>
    <col min="8187" max="8187" width="3.6640625" style="329" customWidth="1"/>
    <col min="8188" max="8188" width="13.5546875" style="329" customWidth="1"/>
    <col min="8189" max="8189" width="1" style="329" customWidth="1"/>
    <col min="8190" max="8190" width="14.21875" style="329" bestFit="1" customWidth="1"/>
    <col min="8191" max="8191" width="3.33203125" style="329" customWidth="1"/>
    <col min="8192" max="8192" width="20.44140625" style="329" customWidth="1"/>
    <col min="8193" max="8433" width="8.77734375" style="329"/>
    <col min="8434" max="8434" width="54.6640625" style="329" customWidth="1"/>
    <col min="8435" max="8435" width="13.77734375" style="329" customWidth="1"/>
    <col min="8436" max="8436" width="0" style="329" hidden="1" customWidth="1"/>
    <col min="8437" max="8437" width="6.6640625" style="329" customWidth="1"/>
    <col min="8438" max="8438" width="15" style="329" customWidth="1"/>
    <col min="8439" max="8439" width="3.6640625" style="329" bestFit="1" customWidth="1"/>
    <col min="8440" max="8440" width="15.44140625" style="329" bestFit="1" customWidth="1"/>
    <col min="8441" max="8441" width="3.77734375" style="329" customWidth="1"/>
    <col min="8442" max="8442" width="11.21875" style="329" bestFit="1" customWidth="1"/>
    <col min="8443" max="8443" width="3.6640625" style="329" customWidth="1"/>
    <col min="8444" max="8444" width="13.5546875" style="329" customWidth="1"/>
    <col min="8445" max="8445" width="1" style="329" customWidth="1"/>
    <col min="8446" max="8446" width="14.21875" style="329" bestFit="1" customWidth="1"/>
    <col min="8447" max="8447" width="3.33203125" style="329" customWidth="1"/>
    <col min="8448" max="8448" width="20.44140625" style="329" customWidth="1"/>
    <col min="8449" max="8689" width="8.77734375" style="329"/>
    <col min="8690" max="8690" width="54.6640625" style="329" customWidth="1"/>
    <col min="8691" max="8691" width="13.77734375" style="329" customWidth="1"/>
    <col min="8692" max="8692" width="0" style="329" hidden="1" customWidth="1"/>
    <col min="8693" max="8693" width="6.6640625" style="329" customWidth="1"/>
    <col min="8694" max="8694" width="15" style="329" customWidth="1"/>
    <col min="8695" max="8695" width="3.6640625" style="329" bestFit="1" customWidth="1"/>
    <col min="8696" max="8696" width="15.44140625" style="329" bestFit="1" customWidth="1"/>
    <col min="8697" max="8697" width="3.77734375" style="329" customWidth="1"/>
    <col min="8698" max="8698" width="11.21875" style="329" bestFit="1" customWidth="1"/>
    <col min="8699" max="8699" width="3.6640625" style="329" customWidth="1"/>
    <col min="8700" max="8700" width="13.5546875" style="329" customWidth="1"/>
    <col min="8701" max="8701" width="1" style="329" customWidth="1"/>
    <col min="8702" max="8702" width="14.21875" style="329" bestFit="1" customWidth="1"/>
    <col min="8703" max="8703" width="3.33203125" style="329" customWidth="1"/>
    <col min="8704" max="8704" width="20.44140625" style="329" customWidth="1"/>
    <col min="8705" max="8945" width="8.77734375" style="329"/>
    <col min="8946" max="8946" width="54.6640625" style="329" customWidth="1"/>
    <col min="8947" max="8947" width="13.77734375" style="329" customWidth="1"/>
    <col min="8948" max="8948" width="0" style="329" hidden="1" customWidth="1"/>
    <col min="8949" max="8949" width="6.6640625" style="329" customWidth="1"/>
    <col min="8950" max="8950" width="15" style="329" customWidth="1"/>
    <col min="8951" max="8951" width="3.6640625" style="329" bestFit="1" customWidth="1"/>
    <col min="8952" max="8952" width="15.44140625" style="329" bestFit="1" customWidth="1"/>
    <col min="8953" max="8953" width="3.77734375" style="329" customWidth="1"/>
    <col min="8954" max="8954" width="11.21875" style="329" bestFit="1" customWidth="1"/>
    <col min="8955" max="8955" width="3.6640625" style="329" customWidth="1"/>
    <col min="8956" max="8956" width="13.5546875" style="329" customWidth="1"/>
    <col min="8957" max="8957" width="1" style="329" customWidth="1"/>
    <col min="8958" max="8958" width="14.21875" style="329" bestFit="1" customWidth="1"/>
    <col min="8959" max="8959" width="3.33203125" style="329" customWidth="1"/>
    <col min="8960" max="8960" width="20.44140625" style="329" customWidth="1"/>
    <col min="8961" max="9201" width="8.77734375" style="329"/>
    <col min="9202" max="9202" width="54.6640625" style="329" customWidth="1"/>
    <col min="9203" max="9203" width="13.77734375" style="329" customWidth="1"/>
    <col min="9204" max="9204" width="0" style="329" hidden="1" customWidth="1"/>
    <col min="9205" max="9205" width="6.6640625" style="329" customWidth="1"/>
    <col min="9206" max="9206" width="15" style="329" customWidth="1"/>
    <col min="9207" max="9207" width="3.6640625" style="329" bestFit="1" customWidth="1"/>
    <col min="9208" max="9208" width="15.44140625" style="329" bestFit="1" customWidth="1"/>
    <col min="9209" max="9209" width="3.77734375" style="329" customWidth="1"/>
    <col min="9210" max="9210" width="11.21875" style="329" bestFit="1" customWidth="1"/>
    <col min="9211" max="9211" width="3.6640625" style="329" customWidth="1"/>
    <col min="9212" max="9212" width="13.5546875" style="329" customWidth="1"/>
    <col min="9213" max="9213" width="1" style="329" customWidth="1"/>
    <col min="9214" max="9214" width="14.21875" style="329" bestFit="1" customWidth="1"/>
    <col min="9215" max="9215" width="3.33203125" style="329" customWidth="1"/>
    <col min="9216" max="9216" width="20.44140625" style="329" customWidth="1"/>
    <col min="9217" max="9457" width="8.77734375" style="329"/>
    <col min="9458" max="9458" width="54.6640625" style="329" customWidth="1"/>
    <col min="9459" max="9459" width="13.77734375" style="329" customWidth="1"/>
    <col min="9460" max="9460" width="0" style="329" hidden="1" customWidth="1"/>
    <col min="9461" max="9461" width="6.6640625" style="329" customWidth="1"/>
    <col min="9462" max="9462" width="15" style="329" customWidth="1"/>
    <col min="9463" max="9463" width="3.6640625" style="329" bestFit="1" customWidth="1"/>
    <col min="9464" max="9464" width="15.44140625" style="329" bestFit="1" customWidth="1"/>
    <col min="9465" max="9465" width="3.77734375" style="329" customWidth="1"/>
    <col min="9466" max="9466" width="11.21875" style="329" bestFit="1" customWidth="1"/>
    <col min="9467" max="9467" width="3.6640625" style="329" customWidth="1"/>
    <col min="9468" max="9468" width="13.5546875" style="329" customWidth="1"/>
    <col min="9469" max="9469" width="1" style="329" customWidth="1"/>
    <col min="9470" max="9470" width="14.21875" style="329" bestFit="1" customWidth="1"/>
    <col min="9471" max="9471" width="3.33203125" style="329" customWidth="1"/>
    <col min="9472" max="9472" width="20.44140625" style="329" customWidth="1"/>
    <col min="9473" max="9713" width="8.77734375" style="329"/>
    <col min="9714" max="9714" width="54.6640625" style="329" customWidth="1"/>
    <col min="9715" max="9715" width="13.77734375" style="329" customWidth="1"/>
    <col min="9716" max="9716" width="0" style="329" hidden="1" customWidth="1"/>
    <col min="9717" max="9717" width="6.6640625" style="329" customWidth="1"/>
    <col min="9718" max="9718" width="15" style="329" customWidth="1"/>
    <col min="9719" max="9719" width="3.6640625" style="329" bestFit="1" customWidth="1"/>
    <col min="9720" max="9720" width="15.44140625" style="329" bestFit="1" customWidth="1"/>
    <col min="9721" max="9721" width="3.77734375" style="329" customWidth="1"/>
    <col min="9722" max="9722" width="11.21875" style="329" bestFit="1" customWidth="1"/>
    <col min="9723" max="9723" width="3.6640625" style="329" customWidth="1"/>
    <col min="9724" max="9724" width="13.5546875" style="329" customWidth="1"/>
    <col min="9725" max="9725" width="1" style="329" customWidth="1"/>
    <col min="9726" max="9726" width="14.21875" style="329" bestFit="1" customWidth="1"/>
    <col min="9727" max="9727" width="3.33203125" style="329" customWidth="1"/>
    <col min="9728" max="9728" width="20.44140625" style="329" customWidth="1"/>
    <col min="9729" max="9969" width="8.77734375" style="329"/>
    <col min="9970" max="9970" width="54.6640625" style="329" customWidth="1"/>
    <col min="9971" max="9971" width="13.77734375" style="329" customWidth="1"/>
    <col min="9972" max="9972" width="0" style="329" hidden="1" customWidth="1"/>
    <col min="9973" max="9973" width="6.6640625" style="329" customWidth="1"/>
    <col min="9974" max="9974" width="15" style="329" customWidth="1"/>
    <col min="9975" max="9975" width="3.6640625" style="329" bestFit="1" customWidth="1"/>
    <col min="9976" max="9976" width="15.44140625" style="329" bestFit="1" customWidth="1"/>
    <col min="9977" max="9977" width="3.77734375" style="329" customWidth="1"/>
    <col min="9978" max="9978" width="11.21875" style="329" bestFit="1" customWidth="1"/>
    <col min="9979" max="9979" width="3.6640625" style="329" customWidth="1"/>
    <col min="9980" max="9980" width="13.5546875" style="329" customWidth="1"/>
    <col min="9981" max="9981" width="1" style="329" customWidth="1"/>
    <col min="9982" max="9982" width="14.21875" style="329" bestFit="1" customWidth="1"/>
    <col min="9983" max="9983" width="3.33203125" style="329" customWidth="1"/>
    <col min="9984" max="9984" width="20.44140625" style="329" customWidth="1"/>
    <col min="9985" max="10225" width="8.77734375" style="329"/>
    <col min="10226" max="10226" width="54.6640625" style="329" customWidth="1"/>
    <col min="10227" max="10227" width="13.77734375" style="329" customWidth="1"/>
    <col min="10228" max="10228" width="0" style="329" hidden="1" customWidth="1"/>
    <col min="10229" max="10229" width="6.6640625" style="329" customWidth="1"/>
    <col min="10230" max="10230" width="15" style="329" customWidth="1"/>
    <col min="10231" max="10231" width="3.6640625" style="329" bestFit="1" customWidth="1"/>
    <col min="10232" max="10232" width="15.44140625" style="329" bestFit="1" customWidth="1"/>
    <col min="10233" max="10233" width="3.77734375" style="329" customWidth="1"/>
    <col min="10234" max="10234" width="11.21875" style="329" bestFit="1" customWidth="1"/>
    <col min="10235" max="10235" width="3.6640625" style="329" customWidth="1"/>
    <col min="10236" max="10236" width="13.5546875" style="329" customWidth="1"/>
    <col min="10237" max="10237" width="1" style="329" customWidth="1"/>
    <col min="10238" max="10238" width="14.21875" style="329" bestFit="1" customWidth="1"/>
    <col min="10239" max="10239" width="3.33203125" style="329" customWidth="1"/>
    <col min="10240" max="10240" width="20.44140625" style="329" customWidth="1"/>
    <col min="10241" max="10481" width="8.77734375" style="329"/>
    <col min="10482" max="10482" width="54.6640625" style="329" customWidth="1"/>
    <col min="10483" max="10483" width="13.77734375" style="329" customWidth="1"/>
    <col min="10484" max="10484" width="0" style="329" hidden="1" customWidth="1"/>
    <col min="10485" max="10485" width="6.6640625" style="329" customWidth="1"/>
    <col min="10486" max="10486" width="15" style="329" customWidth="1"/>
    <col min="10487" max="10487" width="3.6640625" style="329" bestFit="1" customWidth="1"/>
    <col min="10488" max="10488" width="15.44140625" style="329" bestFit="1" customWidth="1"/>
    <col min="10489" max="10489" width="3.77734375" style="329" customWidth="1"/>
    <col min="10490" max="10490" width="11.21875" style="329" bestFit="1" customWidth="1"/>
    <col min="10491" max="10491" width="3.6640625" style="329" customWidth="1"/>
    <col min="10492" max="10492" width="13.5546875" style="329" customWidth="1"/>
    <col min="10493" max="10493" width="1" style="329" customWidth="1"/>
    <col min="10494" max="10494" width="14.21875" style="329" bestFit="1" customWidth="1"/>
    <col min="10495" max="10495" width="3.33203125" style="329" customWidth="1"/>
    <col min="10496" max="10496" width="20.44140625" style="329" customWidth="1"/>
    <col min="10497" max="10737" width="8.77734375" style="329"/>
    <col min="10738" max="10738" width="54.6640625" style="329" customWidth="1"/>
    <col min="10739" max="10739" width="13.77734375" style="329" customWidth="1"/>
    <col min="10740" max="10740" width="0" style="329" hidden="1" customWidth="1"/>
    <col min="10741" max="10741" width="6.6640625" style="329" customWidth="1"/>
    <col min="10742" max="10742" width="15" style="329" customWidth="1"/>
    <col min="10743" max="10743" width="3.6640625" style="329" bestFit="1" customWidth="1"/>
    <col min="10744" max="10744" width="15.44140625" style="329" bestFit="1" customWidth="1"/>
    <col min="10745" max="10745" width="3.77734375" style="329" customWidth="1"/>
    <col min="10746" max="10746" width="11.21875" style="329" bestFit="1" customWidth="1"/>
    <col min="10747" max="10747" width="3.6640625" style="329" customWidth="1"/>
    <col min="10748" max="10748" width="13.5546875" style="329" customWidth="1"/>
    <col min="10749" max="10749" width="1" style="329" customWidth="1"/>
    <col min="10750" max="10750" width="14.21875" style="329" bestFit="1" customWidth="1"/>
    <col min="10751" max="10751" width="3.33203125" style="329" customWidth="1"/>
    <col min="10752" max="10752" width="20.44140625" style="329" customWidth="1"/>
    <col min="10753" max="10993" width="8.77734375" style="329"/>
    <col min="10994" max="10994" width="54.6640625" style="329" customWidth="1"/>
    <col min="10995" max="10995" width="13.77734375" style="329" customWidth="1"/>
    <col min="10996" max="10996" width="0" style="329" hidden="1" customWidth="1"/>
    <col min="10997" max="10997" width="6.6640625" style="329" customWidth="1"/>
    <col min="10998" max="10998" width="15" style="329" customWidth="1"/>
    <col min="10999" max="10999" width="3.6640625" style="329" bestFit="1" customWidth="1"/>
    <col min="11000" max="11000" width="15.44140625" style="329" bestFit="1" customWidth="1"/>
    <col min="11001" max="11001" width="3.77734375" style="329" customWidth="1"/>
    <col min="11002" max="11002" width="11.21875" style="329" bestFit="1" customWidth="1"/>
    <col min="11003" max="11003" width="3.6640625" style="329" customWidth="1"/>
    <col min="11004" max="11004" width="13.5546875" style="329" customWidth="1"/>
    <col min="11005" max="11005" width="1" style="329" customWidth="1"/>
    <col min="11006" max="11006" width="14.21875" style="329" bestFit="1" customWidth="1"/>
    <col min="11007" max="11007" width="3.33203125" style="329" customWidth="1"/>
    <col min="11008" max="11008" width="20.44140625" style="329" customWidth="1"/>
    <col min="11009" max="11249" width="8.77734375" style="329"/>
    <col min="11250" max="11250" width="54.6640625" style="329" customWidth="1"/>
    <col min="11251" max="11251" width="13.77734375" style="329" customWidth="1"/>
    <col min="11252" max="11252" width="0" style="329" hidden="1" customWidth="1"/>
    <col min="11253" max="11253" width="6.6640625" style="329" customWidth="1"/>
    <col min="11254" max="11254" width="15" style="329" customWidth="1"/>
    <col min="11255" max="11255" width="3.6640625" style="329" bestFit="1" customWidth="1"/>
    <col min="11256" max="11256" width="15.44140625" style="329" bestFit="1" customWidth="1"/>
    <col min="11257" max="11257" width="3.77734375" style="329" customWidth="1"/>
    <col min="11258" max="11258" width="11.21875" style="329" bestFit="1" customWidth="1"/>
    <col min="11259" max="11259" width="3.6640625" style="329" customWidth="1"/>
    <col min="11260" max="11260" width="13.5546875" style="329" customWidth="1"/>
    <col min="11261" max="11261" width="1" style="329" customWidth="1"/>
    <col min="11262" max="11262" width="14.21875" style="329" bestFit="1" customWidth="1"/>
    <col min="11263" max="11263" width="3.33203125" style="329" customWidth="1"/>
    <col min="11264" max="11264" width="20.44140625" style="329" customWidth="1"/>
    <col min="11265" max="11505" width="8.77734375" style="329"/>
    <col min="11506" max="11506" width="54.6640625" style="329" customWidth="1"/>
    <col min="11507" max="11507" width="13.77734375" style="329" customWidth="1"/>
    <col min="11508" max="11508" width="0" style="329" hidden="1" customWidth="1"/>
    <col min="11509" max="11509" width="6.6640625" style="329" customWidth="1"/>
    <col min="11510" max="11510" width="15" style="329" customWidth="1"/>
    <col min="11511" max="11511" width="3.6640625" style="329" bestFit="1" customWidth="1"/>
    <col min="11512" max="11512" width="15.44140625" style="329" bestFit="1" customWidth="1"/>
    <col min="11513" max="11513" width="3.77734375" style="329" customWidth="1"/>
    <col min="11514" max="11514" width="11.21875" style="329" bestFit="1" customWidth="1"/>
    <col min="11515" max="11515" width="3.6640625" style="329" customWidth="1"/>
    <col min="11516" max="11516" width="13.5546875" style="329" customWidth="1"/>
    <col min="11517" max="11517" width="1" style="329" customWidth="1"/>
    <col min="11518" max="11518" width="14.21875" style="329" bestFit="1" customWidth="1"/>
    <col min="11519" max="11519" width="3.33203125" style="329" customWidth="1"/>
    <col min="11520" max="11520" width="20.44140625" style="329" customWidth="1"/>
    <col min="11521" max="11761" width="8.77734375" style="329"/>
    <col min="11762" max="11762" width="54.6640625" style="329" customWidth="1"/>
    <col min="11763" max="11763" width="13.77734375" style="329" customWidth="1"/>
    <col min="11764" max="11764" width="0" style="329" hidden="1" customWidth="1"/>
    <col min="11765" max="11765" width="6.6640625" style="329" customWidth="1"/>
    <col min="11766" max="11766" width="15" style="329" customWidth="1"/>
    <col min="11767" max="11767" width="3.6640625" style="329" bestFit="1" customWidth="1"/>
    <col min="11768" max="11768" width="15.44140625" style="329" bestFit="1" customWidth="1"/>
    <col min="11769" max="11769" width="3.77734375" style="329" customWidth="1"/>
    <col min="11770" max="11770" width="11.21875" style="329" bestFit="1" customWidth="1"/>
    <col min="11771" max="11771" width="3.6640625" style="329" customWidth="1"/>
    <col min="11772" max="11772" width="13.5546875" style="329" customWidth="1"/>
    <col min="11773" max="11773" width="1" style="329" customWidth="1"/>
    <col min="11774" max="11774" width="14.21875" style="329" bestFit="1" customWidth="1"/>
    <col min="11775" max="11775" width="3.33203125" style="329" customWidth="1"/>
    <col min="11776" max="11776" width="20.44140625" style="329" customWidth="1"/>
    <col min="11777" max="12017" width="8.77734375" style="329"/>
    <col min="12018" max="12018" width="54.6640625" style="329" customWidth="1"/>
    <col min="12019" max="12019" width="13.77734375" style="329" customWidth="1"/>
    <col min="12020" max="12020" width="0" style="329" hidden="1" customWidth="1"/>
    <col min="12021" max="12021" width="6.6640625" style="329" customWidth="1"/>
    <col min="12022" max="12022" width="15" style="329" customWidth="1"/>
    <col min="12023" max="12023" width="3.6640625" style="329" bestFit="1" customWidth="1"/>
    <col min="12024" max="12024" width="15.44140625" style="329" bestFit="1" customWidth="1"/>
    <col min="12025" max="12025" width="3.77734375" style="329" customWidth="1"/>
    <col min="12026" max="12026" width="11.21875" style="329" bestFit="1" customWidth="1"/>
    <col min="12027" max="12027" width="3.6640625" style="329" customWidth="1"/>
    <col min="12028" max="12028" width="13.5546875" style="329" customWidth="1"/>
    <col min="12029" max="12029" width="1" style="329" customWidth="1"/>
    <col min="12030" max="12030" width="14.21875" style="329" bestFit="1" customWidth="1"/>
    <col min="12031" max="12031" width="3.33203125" style="329" customWidth="1"/>
    <col min="12032" max="12032" width="20.44140625" style="329" customWidth="1"/>
    <col min="12033" max="12273" width="8.77734375" style="329"/>
    <col min="12274" max="12274" width="54.6640625" style="329" customWidth="1"/>
    <col min="12275" max="12275" width="13.77734375" style="329" customWidth="1"/>
    <col min="12276" max="12276" width="0" style="329" hidden="1" customWidth="1"/>
    <col min="12277" max="12277" width="6.6640625" style="329" customWidth="1"/>
    <col min="12278" max="12278" width="15" style="329" customWidth="1"/>
    <col min="12279" max="12279" width="3.6640625" style="329" bestFit="1" customWidth="1"/>
    <col min="12280" max="12280" width="15.44140625" style="329" bestFit="1" customWidth="1"/>
    <col min="12281" max="12281" width="3.77734375" style="329" customWidth="1"/>
    <col min="12282" max="12282" width="11.21875" style="329" bestFit="1" customWidth="1"/>
    <col min="12283" max="12283" width="3.6640625" style="329" customWidth="1"/>
    <col min="12284" max="12284" width="13.5546875" style="329" customWidth="1"/>
    <col min="12285" max="12285" width="1" style="329" customWidth="1"/>
    <col min="12286" max="12286" width="14.21875" style="329" bestFit="1" customWidth="1"/>
    <col min="12287" max="12287" width="3.33203125" style="329" customWidth="1"/>
    <col min="12288" max="12288" width="20.44140625" style="329" customWidth="1"/>
    <col min="12289" max="12529" width="8.77734375" style="329"/>
    <col min="12530" max="12530" width="54.6640625" style="329" customWidth="1"/>
    <col min="12531" max="12531" width="13.77734375" style="329" customWidth="1"/>
    <col min="12532" max="12532" width="0" style="329" hidden="1" customWidth="1"/>
    <col min="12533" max="12533" width="6.6640625" style="329" customWidth="1"/>
    <col min="12534" max="12534" width="15" style="329" customWidth="1"/>
    <col min="12535" max="12535" width="3.6640625" style="329" bestFit="1" customWidth="1"/>
    <col min="12536" max="12536" width="15.44140625" style="329" bestFit="1" customWidth="1"/>
    <col min="12537" max="12537" width="3.77734375" style="329" customWidth="1"/>
    <col min="12538" max="12538" width="11.21875" style="329" bestFit="1" customWidth="1"/>
    <col min="12539" max="12539" width="3.6640625" style="329" customWidth="1"/>
    <col min="12540" max="12540" width="13.5546875" style="329" customWidth="1"/>
    <col min="12541" max="12541" width="1" style="329" customWidth="1"/>
    <col min="12542" max="12542" width="14.21875" style="329" bestFit="1" customWidth="1"/>
    <col min="12543" max="12543" width="3.33203125" style="329" customWidth="1"/>
    <col min="12544" max="12544" width="20.44140625" style="329" customWidth="1"/>
    <col min="12545" max="12785" width="8.77734375" style="329"/>
    <col min="12786" max="12786" width="54.6640625" style="329" customWidth="1"/>
    <col min="12787" max="12787" width="13.77734375" style="329" customWidth="1"/>
    <col min="12788" max="12788" width="0" style="329" hidden="1" customWidth="1"/>
    <col min="12789" max="12789" width="6.6640625" style="329" customWidth="1"/>
    <col min="12790" max="12790" width="15" style="329" customWidth="1"/>
    <col min="12791" max="12791" width="3.6640625" style="329" bestFit="1" customWidth="1"/>
    <col min="12792" max="12792" width="15.44140625" style="329" bestFit="1" customWidth="1"/>
    <col min="12793" max="12793" width="3.77734375" style="329" customWidth="1"/>
    <col min="12794" max="12794" width="11.21875" style="329" bestFit="1" customWidth="1"/>
    <col min="12795" max="12795" width="3.6640625" style="329" customWidth="1"/>
    <col min="12796" max="12796" width="13.5546875" style="329" customWidth="1"/>
    <col min="12797" max="12797" width="1" style="329" customWidth="1"/>
    <col min="12798" max="12798" width="14.21875" style="329" bestFit="1" customWidth="1"/>
    <col min="12799" max="12799" width="3.33203125" style="329" customWidth="1"/>
    <col min="12800" max="12800" width="20.44140625" style="329" customWidth="1"/>
    <col min="12801" max="13041" width="8.77734375" style="329"/>
    <col min="13042" max="13042" width="54.6640625" style="329" customWidth="1"/>
    <col min="13043" max="13043" width="13.77734375" style="329" customWidth="1"/>
    <col min="13044" max="13044" width="0" style="329" hidden="1" customWidth="1"/>
    <col min="13045" max="13045" width="6.6640625" style="329" customWidth="1"/>
    <col min="13046" max="13046" width="15" style="329" customWidth="1"/>
    <col min="13047" max="13047" width="3.6640625" style="329" bestFit="1" customWidth="1"/>
    <col min="13048" max="13048" width="15.44140625" style="329" bestFit="1" customWidth="1"/>
    <col min="13049" max="13049" width="3.77734375" style="329" customWidth="1"/>
    <col min="13050" max="13050" width="11.21875" style="329" bestFit="1" customWidth="1"/>
    <col min="13051" max="13051" width="3.6640625" style="329" customWidth="1"/>
    <col min="13052" max="13052" width="13.5546875" style="329" customWidth="1"/>
    <col min="13053" max="13053" width="1" style="329" customWidth="1"/>
    <col min="13054" max="13054" width="14.21875" style="329" bestFit="1" customWidth="1"/>
    <col min="13055" max="13055" width="3.33203125" style="329" customWidth="1"/>
    <col min="13056" max="13056" width="20.44140625" style="329" customWidth="1"/>
    <col min="13057" max="13297" width="8.77734375" style="329"/>
    <col min="13298" max="13298" width="54.6640625" style="329" customWidth="1"/>
    <col min="13299" max="13299" width="13.77734375" style="329" customWidth="1"/>
    <col min="13300" max="13300" width="0" style="329" hidden="1" customWidth="1"/>
    <col min="13301" max="13301" width="6.6640625" style="329" customWidth="1"/>
    <col min="13302" max="13302" width="15" style="329" customWidth="1"/>
    <col min="13303" max="13303" width="3.6640625" style="329" bestFit="1" customWidth="1"/>
    <col min="13304" max="13304" width="15.44140625" style="329" bestFit="1" customWidth="1"/>
    <col min="13305" max="13305" width="3.77734375" style="329" customWidth="1"/>
    <col min="13306" max="13306" width="11.21875" style="329" bestFit="1" customWidth="1"/>
    <col min="13307" max="13307" width="3.6640625" style="329" customWidth="1"/>
    <col min="13308" max="13308" width="13.5546875" style="329" customWidth="1"/>
    <col min="13309" max="13309" width="1" style="329" customWidth="1"/>
    <col min="13310" max="13310" width="14.21875" style="329" bestFit="1" customWidth="1"/>
    <col min="13311" max="13311" width="3.33203125" style="329" customWidth="1"/>
    <col min="13312" max="13312" width="20.44140625" style="329" customWidth="1"/>
    <col min="13313" max="13553" width="8.77734375" style="329"/>
    <col min="13554" max="13554" width="54.6640625" style="329" customWidth="1"/>
    <col min="13555" max="13555" width="13.77734375" style="329" customWidth="1"/>
    <col min="13556" max="13556" width="0" style="329" hidden="1" customWidth="1"/>
    <col min="13557" max="13557" width="6.6640625" style="329" customWidth="1"/>
    <col min="13558" max="13558" width="15" style="329" customWidth="1"/>
    <col min="13559" max="13559" width="3.6640625" style="329" bestFit="1" customWidth="1"/>
    <col min="13560" max="13560" width="15.44140625" style="329" bestFit="1" customWidth="1"/>
    <col min="13561" max="13561" width="3.77734375" style="329" customWidth="1"/>
    <col min="13562" max="13562" width="11.21875" style="329" bestFit="1" customWidth="1"/>
    <col min="13563" max="13563" width="3.6640625" style="329" customWidth="1"/>
    <col min="13564" max="13564" width="13.5546875" style="329" customWidth="1"/>
    <col min="13565" max="13565" width="1" style="329" customWidth="1"/>
    <col min="13566" max="13566" width="14.21875" style="329" bestFit="1" customWidth="1"/>
    <col min="13567" max="13567" width="3.33203125" style="329" customWidth="1"/>
    <col min="13568" max="13568" width="20.44140625" style="329" customWidth="1"/>
    <col min="13569" max="13809" width="8.77734375" style="329"/>
    <col min="13810" max="13810" width="54.6640625" style="329" customWidth="1"/>
    <col min="13811" max="13811" width="13.77734375" style="329" customWidth="1"/>
    <col min="13812" max="13812" width="0" style="329" hidden="1" customWidth="1"/>
    <col min="13813" max="13813" width="6.6640625" style="329" customWidth="1"/>
    <col min="13814" max="13814" width="15" style="329" customWidth="1"/>
    <col min="13815" max="13815" width="3.6640625" style="329" bestFit="1" customWidth="1"/>
    <col min="13816" max="13816" width="15.44140625" style="329" bestFit="1" customWidth="1"/>
    <col min="13817" max="13817" width="3.77734375" style="329" customWidth="1"/>
    <col min="13818" max="13818" width="11.21875" style="329" bestFit="1" customWidth="1"/>
    <col min="13819" max="13819" width="3.6640625" style="329" customWidth="1"/>
    <col min="13820" max="13820" width="13.5546875" style="329" customWidth="1"/>
    <col min="13821" max="13821" width="1" style="329" customWidth="1"/>
    <col min="13822" max="13822" width="14.21875" style="329" bestFit="1" customWidth="1"/>
    <col min="13823" max="13823" width="3.33203125" style="329" customWidth="1"/>
    <col min="13824" max="13824" width="20.44140625" style="329" customWidth="1"/>
    <col min="13825" max="14065" width="8.77734375" style="329"/>
    <col min="14066" max="14066" width="54.6640625" style="329" customWidth="1"/>
    <col min="14067" max="14067" width="13.77734375" style="329" customWidth="1"/>
    <col min="14068" max="14068" width="0" style="329" hidden="1" customWidth="1"/>
    <col min="14069" max="14069" width="6.6640625" style="329" customWidth="1"/>
    <col min="14070" max="14070" width="15" style="329" customWidth="1"/>
    <col min="14071" max="14071" width="3.6640625" style="329" bestFit="1" customWidth="1"/>
    <col min="14072" max="14072" width="15.44140625" style="329" bestFit="1" customWidth="1"/>
    <col min="14073" max="14073" width="3.77734375" style="329" customWidth="1"/>
    <col min="14074" max="14074" width="11.21875" style="329" bestFit="1" customWidth="1"/>
    <col min="14075" max="14075" width="3.6640625" style="329" customWidth="1"/>
    <col min="14076" max="14076" width="13.5546875" style="329" customWidth="1"/>
    <col min="14077" max="14077" width="1" style="329" customWidth="1"/>
    <col min="14078" max="14078" width="14.21875" style="329" bestFit="1" customWidth="1"/>
    <col min="14079" max="14079" width="3.33203125" style="329" customWidth="1"/>
    <col min="14080" max="14080" width="20.44140625" style="329" customWidth="1"/>
    <col min="14081" max="14321" width="8.77734375" style="329"/>
    <col min="14322" max="14322" width="54.6640625" style="329" customWidth="1"/>
    <col min="14323" max="14323" width="13.77734375" style="329" customWidth="1"/>
    <col min="14324" max="14324" width="0" style="329" hidden="1" customWidth="1"/>
    <col min="14325" max="14325" width="6.6640625" style="329" customWidth="1"/>
    <col min="14326" max="14326" width="15" style="329" customWidth="1"/>
    <col min="14327" max="14327" width="3.6640625" style="329" bestFit="1" customWidth="1"/>
    <col min="14328" max="14328" width="15.44140625" style="329" bestFit="1" customWidth="1"/>
    <col min="14329" max="14329" width="3.77734375" style="329" customWidth="1"/>
    <col min="14330" max="14330" width="11.21875" style="329" bestFit="1" customWidth="1"/>
    <col min="14331" max="14331" width="3.6640625" style="329" customWidth="1"/>
    <col min="14332" max="14332" width="13.5546875" style="329" customWidth="1"/>
    <col min="14333" max="14333" width="1" style="329" customWidth="1"/>
    <col min="14334" max="14334" width="14.21875" style="329" bestFit="1" customWidth="1"/>
    <col min="14335" max="14335" width="3.33203125" style="329" customWidth="1"/>
    <col min="14336" max="14336" width="20.44140625" style="329" customWidth="1"/>
    <col min="14337" max="14577" width="8.77734375" style="329"/>
    <col min="14578" max="14578" width="54.6640625" style="329" customWidth="1"/>
    <col min="14579" max="14579" width="13.77734375" style="329" customWidth="1"/>
    <col min="14580" max="14580" width="0" style="329" hidden="1" customWidth="1"/>
    <col min="14581" max="14581" width="6.6640625" style="329" customWidth="1"/>
    <col min="14582" max="14582" width="15" style="329" customWidth="1"/>
    <col min="14583" max="14583" width="3.6640625" style="329" bestFit="1" customWidth="1"/>
    <col min="14584" max="14584" width="15.44140625" style="329" bestFit="1" customWidth="1"/>
    <col min="14585" max="14585" width="3.77734375" style="329" customWidth="1"/>
    <col min="14586" max="14586" width="11.21875" style="329" bestFit="1" customWidth="1"/>
    <col min="14587" max="14587" width="3.6640625" style="329" customWidth="1"/>
    <col min="14588" max="14588" width="13.5546875" style="329" customWidth="1"/>
    <col min="14589" max="14589" width="1" style="329" customWidth="1"/>
    <col min="14590" max="14590" width="14.21875" style="329" bestFit="1" customWidth="1"/>
    <col min="14591" max="14591" width="3.33203125" style="329" customWidth="1"/>
    <col min="14592" max="14592" width="20.44140625" style="329" customWidth="1"/>
    <col min="14593" max="14833" width="8.77734375" style="329"/>
    <col min="14834" max="14834" width="54.6640625" style="329" customWidth="1"/>
    <col min="14835" max="14835" width="13.77734375" style="329" customWidth="1"/>
    <col min="14836" max="14836" width="0" style="329" hidden="1" customWidth="1"/>
    <col min="14837" max="14837" width="6.6640625" style="329" customWidth="1"/>
    <col min="14838" max="14838" width="15" style="329" customWidth="1"/>
    <col min="14839" max="14839" width="3.6640625" style="329" bestFit="1" customWidth="1"/>
    <col min="14840" max="14840" width="15.44140625" style="329" bestFit="1" customWidth="1"/>
    <col min="14841" max="14841" width="3.77734375" style="329" customWidth="1"/>
    <col min="14842" max="14842" width="11.21875" style="329" bestFit="1" customWidth="1"/>
    <col min="14843" max="14843" width="3.6640625" style="329" customWidth="1"/>
    <col min="14844" max="14844" width="13.5546875" style="329" customWidth="1"/>
    <col min="14845" max="14845" width="1" style="329" customWidth="1"/>
    <col min="14846" max="14846" width="14.21875" style="329" bestFit="1" customWidth="1"/>
    <col min="14847" max="14847" width="3.33203125" style="329" customWidth="1"/>
    <col min="14848" max="14848" width="20.44140625" style="329" customWidth="1"/>
    <col min="14849" max="15089" width="8.77734375" style="329"/>
    <col min="15090" max="15090" width="54.6640625" style="329" customWidth="1"/>
    <col min="15091" max="15091" width="13.77734375" style="329" customWidth="1"/>
    <col min="15092" max="15092" width="0" style="329" hidden="1" customWidth="1"/>
    <col min="15093" max="15093" width="6.6640625" style="329" customWidth="1"/>
    <col min="15094" max="15094" width="15" style="329" customWidth="1"/>
    <col min="15095" max="15095" width="3.6640625" style="329" bestFit="1" customWidth="1"/>
    <col min="15096" max="15096" width="15.44140625" style="329" bestFit="1" customWidth="1"/>
    <col min="15097" max="15097" width="3.77734375" style="329" customWidth="1"/>
    <col min="15098" max="15098" width="11.21875" style="329" bestFit="1" customWidth="1"/>
    <col min="15099" max="15099" width="3.6640625" style="329" customWidth="1"/>
    <col min="15100" max="15100" width="13.5546875" style="329" customWidth="1"/>
    <col min="15101" max="15101" width="1" style="329" customWidth="1"/>
    <col min="15102" max="15102" width="14.21875" style="329" bestFit="1" customWidth="1"/>
    <col min="15103" max="15103" width="3.33203125" style="329" customWidth="1"/>
    <col min="15104" max="15104" width="20.44140625" style="329" customWidth="1"/>
    <col min="15105" max="15345" width="8.77734375" style="329"/>
    <col min="15346" max="15346" width="54.6640625" style="329" customWidth="1"/>
    <col min="15347" max="15347" width="13.77734375" style="329" customWidth="1"/>
    <col min="15348" max="15348" width="0" style="329" hidden="1" customWidth="1"/>
    <col min="15349" max="15349" width="6.6640625" style="329" customWidth="1"/>
    <col min="15350" max="15350" width="15" style="329" customWidth="1"/>
    <col min="15351" max="15351" width="3.6640625" style="329" bestFit="1" customWidth="1"/>
    <col min="15352" max="15352" width="15.44140625" style="329" bestFit="1" customWidth="1"/>
    <col min="15353" max="15353" width="3.77734375" style="329" customWidth="1"/>
    <col min="15354" max="15354" width="11.21875" style="329" bestFit="1" customWidth="1"/>
    <col min="15355" max="15355" width="3.6640625" style="329" customWidth="1"/>
    <col min="15356" max="15356" width="13.5546875" style="329" customWidth="1"/>
    <col min="15357" max="15357" width="1" style="329" customWidth="1"/>
    <col min="15358" max="15358" width="14.21875" style="329" bestFit="1" customWidth="1"/>
    <col min="15359" max="15359" width="3.33203125" style="329" customWidth="1"/>
    <col min="15360" max="15360" width="20.44140625" style="329" customWidth="1"/>
    <col min="15361" max="15601" width="8.77734375" style="329"/>
    <col min="15602" max="15602" width="54.6640625" style="329" customWidth="1"/>
    <col min="15603" max="15603" width="13.77734375" style="329" customWidth="1"/>
    <col min="15604" max="15604" width="0" style="329" hidden="1" customWidth="1"/>
    <col min="15605" max="15605" width="6.6640625" style="329" customWidth="1"/>
    <col min="15606" max="15606" width="15" style="329" customWidth="1"/>
    <col min="15607" max="15607" width="3.6640625" style="329" bestFit="1" customWidth="1"/>
    <col min="15608" max="15608" width="15.44140625" style="329" bestFit="1" customWidth="1"/>
    <col min="15609" max="15609" width="3.77734375" style="329" customWidth="1"/>
    <col min="15610" max="15610" width="11.21875" style="329" bestFit="1" customWidth="1"/>
    <col min="15611" max="15611" width="3.6640625" style="329" customWidth="1"/>
    <col min="15612" max="15612" width="13.5546875" style="329" customWidth="1"/>
    <col min="15613" max="15613" width="1" style="329" customWidth="1"/>
    <col min="15614" max="15614" width="14.21875" style="329" bestFit="1" customWidth="1"/>
    <col min="15615" max="15615" width="3.33203125" style="329" customWidth="1"/>
    <col min="15616" max="15616" width="20.44140625" style="329" customWidth="1"/>
    <col min="15617" max="15857" width="8.77734375" style="329"/>
    <col min="15858" max="15858" width="54.6640625" style="329" customWidth="1"/>
    <col min="15859" max="15859" width="13.77734375" style="329" customWidth="1"/>
    <col min="15860" max="15860" width="0" style="329" hidden="1" customWidth="1"/>
    <col min="15861" max="15861" width="6.6640625" style="329" customWidth="1"/>
    <col min="15862" max="15862" width="15" style="329" customWidth="1"/>
    <col min="15863" max="15863" width="3.6640625" style="329" bestFit="1" customWidth="1"/>
    <col min="15864" max="15864" width="15.44140625" style="329" bestFit="1" customWidth="1"/>
    <col min="15865" max="15865" width="3.77734375" style="329" customWidth="1"/>
    <col min="15866" max="15866" width="11.21875" style="329" bestFit="1" customWidth="1"/>
    <col min="15867" max="15867" width="3.6640625" style="329" customWidth="1"/>
    <col min="15868" max="15868" width="13.5546875" style="329" customWidth="1"/>
    <col min="15869" max="15869" width="1" style="329" customWidth="1"/>
    <col min="15870" max="15870" width="14.21875" style="329" bestFit="1" customWidth="1"/>
    <col min="15871" max="15871" width="3.33203125" style="329" customWidth="1"/>
    <col min="15872" max="15872" width="20.44140625" style="329" customWidth="1"/>
    <col min="15873" max="16113" width="8.77734375" style="329"/>
    <col min="16114" max="16114" width="54.6640625" style="329" customWidth="1"/>
    <col min="16115" max="16115" width="13.77734375" style="329" customWidth="1"/>
    <col min="16116" max="16116" width="0" style="329" hidden="1" customWidth="1"/>
    <col min="16117" max="16117" width="6.6640625" style="329" customWidth="1"/>
    <col min="16118" max="16118" width="15" style="329" customWidth="1"/>
    <col min="16119" max="16119" width="3.6640625" style="329" bestFit="1" customWidth="1"/>
    <col min="16120" max="16120" width="15.44140625" style="329" bestFit="1" customWidth="1"/>
    <col min="16121" max="16121" width="3.77734375" style="329" customWidth="1"/>
    <col min="16122" max="16122" width="11.21875" style="329" bestFit="1" customWidth="1"/>
    <col min="16123" max="16123" width="3.6640625" style="329" customWidth="1"/>
    <col min="16124" max="16124" width="13.5546875" style="329" customWidth="1"/>
    <col min="16125" max="16125" width="1" style="329" customWidth="1"/>
    <col min="16126" max="16126" width="14.21875" style="329" bestFit="1" customWidth="1"/>
    <col min="16127" max="16127" width="3.33203125" style="329" customWidth="1"/>
    <col min="16128" max="16128" width="20.44140625" style="329" customWidth="1"/>
    <col min="16129" max="16368" width="8.77734375" style="329"/>
    <col min="16369" max="16384" width="8.77734375" style="329" customWidth="1"/>
  </cols>
  <sheetData>
    <row r="1" spans="1:11" s="325" customFormat="1" ht="15" customHeight="1">
      <c r="A1" s="322"/>
      <c r="B1" s="76"/>
      <c r="C1" s="76"/>
      <c r="D1" s="76"/>
      <c r="E1" s="76"/>
      <c r="F1" s="323"/>
      <c r="G1" s="279" t="str">
        <f>EKPC!J1</f>
        <v>Attachment H-24A</v>
      </c>
      <c r="H1" s="324"/>
      <c r="I1" s="117"/>
      <c r="J1" s="117"/>
      <c r="K1" s="117"/>
    </row>
    <row r="2" spans="1:11" s="325" customFormat="1" ht="15" customHeight="1">
      <c r="A2" s="322"/>
      <c r="B2" s="76"/>
      <c r="C2" s="76"/>
      <c r="D2" s="76"/>
      <c r="E2" s="76"/>
      <c r="F2" s="323"/>
      <c r="G2" s="281" t="s">
        <v>532</v>
      </c>
      <c r="H2" s="326"/>
      <c r="I2" s="117"/>
      <c r="J2" s="117"/>
      <c r="K2" s="117"/>
    </row>
    <row r="3" spans="1:11" s="325" customFormat="1" ht="15.75">
      <c r="A3" s="322"/>
      <c r="B3" s="117"/>
      <c r="C3" s="117"/>
      <c r="D3" s="86"/>
      <c r="E3" s="86"/>
      <c r="F3" s="323"/>
      <c r="G3" s="281" t="s">
        <v>367</v>
      </c>
      <c r="H3" s="326"/>
      <c r="I3" s="117"/>
      <c r="J3" s="117"/>
      <c r="K3" s="117"/>
    </row>
    <row r="4" spans="1:11" s="325" customFormat="1" ht="15.75">
      <c r="A4" s="322"/>
      <c r="B4" s="327"/>
      <c r="C4" s="327"/>
      <c r="D4" s="86"/>
      <c r="E4" s="86"/>
      <c r="F4" s="323"/>
      <c r="G4" s="281" t="str">
        <f>EKPC!$J$7</f>
        <v>For the 12 months ended 12/31/2025</v>
      </c>
      <c r="H4" s="326"/>
      <c r="I4" s="117"/>
      <c r="J4" s="117"/>
      <c r="K4" s="117"/>
    </row>
    <row r="5" spans="1:11" s="329" customFormat="1" ht="15.75">
      <c r="A5" s="322"/>
      <c r="B5" s="327"/>
      <c r="C5" s="327"/>
      <c r="D5" s="86"/>
      <c r="E5" s="86"/>
      <c r="F5" s="281"/>
      <c r="G5" s="328"/>
      <c r="I5" s="117"/>
      <c r="J5" s="117"/>
      <c r="K5" s="117"/>
    </row>
    <row r="6" spans="1:11" s="329" customFormat="1" ht="15">
      <c r="A6" s="322"/>
      <c r="B6" s="205" t="str">
        <f>EKPC!A11</f>
        <v>East Kentucky Power Cooperative, Inc.</v>
      </c>
      <c r="C6" s="205"/>
      <c r="D6" s="205"/>
      <c r="E6" s="205"/>
      <c r="F6" s="205"/>
      <c r="G6" s="281"/>
      <c r="I6" s="117"/>
      <c r="J6" s="117"/>
      <c r="K6" s="117"/>
    </row>
    <row r="7" spans="1:11" s="329" customFormat="1" ht="15">
      <c r="A7" s="322"/>
      <c r="B7" s="205" t="str">
        <f>EKPC!A9</f>
        <v>Utilizing EKPC 2025 Form FF1 Data (ver. FINAL - AUDITED)</v>
      </c>
      <c r="C7" s="205"/>
      <c r="D7" s="205"/>
      <c r="E7" s="205"/>
      <c r="F7" s="205"/>
      <c r="G7" s="281"/>
      <c r="I7" s="117"/>
      <c r="J7" s="117"/>
      <c r="K7" s="117"/>
    </row>
    <row r="8" spans="1:11" s="329" customFormat="1" ht="15">
      <c r="A8" s="328"/>
      <c r="B8" s="328"/>
      <c r="C8" s="328"/>
      <c r="D8" s="328"/>
      <c r="E8" s="328"/>
      <c r="F8" s="328"/>
      <c r="G8" s="281"/>
      <c r="I8" s="117"/>
      <c r="J8" s="117"/>
      <c r="K8" s="117"/>
    </row>
    <row r="9" spans="1:11" s="329" customFormat="1" ht="15">
      <c r="A9" s="330" t="s">
        <v>3</v>
      </c>
      <c r="B9" s="330"/>
      <c r="C9" s="330"/>
      <c r="D9" s="330"/>
      <c r="E9" s="330"/>
      <c r="F9" s="330"/>
      <c r="G9" s="331"/>
      <c r="H9" s="332"/>
      <c r="I9" s="117"/>
      <c r="J9" s="117"/>
      <c r="K9" s="117"/>
    </row>
    <row r="10" spans="1:11" s="329" customFormat="1" ht="15">
      <c r="A10" s="333" t="str">
        <f>CONCATENATE("As of December 31, ",TEXT(RIGHT(EKPC!J7,10),"YYYY"))</f>
        <v>As of December 31, 2025</v>
      </c>
      <c r="B10" s="333"/>
      <c r="C10" s="333"/>
      <c r="D10" s="333"/>
      <c r="E10" s="333"/>
      <c r="F10" s="333"/>
      <c r="G10" s="334"/>
      <c r="H10" s="335"/>
      <c r="I10" s="117"/>
      <c r="J10" s="117"/>
      <c r="K10" s="117"/>
    </row>
    <row r="11" spans="1:11" s="329" customFormat="1" ht="15">
      <c r="A11" s="336" t="s">
        <v>208</v>
      </c>
      <c r="B11" s="336"/>
      <c r="C11" s="336"/>
      <c r="D11" s="336"/>
      <c r="E11" s="336"/>
      <c r="F11" s="336"/>
      <c r="G11" s="337"/>
      <c r="H11" s="338"/>
      <c r="I11" s="117"/>
      <c r="J11" s="117"/>
      <c r="K11" s="117"/>
    </row>
    <row r="12" spans="1:11" s="329" customFormat="1" ht="15">
      <c r="A12" s="337"/>
      <c r="B12" s="337"/>
      <c r="C12" s="337"/>
      <c r="D12" s="337"/>
      <c r="E12" s="337"/>
      <c r="F12" s="337"/>
      <c r="G12" s="76"/>
      <c r="H12" s="300"/>
      <c r="I12" s="117"/>
      <c r="J12" s="117"/>
      <c r="K12" s="117"/>
    </row>
    <row r="13" spans="1:11" s="329" customFormat="1" ht="15">
      <c r="A13" s="328"/>
      <c r="B13" s="328"/>
      <c r="C13" s="328"/>
      <c r="D13" s="328"/>
      <c r="E13" s="328"/>
      <c r="F13" s="328"/>
      <c r="G13" s="76"/>
      <c r="H13" s="300"/>
      <c r="I13" s="117"/>
      <c r="J13" s="117"/>
      <c r="K13" s="117"/>
    </row>
    <row r="14" spans="1:11" s="329" customFormat="1" ht="15">
      <c r="A14" s="91" t="s">
        <v>6</v>
      </c>
      <c r="B14" s="83"/>
      <c r="C14" s="83"/>
      <c r="D14" s="83"/>
      <c r="E14" s="83"/>
      <c r="F14" s="83"/>
      <c r="G14" s="76"/>
      <c r="H14" s="300"/>
      <c r="I14" s="117"/>
      <c r="J14" s="117"/>
      <c r="K14" s="117"/>
    </row>
    <row r="15" spans="1:11" s="329" customFormat="1" ht="15">
      <c r="A15" s="339" t="s">
        <v>8</v>
      </c>
      <c r="B15" s="340" t="s">
        <v>299</v>
      </c>
      <c r="C15" s="83"/>
      <c r="D15" s="83"/>
      <c r="E15" s="82"/>
      <c r="F15" s="83"/>
      <c r="G15" s="76"/>
      <c r="H15" s="300"/>
      <c r="I15" s="117"/>
      <c r="J15" s="117"/>
      <c r="K15" s="117"/>
    </row>
    <row r="16" spans="1:11" s="329" customFormat="1" ht="15">
      <c r="A16" s="91"/>
      <c r="B16" s="83"/>
      <c r="C16" s="83"/>
      <c r="D16" s="83"/>
      <c r="E16" s="82"/>
      <c r="F16" s="83"/>
      <c r="G16" s="76"/>
      <c r="H16" s="300"/>
      <c r="I16" s="117"/>
      <c r="J16" s="117"/>
      <c r="K16" s="117"/>
    </row>
    <row r="17" spans="1:14" s="329" customFormat="1" ht="15.75">
      <c r="A17" s="91"/>
      <c r="B17" s="341" t="s">
        <v>337</v>
      </c>
      <c r="C17" s="341"/>
      <c r="D17" s="83"/>
      <c r="E17" s="82"/>
      <c r="F17" s="83"/>
      <c r="G17" s="76"/>
      <c r="H17" s="300"/>
    </row>
    <row r="18" spans="1:14" s="329" customFormat="1" ht="15">
      <c r="A18" s="91">
        <v>1</v>
      </c>
      <c r="B18" s="83" t="s">
        <v>413</v>
      </c>
      <c r="C18" s="342">
        <v>114259747</v>
      </c>
      <c r="D18" s="135"/>
      <c r="E18" s="181"/>
      <c r="F18" s="83"/>
      <c r="G18" s="76"/>
      <c r="H18" s="300"/>
    </row>
    <row r="19" spans="1:14" s="329" customFormat="1" ht="15">
      <c r="A19" s="91">
        <f>A18+1</f>
        <v>2</v>
      </c>
      <c r="B19" s="83" t="s">
        <v>414</v>
      </c>
      <c r="C19" s="342">
        <v>3041155293</v>
      </c>
      <c r="D19" s="135"/>
      <c r="E19" s="181"/>
      <c r="F19" s="83"/>
      <c r="G19" s="76"/>
      <c r="H19" s="300"/>
    </row>
    <row r="20" spans="1:14" s="329" customFormat="1" ht="15.75">
      <c r="A20" s="91">
        <f>A19+1</f>
        <v>3</v>
      </c>
      <c r="B20" s="120" t="s">
        <v>338</v>
      </c>
      <c r="C20" s="36">
        <f>C18/C19</f>
        <v>3.7571164900062209E-2</v>
      </c>
      <c r="D20" s="82"/>
      <c r="E20" s="82"/>
      <c r="F20" s="83"/>
      <c r="G20" s="76"/>
      <c r="H20" s="300"/>
    </row>
    <row r="21" spans="1:14" s="329" customFormat="1" ht="15">
      <c r="A21" s="91"/>
      <c r="B21" s="83"/>
      <c r="C21" s="82"/>
      <c r="D21" s="82"/>
      <c r="E21" s="82"/>
      <c r="F21" s="83"/>
      <c r="G21" s="76"/>
      <c r="H21" s="300"/>
    </row>
    <row r="22" spans="1:14" s="329" customFormat="1" ht="15.75">
      <c r="A22" s="91"/>
      <c r="B22" s="341" t="s">
        <v>376</v>
      </c>
      <c r="C22" s="341"/>
      <c r="D22" s="83"/>
      <c r="E22" s="83"/>
      <c r="F22" s="83"/>
      <c r="G22" s="76"/>
      <c r="H22" s="300"/>
    </row>
    <row r="23" spans="1:14" s="345" customFormat="1" ht="15.75">
      <c r="A23" s="343"/>
      <c r="B23" s="343"/>
      <c r="C23" s="344" t="s">
        <v>339</v>
      </c>
      <c r="D23" s="157" t="s">
        <v>340</v>
      </c>
      <c r="E23" s="157" t="s">
        <v>415</v>
      </c>
      <c r="F23" s="157" t="s">
        <v>341</v>
      </c>
      <c r="G23" s="76"/>
      <c r="H23" s="300"/>
    </row>
    <row r="24" spans="1:14" s="329" customFormat="1" ht="15">
      <c r="A24" s="91">
        <f>A20+1</f>
        <v>4</v>
      </c>
      <c r="B24" s="83" t="s">
        <v>342</v>
      </c>
      <c r="C24" s="41">
        <f>C19</f>
        <v>3041155293</v>
      </c>
      <c r="D24" s="346">
        <f>C24/C26</f>
        <v>0.78690602478710459</v>
      </c>
      <c r="E24" s="142">
        <f>C20</f>
        <v>3.7571164900062209E-2</v>
      </c>
      <c r="F24" s="347">
        <f>D24*E24</f>
        <v>2.9564976018128748E-2</v>
      </c>
      <c r="G24" s="76"/>
      <c r="H24" s="300"/>
      <c r="I24" s="300"/>
      <c r="J24" s="300"/>
      <c r="K24" s="300"/>
      <c r="L24" s="300"/>
      <c r="M24" s="300"/>
      <c r="N24" s="300"/>
    </row>
    <row r="25" spans="1:14" s="329" customFormat="1" ht="15.75" thickBot="1">
      <c r="A25" s="91">
        <f>A24+1</f>
        <v>5</v>
      </c>
      <c r="B25" s="95" t="s">
        <v>411</v>
      </c>
      <c r="C25" s="348">
        <v>823544172</v>
      </c>
      <c r="D25" s="346">
        <f>C25/C26</f>
        <v>0.21309397521289536</v>
      </c>
      <c r="E25" s="62">
        <f>0.5*F24/D25</f>
        <v>6.937074590821099E-2</v>
      </c>
      <c r="F25" s="349">
        <f>D25*E25</f>
        <v>1.4782488009064374E-2</v>
      </c>
      <c r="G25" s="181"/>
      <c r="H25" s="300"/>
      <c r="I25" s="300"/>
      <c r="J25" s="300"/>
      <c r="K25" s="300"/>
      <c r="L25" s="300"/>
      <c r="M25" s="300"/>
      <c r="N25" s="300"/>
    </row>
    <row r="26" spans="1:14" s="345" customFormat="1" ht="21" customHeight="1" thickTop="1">
      <c r="A26" s="91">
        <f>A25+1</f>
        <v>6</v>
      </c>
      <c r="B26" s="95" t="s">
        <v>377</v>
      </c>
      <c r="C26" s="37">
        <f>C24+C25</f>
        <v>3864699465</v>
      </c>
      <c r="D26" s="350"/>
      <c r="E26" s="350"/>
      <c r="F26" s="351">
        <f>SUM(F24:F25)</f>
        <v>4.4347464027193126E-2</v>
      </c>
      <c r="G26" s="352"/>
      <c r="H26" s="353"/>
      <c r="I26" s="300"/>
      <c r="J26" s="300"/>
      <c r="K26" s="300"/>
      <c r="L26" s="300"/>
      <c r="M26" s="300"/>
      <c r="N26" s="300"/>
    </row>
    <row r="27" spans="1:14" s="329" customFormat="1" ht="15.75">
      <c r="A27" s="328"/>
      <c r="B27" s="95"/>
      <c r="C27" s="135"/>
      <c r="D27" s="352"/>
      <c r="E27" s="352"/>
      <c r="F27" s="352"/>
      <c r="G27" s="352"/>
      <c r="H27" s="354"/>
      <c r="I27" s="300"/>
      <c r="J27" s="300"/>
      <c r="K27" s="300"/>
      <c r="L27" s="300"/>
      <c r="M27" s="300"/>
      <c r="N27" s="300"/>
    </row>
    <row r="28" spans="1:14" s="329" customFormat="1" ht="15.75">
      <c r="A28" s="91">
        <f>A26+1</f>
        <v>7</v>
      </c>
      <c r="B28" s="344" t="s">
        <v>412</v>
      </c>
      <c r="C28" s="355"/>
      <c r="D28" s="352"/>
      <c r="E28" s="157" t="s">
        <v>379</v>
      </c>
      <c r="F28" s="63">
        <f>(F24+F25)/F24</f>
        <v>1.5000000000000002</v>
      </c>
      <c r="G28" s="352"/>
      <c r="H28" s="354"/>
      <c r="I28" s="300"/>
      <c r="J28" s="300"/>
      <c r="K28" s="300"/>
      <c r="L28" s="300"/>
      <c r="M28" s="300"/>
      <c r="N28" s="300"/>
    </row>
    <row r="29" spans="1:14" s="329" customFormat="1" ht="15">
      <c r="A29" s="91"/>
      <c r="B29" s="328"/>
      <c r="C29" s="328"/>
      <c r="D29" s="83"/>
      <c r="E29" s="83"/>
      <c r="F29" s="83"/>
      <c r="G29" s="76"/>
      <c r="H29" s="300"/>
      <c r="I29" s="300"/>
      <c r="J29" s="300"/>
      <c r="K29" s="300"/>
      <c r="L29" s="300"/>
      <c r="M29" s="300"/>
      <c r="N29" s="300"/>
    </row>
    <row r="30" spans="1:14" s="329" customFormat="1" ht="15.75">
      <c r="A30" s="328"/>
      <c r="B30" s="356"/>
      <c r="C30" s="356"/>
      <c r="D30" s="328"/>
      <c r="E30" s="328"/>
      <c r="F30" s="328"/>
      <c r="G30" s="76"/>
      <c r="H30" s="300"/>
      <c r="I30" s="300"/>
      <c r="J30" s="300"/>
      <c r="K30" s="300"/>
      <c r="L30" s="300"/>
      <c r="M30" s="300"/>
      <c r="N30" s="300"/>
    </row>
    <row r="31" spans="1:14" s="329" customFormat="1" ht="15.75">
      <c r="A31" s="83"/>
      <c r="B31" s="357" t="s">
        <v>142</v>
      </c>
      <c r="C31" s="358"/>
      <c r="D31" s="358"/>
      <c r="E31" s="358"/>
      <c r="F31" s="352"/>
      <c r="G31" s="352"/>
      <c r="H31" s="354"/>
      <c r="I31" s="300"/>
      <c r="J31" s="300"/>
      <c r="K31" s="300"/>
      <c r="L31" s="300"/>
      <c r="M31" s="300"/>
      <c r="N31" s="300"/>
    </row>
    <row r="32" spans="1:14" s="329" customFormat="1" ht="15.75">
      <c r="A32" s="359" t="s">
        <v>416</v>
      </c>
      <c r="B32" s="27" t="s">
        <v>449</v>
      </c>
      <c r="C32" s="352"/>
      <c r="D32" s="352"/>
      <c r="E32" s="352"/>
      <c r="F32" s="352"/>
      <c r="G32" s="352"/>
      <c r="H32" s="354"/>
      <c r="I32" s="300"/>
      <c r="J32" s="300"/>
      <c r="K32" s="300"/>
      <c r="L32" s="300"/>
      <c r="M32" s="300"/>
      <c r="N32" s="300"/>
    </row>
    <row r="33" spans="1:14" s="329" customFormat="1" ht="15.75">
      <c r="A33" s="359" t="s">
        <v>417</v>
      </c>
      <c r="B33" s="28" t="s">
        <v>662</v>
      </c>
      <c r="C33" s="352"/>
      <c r="D33" s="352"/>
      <c r="E33" s="352"/>
      <c r="F33" s="352"/>
      <c r="G33" s="352"/>
      <c r="H33" s="354"/>
      <c r="I33" s="300"/>
      <c r="J33" s="300"/>
      <c r="K33" s="300"/>
      <c r="L33" s="300"/>
      <c r="M33" s="300"/>
      <c r="N33" s="300"/>
    </row>
    <row r="34" spans="1:14" s="329" customFormat="1" ht="15.75">
      <c r="A34" s="359" t="s">
        <v>418</v>
      </c>
      <c r="B34" s="28" t="s">
        <v>663</v>
      </c>
      <c r="C34" s="352"/>
      <c r="D34" s="352"/>
      <c r="E34" s="352"/>
      <c r="F34" s="352"/>
      <c r="G34" s="352"/>
      <c r="H34" s="354"/>
      <c r="I34" s="300"/>
      <c r="J34" s="300"/>
      <c r="K34" s="300"/>
      <c r="L34" s="300"/>
      <c r="M34" s="300"/>
      <c r="N34" s="300"/>
    </row>
    <row r="35" spans="1:14" s="329" customFormat="1" ht="15">
      <c r="A35" s="359" t="s">
        <v>419</v>
      </c>
      <c r="B35" s="28" t="s">
        <v>617</v>
      </c>
      <c r="C35" s="83"/>
      <c r="D35" s="83"/>
      <c r="E35" s="83"/>
      <c r="F35" s="360"/>
      <c r="G35" s="76"/>
      <c r="H35" s="300"/>
      <c r="I35" s="300"/>
      <c r="J35" s="300"/>
      <c r="K35" s="300"/>
      <c r="L35" s="300"/>
      <c r="M35" s="300"/>
      <c r="N35" s="300"/>
    </row>
    <row r="36" spans="1:14" s="329" customFormat="1" ht="15">
      <c r="A36" s="83"/>
      <c r="B36" s="83"/>
      <c r="C36" s="83"/>
      <c r="D36" s="83"/>
      <c r="E36" s="83"/>
      <c r="F36" s="83"/>
      <c r="G36" s="76"/>
      <c r="H36" s="300"/>
      <c r="I36" s="300"/>
      <c r="J36" s="300"/>
      <c r="K36" s="300"/>
      <c r="L36" s="300"/>
      <c r="M36" s="300"/>
      <c r="N36" s="300"/>
    </row>
    <row r="37" spans="1:14" s="329" customFormat="1" ht="15">
      <c r="D37" s="83"/>
      <c r="E37" s="83"/>
      <c r="F37" s="83"/>
      <c r="G37" s="76"/>
      <c r="H37" s="300"/>
      <c r="I37" s="300"/>
      <c r="J37" s="300"/>
      <c r="K37" s="300"/>
      <c r="L37" s="300"/>
      <c r="M37" s="300"/>
      <c r="N37" s="300"/>
    </row>
    <row r="38" spans="1:14" s="329" customFormat="1" ht="15">
      <c r="D38" s="83"/>
      <c r="E38" s="83"/>
      <c r="F38" s="83"/>
      <c r="G38" s="76"/>
      <c r="H38" s="300"/>
    </row>
    <row r="39" spans="1:14" s="329" customFormat="1" ht="15">
      <c r="D39" s="83"/>
      <c r="E39" s="83"/>
      <c r="F39" s="83"/>
      <c r="G39" s="76"/>
      <c r="H39" s="300"/>
    </row>
    <row r="40" spans="1:14" s="329" customFormat="1" ht="15">
      <c r="E40" s="361"/>
      <c r="F40" s="361"/>
      <c r="G40" s="300"/>
      <c r="H40" s="300"/>
    </row>
    <row r="41" spans="1:14" s="329" customFormat="1" ht="15">
      <c r="G41" s="300"/>
      <c r="H41" s="300"/>
    </row>
    <row r="42" spans="1:14" s="329" customFormat="1" ht="15">
      <c r="A42" s="362"/>
      <c r="G42" s="300"/>
      <c r="H42" s="300"/>
    </row>
    <row r="44" spans="1:14" s="329" customFormat="1">
      <c r="A44" s="363"/>
    </row>
    <row r="45" spans="1:14" s="329" customFormat="1">
      <c r="A45" s="363"/>
    </row>
    <row r="46" spans="1:14" s="329" customFormat="1">
      <c r="A46" s="363"/>
    </row>
    <row r="47" spans="1:14" s="329" customFormat="1">
      <c r="A47" s="363"/>
    </row>
    <row r="48" spans="1:14" s="329" customFormat="1">
      <c r="A48" s="363"/>
    </row>
  </sheetData>
  <mergeCells count="8">
    <mergeCell ref="B6:F6"/>
    <mergeCell ref="B7:F7"/>
    <mergeCell ref="B22:C22"/>
    <mergeCell ref="B30:C30"/>
    <mergeCell ref="B17:C17"/>
    <mergeCell ref="A9:F9"/>
    <mergeCell ref="A10:F10"/>
    <mergeCell ref="A11:F11"/>
  </mergeCells>
  <phoneticPr fontId="21" type="noConversion"/>
  <pageMargins left="0.75" right="0.75" top="1" bottom="1" header="0.5" footer="0.5"/>
  <pageSetup scale="85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>
    <pageSetUpPr fitToPage="1"/>
  </sheetPr>
  <dimension ref="A1:R151"/>
  <sheetViews>
    <sheetView zoomScale="80" zoomScaleNormal="80" workbookViewId="0">
      <selection activeCell="D28" sqref="D28"/>
    </sheetView>
  </sheetViews>
  <sheetFormatPr defaultColWidth="9.21875" defaultRowHeight="15"/>
  <cols>
    <col min="1" max="1" width="6.44140625" style="117" customWidth="1"/>
    <col min="2" max="2" width="41.6640625" style="117" customWidth="1"/>
    <col min="3" max="3" width="14.77734375" style="117" customWidth="1"/>
    <col min="4" max="14" width="13.6640625" style="117" bestFit="1" customWidth="1"/>
    <col min="15" max="15" width="13.5546875" style="117" bestFit="1" customWidth="1"/>
    <col min="16" max="16" width="12.21875" style="117" customWidth="1"/>
    <col min="17" max="17" width="10.88671875" style="117" bestFit="1" customWidth="1"/>
    <col min="18" max="16384" width="9.21875" style="117"/>
  </cols>
  <sheetData>
    <row r="1" spans="1:18"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9" t="str">
        <f>EKPC!J1</f>
        <v>Attachment H-24A</v>
      </c>
    </row>
    <row r="2" spans="1:18" ht="20.25">
      <c r="B2" s="280" t="str">
        <f>EKPC!A11</f>
        <v>East Kentucky Power Cooperative, Inc.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81" t="s">
        <v>532</v>
      </c>
    </row>
    <row r="3" spans="1:18">
      <c r="B3" s="181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1" t="s">
        <v>368</v>
      </c>
    </row>
    <row r="4" spans="1:18">
      <c r="B4" s="283" t="s">
        <v>569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1" t="str">
        <f>EKPC!$J$7</f>
        <v>For the 12 months ended 12/31/2025</v>
      </c>
    </row>
    <row r="5" spans="1:18">
      <c r="B5" s="231"/>
      <c r="C5" s="284"/>
      <c r="D5" s="284"/>
      <c r="E5" s="284"/>
      <c r="F5" s="285"/>
      <c r="G5" s="284"/>
      <c r="H5" s="284"/>
      <c r="I5" s="284"/>
      <c r="J5" s="284"/>
      <c r="K5" s="284"/>
      <c r="L5" s="284"/>
      <c r="M5" s="284"/>
      <c r="N5" s="285"/>
      <c r="O5" s="282"/>
    </row>
    <row r="7" spans="1:18">
      <c r="E7" s="286"/>
      <c r="F7" s="286"/>
    </row>
    <row r="8" spans="1:18" ht="17.25">
      <c r="A8" s="287" t="s">
        <v>182</v>
      </c>
      <c r="B8" s="282"/>
      <c r="C8" s="288" t="s">
        <v>134</v>
      </c>
      <c r="D8" s="288" t="s">
        <v>135</v>
      </c>
      <c r="E8" s="289" t="s">
        <v>136</v>
      </c>
      <c r="F8" s="289" t="s">
        <v>137</v>
      </c>
      <c r="G8" s="288" t="s">
        <v>216</v>
      </c>
      <c r="H8" s="288" t="s">
        <v>138</v>
      </c>
      <c r="I8" s="288" t="s">
        <v>217</v>
      </c>
      <c r="J8" s="288" t="s">
        <v>139</v>
      </c>
      <c r="K8" s="288" t="s">
        <v>218</v>
      </c>
      <c r="L8" s="288" t="s">
        <v>219</v>
      </c>
      <c r="M8" s="288" t="s">
        <v>220</v>
      </c>
      <c r="N8" s="288" t="s">
        <v>140</v>
      </c>
      <c r="O8" s="288" t="s">
        <v>10</v>
      </c>
      <c r="P8" s="288" t="s">
        <v>141</v>
      </c>
    </row>
    <row r="9" spans="1:18" ht="17.25">
      <c r="A9" s="287"/>
      <c r="B9" s="282"/>
      <c r="C9" s="288"/>
      <c r="D9" s="288"/>
      <c r="E9" s="289"/>
      <c r="F9" s="289"/>
      <c r="G9" s="288"/>
      <c r="H9" s="288"/>
      <c r="I9" s="288"/>
      <c r="J9" s="288"/>
      <c r="K9" s="288"/>
      <c r="L9" s="288"/>
      <c r="M9" s="288"/>
      <c r="N9" s="288"/>
      <c r="O9" s="288"/>
    </row>
    <row r="10" spans="1:18">
      <c r="A10" s="290">
        <v>1</v>
      </c>
      <c r="B10" s="291" t="s">
        <v>556</v>
      </c>
      <c r="C10" s="24">
        <f>C45</f>
        <v>3557643.67</v>
      </c>
      <c r="D10" s="24">
        <f>D45</f>
        <v>3282681.21</v>
      </c>
      <c r="E10" s="65">
        <f t="shared" ref="E10:N10" si="0">E45</f>
        <v>2388511.29</v>
      </c>
      <c r="F10" s="65">
        <f>F45</f>
        <v>1972349.73</v>
      </c>
      <c r="G10" s="24">
        <f t="shared" si="0"/>
        <v>1850677.82</v>
      </c>
      <c r="H10" s="24">
        <f t="shared" si="0"/>
        <v>2550304.9500000002</v>
      </c>
      <c r="I10" s="24">
        <f t="shared" si="0"/>
        <v>2545000.5699999998</v>
      </c>
      <c r="J10" s="24">
        <f t="shared" si="0"/>
        <v>2529264.52</v>
      </c>
      <c r="K10" s="24">
        <f>K45</f>
        <v>2124982.29</v>
      </c>
      <c r="L10" s="24">
        <f t="shared" si="0"/>
        <v>1887687.14</v>
      </c>
      <c r="M10" s="24">
        <f t="shared" si="0"/>
        <v>2550621.96</v>
      </c>
      <c r="N10" s="24">
        <f t="shared" si="0"/>
        <v>3378080.15</v>
      </c>
      <c r="O10" s="8">
        <f>SUM(C10:N10)</f>
        <v>30617805.300000001</v>
      </c>
      <c r="P10" s="9">
        <f>ROUND(O10/12,0)</f>
        <v>2551484</v>
      </c>
      <c r="R10" s="292"/>
    </row>
    <row r="11" spans="1:18">
      <c r="B11" s="293"/>
      <c r="C11" s="24"/>
      <c r="D11" s="24"/>
      <c r="E11" s="65"/>
      <c r="F11" s="65"/>
      <c r="G11" s="24"/>
      <c r="H11" s="24"/>
      <c r="I11" s="24"/>
      <c r="J11" s="24"/>
      <c r="K11" s="24"/>
      <c r="L11" s="24"/>
      <c r="M11" s="24"/>
      <c r="N11" s="24"/>
    </row>
    <row r="12" spans="1:18">
      <c r="B12" s="293"/>
      <c r="E12" s="286"/>
      <c r="F12" s="286"/>
    </row>
    <row r="13" spans="1:18" ht="17.25">
      <c r="A13" s="294">
        <f>A10+1</f>
        <v>2</v>
      </c>
      <c r="B13" s="291" t="s">
        <v>348</v>
      </c>
      <c r="C13" s="288" t="s">
        <v>134</v>
      </c>
      <c r="D13" s="288" t="s">
        <v>135</v>
      </c>
      <c r="E13" s="289" t="s">
        <v>136</v>
      </c>
      <c r="F13" s="289" t="s">
        <v>137</v>
      </c>
      <c r="G13" s="288" t="s">
        <v>216</v>
      </c>
      <c r="H13" s="288" t="s">
        <v>138</v>
      </c>
      <c r="I13" s="288" t="s">
        <v>217</v>
      </c>
      <c r="J13" s="288" t="s">
        <v>139</v>
      </c>
      <c r="K13" s="288" t="s">
        <v>218</v>
      </c>
      <c r="L13" s="288" t="s">
        <v>219</v>
      </c>
      <c r="M13" s="288" t="s">
        <v>220</v>
      </c>
      <c r="N13" s="288" t="s">
        <v>140</v>
      </c>
      <c r="O13" s="288" t="s">
        <v>10</v>
      </c>
      <c r="P13" s="288" t="s">
        <v>141</v>
      </c>
    </row>
    <row r="14" spans="1:18">
      <c r="A14" s="294">
        <f>A13+1</f>
        <v>3</v>
      </c>
      <c r="B14" s="295"/>
      <c r="C14" s="14"/>
      <c r="D14" s="14"/>
      <c r="E14" s="66"/>
      <c r="F14" s="66"/>
      <c r="G14" s="14"/>
      <c r="H14" s="14"/>
      <c r="I14" s="14"/>
      <c r="J14" s="14"/>
      <c r="K14" s="14"/>
      <c r="L14" s="14"/>
      <c r="M14" s="14"/>
      <c r="N14" s="14"/>
      <c r="O14" s="8"/>
      <c r="P14" s="9"/>
    </row>
    <row r="15" spans="1:18">
      <c r="A15" s="294">
        <f t="shared" ref="A15:A31" si="1">A14+1</f>
        <v>4</v>
      </c>
      <c r="B15" s="291" t="s">
        <v>585</v>
      </c>
      <c r="C15" s="296">
        <v>33849</v>
      </c>
      <c r="D15" s="296">
        <v>16249</v>
      </c>
      <c r="E15" s="297">
        <v>13484</v>
      </c>
      <c r="F15" s="297">
        <f>5660.16+5139.56</f>
        <v>10799.720000000001</v>
      </c>
      <c r="G15" s="296">
        <f>8373.75+7748.14</f>
        <v>16121.89</v>
      </c>
      <c r="H15" s="296">
        <f>12403.65+10453.31</f>
        <v>22856.959999999999</v>
      </c>
      <c r="I15" s="296">
        <f>10564.81+9258.29</f>
        <v>19823.099999999999</v>
      </c>
      <c r="J15" s="296">
        <f>9591.46+9279.64</f>
        <v>18871.099999999999</v>
      </c>
      <c r="K15" s="296">
        <f>10147.11+9344.8</f>
        <v>19491.91</v>
      </c>
      <c r="L15" s="296">
        <f>13682.01+7982.49</f>
        <v>21664.5</v>
      </c>
      <c r="M15" s="296">
        <f>11898.9+6815.76</f>
        <v>18714.66</v>
      </c>
      <c r="N15" s="296">
        <f>10801.26+9166.61</f>
        <v>19967.870000000003</v>
      </c>
      <c r="O15" s="8"/>
      <c r="P15" s="9"/>
      <c r="Q15" s="135"/>
    </row>
    <row r="16" spans="1:18">
      <c r="A16" s="294">
        <f t="shared" si="1"/>
        <v>5</v>
      </c>
      <c r="B16" s="291" t="s">
        <v>610</v>
      </c>
      <c r="C16" s="298">
        <v>3270</v>
      </c>
      <c r="D16" s="298">
        <v>2710</v>
      </c>
      <c r="E16" s="299">
        <v>2450</v>
      </c>
      <c r="F16" s="299">
        <v>2010</v>
      </c>
      <c r="G16" s="296">
        <v>2710</v>
      </c>
      <c r="H16" s="296">
        <v>4580</v>
      </c>
      <c r="I16" s="296">
        <v>3670</v>
      </c>
      <c r="J16" s="296">
        <v>4310</v>
      </c>
      <c r="K16" s="296">
        <v>3340</v>
      </c>
      <c r="L16" s="296">
        <v>2800</v>
      </c>
      <c r="M16" s="296">
        <v>2450</v>
      </c>
      <c r="N16" s="296">
        <v>3100</v>
      </c>
      <c r="O16" s="8"/>
      <c r="P16" s="9"/>
      <c r="Q16" s="135"/>
    </row>
    <row r="17" spans="1:17">
      <c r="A17" s="294">
        <f t="shared" si="1"/>
        <v>6</v>
      </c>
      <c r="B17" s="291" t="s">
        <v>586</v>
      </c>
      <c r="C17" s="300"/>
      <c r="D17" s="300"/>
      <c r="E17" s="301"/>
      <c r="F17" s="301"/>
      <c r="G17" s="300"/>
      <c r="H17" s="300"/>
      <c r="I17" s="300"/>
      <c r="J17" s="300"/>
      <c r="K17" s="300"/>
      <c r="L17" s="300"/>
      <c r="M17" s="300"/>
      <c r="N17" s="300"/>
    </row>
    <row r="18" spans="1:17">
      <c r="A18" s="294">
        <f t="shared" si="1"/>
        <v>7</v>
      </c>
      <c r="B18" s="291" t="s">
        <v>351</v>
      </c>
      <c r="C18" s="296">
        <v>4773.51</v>
      </c>
      <c r="D18" s="296">
        <v>3828.24</v>
      </c>
      <c r="E18" s="297">
        <v>2716.74</v>
      </c>
      <c r="F18" s="297">
        <v>2058.21</v>
      </c>
      <c r="G18" s="296">
        <v>2163.06</v>
      </c>
      <c r="H18" s="296">
        <v>2950.11</v>
      </c>
      <c r="I18" s="296">
        <v>2831.13</v>
      </c>
      <c r="J18" s="296">
        <v>2925.45</v>
      </c>
      <c r="K18" s="296">
        <v>2408.04</v>
      </c>
      <c r="L18" s="296">
        <v>1959.57</v>
      </c>
      <c r="M18" s="296">
        <v>2666.07</v>
      </c>
      <c r="N18" s="296">
        <v>4404.24</v>
      </c>
      <c r="O18" s="8"/>
      <c r="P18" s="9"/>
      <c r="Q18" s="135"/>
    </row>
    <row r="19" spans="1:17">
      <c r="A19" s="294">
        <f t="shared" si="1"/>
        <v>8</v>
      </c>
      <c r="B19" s="291" t="s">
        <v>352</v>
      </c>
      <c r="C19" s="296">
        <v>8772.48</v>
      </c>
      <c r="D19" s="296">
        <v>7844.64</v>
      </c>
      <c r="E19" s="297">
        <v>5520.48</v>
      </c>
      <c r="F19" s="297">
        <v>4309.92</v>
      </c>
      <c r="G19" s="296">
        <v>4695.84</v>
      </c>
      <c r="H19" s="296">
        <v>6915.36</v>
      </c>
      <c r="I19" s="296">
        <v>6922.56</v>
      </c>
      <c r="J19" s="296">
        <v>7115.04</v>
      </c>
      <c r="K19" s="296">
        <v>5543.04</v>
      </c>
      <c r="L19" s="296">
        <v>5157.6000000000004</v>
      </c>
      <c r="M19" s="296">
        <v>5287.68</v>
      </c>
      <c r="N19" s="296">
        <v>7409.28</v>
      </c>
      <c r="O19" s="8"/>
      <c r="P19" s="9"/>
      <c r="Q19" s="135"/>
    </row>
    <row r="20" spans="1:17">
      <c r="A20" s="294">
        <f t="shared" si="1"/>
        <v>9</v>
      </c>
      <c r="B20" s="291" t="s">
        <v>353</v>
      </c>
      <c r="C20" s="296">
        <v>6552</v>
      </c>
      <c r="D20" s="296">
        <v>5991.84</v>
      </c>
      <c r="E20" s="297">
        <v>4204.8</v>
      </c>
      <c r="F20" s="297">
        <v>3178.56</v>
      </c>
      <c r="G20" s="296">
        <v>3423.36</v>
      </c>
      <c r="H20" s="296">
        <v>4894.5600000000004</v>
      </c>
      <c r="I20" s="296">
        <v>4860</v>
      </c>
      <c r="J20" s="296">
        <v>4877.76</v>
      </c>
      <c r="K20" s="296">
        <v>3938.88</v>
      </c>
      <c r="L20" s="296">
        <v>3555.36</v>
      </c>
      <c r="M20" s="296">
        <v>3936.48</v>
      </c>
      <c r="N20" s="296">
        <v>5758.08</v>
      </c>
      <c r="O20" s="8"/>
      <c r="P20" s="9"/>
      <c r="Q20" s="135"/>
    </row>
    <row r="21" spans="1:17">
      <c r="A21" s="294">
        <f t="shared" si="1"/>
        <v>10</v>
      </c>
      <c r="B21" s="291" t="s">
        <v>354</v>
      </c>
      <c r="C21" s="296">
        <v>4.68</v>
      </c>
      <c r="D21" s="296">
        <v>4.68</v>
      </c>
      <c r="E21" s="297">
        <v>4.68</v>
      </c>
      <c r="F21" s="297">
        <v>4.92</v>
      </c>
      <c r="G21" s="296">
        <v>4.8</v>
      </c>
      <c r="H21" s="296">
        <v>4.92</v>
      </c>
      <c r="I21" s="296">
        <v>4.92</v>
      </c>
      <c r="J21" s="296">
        <v>5.04</v>
      </c>
      <c r="K21" s="296">
        <v>4.92</v>
      </c>
      <c r="L21" s="296">
        <v>4.8</v>
      </c>
      <c r="M21" s="296">
        <v>4.8</v>
      </c>
      <c r="N21" s="296">
        <v>5.28</v>
      </c>
      <c r="O21" s="8"/>
      <c r="P21" s="9"/>
      <c r="Q21" s="135"/>
    </row>
    <row r="22" spans="1:17">
      <c r="A22" s="294">
        <f t="shared" si="1"/>
        <v>11</v>
      </c>
      <c r="B22" s="291" t="s">
        <v>355</v>
      </c>
      <c r="C22" s="296">
        <v>45679.199999999997</v>
      </c>
      <c r="D22" s="296">
        <v>40828.800000000003</v>
      </c>
      <c r="E22" s="297">
        <v>38505.599999999999</v>
      </c>
      <c r="F22" s="297">
        <v>35176.800000000003</v>
      </c>
      <c r="G22" s="296">
        <v>41217.599999999999</v>
      </c>
      <c r="H22" s="296">
        <v>44412</v>
      </c>
      <c r="I22" s="296">
        <v>45924</v>
      </c>
      <c r="J22" s="296">
        <v>44563.199999999997</v>
      </c>
      <c r="K22" s="296">
        <v>43550.400000000001</v>
      </c>
      <c r="L22" s="296">
        <v>39849.599999999999</v>
      </c>
      <c r="M22" s="296">
        <v>39112.800000000003</v>
      </c>
      <c r="N22" s="296">
        <v>41040</v>
      </c>
      <c r="O22" s="8"/>
      <c r="P22" s="9"/>
      <c r="Q22" s="135"/>
    </row>
    <row r="23" spans="1:17">
      <c r="A23" s="294">
        <f t="shared" si="1"/>
        <v>12</v>
      </c>
      <c r="B23" s="291" t="s">
        <v>356</v>
      </c>
      <c r="C23" s="296">
        <v>3129.12</v>
      </c>
      <c r="D23" s="296">
        <v>2430</v>
      </c>
      <c r="E23" s="297">
        <v>1906.8</v>
      </c>
      <c r="F23" s="297">
        <v>1464.24</v>
      </c>
      <c r="G23" s="296">
        <v>2631</v>
      </c>
      <c r="H23" s="296">
        <v>1587</v>
      </c>
      <c r="I23" s="296">
        <v>2158.08</v>
      </c>
      <c r="J23" s="296">
        <v>2724.24</v>
      </c>
      <c r="K23" s="296">
        <v>2889.24</v>
      </c>
      <c r="L23" s="296">
        <v>2471.4</v>
      </c>
      <c r="M23" s="296">
        <v>1970.4</v>
      </c>
      <c r="N23" s="296">
        <v>3006.24</v>
      </c>
      <c r="O23" s="8"/>
      <c r="P23" s="9"/>
      <c r="Q23" s="135"/>
    </row>
    <row r="24" spans="1:17">
      <c r="A24" s="294">
        <f t="shared" si="1"/>
        <v>13</v>
      </c>
      <c r="B24" s="291" t="s">
        <v>357</v>
      </c>
      <c r="C24" s="296">
        <v>15022.44</v>
      </c>
      <c r="D24" s="296">
        <v>13901.04</v>
      </c>
      <c r="E24" s="297">
        <v>10699.2</v>
      </c>
      <c r="F24" s="297">
        <v>8890.2000000000007</v>
      </c>
      <c r="G24" s="296">
        <v>7111.44</v>
      </c>
      <c r="H24" s="296">
        <v>9349.92</v>
      </c>
      <c r="I24" s="296">
        <v>9796.32</v>
      </c>
      <c r="J24" s="296">
        <v>9660.6</v>
      </c>
      <c r="K24" s="296">
        <v>7864.56</v>
      </c>
      <c r="L24" s="296">
        <v>7245.72</v>
      </c>
      <c r="M24" s="296">
        <v>10326.959999999999</v>
      </c>
      <c r="N24" s="296">
        <v>14110.56</v>
      </c>
      <c r="O24" s="8"/>
      <c r="P24" s="9"/>
      <c r="Q24" s="135"/>
    </row>
    <row r="25" spans="1:17">
      <c r="A25" s="294">
        <f t="shared" si="1"/>
        <v>14</v>
      </c>
      <c r="B25" s="291" t="s">
        <v>358</v>
      </c>
      <c r="C25" s="296">
        <v>1065.3</v>
      </c>
      <c r="D25" s="296">
        <v>954.66</v>
      </c>
      <c r="E25" s="297">
        <v>533.82000000000005</v>
      </c>
      <c r="F25" s="297">
        <v>408.54</v>
      </c>
      <c r="G25" s="296">
        <v>339</v>
      </c>
      <c r="H25" s="296">
        <v>544.55999999999995</v>
      </c>
      <c r="I25" s="296">
        <v>536.94000000000005</v>
      </c>
      <c r="J25" s="296">
        <v>492.42</v>
      </c>
      <c r="K25" s="296">
        <v>372.12</v>
      </c>
      <c r="L25" s="296">
        <v>339.06</v>
      </c>
      <c r="M25" s="296">
        <v>693.54</v>
      </c>
      <c r="N25" s="296">
        <v>986.16</v>
      </c>
      <c r="O25" s="8"/>
      <c r="P25" s="9"/>
      <c r="Q25" s="135"/>
    </row>
    <row r="26" spans="1:17">
      <c r="A26" s="294">
        <f t="shared" si="1"/>
        <v>15</v>
      </c>
      <c r="B26" s="291" t="s">
        <v>359</v>
      </c>
      <c r="C26" s="296">
        <v>6871.92</v>
      </c>
      <c r="D26" s="296">
        <v>5922.48</v>
      </c>
      <c r="E26" s="297">
        <v>4362.24</v>
      </c>
      <c r="F26" s="297">
        <v>3314.16</v>
      </c>
      <c r="G26" s="296">
        <v>3951.84</v>
      </c>
      <c r="H26" s="296">
        <v>5894.16</v>
      </c>
      <c r="I26" s="296">
        <v>5918.88</v>
      </c>
      <c r="J26" s="296">
        <v>5856.48</v>
      </c>
      <c r="K26" s="296">
        <v>4751.5200000000004</v>
      </c>
      <c r="L26" s="296">
        <v>4323.3599999999997</v>
      </c>
      <c r="M26" s="296">
        <v>4281.84</v>
      </c>
      <c r="N26" s="296">
        <v>6276.48</v>
      </c>
      <c r="O26" s="8"/>
      <c r="P26" s="9"/>
      <c r="Q26" s="135"/>
    </row>
    <row r="27" spans="1:17">
      <c r="A27" s="294">
        <f t="shared" si="1"/>
        <v>16</v>
      </c>
      <c r="B27" s="291" t="s">
        <v>360</v>
      </c>
      <c r="C27" s="296">
        <v>6810.48</v>
      </c>
      <c r="D27" s="296">
        <v>6463.8</v>
      </c>
      <c r="E27" s="297">
        <v>5521.32</v>
      </c>
      <c r="F27" s="297">
        <v>5225.3999999999996</v>
      </c>
      <c r="G27" s="296">
        <v>5491.08</v>
      </c>
      <c r="H27" s="296">
        <v>7031.16</v>
      </c>
      <c r="I27" s="296">
        <v>6887.16</v>
      </c>
      <c r="J27" s="296">
        <v>6650.28</v>
      </c>
      <c r="K27" s="296">
        <v>5615.28</v>
      </c>
      <c r="L27" s="296">
        <v>5555.88</v>
      </c>
      <c r="M27" s="296">
        <v>5403.6</v>
      </c>
      <c r="N27" s="296">
        <v>6173.28</v>
      </c>
      <c r="O27" s="8"/>
      <c r="P27" s="9"/>
      <c r="Q27" s="135"/>
    </row>
    <row r="28" spans="1:17">
      <c r="A28" s="294">
        <f t="shared" si="1"/>
        <v>17</v>
      </c>
      <c r="B28" s="291" t="s">
        <v>361</v>
      </c>
      <c r="C28" s="296">
        <v>3653.76</v>
      </c>
      <c r="D28" s="296">
        <v>3331.44</v>
      </c>
      <c r="E28" s="297">
        <v>2647.44</v>
      </c>
      <c r="F28" s="297">
        <v>2038.92</v>
      </c>
      <c r="G28" s="296">
        <v>1082.1600000000001</v>
      </c>
      <c r="H28" s="296">
        <v>1651.56</v>
      </c>
      <c r="I28" s="296">
        <v>1632.6</v>
      </c>
      <c r="J28" s="296">
        <v>1766.4</v>
      </c>
      <c r="K28" s="296">
        <v>1236.48</v>
      </c>
      <c r="L28" s="296">
        <v>1143.48</v>
      </c>
      <c r="M28" s="296">
        <v>2510.52</v>
      </c>
      <c r="N28" s="296">
        <v>3306.72</v>
      </c>
      <c r="O28" s="8"/>
      <c r="P28" s="9"/>
      <c r="Q28" s="135"/>
    </row>
    <row r="29" spans="1:17">
      <c r="A29" s="294">
        <f t="shared" si="1"/>
        <v>18</v>
      </c>
      <c r="B29" s="291" t="s">
        <v>362</v>
      </c>
      <c r="C29" s="296">
        <v>13138.08</v>
      </c>
      <c r="D29" s="296">
        <v>11952.96</v>
      </c>
      <c r="E29" s="297">
        <v>7548</v>
      </c>
      <c r="F29" s="297">
        <v>5598.72</v>
      </c>
      <c r="G29" s="296">
        <v>4981.92</v>
      </c>
      <c r="H29" s="296">
        <v>7135.2</v>
      </c>
      <c r="I29" s="296">
        <v>7143.84</v>
      </c>
      <c r="J29" s="296">
        <v>7081.44</v>
      </c>
      <c r="K29" s="296">
        <v>5721.6</v>
      </c>
      <c r="L29" s="296">
        <v>5363.52</v>
      </c>
      <c r="M29" s="296">
        <v>7930.08</v>
      </c>
      <c r="N29" s="296">
        <v>11973.12</v>
      </c>
      <c r="O29" s="8"/>
      <c r="P29" s="9"/>
      <c r="Q29" s="135"/>
    </row>
    <row r="30" spans="1:17">
      <c r="A30" s="294">
        <f t="shared" si="1"/>
        <v>19</v>
      </c>
      <c r="B30" s="291" t="s">
        <v>363</v>
      </c>
      <c r="C30" s="302">
        <v>9177.84</v>
      </c>
      <c r="D30" s="302">
        <v>8094.48</v>
      </c>
      <c r="E30" s="302">
        <v>5374.56</v>
      </c>
      <c r="F30" s="302">
        <v>3913.68</v>
      </c>
      <c r="G30" s="302">
        <v>2896.56</v>
      </c>
      <c r="H30" s="302">
        <v>4226.88</v>
      </c>
      <c r="I30" s="302">
        <v>4219.2</v>
      </c>
      <c r="J30" s="302">
        <v>4112.16</v>
      </c>
      <c r="K30" s="302">
        <v>3113.76</v>
      </c>
      <c r="L30" s="302">
        <v>2973.36</v>
      </c>
      <c r="M30" s="302">
        <v>5422.8</v>
      </c>
      <c r="N30" s="302">
        <v>8287.68</v>
      </c>
      <c r="O30" s="10"/>
      <c r="P30" s="11"/>
      <c r="Q30" s="135"/>
    </row>
    <row r="31" spans="1:17">
      <c r="A31" s="294">
        <f t="shared" si="1"/>
        <v>20</v>
      </c>
      <c r="B31" s="291" t="s">
        <v>513</v>
      </c>
      <c r="C31" s="7">
        <f t="shared" ref="C31:N31" si="2">SUM(C18:C30)</f>
        <v>124650.80999999998</v>
      </c>
      <c r="D31" s="7">
        <f t="shared" si="2"/>
        <v>111549.06000000001</v>
      </c>
      <c r="E31" s="67">
        <f t="shared" si="2"/>
        <v>89545.68</v>
      </c>
      <c r="F31" s="67">
        <f t="shared" si="2"/>
        <v>75582.27</v>
      </c>
      <c r="G31" s="67">
        <f t="shared" si="2"/>
        <v>79989.66</v>
      </c>
      <c r="H31" s="67">
        <f t="shared" si="2"/>
        <v>96597.39</v>
      </c>
      <c r="I31" s="67">
        <f t="shared" si="2"/>
        <v>98835.630000000019</v>
      </c>
      <c r="J31" s="67">
        <f t="shared" si="2"/>
        <v>97830.51</v>
      </c>
      <c r="K31" s="67">
        <f t="shared" si="2"/>
        <v>87009.84</v>
      </c>
      <c r="L31" s="67">
        <f t="shared" si="2"/>
        <v>79942.710000000006</v>
      </c>
      <c r="M31" s="67">
        <f t="shared" si="2"/>
        <v>89547.570000000022</v>
      </c>
      <c r="N31" s="67">
        <f t="shared" si="2"/>
        <v>112737.12</v>
      </c>
      <c r="O31" s="7"/>
      <c r="P31" s="9"/>
      <c r="Q31" s="9"/>
    </row>
    <row r="32" spans="1:17">
      <c r="B32" s="291"/>
      <c r="E32" s="286"/>
      <c r="F32" s="286"/>
      <c r="O32" s="303"/>
      <c r="P32" s="303"/>
    </row>
    <row r="33" spans="1:17">
      <c r="A33" s="290">
        <f>A31+1</f>
        <v>21</v>
      </c>
      <c r="B33" s="291" t="s">
        <v>349</v>
      </c>
      <c r="C33" s="12">
        <f t="shared" ref="C33:E33" si="3">C15+C31+C16</f>
        <v>161769.81</v>
      </c>
      <c r="D33" s="12">
        <f t="shared" si="3"/>
        <v>130508.06000000001</v>
      </c>
      <c r="E33" s="12">
        <f t="shared" si="3"/>
        <v>105479.67999999999</v>
      </c>
      <c r="F33" s="12">
        <f t="shared" ref="F33:N33" si="4">F15+F31+F16</f>
        <v>88391.99</v>
      </c>
      <c r="G33" s="12">
        <f t="shared" si="4"/>
        <v>98821.55</v>
      </c>
      <c r="H33" s="12">
        <f t="shared" si="4"/>
        <v>124034.35</v>
      </c>
      <c r="I33" s="12">
        <f t="shared" si="4"/>
        <v>122328.73000000001</v>
      </c>
      <c r="J33" s="12">
        <f t="shared" si="4"/>
        <v>121011.60999999999</v>
      </c>
      <c r="K33" s="12">
        <f t="shared" si="4"/>
        <v>109841.75</v>
      </c>
      <c r="L33" s="12">
        <f t="shared" si="4"/>
        <v>104407.21</v>
      </c>
      <c r="M33" s="12">
        <f t="shared" si="4"/>
        <v>110712.23000000003</v>
      </c>
      <c r="N33" s="12">
        <f t="shared" si="4"/>
        <v>135804.99</v>
      </c>
      <c r="O33" s="12"/>
      <c r="P33" s="12"/>
    </row>
    <row r="34" spans="1:17">
      <c r="B34" s="291"/>
      <c r="E34" s="286"/>
      <c r="F34" s="286"/>
      <c r="G34" s="286"/>
      <c r="H34" s="286"/>
      <c r="I34" s="286"/>
      <c r="J34" s="286"/>
      <c r="K34" s="286"/>
      <c r="L34" s="286"/>
      <c r="M34" s="286"/>
      <c r="N34" s="286"/>
    </row>
    <row r="35" spans="1:17" ht="15.75" thickBot="1">
      <c r="A35" s="290">
        <f>A33+1</f>
        <v>22</v>
      </c>
      <c r="B35" s="291" t="s">
        <v>350</v>
      </c>
      <c r="C35" s="40">
        <f t="shared" ref="C35:E35" si="5">C10+C33</f>
        <v>3719413.48</v>
      </c>
      <c r="D35" s="40">
        <f t="shared" si="5"/>
        <v>3413189.27</v>
      </c>
      <c r="E35" s="40">
        <f t="shared" si="5"/>
        <v>2493990.9700000002</v>
      </c>
      <c r="F35" s="40">
        <f t="shared" ref="F35:N35" si="6">F10+F33</f>
        <v>2060741.72</v>
      </c>
      <c r="G35" s="40">
        <f t="shared" si="6"/>
        <v>1949499.37</v>
      </c>
      <c r="H35" s="40">
        <f t="shared" si="6"/>
        <v>2674339.3000000003</v>
      </c>
      <c r="I35" s="40">
        <f t="shared" si="6"/>
        <v>2667329.2999999998</v>
      </c>
      <c r="J35" s="40">
        <f t="shared" si="6"/>
        <v>2650276.13</v>
      </c>
      <c r="K35" s="40">
        <f t="shared" si="6"/>
        <v>2234824.04</v>
      </c>
      <c r="L35" s="40">
        <f t="shared" si="6"/>
        <v>1992094.3499999999</v>
      </c>
      <c r="M35" s="40">
        <f t="shared" si="6"/>
        <v>2661334.19</v>
      </c>
      <c r="N35" s="40">
        <f t="shared" si="6"/>
        <v>3513885.1399999997</v>
      </c>
      <c r="O35" s="55">
        <f>SUM(C35:N35)</f>
        <v>32030917.260000005</v>
      </c>
      <c r="P35" s="55">
        <f>ROUND(O35/12,0)</f>
        <v>2669243</v>
      </c>
    </row>
    <row r="36" spans="1:17" ht="15.75" thickTop="1">
      <c r="E36" s="286"/>
      <c r="F36" s="286"/>
    </row>
    <row r="37" spans="1:17" ht="15.75">
      <c r="C37" s="23"/>
      <c r="D37" s="23"/>
      <c r="E37" s="68"/>
      <c r="F37" s="68"/>
      <c r="G37" s="23"/>
      <c r="H37" s="23"/>
      <c r="I37" s="23"/>
      <c r="J37" s="23"/>
      <c r="K37" s="23"/>
      <c r="L37" s="23"/>
      <c r="M37" s="23"/>
      <c r="N37" s="39"/>
      <c r="O37" s="304"/>
      <c r="P37" s="23"/>
    </row>
    <row r="38" spans="1:17">
      <c r="B38" s="305" t="s">
        <v>142</v>
      </c>
      <c r="C38" s="303"/>
      <c r="D38" s="303"/>
      <c r="E38" s="303"/>
      <c r="F38" s="303"/>
      <c r="G38" s="303"/>
      <c r="H38" s="303"/>
      <c r="I38" s="303"/>
      <c r="J38" s="303"/>
      <c r="K38" s="303"/>
      <c r="L38" s="303"/>
      <c r="M38" s="303"/>
    </row>
    <row r="39" spans="1:17">
      <c r="B39" s="306" t="str">
        <f>CONCATENATE("(1) Reflects the system peak demand (coincident peak) during a 60-minute clock hour.  January ",'Appx C - True Up'!K77," through December ",'Appx C - True Up'!K77," information is sourced from the MV90 system.")</f>
        <v>(1) Reflects the system peak demand (coincident peak) during a 60-minute clock hour.  January 2025 through December 2025 information is sourced from the MV90 system.</v>
      </c>
      <c r="E39" s="286"/>
      <c r="F39" s="286"/>
      <c r="G39" s="307"/>
      <c r="H39" s="307"/>
      <c r="I39" s="307"/>
      <c r="J39" s="307"/>
      <c r="K39" s="307"/>
      <c r="N39" s="308"/>
      <c r="O39" s="23"/>
    </row>
    <row r="40" spans="1:17" ht="15" customHeight="1">
      <c r="B40" s="306"/>
      <c r="E40" s="286"/>
      <c r="F40" s="286"/>
      <c r="N40" s="308"/>
      <c r="O40" s="23"/>
    </row>
    <row r="41" spans="1:17">
      <c r="B41" s="309" t="s">
        <v>588</v>
      </c>
      <c r="C41" s="310">
        <v>3589645.56</v>
      </c>
      <c r="D41" s="310">
        <v>3309982.31</v>
      </c>
      <c r="E41" s="311">
        <v>2414408.75</v>
      </c>
      <c r="F41" s="311">
        <v>1996399.03</v>
      </c>
      <c r="G41" s="310">
        <v>1873593.56</v>
      </c>
      <c r="H41" s="310">
        <v>2581877.25</v>
      </c>
      <c r="I41" s="310">
        <v>2572405.81</v>
      </c>
      <c r="J41" s="310">
        <v>2557470.88</v>
      </c>
      <c r="K41" s="310">
        <v>2142374.06</v>
      </c>
      <c r="L41" s="310">
        <v>1903140.94</v>
      </c>
      <c r="M41" s="310">
        <v>2568286.19</v>
      </c>
      <c r="N41" s="310">
        <v>3399587.38</v>
      </c>
      <c r="O41" s="69"/>
      <c r="P41" s="69"/>
      <c r="Q41" s="135"/>
    </row>
    <row r="42" spans="1:17">
      <c r="B42" s="312"/>
      <c r="C42" s="313"/>
      <c r="D42" s="313"/>
      <c r="E42" s="314"/>
      <c r="F42" s="314"/>
      <c r="G42" s="313"/>
      <c r="H42" s="313"/>
      <c r="I42" s="313"/>
      <c r="J42" s="313"/>
      <c r="K42" s="313"/>
      <c r="L42" s="313"/>
      <c r="M42" s="313"/>
      <c r="N42" s="315"/>
      <c r="O42" s="70"/>
      <c r="P42" s="313"/>
    </row>
    <row r="43" spans="1:17">
      <c r="B43" s="316" t="s">
        <v>590</v>
      </c>
      <c r="C43" s="317">
        <v>3013072.62</v>
      </c>
      <c r="D43" s="317">
        <v>2593248.94</v>
      </c>
      <c r="E43" s="318">
        <v>1906653.31</v>
      </c>
      <c r="F43" s="318">
        <v>1598868.53</v>
      </c>
      <c r="G43" s="317">
        <v>1383662.25</v>
      </c>
      <c r="H43" s="317">
        <v>1940471.75</v>
      </c>
      <c r="I43" s="317">
        <v>1900915.16</v>
      </c>
      <c r="J43" s="317">
        <v>1887264.38</v>
      </c>
      <c r="K43" s="317">
        <v>1581528.59</v>
      </c>
      <c r="L43" s="317">
        <v>1412202.16</v>
      </c>
      <c r="M43" s="317">
        <v>1944654.38</v>
      </c>
      <c r="N43" s="319">
        <v>2754250.81</v>
      </c>
      <c r="O43" s="71">
        <f>SUM(C43:N43)</f>
        <v>23916792.879999999</v>
      </c>
      <c r="P43" s="71">
        <f>ROUND(O43/12,0)</f>
        <v>1993066</v>
      </c>
      <c r="Q43" s="135"/>
    </row>
    <row r="44" spans="1:17">
      <c r="B44" s="316" t="s">
        <v>589</v>
      </c>
      <c r="C44" s="317">
        <v>544571.05000000005</v>
      </c>
      <c r="D44" s="317">
        <v>689432.27</v>
      </c>
      <c r="E44" s="318">
        <v>481857.98</v>
      </c>
      <c r="F44" s="318">
        <v>373481.2</v>
      </c>
      <c r="G44" s="317">
        <f>467015.57</f>
        <v>467015.57</v>
      </c>
      <c r="H44" s="317">
        <v>609833.19999999995</v>
      </c>
      <c r="I44" s="317">
        <v>644085.41</v>
      </c>
      <c r="J44" s="317">
        <v>642000.14</v>
      </c>
      <c r="K44" s="317">
        <v>543453.69999999995</v>
      </c>
      <c r="L44" s="317">
        <v>475484.98</v>
      </c>
      <c r="M44" s="317">
        <v>605967.57999999996</v>
      </c>
      <c r="N44" s="319">
        <v>623829.34</v>
      </c>
      <c r="O44" s="71">
        <f>SUM(C44:N44)</f>
        <v>6701012.4199999999</v>
      </c>
      <c r="P44" s="71">
        <f>ROUND(O44/12,0)</f>
        <v>558418</v>
      </c>
      <c r="Q44" s="135"/>
    </row>
    <row r="45" spans="1:17">
      <c r="B45" s="316" t="s">
        <v>587</v>
      </c>
      <c r="C45" s="71">
        <f>SUM(C43:C44)</f>
        <v>3557643.67</v>
      </c>
      <c r="D45" s="71">
        <f>SUM(D43:D44)</f>
        <v>3282681.21</v>
      </c>
      <c r="E45" s="72">
        <f t="shared" ref="E45" si="7">SUM(E43:E44)</f>
        <v>2388511.29</v>
      </c>
      <c r="F45" s="72">
        <f t="shared" ref="F45:N45" si="8">SUM(F43:F44)</f>
        <v>1972349.73</v>
      </c>
      <c r="G45" s="72">
        <f t="shared" si="8"/>
        <v>1850677.82</v>
      </c>
      <c r="H45" s="72">
        <f t="shared" si="8"/>
        <v>2550304.9500000002</v>
      </c>
      <c r="I45" s="72">
        <f t="shared" si="8"/>
        <v>2545000.5699999998</v>
      </c>
      <c r="J45" s="72">
        <f t="shared" si="8"/>
        <v>2529264.52</v>
      </c>
      <c r="K45" s="72">
        <f t="shared" si="8"/>
        <v>2124982.29</v>
      </c>
      <c r="L45" s="72">
        <f t="shared" si="8"/>
        <v>1887687.14</v>
      </c>
      <c r="M45" s="72">
        <f t="shared" si="8"/>
        <v>2550621.96</v>
      </c>
      <c r="N45" s="72">
        <f t="shared" si="8"/>
        <v>3378080.15</v>
      </c>
      <c r="O45" s="71">
        <f>SUM(O43:O44)</f>
        <v>30617805.299999997</v>
      </c>
      <c r="P45" s="71">
        <f>SUM(P43:P44)</f>
        <v>2551484</v>
      </c>
      <c r="Q45" s="7"/>
    </row>
    <row r="46" spans="1:17">
      <c r="B46" s="316"/>
      <c r="C46" s="313"/>
      <c r="D46" s="313"/>
      <c r="E46" s="314"/>
      <c r="F46" s="314"/>
      <c r="G46" s="314"/>
      <c r="H46" s="314"/>
      <c r="I46" s="314"/>
      <c r="J46" s="314"/>
      <c r="K46" s="314"/>
      <c r="L46" s="314"/>
      <c r="M46" s="314"/>
      <c r="N46" s="314"/>
      <c r="O46" s="70"/>
      <c r="P46" s="313"/>
    </row>
    <row r="47" spans="1:17">
      <c r="B47" s="316" t="s">
        <v>591</v>
      </c>
      <c r="C47" s="70">
        <f>C41-C45</f>
        <v>32001.89000000013</v>
      </c>
      <c r="D47" s="70">
        <f t="shared" ref="D47:E47" si="9">D41-D45</f>
        <v>27301.100000000093</v>
      </c>
      <c r="E47" s="73">
        <f t="shared" si="9"/>
        <v>25897.459999999963</v>
      </c>
      <c r="F47" s="73">
        <f t="shared" ref="F47:N47" si="10">F41-F45</f>
        <v>24049.300000000047</v>
      </c>
      <c r="G47" s="73">
        <f t="shared" si="10"/>
        <v>22915.739999999991</v>
      </c>
      <c r="H47" s="73">
        <f t="shared" si="10"/>
        <v>31572.299999999814</v>
      </c>
      <c r="I47" s="73">
        <f t="shared" si="10"/>
        <v>27405.240000000224</v>
      </c>
      <c r="J47" s="73">
        <f t="shared" si="10"/>
        <v>28206.35999999987</v>
      </c>
      <c r="K47" s="73">
        <f t="shared" si="10"/>
        <v>17391.770000000019</v>
      </c>
      <c r="L47" s="73">
        <f t="shared" si="10"/>
        <v>15453.800000000047</v>
      </c>
      <c r="M47" s="73">
        <f t="shared" si="10"/>
        <v>17664.229999999981</v>
      </c>
      <c r="N47" s="73">
        <f t="shared" si="10"/>
        <v>21507.229999999981</v>
      </c>
      <c r="O47" s="71">
        <f>SUM(C47:N47)</f>
        <v>291366.42000000016</v>
      </c>
      <c r="P47" s="71">
        <f>ROUND(O47/12,0)</f>
        <v>24281</v>
      </c>
    </row>
    <row r="48" spans="1:17">
      <c r="B48" s="316"/>
      <c r="C48" s="70"/>
      <c r="D48" s="70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1"/>
      <c r="P48" s="71"/>
    </row>
    <row r="49" spans="2:17">
      <c r="B49" s="316" t="s">
        <v>594</v>
      </c>
      <c r="C49" s="320">
        <v>20903.39</v>
      </c>
      <c r="D49" s="320">
        <v>19306.23</v>
      </c>
      <c r="E49" s="321">
        <v>17804.22</v>
      </c>
      <c r="F49" s="321">
        <v>17693.68</v>
      </c>
      <c r="G49" s="321">
        <v>18138.02</v>
      </c>
      <c r="H49" s="321">
        <v>24236.93</v>
      </c>
      <c r="I49" s="321">
        <v>21486.74</v>
      </c>
      <c r="J49" s="321">
        <v>21158.45</v>
      </c>
      <c r="K49" s="321">
        <v>12309.67</v>
      </c>
      <c r="L49" s="321">
        <v>11157.17</v>
      </c>
      <c r="M49" s="321">
        <v>10921.25</v>
      </c>
      <c r="N49" s="321">
        <v>11787.36</v>
      </c>
      <c r="O49" s="71">
        <f>SUM(C49:N49)</f>
        <v>206903.11000000004</v>
      </c>
      <c r="P49" s="71">
        <f>ROUND(O49/12,0)</f>
        <v>17242</v>
      </c>
      <c r="Q49" s="135"/>
    </row>
    <row r="50" spans="2:17">
      <c r="B50" s="316" t="s">
        <v>595</v>
      </c>
      <c r="C50" s="320">
        <v>11098.48</v>
      </c>
      <c r="D50" s="320">
        <v>7994.88</v>
      </c>
      <c r="E50" s="321">
        <v>8093.07</v>
      </c>
      <c r="F50" s="321">
        <v>6355.64</v>
      </c>
      <c r="G50" s="321">
        <v>4777.7299999999996</v>
      </c>
      <c r="H50" s="321">
        <v>7335.44</v>
      </c>
      <c r="I50" s="321">
        <v>5918.46</v>
      </c>
      <c r="J50" s="321">
        <v>7047.89</v>
      </c>
      <c r="K50" s="321">
        <v>5082.07</v>
      </c>
      <c r="L50" s="321">
        <v>4296.57</v>
      </c>
      <c r="M50" s="321">
        <v>6742.99</v>
      </c>
      <c r="N50" s="321">
        <v>9719.91</v>
      </c>
      <c r="O50" s="71">
        <f>SUM(C50:N50)</f>
        <v>84463.130000000019</v>
      </c>
      <c r="P50" s="71">
        <f>ROUND(O50/12,0)</f>
        <v>7039</v>
      </c>
      <c r="Q50" s="135"/>
    </row>
    <row r="51" spans="2:17">
      <c r="B51" s="316" t="s">
        <v>593</v>
      </c>
      <c r="C51" s="70">
        <f>SUM(C49:C50)</f>
        <v>32001.87</v>
      </c>
      <c r="D51" s="70">
        <f t="shared" ref="D51:E51" si="11">SUM(D49:D50)</f>
        <v>27301.11</v>
      </c>
      <c r="E51" s="73">
        <f t="shared" si="11"/>
        <v>25897.29</v>
      </c>
      <c r="F51" s="73">
        <f t="shared" ref="F51:N51" si="12">SUM(F49:F50)</f>
        <v>24049.32</v>
      </c>
      <c r="G51" s="73">
        <f t="shared" si="12"/>
        <v>22915.75</v>
      </c>
      <c r="H51" s="73">
        <f t="shared" si="12"/>
        <v>31572.37</v>
      </c>
      <c r="I51" s="73">
        <f t="shared" si="12"/>
        <v>27405.200000000001</v>
      </c>
      <c r="J51" s="73">
        <f t="shared" si="12"/>
        <v>28206.34</v>
      </c>
      <c r="K51" s="73">
        <f t="shared" si="12"/>
        <v>17391.739999999998</v>
      </c>
      <c r="L51" s="73">
        <f t="shared" si="12"/>
        <v>15453.74</v>
      </c>
      <c r="M51" s="73">
        <f t="shared" si="12"/>
        <v>17664.239999999998</v>
      </c>
      <c r="N51" s="73">
        <f t="shared" si="12"/>
        <v>21507.27</v>
      </c>
      <c r="O51" s="71">
        <f>SUM(O49:O50)</f>
        <v>291366.24000000005</v>
      </c>
      <c r="P51" s="71">
        <f>SUM(P49:P50)</f>
        <v>24281</v>
      </c>
    </row>
    <row r="52" spans="2:17">
      <c r="B52" s="316"/>
      <c r="C52" s="70"/>
      <c r="D52" s="70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313"/>
      <c r="P52" s="313"/>
    </row>
    <row r="53" spans="2:17">
      <c r="B53" s="316" t="s">
        <v>592</v>
      </c>
      <c r="C53" s="70">
        <f>C47-C51</f>
        <v>2.0000000131403795E-2</v>
      </c>
      <c r="D53" s="70">
        <f t="shared" ref="D53:E53" si="13">D47-D51</f>
        <v>-9.9999999074498191E-3</v>
      </c>
      <c r="E53" s="73">
        <f t="shared" si="13"/>
        <v>0.16999999996187398</v>
      </c>
      <c r="F53" s="73">
        <f t="shared" ref="F53:N53" si="14">F47-F51</f>
        <v>-1.9999999953142833E-2</v>
      </c>
      <c r="G53" s="73">
        <f t="shared" si="14"/>
        <v>-1.0000000009313226E-2</v>
      </c>
      <c r="H53" s="73">
        <f t="shared" si="14"/>
        <v>-7.0000000185245881E-2</v>
      </c>
      <c r="I53" s="73">
        <f t="shared" si="14"/>
        <v>4.0000000222789822E-2</v>
      </c>
      <c r="J53" s="73">
        <f t="shared" si="14"/>
        <v>1.999999986946932E-2</v>
      </c>
      <c r="K53" s="73">
        <f t="shared" si="14"/>
        <v>3.000000002066372E-2</v>
      </c>
      <c r="L53" s="73">
        <f t="shared" si="14"/>
        <v>6.0000000046784407E-2</v>
      </c>
      <c r="M53" s="73">
        <f t="shared" si="14"/>
        <v>-1.0000000016589183E-2</v>
      </c>
      <c r="N53" s="73">
        <f t="shared" si="14"/>
        <v>-4.0000000019063009E-2</v>
      </c>
      <c r="O53" s="71">
        <f>SUM(C53:N53)</f>
        <v>0.1800000001621811</v>
      </c>
      <c r="P53" s="71">
        <f>ROUND(O53/12,0)</f>
        <v>0</v>
      </c>
    </row>
    <row r="54" spans="2:17">
      <c r="N54" s="308"/>
    </row>
    <row r="151" spans="11:11">
      <c r="K151" s="117" t="s">
        <v>612</v>
      </c>
    </row>
  </sheetData>
  <pageMargins left="0.22" right="0.16" top="1.1000000000000001" bottom="0.75" header="0.3" footer="0.3"/>
  <pageSetup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>
    <pageSetUpPr fitToPage="1"/>
  </sheetPr>
  <dimension ref="A1:Z151"/>
  <sheetViews>
    <sheetView zoomScale="70" zoomScaleNormal="70" zoomScaleSheetLayoutView="70" workbookViewId="0">
      <selection activeCell="D28" sqref="D28"/>
    </sheetView>
  </sheetViews>
  <sheetFormatPr defaultColWidth="9.33203125" defaultRowHeight="15"/>
  <cols>
    <col min="1" max="1" width="4" style="213" customWidth="1"/>
    <col min="2" max="2" width="4.77734375" style="214" bestFit="1" customWidth="1"/>
    <col min="3" max="3" width="1.6640625" style="213" customWidth="1"/>
    <col min="4" max="4" width="64.109375" style="213" customWidth="1"/>
    <col min="5" max="5" width="28.5546875" style="213" customWidth="1"/>
    <col min="6" max="6" width="2.109375" style="213" customWidth="1"/>
    <col min="7" max="7" width="16" style="213" bestFit="1" customWidth="1"/>
    <col min="8" max="8" width="6.5546875" style="213" customWidth="1"/>
    <col min="9" max="9" width="2.21875" style="213" customWidth="1"/>
    <col min="10" max="10" width="18.88671875" style="213" bestFit="1" customWidth="1"/>
    <col min="11" max="11" width="38" style="213" bestFit="1" customWidth="1"/>
    <col min="12" max="12" width="14.5546875" style="213" bestFit="1" customWidth="1"/>
    <col min="13" max="13" width="13.5546875" style="213" bestFit="1" customWidth="1"/>
    <col min="14" max="14" width="13.44140625" style="213" bestFit="1" customWidth="1"/>
    <col min="15" max="16384" width="9.33203125" style="213"/>
  </cols>
  <sheetData>
    <row r="1" spans="1:10">
      <c r="G1" s="213" t="str">
        <f>EKPC!J1</f>
        <v>Attachment H-24A</v>
      </c>
    </row>
    <row r="2" spans="1:10">
      <c r="G2" s="213" t="s">
        <v>236</v>
      </c>
    </row>
    <row r="3" spans="1:10">
      <c r="A3" s="215"/>
      <c r="B3" s="215"/>
      <c r="C3" s="215"/>
      <c r="D3" s="215"/>
      <c r="E3" s="215"/>
      <c r="F3" s="215"/>
      <c r="G3" s="213" t="s">
        <v>237</v>
      </c>
      <c r="H3" s="216"/>
      <c r="J3" s="113"/>
    </row>
    <row r="4" spans="1:10">
      <c r="A4" s="215"/>
      <c r="B4" s="215"/>
      <c r="C4" s="215"/>
      <c r="D4" s="215"/>
      <c r="E4" s="215"/>
      <c r="F4" s="215"/>
      <c r="H4" s="216"/>
      <c r="J4" s="113"/>
    </row>
    <row r="5" spans="1:10">
      <c r="A5" s="215"/>
      <c r="B5" s="215"/>
      <c r="C5" s="215"/>
      <c r="D5" s="215"/>
      <c r="E5" s="215"/>
      <c r="F5" s="215"/>
      <c r="G5" s="217" t="str">
        <f>EKPC!J7</f>
        <v>For the 12 months ended 12/31/2025</v>
      </c>
      <c r="H5" s="216"/>
      <c r="J5" s="113"/>
    </row>
    <row r="6" spans="1:10" ht="15.75">
      <c r="A6" s="218" t="str">
        <f>EKPC!A11</f>
        <v>East Kentucky Power Cooperative, Inc.</v>
      </c>
      <c r="B6" s="219"/>
      <c r="C6" s="219"/>
      <c r="D6" s="219"/>
      <c r="E6" s="219"/>
      <c r="F6" s="219"/>
      <c r="G6" s="219"/>
      <c r="H6" s="220"/>
      <c r="I6" s="221"/>
    </row>
    <row r="7" spans="1:10" ht="15.75">
      <c r="A7" s="219" t="s">
        <v>234</v>
      </c>
      <c r="B7" s="219"/>
      <c r="C7" s="219"/>
      <c r="D7" s="219"/>
      <c r="E7" s="219"/>
      <c r="F7" s="219"/>
      <c r="G7" s="219"/>
      <c r="H7" s="220"/>
      <c r="I7" s="221"/>
    </row>
    <row r="8" spans="1:10" ht="15.75">
      <c r="A8" s="222" t="str">
        <f>EKPC!A9</f>
        <v>Utilizing EKPC 2025 Form FF1 Data (ver. FINAL - AUDITED)</v>
      </c>
      <c r="B8" s="222"/>
      <c r="C8" s="222"/>
      <c r="D8" s="222"/>
      <c r="E8" s="222"/>
      <c r="F8" s="222"/>
      <c r="G8" s="222"/>
      <c r="H8" s="220"/>
      <c r="I8" s="223"/>
    </row>
    <row r="9" spans="1:10" ht="15.75">
      <c r="A9" s="224" t="s">
        <v>683</v>
      </c>
      <c r="B9" s="219"/>
      <c r="C9" s="219"/>
      <c r="D9" s="219"/>
      <c r="E9" s="219"/>
      <c r="F9" s="219"/>
      <c r="G9" s="225"/>
      <c r="H9" s="220"/>
      <c r="I9" s="221"/>
    </row>
    <row r="10" spans="1:10" ht="15.75">
      <c r="B10" s="226"/>
      <c r="C10" s="227"/>
      <c r="D10" s="228"/>
      <c r="H10" s="220"/>
    </row>
    <row r="11" spans="1:10" ht="15.75">
      <c r="A11" s="229" t="s">
        <v>240</v>
      </c>
      <c r="B11" s="229"/>
      <c r="C11" s="229"/>
      <c r="D11" s="229"/>
      <c r="E11" s="229"/>
      <c r="F11" s="229"/>
      <c r="G11" s="229"/>
      <c r="H11" s="220"/>
      <c r="I11" s="230"/>
      <c r="J11" s="231"/>
    </row>
    <row r="12" spans="1:10" ht="15.75">
      <c r="A12" s="232"/>
      <c r="B12" s="226"/>
      <c r="C12" s="227"/>
      <c r="D12" s="228"/>
      <c r="H12" s="220"/>
    </row>
    <row r="13" spans="1:10" ht="15.75">
      <c r="B13" s="226"/>
      <c r="C13" s="227"/>
      <c r="D13" s="228"/>
      <c r="E13" s="228"/>
      <c r="F13" s="233"/>
      <c r="G13" s="234"/>
      <c r="H13" s="220"/>
    </row>
    <row r="14" spans="1:10" ht="15.75">
      <c r="B14" s="226" t="s">
        <v>6</v>
      </c>
      <c r="C14" s="227"/>
      <c r="D14" s="228"/>
      <c r="E14" s="228"/>
      <c r="F14" s="228"/>
      <c r="G14" s="235" t="s">
        <v>233</v>
      </c>
      <c r="H14" s="220"/>
    </row>
    <row r="15" spans="1:10" ht="15.75">
      <c r="B15" s="236" t="s">
        <v>8</v>
      </c>
      <c r="C15" s="227"/>
      <c r="D15" s="228"/>
      <c r="E15" s="236" t="s">
        <v>238</v>
      </c>
      <c r="F15" s="228"/>
      <c r="G15" s="236" t="s">
        <v>232</v>
      </c>
      <c r="H15" s="220"/>
    </row>
    <row r="16" spans="1:10">
      <c r="B16" s="226"/>
      <c r="C16" s="227"/>
      <c r="D16" s="237"/>
      <c r="E16" s="227"/>
      <c r="F16" s="228"/>
      <c r="H16" s="228"/>
    </row>
    <row r="17" spans="1:26">
      <c r="A17" s="235" t="s">
        <v>231</v>
      </c>
      <c r="B17" s="238" t="s">
        <v>235</v>
      </c>
      <c r="C17" s="227"/>
      <c r="D17" s="228"/>
      <c r="E17" s="227"/>
      <c r="F17" s="228"/>
      <c r="H17" s="228"/>
    </row>
    <row r="18" spans="1:26">
      <c r="B18" s="226">
        <v>1</v>
      </c>
      <c r="C18" s="227"/>
      <c r="D18" s="237" t="s">
        <v>230</v>
      </c>
      <c r="E18" s="239" t="s">
        <v>536</v>
      </c>
      <c r="F18" s="240"/>
      <c r="G18" s="241">
        <f>'Pg 4 of 8 Sch 1 Charges 561'!D42</f>
        <v>4949229.0199999996</v>
      </c>
      <c r="H18" s="242"/>
      <c r="J18" s="16"/>
      <c r="K18" s="243"/>
    </row>
    <row r="19" spans="1:26">
      <c r="B19" s="226"/>
      <c r="C19" s="227"/>
      <c r="D19" s="237" t="s">
        <v>567</v>
      </c>
      <c r="E19" s="244"/>
      <c r="F19" s="245"/>
      <c r="G19" s="241">
        <f>G35/G34*G18</f>
        <v>68403.834956813866</v>
      </c>
      <c r="H19" s="242"/>
      <c r="J19" s="16"/>
    </row>
    <row r="20" spans="1:26">
      <c r="B20" s="226"/>
      <c r="C20" s="227"/>
      <c r="D20" s="237" t="s">
        <v>512</v>
      </c>
      <c r="E20" s="235"/>
      <c r="F20" s="240"/>
      <c r="G20" s="241">
        <f>G18-G19</f>
        <v>4880825.1850431859</v>
      </c>
      <c r="H20" s="242"/>
      <c r="J20" s="17"/>
    </row>
    <row r="21" spans="1:26">
      <c r="B21" s="226"/>
      <c r="C21" s="227"/>
      <c r="D21" s="237"/>
      <c r="E21" s="235"/>
      <c r="F21" s="240"/>
      <c r="G21" s="246"/>
      <c r="H21" s="242"/>
    </row>
    <row r="22" spans="1:26">
      <c r="B22" s="226"/>
      <c r="C22" s="227"/>
      <c r="D22" s="237"/>
      <c r="E22" s="227"/>
      <c r="F22" s="240"/>
      <c r="G22" s="246"/>
      <c r="H22" s="242"/>
    </row>
    <row r="23" spans="1:26">
      <c r="B23" s="226">
        <v>2</v>
      </c>
      <c r="C23" s="227"/>
      <c r="D23" s="237" t="s">
        <v>462</v>
      </c>
      <c r="E23" s="240" t="s">
        <v>461</v>
      </c>
      <c r="F23" s="216"/>
      <c r="G23" s="241">
        <v>0</v>
      </c>
      <c r="H23" s="117"/>
      <c r="J23" s="247" t="s">
        <v>687</v>
      </c>
    </row>
    <row r="24" spans="1:26">
      <c r="B24" s="226"/>
      <c r="C24" s="227"/>
      <c r="D24" s="237"/>
      <c r="E24" s="228"/>
      <c r="F24" s="240"/>
      <c r="G24" s="248"/>
      <c r="H24" s="242"/>
      <c r="J24" s="249" t="s">
        <v>686</v>
      </c>
    </row>
    <row r="25" spans="1:26">
      <c r="B25" s="226">
        <v>3</v>
      </c>
      <c r="C25" s="227"/>
      <c r="D25" s="237" t="s">
        <v>229</v>
      </c>
      <c r="E25" s="228"/>
      <c r="F25" s="240"/>
      <c r="G25" s="241">
        <f>G20-G23</f>
        <v>4880825.1850431859</v>
      </c>
      <c r="H25" s="242"/>
    </row>
    <row r="26" spans="1:26">
      <c r="B26" s="226"/>
      <c r="C26" s="227"/>
      <c r="D26" s="237"/>
      <c r="E26" s="228"/>
      <c r="F26" s="240"/>
      <c r="G26" s="246"/>
      <c r="H26" s="228"/>
    </row>
    <row r="27" spans="1:26">
      <c r="B27" s="226">
        <v>4</v>
      </c>
      <c r="C27" s="227"/>
      <c r="D27" s="237" t="s">
        <v>730</v>
      </c>
      <c r="E27" s="227" t="s">
        <v>460</v>
      </c>
      <c r="F27" s="240"/>
      <c r="G27" s="246"/>
      <c r="H27" s="228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>
      <c r="B28" s="226"/>
      <c r="C28" s="227"/>
      <c r="D28" s="237"/>
      <c r="E28" s="228"/>
      <c r="F28" s="240"/>
      <c r="G28" s="246"/>
      <c r="H28" s="228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>
      <c r="B29" s="226">
        <v>5</v>
      </c>
      <c r="C29" s="227"/>
      <c r="D29" s="237" t="s">
        <v>681</v>
      </c>
      <c r="E29" s="228"/>
      <c r="F29" s="240"/>
      <c r="G29" s="250">
        <f>G25+G27</f>
        <v>4880825.1850431859</v>
      </c>
      <c r="H29" s="228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>
      <c r="B30" s="226"/>
      <c r="C30" s="227"/>
      <c r="D30" s="237"/>
      <c r="E30" s="228"/>
      <c r="F30" s="240"/>
      <c r="G30" s="251"/>
      <c r="H30" s="228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>
      <c r="A31" s="235" t="s">
        <v>228</v>
      </c>
      <c r="B31" s="238" t="s">
        <v>227</v>
      </c>
      <c r="C31" s="227"/>
      <c r="D31" s="228"/>
      <c r="F31" s="228"/>
      <c r="H31" s="228"/>
      <c r="J31" s="117"/>
      <c r="K31" s="252"/>
      <c r="L31" s="253"/>
      <c r="M31" s="253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>
      <c r="B32" s="226">
        <v>6</v>
      </c>
      <c r="C32" s="227"/>
      <c r="D32" s="254" t="s">
        <v>682</v>
      </c>
      <c r="E32" s="227" t="s">
        <v>463</v>
      </c>
      <c r="F32" s="240"/>
      <c r="G32" s="255">
        <f>14387385+$G$35</f>
        <v>14589094</v>
      </c>
      <c r="H32" s="228" t="s">
        <v>226</v>
      </c>
      <c r="J32" s="135"/>
      <c r="K32" s="253"/>
      <c r="L32" s="256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2:26">
      <c r="B33" s="257" t="s">
        <v>404</v>
      </c>
      <c r="C33" s="227"/>
      <c r="D33" s="237" t="s">
        <v>572</v>
      </c>
      <c r="E33" s="235" t="s">
        <v>477</v>
      </c>
      <c r="F33" s="240"/>
      <c r="G33" s="258">
        <v>5176</v>
      </c>
      <c r="H33" s="228"/>
      <c r="J33" s="135"/>
      <c r="K33" s="117"/>
      <c r="L33" s="54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2:26" ht="17.25">
      <c r="B34" s="257" t="s">
        <v>564</v>
      </c>
      <c r="C34" s="227"/>
      <c r="D34" s="237" t="s">
        <v>551</v>
      </c>
      <c r="E34" s="227"/>
      <c r="F34" s="240"/>
      <c r="G34" s="25">
        <f>G32+G33</f>
        <v>14594270</v>
      </c>
      <c r="H34" s="228"/>
      <c r="J34" s="117"/>
      <c r="K34" s="117"/>
      <c r="L34" s="56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2:26">
      <c r="B35" s="257" t="s">
        <v>565</v>
      </c>
      <c r="C35" s="227"/>
      <c r="D35" s="237" t="s">
        <v>576</v>
      </c>
      <c r="E35" s="227" t="s">
        <v>574</v>
      </c>
      <c r="F35" s="240"/>
      <c r="G35" s="255">
        <v>201709</v>
      </c>
      <c r="H35" s="228"/>
      <c r="J35" s="135"/>
      <c r="K35" s="117"/>
      <c r="L35" s="54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2:26" ht="16.5" thickBot="1">
      <c r="B36" s="257" t="s">
        <v>566</v>
      </c>
      <c r="C36" s="227"/>
      <c r="D36" s="237" t="s">
        <v>552</v>
      </c>
      <c r="E36" s="227"/>
      <c r="F36" s="240"/>
      <c r="G36" s="26">
        <f>G34-G35</f>
        <v>14392561</v>
      </c>
      <c r="H36" s="228" t="s">
        <v>226</v>
      </c>
      <c r="J36" s="259"/>
      <c r="X36" s="117"/>
      <c r="Y36" s="117"/>
      <c r="Z36" s="117"/>
    </row>
    <row r="37" spans="2:26" ht="15.75">
      <c r="B37" s="226"/>
      <c r="C37" s="227"/>
      <c r="D37" s="237"/>
      <c r="E37" s="227"/>
      <c r="F37" s="240"/>
      <c r="G37" s="13"/>
      <c r="H37" s="228"/>
      <c r="J37" s="260"/>
      <c r="K37" s="117"/>
      <c r="L37" s="117"/>
      <c r="M37" s="117"/>
      <c r="N37" s="117"/>
      <c r="O37" s="117"/>
      <c r="X37" s="117"/>
      <c r="Y37" s="117"/>
      <c r="Z37" s="117"/>
    </row>
    <row r="38" spans="2:26">
      <c r="B38" s="226"/>
      <c r="C38" s="227"/>
      <c r="D38" s="237"/>
      <c r="E38" s="228"/>
      <c r="F38" s="240"/>
      <c r="G38" s="261"/>
      <c r="H38" s="228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2:26">
      <c r="B39" s="226">
        <f>+B32+1</f>
        <v>7</v>
      </c>
      <c r="C39" s="237"/>
      <c r="D39" s="237" t="s">
        <v>459</v>
      </c>
      <c r="E39" s="262" t="str">
        <f>"(Line "&amp;B25&amp;" / Line "&amp;B32&amp;")"</f>
        <v>(Line 3 / Line 6)</v>
      </c>
      <c r="F39" s="237"/>
      <c r="G39" s="263">
        <f>+G29/G36</f>
        <v>0.33912138257000862</v>
      </c>
      <c r="H39" s="264" t="s">
        <v>225</v>
      </c>
      <c r="J39" s="265"/>
    </row>
    <row r="40" spans="2:26">
      <c r="B40" s="226"/>
      <c r="C40" s="237"/>
      <c r="D40" s="237"/>
      <c r="E40" s="237"/>
      <c r="F40" s="237"/>
      <c r="H40" s="237"/>
    </row>
    <row r="41" spans="2:26">
      <c r="B41" s="226"/>
      <c r="C41" s="237"/>
      <c r="D41" s="237"/>
      <c r="E41" s="237"/>
      <c r="F41" s="237"/>
      <c r="H41" s="237"/>
    </row>
    <row r="42" spans="2:26">
      <c r="B42" s="226"/>
      <c r="C42" s="237"/>
      <c r="D42" s="237"/>
      <c r="E42" s="237"/>
      <c r="F42" s="237"/>
      <c r="H42" s="237"/>
      <c r="I42" s="266"/>
      <c r="J42" s="266"/>
    </row>
    <row r="43" spans="2:26">
      <c r="B43" s="267" t="s">
        <v>142</v>
      </c>
      <c r="C43" s="268"/>
      <c r="D43" s="268"/>
      <c r="E43" s="268"/>
      <c r="F43" s="268"/>
      <c r="G43" s="269"/>
      <c r="H43" s="268"/>
      <c r="I43" s="266"/>
      <c r="J43" s="266"/>
    </row>
    <row r="44" spans="2:26" ht="30" customHeight="1">
      <c r="B44" s="270" t="s">
        <v>16</v>
      </c>
      <c r="C44" s="237"/>
      <c r="D44" s="271" t="s">
        <v>632</v>
      </c>
      <c r="E44" s="271"/>
      <c r="F44" s="271"/>
      <c r="G44" s="271"/>
      <c r="H44" s="271"/>
      <c r="I44" s="266"/>
      <c r="J44" s="117"/>
      <c r="K44" s="117"/>
      <c r="L44" s="117"/>
      <c r="M44" s="117"/>
      <c r="N44" s="117"/>
      <c r="O44" s="117"/>
    </row>
    <row r="45" spans="2:26">
      <c r="B45" s="272" t="s">
        <v>17</v>
      </c>
      <c r="C45" s="228"/>
      <c r="D45" s="213" t="s">
        <v>671</v>
      </c>
      <c r="E45" s="237"/>
      <c r="F45" s="237"/>
      <c r="G45" s="237" t="s">
        <v>5</v>
      </c>
      <c r="I45" s="215"/>
      <c r="J45" s="273"/>
    </row>
    <row r="46" spans="2:26" ht="15" customHeight="1">
      <c r="B46" s="272" t="s">
        <v>18</v>
      </c>
      <c r="C46" s="228"/>
      <c r="D46" s="274" t="s">
        <v>615</v>
      </c>
      <c r="E46" s="275"/>
      <c r="F46" s="275"/>
      <c r="G46" s="275"/>
      <c r="H46" s="237"/>
      <c r="I46" s="276"/>
      <c r="J46" s="266"/>
    </row>
    <row r="47" spans="2:26">
      <c r="B47" s="272" t="s">
        <v>19</v>
      </c>
      <c r="C47" s="228"/>
      <c r="D47" s="213" t="s">
        <v>616</v>
      </c>
      <c r="E47" s="237"/>
      <c r="F47" s="237"/>
      <c r="G47" s="237"/>
      <c r="H47" s="237"/>
      <c r="I47" s="215"/>
      <c r="J47" s="266"/>
    </row>
    <row r="48" spans="2:26">
      <c r="B48" s="272" t="s">
        <v>20</v>
      </c>
      <c r="C48" s="266"/>
      <c r="D48" s="213" t="s">
        <v>618</v>
      </c>
      <c r="E48" s="266"/>
      <c r="F48" s="266"/>
      <c r="G48" s="266"/>
      <c r="H48" s="266"/>
      <c r="I48" s="266"/>
      <c r="J48" s="266"/>
    </row>
    <row r="49" spans="2:10">
      <c r="E49" s="266"/>
      <c r="F49" s="266"/>
      <c r="G49" s="266"/>
      <c r="H49" s="266"/>
      <c r="I49" s="266"/>
      <c r="J49" s="266"/>
    </row>
    <row r="50" spans="2:10">
      <c r="B50" s="277"/>
      <c r="C50" s="266"/>
      <c r="D50" s="266"/>
      <c r="E50" s="266"/>
      <c r="F50" s="266"/>
      <c r="G50" s="266"/>
      <c r="H50" s="266"/>
      <c r="I50" s="266"/>
      <c r="J50" s="266"/>
    </row>
    <row r="51" spans="2:10">
      <c r="B51" s="277"/>
      <c r="C51" s="266"/>
      <c r="D51" s="266"/>
      <c r="E51" s="266"/>
      <c r="F51" s="266"/>
      <c r="G51" s="266"/>
      <c r="H51" s="266"/>
      <c r="I51" s="266"/>
      <c r="J51" s="266"/>
    </row>
    <row r="52" spans="2:10">
      <c r="B52" s="277"/>
      <c r="C52" s="266"/>
      <c r="D52" s="266"/>
      <c r="E52" s="266"/>
      <c r="F52" s="266"/>
      <c r="G52" s="266"/>
      <c r="H52" s="266"/>
      <c r="I52" s="266"/>
      <c r="J52" s="266"/>
    </row>
    <row r="53" spans="2:10">
      <c r="B53" s="277"/>
      <c r="C53" s="266"/>
      <c r="D53" s="266"/>
      <c r="E53" s="266"/>
      <c r="F53" s="266"/>
      <c r="G53" s="266"/>
      <c r="H53" s="266"/>
      <c r="I53" s="266"/>
      <c r="J53" s="266"/>
    </row>
    <row r="54" spans="2:10">
      <c r="B54" s="277"/>
      <c r="C54" s="266"/>
      <c r="D54" s="266"/>
      <c r="E54" s="266"/>
      <c r="F54" s="266"/>
      <c r="G54" s="266"/>
      <c r="H54" s="266"/>
      <c r="I54" s="266"/>
      <c r="J54" s="266"/>
    </row>
    <row r="55" spans="2:10">
      <c r="B55" s="277"/>
      <c r="C55" s="266"/>
      <c r="D55" s="266"/>
      <c r="E55" s="266"/>
      <c r="F55" s="266"/>
      <c r="G55" s="266"/>
      <c r="H55" s="266"/>
      <c r="I55" s="266"/>
      <c r="J55" s="266"/>
    </row>
    <row r="56" spans="2:10">
      <c r="B56" s="277"/>
      <c r="C56" s="266"/>
      <c r="D56" s="266"/>
      <c r="E56" s="266"/>
      <c r="F56" s="266"/>
      <c r="G56" s="266"/>
      <c r="H56" s="266"/>
      <c r="I56" s="266"/>
      <c r="J56" s="266"/>
    </row>
    <row r="57" spans="2:10">
      <c r="B57" s="277"/>
      <c r="C57" s="266"/>
      <c r="D57" s="266"/>
      <c r="E57" s="266"/>
      <c r="F57" s="266"/>
      <c r="G57" s="266"/>
      <c r="H57" s="266"/>
      <c r="I57" s="266"/>
      <c r="J57" s="266"/>
    </row>
    <row r="58" spans="2:10">
      <c r="B58" s="277"/>
      <c r="C58" s="266"/>
      <c r="D58" s="266"/>
      <c r="E58" s="266"/>
      <c r="F58" s="266"/>
      <c r="G58" s="266"/>
      <c r="H58" s="266"/>
      <c r="I58" s="266"/>
      <c r="J58" s="266"/>
    </row>
    <row r="59" spans="2:10">
      <c r="B59" s="277"/>
      <c r="C59" s="266"/>
      <c r="D59" s="266"/>
      <c r="E59" s="266"/>
      <c r="F59" s="266"/>
      <c r="G59" s="266"/>
      <c r="H59" s="266"/>
      <c r="I59" s="266"/>
      <c r="J59" s="266"/>
    </row>
    <row r="60" spans="2:10">
      <c r="B60" s="277"/>
      <c r="C60" s="266"/>
      <c r="D60" s="266"/>
      <c r="E60" s="266"/>
      <c r="F60" s="266"/>
      <c r="G60" s="266"/>
      <c r="H60" s="266"/>
      <c r="I60" s="266"/>
      <c r="J60" s="266"/>
    </row>
    <row r="61" spans="2:10">
      <c r="B61" s="277"/>
      <c r="C61" s="266"/>
      <c r="D61" s="266"/>
      <c r="E61" s="266"/>
      <c r="F61" s="266"/>
      <c r="G61" s="266"/>
      <c r="H61" s="266"/>
      <c r="I61" s="266"/>
      <c r="J61" s="266"/>
    </row>
    <row r="62" spans="2:10">
      <c r="B62" s="277"/>
      <c r="C62" s="266"/>
      <c r="D62" s="266"/>
      <c r="E62" s="266"/>
      <c r="F62" s="266"/>
      <c r="G62" s="266"/>
      <c r="H62" s="266"/>
      <c r="I62" s="266"/>
      <c r="J62" s="266"/>
    </row>
    <row r="63" spans="2:10">
      <c r="B63" s="277"/>
      <c r="C63" s="266"/>
      <c r="D63" s="266"/>
      <c r="E63" s="266"/>
      <c r="F63" s="266"/>
      <c r="G63" s="266"/>
      <c r="H63" s="266"/>
      <c r="I63" s="266"/>
      <c r="J63" s="266"/>
    </row>
    <row r="64" spans="2:10">
      <c r="B64" s="277"/>
      <c r="C64" s="266"/>
      <c r="D64" s="266"/>
      <c r="E64" s="266"/>
      <c r="F64" s="266"/>
      <c r="G64" s="266"/>
      <c r="H64" s="266"/>
      <c r="I64" s="266"/>
      <c r="J64" s="266"/>
    </row>
    <row r="65" spans="2:10">
      <c r="B65" s="277"/>
      <c r="C65" s="266"/>
      <c r="D65" s="266"/>
      <c r="E65" s="266"/>
      <c r="F65" s="266"/>
      <c r="G65" s="266"/>
      <c r="H65" s="266"/>
      <c r="I65" s="266"/>
      <c r="J65" s="266"/>
    </row>
    <row r="66" spans="2:10">
      <c r="B66" s="277"/>
      <c r="C66" s="266"/>
      <c r="D66" s="266"/>
      <c r="E66" s="266"/>
      <c r="F66" s="266"/>
      <c r="G66" s="266"/>
      <c r="H66" s="266"/>
      <c r="I66" s="266"/>
      <c r="J66" s="266"/>
    </row>
    <row r="67" spans="2:10">
      <c r="B67" s="277"/>
      <c r="C67" s="266"/>
      <c r="D67" s="266"/>
      <c r="E67" s="266"/>
      <c r="F67" s="266"/>
      <c r="G67" s="266"/>
      <c r="H67" s="266"/>
      <c r="I67" s="266"/>
      <c r="J67" s="266"/>
    </row>
    <row r="68" spans="2:10">
      <c r="B68" s="277"/>
      <c r="C68" s="266"/>
      <c r="D68" s="266"/>
      <c r="E68" s="266"/>
      <c r="F68" s="266"/>
      <c r="G68" s="266"/>
      <c r="H68" s="266"/>
      <c r="I68" s="266"/>
      <c r="J68" s="266"/>
    </row>
    <row r="69" spans="2:10">
      <c r="B69" s="277"/>
      <c r="C69" s="266"/>
      <c r="D69" s="266"/>
      <c r="E69" s="266"/>
      <c r="F69" s="266"/>
      <c r="G69" s="266"/>
      <c r="H69" s="266"/>
      <c r="I69" s="266"/>
      <c r="J69" s="266"/>
    </row>
    <row r="70" spans="2:10">
      <c r="B70" s="277"/>
      <c r="C70" s="266"/>
      <c r="D70" s="266"/>
      <c r="E70" s="266"/>
      <c r="F70" s="266"/>
      <c r="G70" s="266"/>
      <c r="H70" s="266"/>
      <c r="I70" s="266"/>
      <c r="J70" s="266"/>
    </row>
    <row r="71" spans="2:10">
      <c r="B71" s="277"/>
      <c r="C71" s="266"/>
      <c r="D71" s="266"/>
      <c r="E71" s="266"/>
      <c r="F71" s="266"/>
      <c r="G71" s="266"/>
      <c r="H71" s="266"/>
      <c r="I71" s="266"/>
      <c r="J71" s="266"/>
    </row>
    <row r="72" spans="2:10">
      <c r="B72" s="277"/>
      <c r="C72" s="266"/>
      <c r="D72" s="266"/>
      <c r="E72" s="266"/>
      <c r="F72" s="266"/>
      <c r="G72" s="266"/>
      <c r="H72" s="266"/>
      <c r="I72" s="266"/>
      <c r="J72" s="266"/>
    </row>
    <row r="73" spans="2:10">
      <c r="B73" s="277"/>
      <c r="C73" s="266"/>
      <c r="D73" s="266"/>
      <c r="E73" s="266"/>
      <c r="F73" s="266"/>
      <c r="G73" s="266"/>
      <c r="H73" s="266"/>
      <c r="I73" s="266"/>
      <c r="J73" s="266"/>
    </row>
    <row r="74" spans="2:10">
      <c r="B74" s="277"/>
      <c r="C74" s="266"/>
      <c r="D74" s="266"/>
      <c r="E74" s="266"/>
      <c r="F74" s="266"/>
      <c r="G74" s="266"/>
      <c r="H74" s="266"/>
      <c r="I74" s="266"/>
      <c r="J74" s="266"/>
    </row>
    <row r="75" spans="2:10">
      <c r="B75" s="277"/>
      <c r="C75" s="266"/>
      <c r="D75" s="266"/>
      <c r="E75" s="266"/>
      <c r="F75" s="266"/>
      <c r="G75" s="266"/>
      <c r="H75" s="266"/>
      <c r="I75" s="266"/>
      <c r="J75" s="266"/>
    </row>
    <row r="76" spans="2:10">
      <c r="B76" s="277"/>
      <c r="C76" s="266"/>
      <c r="D76" s="266"/>
      <c r="E76" s="266"/>
      <c r="F76" s="266"/>
      <c r="G76" s="266"/>
      <c r="H76" s="266"/>
      <c r="I76" s="266"/>
      <c r="J76" s="266"/>
    </row>
    <row r="77" spans="2:10">
      <c r="B77" s="277"/>
      <c r="C77" s="266"/>
      <c r="D77" s="266"/>
      <c r="E77" s="266"/>
      <c r="F77" s="266"/>
      <c r="G77" s="266"/>
      <c r="H77" s="266"/>
      <c r="I77" s="266"/>
      <c r="J77" s="266"/>
    </row>
    <row r="78" spans="2:10">
      <c r="B78" s="277"/>
      <c r="C78" s="266"/>
      <c r="D78" s="266"/>
      <c r="E78" s="266"/>
      <c r="F78" s="266"/>
      <c r="G78" s="266"/>
      <c r="H78" s="266"/>
      <c r="I78" s="266"/>
      <c r="J78" s="266"/>
    </row>
    <row r="79" spans="2:10">
      <c r="B79" s="277"/>
      <c r="C79" s="266"/>
      <c r="D79" s="266"/>
      <c r="E79" s="266"/>
      <c r="F79" s="266"/>
      <c r="G79" s="266"/>
      <c r="H79" s="266"/>
      <c r="I79" s="266"/>
      <c r="J79" s="266"/>
    </row>
    <row r="80" spans="2:10">
      <c r="B80" s="277"/>
      <c r="C80" s="266"/>
      <c r="D80" s="266"/>
      <c r="E80" s="266"/>
      <c r="F80" s="266"/>
      <c r="G80" s="266"/>
      <c r="H80" s="266"/>
      <c r="I80" s="266"/>
      <c r="J80" s="266"/>
    </row>
    <row r="81" spans="2:10">
      <c r="B81" s="277"/>
      <c r="C81" s="266"/>
      <c r="D81" s="266"/>
      <c r="E81" s="266"/>
      <c r="F81" s="266"/>
      <c r="G81" s="266"/>
      <c r="H81" s="266"/>
      <c r="I81" s="266"/>
      <c r="J81" s="266"/>
    </row>
    <row r="82" spans="2:10">
      <c r="B82" s="277"/>
      <c r="C82" s="266"/>
      <c r="D82" s="266"/>
      <c r="E82" s="266"/>
      <c r="F82" s="266"/>
      <c r="G82" s="266"/>
      <c r="H82" s="266"/>
      <c r="I82" s="266"/>
      <c r="J82" s="266"/>
    </row>
    <row r="83" spans="2:10">
      <c r="B83" s="277"/>
      <c r="C83" s="266"/>
      <c r="D83" s="266"/>
      <c r="E83" s="266"/>
      <c r="F83" s="266"/>
      <c r="G83" s="266"/>
      <c r="H83" s="266"/>
      <c r="I83" s="266"/>
      <c r="J83" s="266"/>
    </row>
    <row r="84" spans="2:10">
      <c r="B84" s="277"/>
      <c r="C84" s="266"/>
      <c r="D84" s="266"/>
      <c r="E84" s="266"/>
      <c r="F84" s="266"/>
      <c r="G84" s="266"/>
      <c r="H84" s="266"/>
      <c r="I84" s="266"/>
      <c r="J84" s="266"/>
    </row>
    <row r="85" spans="2:10">
      <c r="B85" s="277"/>
      <c r="C85" s="266"/>
      <c r="D85" s="266"/>
      <c r="E85" s="266"/>
      <c r="F85" s="266"/>
      <c r="G85" s="266"/>
      <c r="H85" s="266"/>
      <c r="I85" s="266"/>
      <c r="J85" s="266"/>
    </row>
    <row r="86" spans="2:10">
      <c r="B86" s="277"/>
      <c r="C86" s="266"/>
      <c r="D86" s="266"/>
      <c r="E86" s="266"/>
      <c r="F86" s="266"/>
      <c r="G86" s="266"/>
      <c r="H86" s="266"/>
      <c r="I86" s="266"/>
      <c r="J86" s="266"/>
    </row>
    <row r="87" spans="2:10">
      <c r="B87" s="277"/>
      <c r="C87" s="266"/>
      <c r="D87" s="266"/>
      <c r="E87" s="266"/>
      <c r="F87" s="266"/>
      <c r="G87" s="266"/>
      <c r="H87" s="266"/>
      <c r="I87" s="266"/>
      <c r="J87" s="266"/>
    </row>
    <row r="88" spans="2:10">
      <c r="B88" s="277"/>
      <c r="C88" s="266"/>
      <c r="D88" s="266"/>
      <c r="E88" s="266"/>
      <c r="F88" s="266"/>
      <c r="G88" s="266"/>
      <c r="H88" s="266"/>
      <c r="I88" s="266"/>
      <c r="J88" s="266"/>
    </row>
    <row r="89" spans="2:10">
      <c r="B89" s="277"/>
      <c r="C89" s="266"/>
      <c r="D89" s="266"/>
      <c r="E89" s="266"/>
      <c r="F89" s="266"/>
      <c r="G89" s="266"/>
      <c r="H89" s="266"/>
      <c r="I89" s="266"/>
      <c r="J89" s="266"/>
    </row>
    <row r="90" spans="2:10">
      <c r="B90" s="277"/>
      <c r="C90" s="266"/>
      <c r="D90" s="266"/>
      <c r="E90" s="266"/>
      <c r="F90" s="266"/>
      <c r="G90" s="266"/>
      <c r="H90" s="266"/>
      <c r="I90" s="266"/>
      <c r="J90" s="266"/>
    </row>
    <row r="91" spans="2:10">
      <c r="B91" s="277"/>
      <c r="C91" s="266"/>
      <c r="D91" s="266"/>
      <c r="E91" s="266"/>
      <c r="F91" s="266"/>
      <c r="G91" s="266"/>
      <c r="H91" s="266"/>
      <c r="I91" s="266"/>
      <c r="J91" s="266"/>
    </row>
    <row r="92" spans="2:10">
      <c r="B92" s="277"/>
      <c r="C92" s="266"/>
      <c r="D92" s="266"/>
      <c r="E92" s="266"/>
      <c r="F92" s="266"/>
      <c r="G92" s="266"/>
      <c r="H92" s="266"/>
      <c r="I92" s="266"/>
      <c r="J92" s="266"/>
    </row>
    <row r="93" spans="2:10">
      <c r="B93" s="277"/>
      <c r="C93" s="266"/>
      <c r="D93" s="266"/>
      <c r="E93" s="266"/>
      <c r="F93" s="266"/>
      <c r="G93" s="266"/>
      <c r="H93" s="266"/>
      <c r="I93" s="266"/>
      <c r="J93" s="266"/>
    </row>
    <row r="94" spans="2:10">
      <c r="B94" s="277"/>
      <c r="C94" s="266"/>
      <c r="D94" s="266"/>
      <c r="E94" s="266"/>
      <c r="F94" s="266"/>
      <c r="G94" s="266"/>
      <c r="H94" s="266"/>
      <c r="I94" s="266"/>
      <c r="J94" s="266"/>
    </row>
    <row r="95" spans="2:10">
      <c r="B95" s="277"/>
      <c r="C95" s="266"/>
      <c r="D95" s="266"/>
      <c r="E95" s="266"/>
      <c r="F95" s="266"/>
      <c r="G95" s="266"/>
      <c r="H95" s="266"/>
      <c r="I95" s="266"/>
      <c r="J95" s="266"/>
    </row>
    <row r="96" spans="2:10">
      <c r="B96" s="277"/>
      <c r="C96" s="266"/>
      <c r="D96" s="266"/>
      <c r="E96" s="266"/>
      <c r="F96" s="266"/>
      <c r="G96" s="266"/>
      <c r="H96" s="266"/>
      <c r="I96" s="266"/>
      <c r="J96" s="266"/>
    </row>
    <row r="97" spans="2:10">
      <c r="B97" s="277"/>
      <c r="C97" s="266"/>
      <c r="D97" s="266"/>
      <c r="E97" s="266"/>
      <c r="F97" s="266"/>
      <c r="G97" s="266"/>
      <c r="H97" s="266"/>
      <c r="I97" s="266"/>
      <c r="J97" s="266"/>
    </row>
    <row r="151" spans="11:11">
      <c r="K151" s="213" t="s">
        <v>612</v>
      </c>
    </row>
  </sheetData>
  <mergeCells count="2">
    <mergeCell ref="D44:H44"/>
    <mergeCell ref="D46:G46"/>
  </mergeCells>
  <printOptions horizontalCentered="1"/>
  <pageMargins left="1" right="1" top="1" bottom="0.5" header="0.25" footer="0.25"/>
  <pageSetup scale="67" orientation="landscape" r:id="rId1"/>
  <headerFooter alignWithMargins="0">
    <oddFooter xml:space="preserve">&amp;C &amp;R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AD294"/>
  <sheetViews>
    <sheetView view="pageBreakPreview" zoomScale="60" zoomScaleNormal="70" workbookViewId="0">
      <selection activeCell="D28" sqref="D28"/>
    </sheetView>
  </sheetViews>
  <sheetFormatPr defaultRowHeight="15"/>
  <cols>
    <col min="1" max="1" width="7.6640625" style="117" customWidth="1"/>
    <col min="2" max="2" width="3.44140625" style="117" customWidth="1"/>
    <col min="3" max="3" width="54.44140625" style="117" customWidth="1"/>
    <col min="4" max="4" width="3.77734375" style="117" customWidth="1"/>
    <col min="5" max="5" width="49.33203125" style="117" customWidth="1"/>
    <col min="6" max="6" width="3.88671875" style="117" customWidth="1"/>
    <col min="7" max="7" width="14.109375" style="117" customWidth="1"/>
    <col min="8" max="8" width="4.33203125" style="117" customWidth="1"/>
    <col min="9" max="9" width="15.33203125" style="117" customWidth="1"/>
    <col min="10" max="10" width="5.77734375" style="117" customWidth="1"/>
    <col min="11" max="11" width="1.6640625" style="117" customWidth="1"/>
    <col min="12" max="12" width="26.5546875" style="117" customWidth="1"/>
    <col min="13" max="13" width="9.21875" style="117" customWidth="1"/>
    <col min="14" max="14" width="11.77734375" style="117" customWidth="1"/>
    <col min="15" max="15" width="12.6640625" style="117" customWidth="1"/>
    <col min="16" max="16" width="12.77734375" style="117" customWidth="1"/>
    <col min="17" max="17" width="8.88671875" style="117"/>
    <col min="18" max="18" width="14.21875" style="117" customWidth="1"/>
    <col min="19" max="19" width="12.21875" style="117" customWidth="1"/>
    <col min="20" max="20" width="12.5546875" style="117" customWidth="1"/>
    <col min="21" max="21" width="16.77734375" style="117" customWidth="1"/>
    <col min="22" max="22" width="11.33203125" style="117" customWidth="1"/>
    <col min="23" max="23" width="14.88671875" style="117" customWidth="1"/>
    <col min="24" max="239" width="8.88671875" style="117"/>
    <col min="240" max="240" width="6" style="117" customWidth="1"/>
    <col min="241" max="241" width="1.44140625" style="117" customWidth="1"/>
    <col min="242" max="242" width="39.109375" style="117" customWidth="1"/>
    <col min="243" max="243" width="12" style="117" customWidth="1"/>
    <col min="244" max="244" width="14.44140625" style="117" customWidth="1"/>
    <col min="245" max="245" width="11.88671875" style="117" customWidth="1"/>
    <col min="246" max="246" width="14.109375" style="117" customWidth="1"/>
    <col min="247" max="247" width="13.88671875" style="117" customWidth="1"/>
    <col min="248" max="249" width="12.77734375" style="117" customWidth="1"/>
    <col min="250" max="250" width="13.5546875" style="117" customWidth="1"/>
    <col min="251" max="251" width="15.33203125" style="117" customWidth="1"/>
    <col min="252" max="252" width="12.77734375" style="117" customWidth="1"/>
    <col min="253" max="253" width="13.88671875" style="117" customWidth="1"/>
    <col min="254" max="254" width="1.88671875" style="117" customWidth="1"/>
    <col min="255" max="255" width="13" style="117" customWidth="1"/>
    <col min="256" max="495" width="8.88671875" style="117"/>
    <col min="496" max="496" width="6" style="117" customWidth="1"/>
    <col min="497" max="497" width="1.44140625" style="117" customWidth="1"/>
    <col min="498" max="498" width="39.109375" style="117" customWidth="1"/>
    <col min="499" max="499" width="12" style="117" customWidth="1"/>
    <col min="500" max="500" width="14.44140625" style="117" customWidth="1"/>
    <col min="501" max="501" width="11.88671875" style="117" customWidth="1"/>
    <col min="502" max="502" width="14.109375" style="117" customWidth="1"/>
    <col min="503" max="503" width="13.88671875" style="117" customWidth="1"/>
    <col min="504" max="505" width="12.77734375" style="117" customWidth="1"/>
    <col min="506" max="506" width="13.5546875" style="117" customWidth="1"/>
    <col min="507" max="507" width="15.33203125" style="117" customWidth="1"/>
    <col min="508" max="508" width="12.77734375" style="117" customWidth="1"/>
    <col min="509" max="509" width="13.88671875" style="117" customWidth="1"/>
    <col min="510" max="510" width="1.88671875" style="117" customWidth="1"/>
    <col min="511" max="511" width="13" style="117" customWidth="1"/>
    <col min="512" max="751" width="8.88671875" style="117"/>
    <col min="752" max="752" width="6" style="117" customWidth="1"/>
    <col min="753" max="753" width="1.44140625" style="117" customWidth="1"/>
    <col min="754" max="754" width="39.109375" style="117" customWidth="1"/>
    <col min="755" max="755" width="12" style="117" customWidth="1"/>
    <col min="756" max="756" width="14.44140625" style="117" customWidth="1"/>
    <col min="757" max="757" width="11.88671875" style="117" customWidth="1"/>
    <col min="758" max="758" width="14.109375" style="117" customWidth="1"/>
    <col min="759" max="759" width="13.88671875" style="117" customWidth="1"/>
    <col min="760" max="761" width="12.77734375" style="117" customWidth="1"/>
    <col min="762" max="762" width="13.5546875" style="117" customWidth="1"/>
    <col min="763" max="763" width="15.33203125" style="117" customWidth="1"/>
    <col min="764" max="764" width="12.77734375" style="117" customWidth="1"/>
    <col min="765" max="765" width="13.88671875" style="117" customWidth="1"/>
    <col min="766" max="766" width="1.88671875" style="117" customWidth="1"/>
    <col min="767" max="767" width="13" style="117" customWidth="1"/>
    <col min="768" max="1007" width="8.88671875" style="117"/>
    <col min="1008" max="1008" width="6" style="117" customWidth="1"/>
    <col min="1009" max="1009" width="1.44140625" style="117" customWidth="1"/>
    <col min="1010" max="1010" width="39.109375" style="117" customWidth="1"/>
    <col min="1011" max="1011" width="12" style="117" customWidth="1"/>
    <col min="1012" max="1012" width="14.44140625" style="117" customWidth="1"/>
    <col min="1013" max="1013" width="11.88671875" style="117" customWidth="1"/>
    <col min="1014" max="1014" width="14.109375" style="117" customWidth="1"/>
    <col min="1015" max="1015" width="13.88671875" style="117" customWidth="1"/>
    <col min="1016" max="1017" width="12.77734375" style="117" customWidth="1"/>
    <col min="1018" max="1018" width="13.5546875" style="117" customWidth="1"/>
    <col min="1019" max="1019" width="15.33203125" style="117" customWidth="1"/>
    <col min="1020" max="1020" width="12.77734375" style="117" customWidth="1"/>
    <col min="1021" max="1021" width="13.88671875" style="117" customWidth="1"/>
    <col min="1022" max="1022" width="1.88671875" style="117" customWidth="1"/>
    <col min="1023" max="1023" width="13" style="117" customWidth="1"/>
    <col min="1024" max="1263" width="8.88671875" style="117"/>
    <col min="1264" max="1264" width="6" style="117" customWidth="1"/>
    <col min="1265" max="1265" width="1.44140625" style="117" customWidth="1"/>
    <col min="1266" max="1266" width="39.109375" style="117" customWidth="1"/>
    <col min="1267" max="1267" width="12" style="117" customWidth="1"/>
    <col min="1268" max="1268" width="14.44140625" style="117" customWidth="1"/>
    <col min="1269" max="1269" width="11.88671875" style="117" customWidth="1"/>
    <col min="1270" max="1270" width="14.109375" style="117" customWidth="1"/>
    <col min="1271" max="1271" width="13.88671875" style="117" customWidth="1"/>
    <col min="1272" max="1273" width="12.77734375" style="117" customWidth="1"/>
    <col min="1274" max="1274" width="13.5546875" style="117" customWidth="1"/>
    <col min="1275" max="1275" width="15.33203125" style="117" customWidth="1"/>
    <col min="1276" max="1276" width="12.77734375" style="117" customWidth="1"/>
    <col min="1277" max="1277" width="13.88671875" style="117" customWidth="1"/>
    <col min="1278" max="1278" width="1.88671875" style="117" customWidth="1"/>
    <col min="1279" max="1279" width="13" style="117" customWidth="1"/>
    <col min="1280" max="1519" width="8.88671875" style="117"/>
    <col min="1520" max="1520" width="6" style="117" customWidth="1"/>
    <col min="1521" max="1521" width="1.44140625" style="117" customWidth="1"/>
    <col min="1522" max="1522" width="39.109375" style="117" customWidth="1"/>
    <col min="1523" max="1523" width="12" style="117" customWidth="1"/>
    <col min="1524" max="1524" width="14.44140625" style="117" customWidth="1"/>
    <col min="1525" max="1525" width="11.88671875" style="117" customWidth="1"/>
    <col min="1526" max="1526" width="14.109375" style="117" customWidth="1"/>
    <col min="1527" max="1527" width="13.88671875" style="117" customWidth="1"/>
    <col min="1528" max="1529" width="12.77734375" style="117" customWidth="1"/>
    <col min="1530" max="1530" width="13.5546875" style="117" customWidth="1"/>
    <col min="1531" max="1531" width="15.33203125" style="117" customWidth="1"/>
    <col min="1532" max="1532" width="12.77734375" style="117" customWidth="1"/>
    <col min="1533" max="1533" width="13.88671875" style="117" customWidth="1"/>
    <col min="1534" max="1534" width="1.88671875" style="117" customWidth="1"/>
    <col min="1535" max="1535" width="13" style="117" customWidth="1"/>
    <col min="1536" max="1775" width="8.88671875" style="117"/>
    <col min="1776" max="1776" width="6" style="117" customWidth="1"/>
    <col min="1777" max="1777" width="1.44140625" style="117" customWidth="1"/>
    <col min="1778" max="1778" width="39.109375" style="117" customWidth="1"/>
    <col min="1779" max="1779" width="12" style="117" customWidth="1"/>
    <col min="1780" max="1780" width="14.44140625" style="117" customWidth="1"/>
    <col min="1781" max="1781" width="11.88671875" style="117" customWidth="1"/>
    <col min="1782" max="1782" width="14.109375" style="117" customWidth="1"/>
    <col min="1783" max="1783" width="13.88671875" style="117" customWidth="1"/>
    <col min="1784" max="1785" width="12.77734375" style="117" customWidth="1"/>
    <col min="1786" max="1786" width="13.5546875" style="117" customWidth="1"/>
    <col min="1787" max="1787" width="15.33203125" style="117" customWidth="1"/>
    <col min="1788" max="1788" width="12.77734375" style="117" customWidth="1"/>
    <col min="1789" max="1789" width="13.88671875" style="117" customWidth="1"/>
    <col min="1790" max="1790" width="1.88671875" style="117" customWidth="1"/>
    <col min="1791" max="1791" width="13" style="117" customWidth="1"/>
    <col min="1792" max="2031" width="8.88671875" style="117"/>
    <col min="2032" max="2032" width="6" style="117" customWidth="1"/>
    <col min="2033" max="2033" width="1.44140625" style="117" customWidth="1"/>
    <col min="2034" max="2034" width="39.109375" style="117" customWidth="1"/>
    <col min="2035" max="2035" width="12" style="117" customWidth="1"/>
    <col min="2036" max="2036" width="14.44140625" style="117" customWidth="1"/>
    <col min="2037" max="2037" width="11.88671875" style="117" customWidth="1"/>
    <col min="2038" max="2038" width="14.109375" style="117" customWidth="1"/>
    <col min="2039" max="2039" width="13.88671875" style="117" customWidth="1"/>
    <col min="2040" max="2041" width="12.77734375" style="117" customWidth="1"/>
    <col min="2042" max="2042" width="13.5546875" style="117" customWidth="1"/>
    <col min="2043" max="2043" width="15.33203125" style="117" customWidth="1"/>
    <col min="2044" max="2044" width="12.77734375" style="117" customWidth="1"/>
    <col min="2045" max="2045" width="13.88671875" style="117" customWidth="1"/>
    <col min="2046" max="2046" width="1.88671875" style="117" customWidth="1"/>
    <col min="2047" max="2047" width="13" style="117" customWidth="1"/>
    <col min="2048" max="2287" width="8.88671875" style="117"/>
    <col min="2288" max="2288" width="6" style="117" customWidth="1"/>
    <col min="2289" max="2289" width="1.44140625" style="117" customWidth="1"/>
    <col min="2290" max="2290" width="39.109375" style="117" customWidth="1"/>
    <col min="2291" max="2291" width="12" style="117" customWidth="1"/>
    <col min="2292" max="2292" width="14.44140625" style="117" customWidth="1"/>
    <col min="2293" max="2293" width="11.88671875" style="117" customWidth="1"/>
    <col min="2294" max="2294" width="14.109375" style="117" customWidth="1"/>
    <col min="2295" max="2295" width="13.88671875" style="117" customWidth="1"/>
    <col min="2296" max="2297" width="12.77734375" style="117" customWidth="1"/>
    <col min="2298" max="2298" width="13.5546875" style="117" customWidth="1"/>
    <col min="2299" max="2299" width="15.33203125" style="117" customWidth="1"/>
    <col min="2300" max="2300" width="12.77734375" style="117" customWidth="1"/>
    <col min="2301" max="2301" width="13.88671875" style="117" customWidth="1"/>
    <col min="2302" max="2302" width="1.88671875" style="117" customWidth="1"/>
    <col min="2303" max="2303" width="13" style="117" customWidth="1"/>
    <col min="2304" max="2543" width="8.88671875" style="117"/>
    <col min="2544" max="2544" width="6" style="117" customWidth="1"/>
    <col min="2545" max="2545" width="1.44140625" style="117" customWidth="1"/>
    <col min="2546" max="2546" width="39.109375" style="117" customWidth="1"/>
    <col min="2547" max="2547" width="12" style="117" customWidth="1"/>
    <col min="2548" max="2548" width="14.44140625" style="117" customWidth="1"/>
    <col min="2549" max="2549" width="11.88671875" style="117" customWidth="1"/>
    <col min="2550" max="2550" width="14.109375" style="117" customWidth="1"/>
    <col min="2551" max="2551" width="13.88671875" style="117" customWidth="1"/>
    <col min="2552" max="2553" width="12.77734375" style="117" customWidth="1"/>
    <col min="2554" max="2554" width="13.5546875" style="117" customWidth="1"/>
    <col min="2555" max="2555" width="15.33203125" style="117" customWidth="1"/>
    <col min="2556" max="2556" width="12.77734375" style="117" customWidth="1"/>
    <col min="2557" max="2557" width="13.88671875" style="117" customWidth="1"/>
    <col min="2558" max="2558" width="1.88671875" style="117" customWidth="1"/>
    <col min="2559" max="2559" width="13" style="117" customWidth="1"/>
    <col min="2560" max="2799" width="8.88671875" style="117"/>
    <col min="2800" max="2800" width="6" style="117" customWidth="1"/>
    <col min="2801" max="2801" width="1.44140625" style="117" customWidth="1"/>
    <col min="2802" max="2802" width="39.109375" style="117" customWidth="1"/>
    <col min="2803" max="2803" width="12" style="117" customWidth="1"/>
    <col min="2804" max="2804" width="14.44140625" style="117" customWidth="1"/>
    <col min="2805" max="2805" width="11.88671875" style="117" customWidth="1"/>
    <col min="2806" max="2806" width="14.109375" style="117" customWidth="1"/>
    <col min="2807" max="2807" width="13.88671875" style="117" customWidth="1"/>
    <col min="2808" max="2809" width="12.77734375" style="117" customWidth="1"/>
    <col min="2810" max="2810" width="13.5546875" style="117" customWidth="1"/>
    <col min="2811" max="2811" width="15.33203125" style="117" customWidth="1"/>
    <col min="2812" max="2812" width="12.77734375" style="117" customWidth="1"/>
    <col min="2813" max="2813" width="13.88671875" style="117" customWidth="1"/>
    <col min="2814" max="2814" width="1.88671875" style="117" customWidth="1"/>
    <col min="2815" max="2815" width="13" style="117" customWidth="1"/>
    <col min="2816" max="3055" width="8.88671875" style="117"/>
    <col min="3056" max="3056" width="6" style="117" customWidth="1"/>
    <col min="3057" max="3057" width="1.44140625" style="117" customWidth="1"/>
    <col min="3058" max="3058" width="39.109375" style="117" customWidth="1"/>
    <col min="3059" max="3059" width="12" style="117" customWidth="1"/>
    <col min="3060" max="3060" width="14.44140625" style="117" customWidth="1"/>
    <col min="3061" max="3061" width="11.88671875" style="117" customWidth="1"/>
    <col min="3062" max="3062" width="14.109375" style="117" customWidth="1"/>
    <col min="3063" max="3063" width="13.88671875" style="117" customWidth="1"/>
    <col min="3064" max="3065" width="12.77734375" style="117" customWidth="1"/>
    <col min="3066" max="3066" width="13.5546875" style="117" customWidth="1"/>
    <col min="3067" max="3067" width="15.33203125" style="117" customWidth="1"/>
    <col min="3068" max="3068" width="12.77734375" style="117" customWidth="1"/>
    <col min="3069" max="3069" width="13.88671875" style="117" customWidth="1"/>
    <col min="3070" max="3070" width="1.88671875" style="117" customWidth="1"/>
    <col min="3071" max="3071" width="13" style="117" customWidth="1"/>
    <col min="3072" max="3311" width="8.88671875" style="117"/>
    <col min="3312" max="3312" width="6" style="117" customWidth="1"/>
    <col min="3313" max="3313" width="1.44140625" style="117" customWidth="1"/>
    <col min="3314" max="3314" width="39.109375" style="117" customWidth="1"/>
    <col min="3315" max="3315" width="12" style="117" customWidth="1"/>
    <col min="3316" max="3316" width="14.44140625" style="117" customWidth="1"/>
    <col min="3317" max="3317" width="11.88671875" style="117" customWidth="1"/>
    <col min="3318" max="3318" width="14.109375" style="117" customWidth="1"/>
    <col min="3319" max="3319" width="13.88671875" style="117" customWidth="1"/>
    <col min="3320" max="3321" width="12.77734375" style="117" customWidth="1"/>
    <col min="3322" max="3322" width="13.5546875" style="117" customWidth="1"/>
    <col min="3323" max="3323" width="15.33203125" style="117" customWidth="1"/>
    <col min="3324" max="3324" width="12.77734375" style="117" customWidth="1"/>
    <col min="3325" max="3325" width="13.88671875" style="117" customWidth="1"/>
    <col min="3326" max="3326" width="1.88671875" style="117" customWidth="1"/>
    <col min="3327" max="3327" width="13" style="117" customWidth="1"/>
    <col min="3328" max="3567" width="8.88671875" style="117"/>
    <col min="3568" max="3568" width="6" style="117" customWidth="1"/>
    <col min="3569" max="3569" width="1.44140625" style="117" customWidth="1"/>
    <col min="3570" max="3570" width="39.109375" style="117" customWidth="1"/>
    <col min="3571" max="3571" width="12" style="117" customWidth="1"/>
    <col min="3572" max="3572" width="14.44140625" style="117" customWidth="1"/>
    <col min="3573" max="3573" width="11.88671875" style="117" customWidth="1"/>
    <col min="3574" max="3574" width="14.109375" style="117" customWidth="1"/>
    <col min="3575" max="3575" width="13.88671875" style="117" customWidth="1"/>
    <col min="3576" max="3577" width="12.77734375" style="117" customWidth="1"/>
    <col min="3578" max="3578" width="13.5546875" style="117" customWidth="1"/>
    <col min="3579" max="3579" width="15.33203125" style="117" customWidth="1"/>
    <col min="3580" max="3580" width="12.77734375" style="117" customWidth="1"/>
    <col min="3581" max="3581" width="13.88671875" style="117" customWidth="1"/>
    <col min="3582" max="3582" width="1.88671875" style="117" customWidth="1"/>
    <col min="3583" max="3583" width="13" style="117" customWidth="1"/>
    <col min="3584" max="3823" width="8.88671875" style="117"/>
    <col min="3824" max="3824" width="6" style="117" customWidth="1"/>
    <col min="3825" max="3825" width="1.44140625" style="117" customWidth="1"/>
    <col min="3826" max="3826" width="39.109375" style="117" customWidth="1"/>
    <col min="3827" max="3827" width="12" style="117" customWidth="1"/>
    <col min="3828" max="3828" width="14.44140625" style="117" customWidth="1"/>
    <col min="3829" max="3829" width="11.88671875" style="117" customWidth="1"/>
    <col min="3830" max="3830" width="14.109375" style="117" customWidth="1"/>
    <col min="3831" max="3831" width="13.88671875" style="117" customWidth="1"/>
    <col min="3832" max="3833" width="12.77734375" style="117" customWidth="1"/>
    <col min="3834" max="3834" width="13.5546875" style="117" customWidth="1"/>
    <col min="3835" max="3835" width="15.33203125" style="117" customWidth="1"/>
    <col min="3836" max="3836" width="12.77734375" style="117" customWidth="1"/>
    <col min="3837" max="3837" width="13.88671875" style="117" customWidth="1"/>
    <col min="3838" max="3838" width="1.88671875" style="117" customWidth="1"/>
    <col min="3839" max="3839" width="13" style="117" customWidth="1"/>
    <col min="3840" max="4079" width="8.88671875" style="117"/>
    <col min="4080" max="4080" width="6" style="117" customWidth="1"/>
    <col min="4081" max="4081" width="1.44140625" style="117" customWidth="1"/>
    <col min="4082" max="4082" width="39.109375" style="117" customWidth="1"/>
    <col min="4083" max="4083" width="12" style="117" customWidth="1"/>
    <col min="4084" max="4084" width="14.44140625" style="117" customWidth="1"/>
    <col min="4085" max="4085" width="11.88671875" style="117" customWidth="1"/>
    <col min="4086" max="4086" width="14.109375" style="117" customWidth="1"/>
    <col min="4087" max="4087" width="13.88671875" style="117" customWidth="1"/>
    <col min="4088" max="4089" width="12.77734375" style="117" customWidth="1"/>
    <col min="4090" max="4090" width="13.5546875" style="117" customWidth="1"/>
    <col min="4091" max="4091" width="15.33203125" style="117" customWidth="1"/>
    <col min="4092" max="4092" width="12.77734375" style="117" customWidth="1"/>
    <col min="4093" max="4093" width="13.88671875" style="117" customWidth="1"/>
    <col min="4094" max="4094" width="1.88671875" style="117" customWidth="1"/>
    <col min="4095" max="4095" width="13" style="117" customWidth="1"/>
    <col min="4096" max="4335" width="8.88671875" style="117"/>
    <col min="4336" max="4336" width="6" style="117" customWidth="1"/>
    <col min="4337" max="4337" width="1.44140625" style="117" customWidth="1"/>
    <col min="4338" max="4338" width="39.109375" style="117" customWidth="1"/>
    <col min="4339" max="4339" width="12" style="117" customWidth="1"/>
    <col min="4340" max="4340" width="14.44140625" style="117" customWidth="1"/>
    <col min="4341" max="4341" width="11.88671875" style="117" customWidth="1"/>
    <col min="4342" max="4342" width="14.109375" style="117" customWidth="1"/>
    <col min="4343" max="4343" width="13.88671875" style="117" customWidth="1"/>
    <col min="4344" max="4345" width="12.77734375" style="117" customWidth="1"/>
    <col min="4346" max="4346" width="13.5546875" style="117" customWidth="1"/>
    <col min="4347" max="4347" width="15.33203125" style="117" customWidth="1"/>
    <col min="4348" max="4348" width="12.77734375" style="117" customWidth="1"/>
    <col min="4349" max="4349" width="13.88671875" style="117" customWidth="1"/>
    <col min="4350" max="4350" width="1.88671875" style="117" customWidth="1"/>
    <col min="4351" max="4351" width="13" style="117" customWidth="1"/>
    <col min="4352" max="4591" width="8.88671875" style="117"/>
    <col min="4592" max="4592" width="6" style="117" customWidth="1"/>
    <col min="4593" max="4593" width="1.44140625" style="117" customWidth="1"/>
    <col min="4594" max="4594" width="39.109375" style="117" customWidth="1"/>
    <col min="4595" max="4595" width="12" style="117" customWidth="1"/>
    <col min="4596" max="4596" width="14.44140625" style="117" customWidth="1"/>
    <col min="4597" max="4597" width="11.88671875" style="117" customWidth="1"/>
    <col min="4598" max="4598" width="14.109375" style="117" customWidth="1"/>
    <col min="4599" max="4599" width="13.88671875" style="117" customWidth="1"/>
    <col min="4600" max="4601" width="12.77734375" style="117" customWidth="1"/>
    <col min="4602" max="4602" width="13.5546875" style="117" customWidth="1"/>
    <col min="4603" max="4603" width="15.33203125" style="117" customWidth="1"/>
    <col min="4604" max="4604" width="12.77734375" style="117" customWidth="1"/>
    <col min="4605" max="4605" width="13.88671875" style="117" customWidth="1"/>
    <col min="4606" max="4606" width="1.88671875" style="117" customWidth="1"/>
    <col min="4607" max="4607" width="13" style="117" customWidth="1"/>
    <col min="4608" max="4847" width="8.88671875" style="117"/>
    <col min="4848" max="4848" width="6" style="117" customWidth="1"/>
    <col min="4849" max="4849" width="1.44140625" style="117" customWidth="1"/>
    <col min="4850" max="4850" width="39.109375" style="117" customWidth="1"/>
    <col min="4851" max="4851" width="12" style="117" customWidth="1"/>
    <col min="4852" max="4852" width="14.44140625" style="117" customWidth="1"/>
    <col min="4853" max="4853" width="11.88671875" style="117" customWidth="1"/>
    <col min="4854" max="4854" width="14.109375" style="117" customWidth="1"/>
    <col min="4855" max="4855" width="13.88671875" style="117" customWidth="1"/>
    <col min="4856" max="4857" width="12.77734375" style="117" customWidth="1"/>
    <col min="4858" max="4858" width="13.5546875" style="117" customWidth="1"/>
    <col min="4859" max="4859" width="15.33203125" style="117" customWidth="1"/>
    <col min="4860" max="4860" width="12.77734375" style="117" customWidth="1"/>
    <col min="4861" max="4861" width="13.88671875" style="117" customWidth="1"/>
    <col min="4862" max="4862" width="1.88671875" style="117" customWidth="1"/>
    <col min="4863" max="4863" width="13" style="117" customWidth="1"/>
    <col min="4864" max="5103" width="8.88671875" style="117"/>
    <col min="5104" max="5104" width="6" style="117" customWidth="1"/>
    <col min="5105" max="5105" width="1.44140625" style="117" customWidth="1"/>
    <col min="5106" max="5106" width="39.109375" style="117" customWidth="1"/>
    <col min="5107" max="5107" width="12" style="117" customWidth="1"/>
    <col min="5108" max="5108" width="14.44140625" style="117" customWidth="1"/>
    <col min="5109" max="5109" width="11.88671875" style="117" customWidth="1"/>
    <col min="5110" max="5110" width="14.109375" style="117" customWidth="1"/>
    <col min="5111" max="5111" width="13.88671875" style="117" customWidth="1"/>
    <col min="5112" max="5113" width="12.77734375" style="117" customWidth="1"/>
    <col min="5114" max="5114" width="13.5546875" style="117" customWidth="1"/>
    <col min="5115" max="5115" width="15.33203125" style="117" customWidth="1"/>
    <col min="5116" max="5116" width="12.77734375" style="117" customWidth="1"/>
    <col min="5117" max="5117" width="13.88671875" style="117" customWidth="1"/>
    <col min="5118" max="5118" width="1.88671875" style="117" customWidth="1"/>
    <col min="5119" max="5119" width="13" style="117" customWidth="1"/>
    <col min="5120" max="5359" width="8.88671875" style="117"/>
    <col min="5360" max="5360" width="6" style="117" customWidth="1"/>
    <col min="5361" max="5361" width="1.44140625" style="117" customWidth="1"/>
    <col min="5362" max="5362" width="39.109375" style="117" customWidth="1"/>
    <col min="5363" max="5363" width="12" style="117" customWidth="1"/>
    <col min="5364" max="5364" width="14.44140625" style="117" customWidth="1"/>
    <col min="5365" max="5365" width="11.88671875" style="117" customWidth="1"/>
    <col min="5366" max="5366" width="14.109375" style="117" customWidth="1"/>
    <col min="5367" max="5367" width="13.88671875" style="117" customWidth="1"/>
    <col min="5368" max="5369" width="12.77734375" style="117" customWidth="1"/>
    <col min="5370" max="5370" width="13.5546875" style="117" customWidth="1"/>
    <col min="5371" max="5371" width="15.33203125" style="117" customWidth="1"/>
    <col min="5372" max="5372" width="12.77734375" style="117" customWidth="1"/>
    <col min="5373" max="5373" width="13.88671875" style="117" customWidth="1"/>
    <col min="5374" max="5374" width="1.88671875" style="117" customWidth="1"/>
    <col min="5375" max="5375" width="13" style="117" customWidth="1"/>
    <col min="5376" max="5615" width="8.88671875" style="117"/>
    <col min="5616" max="5616" width="6" style="117" customWidth="1"/>
    <col min="5617" max="5617" width="1.44140625" style="117" customWidth="1"/>
    <col min="5618" max="5618" width="39.109375" style="117" customWidth="1"/>
    <col min="5619" max="5619" width="12" style="117" customWidth="1"/>
    <col min="5620" max="5620" width="14.44140625" style="117" customWidth="1"/>
    <col min="5621" max="5621" width="11.88671875" style="117" customWidth="1"/>
    <col min="5622" max="5622" width="14.109375" style="117" customWidth="1"/>
    <col min="5623" max="5623" width="13.88671875" style="117" customWidth="1"/>
    <col min="5624" max="5625" width="12.77734375" style="117" customWidth="1"/>
    <col min="5626" max="5626" width="13.5546875" style="117" customWidth="1"/>
    <col min="5627" max="5627" width="15.33203125" style="117" customWidth="1"/>
    <col min="5628" max="5628" width="12.77734375" style="117" customWidth="1"/>
    <col min="5629" max="5629" width="13.88671875" style="117" customWidth="1"/>
    <col min="5630" max="5630" width="1.88671875" style="117" customWidth="1"/>
    <col min="5631" max="5631" width="13" style="117" customWidth="1"/>
    <col min="5632" max="5871" width="8.88671875" style="117"/>
    <col min="5872" max="5872" width="6" style="117" customWidth="1"/>
    <col min="5873" max="5873" width="1.44140625" style="117" customWidth="1"/>
    <col min="5874" max="5874" width="39.109375" style="117" customWidth="1"/>
    <col min="5875" max="5875" width="12" style="117" customWidth="1"/>
    <col min="5876" max="5876" width="14.44140625" style="117" customWidth="1"/>
    <col min="5877" max="5877" width="11.88671875" style="117" customWidth="1"/>
    <col min="5878" max="5878" width="14.109375" style="117" customWidth="1"/>
    <col min="5879" max="5879" width="13.88671875" style="117" customWidth="1"/>
    <col min="5880" max="5881" width="12.77734375" style="117" customWidth="1"/>
    <col min="5882" max="5882" width="13.5546875" style="117" customWidth="1"/>
    <col min="5883" max="5883" width="15.33203125" style="117" customWidth="1"/>
    <col min="5884" max="5884" width="12.77734375" style="117" customWidth="1"/>
    <col min="5885" max="5885" width="13.88671875" style="117" customWidth="1"/>
    <col min="5886" max="5886" width="1.88671875" style="117" customWidth="1"/>
    <col min="5887" max="5887" width="13" style="117" customWidth="1"/>
    <col min="5888" max="6127" width="8.88671875" style="117"/>
    <col min="6128" max="6128" width="6" style="117" customWidth="1"/>
    <col min="6129" max="6129" width="1.44140625" style="117" customWidth="1"/>
    <col min="6130" max="6130" width="39.109375" style="117" customWidth="1"/>
    <col min="6131" max="6131" width="12" style="117" customWidth="1"/>
    <col min="6132" max="6132" width="14.44140625" style="117" customWidth="1"/>
    <col min="6133" max="6133" width="11.88671875" style="117" customWidth="1"/>
    <col min="6134" max="6134" width="14.109375" style="117" customWidth="1"/>
    <col min="6135" max="6135" width="13.88671875" style="117" customWidth="1"/>
    <col min="6136" max="6137" width="12.77734375" style="117" customWidth="1"/>
    <col min="6138" max="6138" width="13.5546875" style="117" customWidth="1"/>
    <col min="6139" max="6139" width="15.33203125" style="117" customWidth="1"/>
    <col min="6140" max="6140" width="12.77734375" style="117" customWidth="1"/>
    <col min="6141" max="6141" width="13.88671875" style="117" customWidth="1"/>
    <col min="6142" max="6142" width="1.88671875" style="117" customWidth="1"/>
    <col min="6143" max="6143" width="13" style="117" customWidth="1"/>
    <col min="6144" max="6383" width="8.88671875" style="117"/>
    <col min="6384" max="6384" width="6" style="117" customWidth="1"/>
    <col min="6385" max="6385" width="1.44140625" style="117" customWidth="1"/>
    <col min="6386" max="6386" width="39.109375" style="117" customWidth="1"/>
    <col min="6387" max="6387" width="12" style="117" customWidth="1"/>
    <col min="6388" max="6388" width="14.44140625" style="117" customWidth="1"/>
    <col min="6389" max="6389" width="11.88671875" style="117" customWidth="1"/>
    <col min="6390" max="6390" width="14.109375" style="117" customWidth="1"/>
    <col min="6391" max="6391" width="13.88671875" style="117" customWidth="1"/>
    <col min="6392" max="6393" width="12.77734375" style="117" customWidth="1"/>
    <col min="6394" max="6394" width="13.5546875" style="117" customWidth="1"/>
    <col min="6395" max="6395" width="15.33203125" style="117" customWidth="1"/>
    <col min="6396" max="6396" width="12.77734375" style="117" customWidth="1"/>
    <col min="6397" max="6397" width="13.88671875" style="117" customWidth="1"/>
    <col min="6398" max="6398" width="1.88671875" style="117" customWidth="1"/>
    <col min="6399" max="6399" width="13" style="117" customWidth="1"/>
    <col min="6400" max="6639" width="8.88671875" style="117"/>
    <col min="6640" max="6640" width="6" style="117" customWidth="1"/>
    <col min="6641" max="6641" width="1.44140625" style="117" customWidth="1"/>
    <col min="6642" max="6642" width="39.109375" style="117" customWidth="1"/>
    <col min="6643" max="6643" width="12" style="117" customWidth="1"/>
    <col min="6644" max="6644" width="14.44140625" style="117" customWidth="1"/>
    <col min="6645" max="6645" width="11.88671875" style="117" customWidth="1"/>
    <col min="6646" max="6646" width="14.109375" style="117" customWidth="1"/>
    <col min="6647" max="6647" width="13.88671875" style="117" customWidth="1"/>
    <col min="6648" max="6649" width="12.77734375" style="117" customWidth="1"/>
    <col min="6650" max="6650" width="13.5546875" style="117" customWidth="1"/>
    <col min="6651" max="6651" width="15.33203125" style="117" customWidth="1"/>
    <col min="6652" max="6652" width="12.77734375" style="117" customWidth="1"/>
    <col min="6653" max="6653" width="13.88671875" style="117" customWidth="1"/>
    <col min="6654" max="6654" width="1.88671875" style="117" customWidth="1"/>
    <col min="6655" max="6655" width="13" style="117" customWidth="1"/>
    <col min="6656" max="6895" width="8.88671875" style="117"/>
    <col min="6896" max="6896" width="6" style="117" customWidth="1"/>
    <col min="6897" max="6897" width="1.44140625" style="117" customWidth="1"/>
    <col min="6898" max="6898" width="39.109375" style="117" customWidth="1"/>
    <col min="6899" max="6899" width="12" style="117" customWidth="1"/>
    <col min="6900" max="6900" width="14.44140625" style="117" customWidth="1"/>
    <col min="6901" max="6901" width="11.88671875" style="117" customWidth="1"/>
    <col min="6902" max="6902" width="14.109375" style="117" customWidth="1"/>
    <col min="6903" max="6903" width="13.88671875" style="117" customWidth="1"/>
    <col min="6904" max="6905" width="12.77734375" style="117" customWidth="1"/>
    <col min="6906" max="6906" width="13.5546875" style="117" customWidth="1"/>
    <col min="6907" max="6907" width="15.33203125" style="117" customWidth="1"/>
    <col min="6908" max="6908" width="12.77734375" style="117" customWidth="1"/>
    <col min="6909" max="6909" width="13.88671875" style="117" customWidth="1"/>
    <col min="6910" max="6910" width="1.88671875" style="117" customWidth="1"/>
    <col min="6911" max="6911" width="13" style="117" customWidth="1"/>
    <col min="6912" max="7151" width="8.88671875" style="117"/>
    <col min="7152" max="7152" width="6" style="117" customWidth="1"/>
    <col min="7153" max="7153" width="1.44140625" style="117" customWidth="1"/>
    <col min="7154" max="7154" width="39.109375" style="117" customWidth="1"/>
    <col min="7155" max="7155" width="12" style="117" customWidth="1"/>
    <col min="7156" max="7156" width="14.44140625" style="117" customWidth="1"/>
    <col min="7157" max="7157" width="11.88671875" style="117" customWidth="1"/>
    <col min="7158" max="7158" width="14.109375" style="117" customWidth="1"/>
    <col min="7159" max="7159" width="13.88671875" style="117" customWidth="1"/>
    <col min="7160" max="7161" width="12.77734375" style="117" customWidth="1"/>
    <col min="7162" max="7162" width="13.5546875" style="117" customWidth="1"/>
    <col min="7163" max="7163" width="15.33203125" style="117" customWidth="1"/>
    <col min="7164" max="7164" width="12.77734375" style="117" customWidth="1"/>
    <col min="7165" max="7165" width="13.88671875" style="117" customWidth="1"/>
    <col min="7166" max="7166" width="1.88671875" style="117" customWidth="1"/>
    <col min="7167" max="7167" width="13" style="117" customWidth="1"/>
    <col min="7168" max="7407" width="8.88671875" style="117"/>
    <col min="7408" max="7408" width="6" style="117" customWidth="1"/>
    <col min="7409" max="7409" width="1.44140625" style="117" customWidth="1"/>
    <col min="7410" max="7410" width="39.109375" style="117" customWidth="1"/>
    <col min="7411" max="7411" width="12" style="117" customWidth="1"/>
    <col min="7412" max="7412" width="14.44140625" style="117" customWidth="1"/>
    <col min="7413" max="7413" width="11.88671875" style="117" customWidth="1"/>
    <col min="7414" max="7414" width="14.109375" style="117" customWidth="1"/>
    <col min="7415" max="7415" width="13.88671875" style="117" customWidth="1"/>
    <col min="7416" max="7417" width="12.77734375" style="117" customWidth="1"/>
    <col min="7418" max="7418" width="13.5546875" style="117" customWidth="1"/>
    <col min="7419" max="7419" width="15.33203125" style="117" customWidth="1"/>
    <col min="7420" max="7420" width="12.77734375" style="117" customWidth="1"/>
    <col min="7421" max="7421" width="13.88671875" style="117" customWidth="1"/>
    <col min="7422" max="7422" width="1.88671875" style="117" customWidth="1"/>
    <col min="7423" max="7423" width="13" style="117" customWidth="1"/>
    <col min="7424" max="7663" width="8.88671875" style="117"/>
    <col min="7664" max="7664" width="6" style="117" customWidth="1"/>
    <col min="7665" max="7665" width="1.44140625" style="117" customWidth="1"/>
    <col min="7666" max="7666" width="39.109375" style="117" customWidth="1"/>
    <col min="7667" max="7667" width="12" style="117" customWidth="1"/>
    <col min="7668" max="7668" width="14.44140625" style="117" customWidth="1"/>
    <col min="7669" max="7669" width="11.88671875" style="117" customWidth="1"/>
    <col min="7670" max="7670" width="14.109375" style="117" customWidth="1"/>
    <col min="7671" max="7671" width="13.88671875" style="117" customWidth="1"/>
    <col min="7672" max="7673" width="12.77734375" style="117" customWidth="1"/>
    <col min="7674" max="7674" width="13.5546875" style="117" customWidth="1"/>
    <col min="7675" max="7675" width="15.33203125" style="117" customWidth="1"/>
    <col min="7676" max="7676" width="12.77734375" style="117" customWidth="1"/>
    <col min="7677" max="7677" width="13.88671875" style="117" customWidth="1"/>
    <col min="7678" max="7678" width="1.88671875" style="117" customWidth="1"/>
    <col min="7679" max="7679" width="13" style="117" customWidth="1"/>
    <col min="7680" max="7919" width="8.88671875" style="117"/>
    <col min="7920" max="7920" width="6" style="117" customWidth="1"/>
    <col min="7921" max="7921" width="1.44140625" style="117" customWidth="1"/>
    <col min="7922" max="7922" width="39.109375" style="117" customWidth="1"/>
    <col min="7923" max="7923" width="12" style="117" customWidth="1"/>
    <col min="7924" max="7924" width="14.44140625" style="117" customWidth="1"/>
    <col min="7925" max="7925" width="11.88671875" style="117" customWidth="1"/>
    <col min="7926" max="7926" width="14.109375" style="117" customWidth="1"/>
    <col min="7927" max="7927" width="13.88671875" style="117" customWidth="1"/>
    <col min="7928" max="7929" width="12.77734375" style="117" customWidth="1"/>
    <col min="7930" max="7930" width="13.5546875" style="117" customWidth="1"/>
    <col min="7931" max="7931" width="15.33203125" style="117" customWidth="1"/>
    <col min="7932" max="7932" width="12.77734375" style="117" customWidth="1"/>
    <col min="7933" max="7933" width="13.88671875" style="117" customWidth="1"/>
    <col min="7934" max="7934" width="1.88671875" style="117" customWidth="1"/>
    <col min="7935" max="7935" width="13" style="117" customWidth="1"/>
    <col min="7936" max="8175" width="8.88671875" style="117"/>
    <col min="8176" max="8176" width="6" style="117" customWidth="1"/>
    <col min="8177" max="8177" width="1.44140625" style="117" customWidth="1"/>
    <col min="8178" max="8178" width="39.109375" style="117" customWidth="1"/>
    <col min="8179" max="8179" width="12" style="117" customWidth="1"/>
    <col min="8180" max="8180" width="14.44140625" style="117" customWidth="1"/>
    <col min="8181" max="8181" width="11.88671875" style="117" customWidth="1"/>
    <col min="8182" max="8182" width="14.109375" style="117" customWidth="1"/>
    <col min="8183" max="8183" width="13.88671875" style="117" customWidth="1"/>
    <col min="8184" max="8185" width="12.77734375" style="117" customWidth="1"/>
    <col min="8186" max="8186" width="13.5546875" style="117" customWidth="1"/>
    <col min="8187" max="8187" width="15.33203125" style="117" customWidth="1"/>
    <col min="8188" max="8188" width="12.77734375" style="117" customWidth="1"/>
    <col min="8189" max="8189" width="13.88671875" style="117" customWidth="1"/>
    <col min="8190" max="8190" width="1.88671875" style="117" customWidth="1"/>
    <col min="8191" max="8191" width="13" style="117" customWidth="1"/>
    <col min="8192" max="8431" width="8.88671875" style="117"/>
    <col min="8432" max="8432" width="6" style="117" customWidth="1"/>
    <col min="8433" max="8433" width="1.44140625" style="117" customWidth="1"/>
    <col min="8434" max="8434" width="39.109375" style="117" customWidth="1"/>
    <col min="8435" max="8435" width="12" style="117" customWidth="1"/>
    <col min="8436" max="8436" width="14.44140625" style="117" customWidth="1"/>
    <col min="8437" max="8437" width="11.88671875" style="117" customWidth="1"/>
    <col min="8438" max="8438" width="14.109375" style="117" customWidth="1"/>
    <col min="8439" max="8439" width="13.88671875" style="117" customWidth="1"/>
    <col min="8440" max="8441" width="12.77734375" style="117" customWidth="1"/>
    <col min="8442" max="8442" width="13.5546875" style="117" customWidth="1"/>
    <col min="8443" max="8443" width="15.33203125" style="117" customWidth="1"/>
    <col min="8444" max="8444" width="12.77734375" style="117" customWidth="1"/>
    <col min="8445" max="8445" width="13.88671875" style="117" customWidth="1"/>
    <col min="8446" max="8446" width="1.88671875" style="117" customWidth="1"/>
    <col min="8447" max="8447" width="13" style="117" customWidth="1"/>
    <col min="8448" max="8687" width="8.88671875" style="117"/>
    <col min="8688" max="8688" width="6" style="117" customWidth="1"/>
    <col min="8689" max="8689" width="1.44140625" style="117" customWidth="1"/>
    <col min="8690" max="8690" width="39.109375" style="117" customWidth="1"/>
    <col min="8691" max="8691" width="12" style="117" customWidth="1"/>
    <col min="8692" max="8692" width="14.44140625" style="117" customWidth="1"/>
    <col min="8693" max="8693" width="11.88671875" style="117" customWidth="1"/>
    <col min="8694" max="8694" width="14.109375" style="117" customWidth="1"/>
    <col min="8695" max="8695" width="13.88671875" style="117" customWidth="1"/>
    <col min="8696" max="8697" width="12.77734375" style="117" customWidth="1"/>
    <col min="8698" max="8698" width="13.5546875" style="117" customWidth="1"/>
    <col min="8699" max="8699" width="15.33203125" style="117" customWidth="1"/>
    <col min="8700" max="8700" width="12.77734375" style="117" customWidth="1"/>
    <col min="8701" max="8701" width="13.88671875" style="117" customWidth="1"/>
    <col min="8702" max="8702" width="1.88671875" style="117" customWidth="1"/>
    <col min="8703" max="8703" width="13" style="117" customWidth="1"/>
    <col min="8704" max="8943" width="8.88671875" style="117"/>
    <col min="8944" max="8944" width="6" style="117" customWidth="1"/>
    <col min="8945" max="8945" width="1.44140625" style="117" customWidth="1"/>
    <col min="8946" max="8946" width="39.109375" style="117" customWidth="1"/>
    <col min="8947" max="8947" width="12" style="117" customWidth="1"/>
    <col min="8948" max="8948" width="14.44140625" style="117" customWidth="1"/>
    <col min="8949" max="8949" width="11.88671875" style="117" customWidth="1"/>
    <col min="8950" max="8950" width="14.109375" style="117" customWidth="1"/>
    <col min="8951" max="8951" width="13.88671875" style="117" customWidth="1"/>
    <col min="8952" max="8953" width="12.77734375" style="117" customWidth="1"/>
    <col min="8954" max="8954" width="13.5546875" style="117" customWidth="1"/>
    <col min="8955" max="8955" width="15.33203125" style="117" customWidth="1"/>
    <col min="8956" max="8956" width="12.77734375" style="117" customWidth="1"/>
    <col min="8957" max="8957" width="13.88671875" style="117" customWidth="1"/>
    <col min="8958" max="8958" width="1.88671875" style="117" customWidth="1"/>
    <col min="8959" max="8959" width="13" style="117" customWidth="1"/>
    <col min="8960" max="9199" width="8.88671875" style="117"/>
    <col min="9200" max="9200" width="6" style="117" customWidth="1"/>
    <col min="9201" max="9201" width="1.44140625" style="117" customWidth="1"/>
    <col min="9202" max="9202" width="39.109375" style="117" customWidth="1"/>
    <col min="9203" max="9203" width="12" style="117" customWidth="1"/>
    <col min="9204" max="9204" width="14.44140625" style="117" customWidth="1"/>
    <col min="9205" max="9205" width="11.88671875" style="117" customWidth="1"/>
    <col min="9206" max="9206" width="14.109375" style="117" customWidth="1"/>
    <col min="9207" max="9207" width="13.88671875" style="117" customWidth="1"/>
    <col min="9208" max="9209" width="12.77734375" style="117" customWidth="1"/>
    <col min="9210" max="9210" width="13.5546875" style="117" customWidth="1"/>
    <col min="9211" max="9211" width="15.33203125" style="117" customWidth="1"/>
    <col min="9212" max="9212" width="12.77734375" style="117" customWidth="1"/>
    <col min="9213" max="9213" width="13.88671875" style="117" customWidth="1"/>
    <col min="9214" max="9214" width="1.88671875" style="117" customWidth="1"/>
    <col min="9215" max="9215" width="13" style="117" customWidth="1"/>
    <col min="9216" max="9455" width="8.88671875" style="117"/>
    <col min="9456" max="9456" width="6" style="117" customWidth="1"/>
    <col min="9457" max="9457" width="1.44140625" style="117" customWidth="1"/>
    <col min="9458" max="9458" width="39.109375" style="117" customWidth="1"/>
    <col min="9459" max="9459" width="12" style="117" customWidth="1"/>
    <col min="9460" max="9460" width="14.44140625" style="117" customWidth="1"/>
    <col min="9461" max="9461" width="11.88671875" style="117" customWidth="1"/>
    <col min="9462" max="9462" width="14.109375" style="117" customWidth="1"/>
    <col min="9463" max="9463" width="13.88671875" style="117" customWidth="1"/>
    <col min="9464" max="9465" width="12.77734375" style="117" customWidth="1"/>
    <col min="9466" max="9466" width="13.5546875" style="117" customWidth="1"/>
    <col min="9467" max="9467" width="15.33203125" style="117" customWidth="1"/>
    <col min="9468" max="9468" width="12.77734375" style="117" customWidth="1"/>
    <col min="9469" max="9469" width="13.88671875" style="117" customWidth="1"/>
    <col min="9470" max="9470" width="1.88671875" style="117" customWidth="1"/>
    <col min="9471" max="9471" width="13" style="117" customWidth="1"/>
    <col min="9472" max="9711" width="8.88671875" style="117"/>
    <col min="9712" max="9712" width="6" style="117" customWidth="1"/>
    <col min="9713" max="9713" width="1.44140625" style="117" customWidth="1"/>
    <col min="9714" max="9714" width="39.109375" style="117" customWidth="1"/>
    <col min="9715" max="9715" width="12" style="117" customWidth="1"/>
    <col min="9716" max="9716" width="14.44140625" style="117" customWidth="1"/>
    <col min="9717" max="9717" width="11.88671875" style="117" customWidth="1"/>
    <col min="9718" max="9718" width="14.109375" style="117" customWidth="1"/>
    <col min="9719" max="9719" width="13.88671875" style="117" customWidth="1"/>
    <col min="9720" max="9721" width="12.77734375" style="117" customWidth="1"/>
    <col min="9722" max="9722" width="13.5546875" style="117" customWidth="1"/>
    <col min="9723" max="9723" width="15.33203125" style="117" customWidth="1"/>
    <col min="9724" max="9724" width="12.77734375" style="117" customWidth="1"/>
    <col min="9725" max="9725" width="13.88671875" style="117" customWidth="1"/>
    <col min="9726" max="9726" width="1.88671875" style="117" customWidth="1"/>
    <col min="9727" max="9727" width="13" style="117" customWidth="1"/>
    <col min="9728" max="9967" width="8.88671875" style="117"/>
    <col min="9968" max="9968" width="6" style="117" customWidth="1"/>
    <col min="9969" max="9969" width="1.44140625" style="117" customWidth="1"/>
    <col min="9970" max="9970" width="39.109375" style="117" customWidth="1"/>
    <col min="9971" max="9971" width="12" style="117" customWidth="1"/>
    <col min="9972" max="9972" width="14.44140625" style="117" customWidth="1"/>
    <col min="9973" max="9973" width="11.88671875" style="117" customWidth="1"/>
    <col min="9974" max="9974" width="14.109375" style="117" customWidth="1"/>
    <col min="9975" max="9975" width="13.88671875" style="117" customWidth="1"/>
    <col min="9976" max="9977" width="12.77734375" style="117" customWidth="1"/>
    <col min="9978" max="9978" width="13.5546875" style="117" customWidth="1"/>
    <col min="9979" max="9979" width="15.33203125" style="117" customWidth="1"/>
    <col min="9980" max="9980" width="12.77734375" style="117" customWidth="1"/>
    <col min="9981" max="9981" width="13.88671875" style="117" customWidth="1"/>
    <col min="9982" max="9982" width="1.88671875" style="117" customWidth="1"/>
    <col min="9983" max="9983" width="13" style="117" customWidth="1"/>
    <col min="9984" max="10223" width="8.88671875" style="117"/>
    <col min="10224" max="10224" width="6" style="117" customWidth="1"/>
    <col min="10225" max="10225" width="1.44140625" style="117" customWidth="1"/>
    <col min="10226" max="10226" width="39.109375" style="117" customWidth="1"/>
    <col min="10227" max="10227" width="12" style="117" customWidth="1"/>
    <col min="10228" max="10228" width="14.44140625" style="117" customWidth="1"/>
    <col min="10229" max="10229" width="11.88671875" style="117" customWidth="1"/>
    <col min="10230" max="10230" width="14.109375" style="117" customWidth="1"/>
    <col min="10231" max="10231" width="13.88671875" style="117" customWidth="1"/>
    <col min="10232" max="10233" width="12.77734375" style="117" customWidth="1"/>
    <col min="10234" max="10234" width="13.5546875" style="117" customWidth="1"/>
    <col min="10235" max="10235" width="15.33203125" style="117" customWidth="1"/>
    <col min="10236" max="10236" width="12.77734375" style="117" customWidth="1"/>
    <col min="10237" max="10237" width="13.88671875" style="117" customWidth="1"/>
    <col min="10238" max="10238" width="1.88671875" style="117" customWidth="1"/>
    <col min="10239" max="10239" width="13" style="117" customWidth="1"/>
    <col min="10240" max="10479" width="8.88671875" style="117"/>
    <col min="10480" max="10480" width="6" style="117" customWidth="1"/>
    <col min="10481" max="10481" width="1.44140625" style="117" customWidth="1"/>
    <col min="10482" max="10482" width="39.109375" style="117" customWidth="1"/>
    <col min="10483" max="10483" width="12" style="117" customWidth="1"/>
    <col min="10484" max="10484" width="14.44140625" style="117" customWidth="1"/>
    <col min="10485" max="10485" width="11.88671875" style="117" customWidth="1"/>
    <col min="10486" max="10486" width="14.109375" style="117" customWidth="1"/>
    <col min="10487" max="10487" width="13.88671875" style="117" customWidth="1"/>
    <col min="10488" max="10489" width="12.77734375" style="117" customWidth="1"/>
    <col min="10490" max="10490" width="13.5546875" style="117" customWidth="1"/>
    <col min="10491" max="10491" width="15.33203125" style="117" customWidth="1"/>
    <col min="10492" max="10492" width="12.77734375" style="117" customWidth="1"/>
    <col min="10493" max="10493" width="13.88671875" style="117" customWidth="1"/>
    <col min="10494" max="10494" width="1.88671875" style="117" customWidth="1"/>
    <col min="10495" max="10495" width="13" style="117" customWidth="1"/>
    <col min="10496" max="10735" width="8.88671875" style="117"/>
    <col min="10736" max="10736" width="6" style="117" customWidth="1"/>
    <col min="10737" max="10737" width="1.44140625" style="117" customWidth="1"/>
    <col min="10738" max="10738" width="39.109375" style="117" customWidth="1"/>
    <col min="10739" max="10739" width="12" style="117" customWidth="1"/>
    <col min="10740" max="10740" width="14.44140625" style="117" customWidth="1"/>
    <col min="10741" max="10741" width="11.88671875" style="117" customWidth="1"/>
    <col min="10742" max="10742" width="14.109375" style="117" customWidth="1"/>
    <col min="10743" max="10743" width="13.88671875" style="117" customWidth="1"/>
    <col min="10744" max="10745" width="12.77734375" style="117" customWidth="1"/>
    <col min="10746" max="10746" width="13.5546875" style="117" customWidth="1"/>
    <col min="10747" max="10747" width="15.33203125" style="117" customWidth="1"/>
    <col min="10748" max="10748" width="12.77734375" style="117" customWidth="1"/>
    <col min="10749" max="10749" width="13.88671875" style="117" customWidth="1"/>
    <col min="10750" max="10750" width="1.88671875" style="117" customWidth="1"/>
    <col min="10751" max="10751" width="13" style="117" customWidth="1"/>
    <col min="10752" max="10991" width="8.88671875" style="117"/>
    <col min="10992" max="10992" width="6" style="117" customWidth="1"/>
    <col min="10993" max="10993" width="1.44140625" style="117" customWidth="1"/>
    <col min="10994" max="10994" width="39.109375" style="117" customWidth="1"/>
    <col min="10995" max="10995" width="12" style="117" customWidth="1"/>
    <col min="10996" max="10996" width="14.44140625" style="117" customWidth="1"/>
    <col min="10997" max="10997" width="11.88671875" style="117" customWidth="1"/>
    <col min="10998" max="10998" width="14.109375" style="117" customWidth="1"/>
    <col min="10999" max="10999" width="13.88671875" style="117" customWidth="1"/>
    <col min="11000" max="11001" width="12.77734375" style="117" customWidth="1"/>
    <col min="11002" max="11002" width="13.5546875" style="117" customWidth="1"/>
    <col min="11003" max="11003" width="15.33203125" style="117" customWidth="1"/>
    <col min="11004" max="11004" width="12.77734375" style="117" customWidth="1"/>
    <col min="11005" max="11005" width="13.88671875" style="117" customWidth="1"/>
    <col min="11006" max="11006" width="1.88671875" style="117" customWidth="1"/>
    <col min="11007" max="11007" width="13" style="117" customWidth="1"/>
    <col min="11008" max="11247" width="8.88671875" style="117"/>
    <col min="11248" max="11248" width="6" style="117" customWidth="1"/>
    <col min="11249" max="11249" width="1.44140625" style="117" customWidth="1"/>
    <col min="11250" max="11250" width="39.109375" style="117" customWidth="1"/>
    <col min="11251" max="11251" width="12" style="117" customWidth="1"/>
    <col min="11252" max="11252" width="14.44140625" style="117" customWidth="1"/>
    <col min="11253" max="11253" width="11.88671875" style="117" customWidth="1"/>
    <col min="11254" max="11254" width="14.109375" style="117" customWidth="1"/>
    <col min="11255" max="11255" width="13.88671875" style="117" customWidth="1"/>
    <col min="11256" max="11257" width="12.77734375" style="117" customWidth="1"/>
    <col min="11258" max="11258" width="13.5546875" style="117" customWidth="1"/>
    <col min="11259" max="11259" width="15.33203125" style="117" customWidth="1"/>
    <col min="11260" max="11260" width="12.77734375" style="117" customWidth="1"/>
    <col min="11261" max="11261" width="13.88671875" style="117" customWidth="1"/>
    <col min="11262" max="11262" width="1.88671875" style="117" customWidth="1"/>
    <col min="11263" max="11263" width="13" style="117" customWidth="1"/>
    <col min="11264" max="11503" width="8.88671875" style="117"/>
    <col min="11504" max="11504" width="6" style="117" customWidth="1"/>
    <col min="11505" max="11505" width="1.44140625" style="117" customWidth="1"/>
    <col min="11506" max="11506" width="39.109375" style="117" customWidth="1"/>
    <col min="11507" max="11507" width="12" style="117" customWidth="1"/>
    <col min="11508" max="11508" width="14.44140625" style="117" customWidth="1"/>
    <col min="11509" max="11509" width="11.88671875" style="117" customWidth="1"/>
    <col min="11510" max="11510" width="14.109375" style="117" customWidth="1"/>
    <col min="11511" max="11511" width="13.88671875" style="117" customWidth="1"/>
    <col min="11512" max="11513" width="12.77734375" style="117" customWidth="1"/>
    <col min="11514" max="11514" width="13.5546875" style="117" customWidth="1"/>
    <col min="11515" max="11515" width="15.33203125" style="117" customWidth="1"/>
    <col min="11516" max="11516" width="12.77734375" style="117" customWidth="1"/>
    <col min="11517" max="11517" width="13.88671875" style="117" customWidth="1"/>
    <col min="11518" max="11518" width="1.88671875" style="117" customWidth="1"/>
    <col min="11519" max="11519" width="13" style="117" customWidth="1"/>
    <col min="11520" max="11759" width="8.88671875" style="117"/>
    <col min="11760" max="11760" width="6" style="117" customWidth="1"/>
    <col min="11761" max="11761" width="1.44140625" style="117" customWidth="1"/>
    <col min="11762" max="11762" width="39.109375" style="117" customWidth="1"/>
    <col min="11763" max="11763" width="12" style="117" customWidth="1"/>
    <col min="11764" max="11764" width="14.44140625" style="117" customWidth="1"/>
    <col min="11765" max="11765" width="11.88671875" style="117" customWidth="1"/>
    <col min="11766" max="11766" width="14.109375" style="117" customWidth="1"/>
    <col min="11767" max="11767" width="13.88671875" style="117" customWidth="1"/>
    <col min="11768" max="11769" width="12.77734375" style="117" customWidth="1"/>
    <col min="11770" max="11770" width="13.5546875" style="117" customWidth="1"/>
    <col min="11771" max="11771" width="15.33203125" style="117" customWidth="1"/>
    <col min="11772" max="11772" width="12.77734375" style="117" customWidth="1"/>
    <col min="11773" max="11773" width="13.88671875" style="117" customWidth="1"/>
    <col min="11774" max="11774" width="1.88671875" style="117" customWidth="1"/>
    <col min="11775" max="11775" width="13" style="117" customWidth="1"/>
    <col min="11776" max="12015" width="8.88671875" style="117"/>
    <col min="12016" max="12016" width="6" style="117" customWidth="1"/>
    <col min="12017" max="12017" width="1.44140625" style="117" customWidth="1"/>
    <col min="12018" max="12018" width="39.109375" style="117" customWidth="1"/>
    <col min="12019" max="12019" width="12" style="117" customWidth="1"/>
    <col min="12020" max="12020" width="14.44140625" style="117" customWidth="1"/>
    <col min="12021" max="12021" width="11.88671875" style="117" customWidth="1"/>
    <col min="12022" max="12022" width="14.109375" style="117" customWidth="1"/>
    <col min="12023" max="12023" width="13.88671875" style="117" customWidth="1"/>
    <col min="12024" max="12025" width="12.77734375" style="117" customWidth="1"/>
    <col min="12026" max="12026" width="13.5546875" style="117" customWidth="1"/>
    <col min="12027" max="12027" width="15.33203125" style="117" customWidth="1"/>
    <col min="12028" max="12028" width="12.77734375" style="117" customWidth="1"/>
    <col min="12029" max="12029" width="13.88671875" style="117" customWidth="1"/>
    <col min="12030" max="12030" width="1.88671875" style="117" customWidth="1"/>
    <col min="12031" max="12031" width="13" style="117" customWidth="1"/>
    <col min="12032" max="12271" width="8.88671875" style="117"/>
    <col min="12272" max="12272" width="6" style="117" customWidth="1"/>
    <col min="12273" max="12273" width="1.44140625" style="117" customWidth="1"/>
    <col min="12274" max="12274" width="39.109375" style="117" customWidth="1"/>
    <col min="12275" max="12275" width="12" style="117" customWidth="1"/>
    <col min="12276" max="12276" width="14.44140625" style="117" customWidth="1"/>
    <col min="12277" max="12277" width="11.88671875" style="117" customWidth="1"/>
    <col min="12278" max="12278" width="14.109375" style="117" customWidth="1"/>
    <col min="12279" max="12279" width="13.88671875" style="117" customWidth="1"/>
    <col min="12280" max="12281" width="12.77734375" style="117" customWidth="1"/>
    <col min="12282" max="12282" width="13.5546875" style="117" customWidth="1"/>
    <col min="12283" max="12283" width="15.33203125" style="117" customWidth="1"/>
    <col min="12284" max="12284" width="12.77734375" style="117" customWidth="1"/>
    <col min="12285" max="12285" width="13.88671875" style="117" customWidth="1"/>
    <col min="12286" max="12286" width="1.88671875" style="117" customWidth="1"/>
    <col min="12287" max="12287" width="13" style="117" customWidth="1"/>
    <col min="12288" max="12527" width="8.88671875" style="117"/>
    <col min="12528" max="12528" width="6" style="117" customWidth="1"/>
    <col min="12529" max="12529" width="1.44140625" style="117" customWidth="1"/>
    <col min="12530" max="12530" width="39.109375" style="117" customWidth="1"/>
    <col min="12531" max="12531" width="12" style="117" customWidth="1"/>
    <col min="12532" max="12532" width="14.44140625" style="117" customWidth="1"/>
    <col min="12533" max="12533" width="11.88671875" style="117" customWidth="1"/>
    <col min="12534" max="12534" width="14.109375" style="117" customWidth="1"/>
    <col min="12535" max="12535" width="13.88671875" style="117" customWidth="1"/>
    <col min="12536" max="12537" width="12.77734375" style="117" customWidth="1"/>
    <col min="12538" max="12538" width="13.5546875" style="117" customWidth="1"/>
    <col min="12539" max="12539" width="15.33203125" style="117" customWidth="1"/>
    <col min="12540" max="12540" width="12.77734375" style="117" customWidth="1"/>
    <col min="12541" max="12541" width="13.88671875" style="117" customWidth="1"/>
    <col min="12542" max="12542" width="1.88671875" style="117" customWidth="1"/>
    <col min="12543" max="12543" width="13" style="117" customWidth="1"/>
    <col min="12544" max="12783" width="8.88671875" style="117"/>
    <col min="12784" max="12784" width="6" style="117" customWidth="1"/>
    <col min="12785" max="12785" width="1.44140625" style="117" customWidth="1"/>
    <col min="12786" max="12786" width="39.109375" style="117" customWidth="1"/>
    <col min="12787" max="12787" width="12" style="117" customWidth="1"/>
    <col min="12788" max="12788" width="14.44140625" style="117" customWidth="1"/>
    <col min="12789" max="12789" width="11.88671875" style="117" customWidth="1"/>
    <col min="12790" max="12790" width="14.109375" style="117" customWidth="1"/>
    <col min="12791" max="12791" width="13.88671875" style="117" customWidth="1"/>
    <col min="12792" max="12793" width="12.77734375" style="117" customWidth="1"/>
    <col min="12794" max="12794" width="13.5546875" style="117" customWidth="1"/>
    <col min="12795" max="12795" width="15.33203125" style="117" customWidth="1"/>
    <col min="12796" max="12796" width="12.77734375" style="117" customWidth="1"/>
    <col min="12797" max="12797" width="13.88671875" style="117" customWidth="1"/>
    <col min="12798" max="12798" width="1.88671875" style="117" customWidth="1"/>
    <col min="12799" max="12799" width="13" style="117" customWidth="1"/>
    <col min="12800" max="13039" width="8.88671875" style="117"/>
    <col min="13040" max="13040" width="6" style="117" customWidth="1"/>
    <col min="13041" max="13041" width="1.44140625" style="117" customWidth="1"/>
    <col min="13042" max="13042" width="39.109375" style="117" customWidth="1"/>
    <col min="13043" max="13043" width="12" style="117" customWidth="1"/>
    <col min="13044" max="13044" width="14.44140625" style="117" customWidth="1"/>
    <col min="13045" max="13045" width="11.88671875" style="117" customWidth="1"/>
    <col min="13046" max="13046" width="14.109375" style="117" customWidth="1"/>
    <col min="13047" max="13047" width="13.88671875" style="117" customWidth="1"/>
    <col min="13048" max="13049" width="12.77734375" style="117" customWidth="1"/>
    <col min="13050" max="13050" width="13.5546875" style="117" customWidth="1"/>
    <col min="13051" max="13051" width="15.33203125" style="117" customWidth="1"/>
    <col min="13052" max="13052" width="12.77734375" style="117" customWidth="1"/>
    <col min="13053" max="13053" width="13.88671875" style="117" customWidth="1"/>
    <col min="13054" max="13054" width="1.88671875" style="117" customWidth="1"/>
    <col min="13055" max="13055" width="13" style="117" customWidth="1"/>
    <col min="13056" max="13295" width="8.88671875" style="117"/>
    <col min="13296" max="13296" width="6" style="117" customWidth="1"/>
    <col min="13297" max="13297" width="1.44140625" style="117" customWidth="1"/>
    <col min="13298" max="13298" width="39.109375" style="117" customWidth="1"/>
    <col min="13299" max="13299" width="12" style="117" customWidth="1"/>
    <col min="13300" max="13300" width="14.44140625" style="117" customWidth="1"/>
    <col min="13301" max="13301" width="11.88671875" style="117" customWidth="1"/>
    <col min="13302" max="13302" width="14.109375" style="117" customWidth="1"/>
    <col min="13303" max="13303" width="13.88671875" style="117" customWidth="1"/>
    <col min="13304" max="13305" width="12.77734375" style="117" customWidth="1"/>
    <col min="13306" max="13306" width="13.5546875" style="117" customWidth="1"/>
    <col min="13307" max="13307" width="15.33203125" style="117" customWidth="1"/>
    <col min="13308" max="13308" width="12.77734375" style="117" customWidth="1"/>
    <col min="13309" max="13309" width="13.88671875" style="117" customWidth="1"/>
    <col min="13310" max="13310" width="1.88671875" style="117" customWidth="1"/>
    <col min="13311" max="13311" width="13" style="117" customWidth="1"/>
    <col min="13312" max="13551" width="8.88671875" style="117"/>
    <col min="13552" max="13552" width="6" style="117" customWidth="1"/>
    <col min="13553" max="13553" width="1.44140625" style="117" customWidth="1"/>
    <col min="13554" max="13554" width="39.109375" style="117" customWidth="1"/>
    <col min="13555" max="13555" width="12" style="117" customWidth="1"/>
    <col min="13556" max="13556" width="14.44140625" style="117" customWidth="1"/>
    <col min="13557" max="13557" width="11.88671875" style="117" customWidth="1"/>
    <col min="13558" max="13558" width="14.109375" style="117" customWidth="1"/>
    <col min="13559" max="13559" width="13.88671875" style="117" customWidth="1"/>
    <col min="13560" max="13561" width="12.77734375" style="117" customWidth="1"/>
    <col min="13562" max="13562" width="13.5546875" style="117" customWidth="1"/>
    <col min="13563" max="13563" width="15.33203125" style="117" customWidth="1"/>
    <col min="13564" max="13564" width="12.77734375" style="117" customWidth="1"/>
    <col min="13565" max="13565" width="13.88671875" style="117" customWidth="1"/>
    <col min="13566" max="13566" width="1.88671875" style="117" customWidth="1"/>
    <col min="13567" max="13567" width="13" style="117" customWidth="1"/>
    <col min="13568" max="13807" width="8.88671875" style="117"/>
    <col min="13808" max="13808" width="6" style="117" customWidth="1"/>
    <col min="13809" max="13809" width="1.44140625" style="117" customWidth="1"/>
    <col min="13810" max="13810" width="39.109375" style="117" customWidth="1"/>
    <col min="13811" max="13811" width="12" style="117" customWidth="1"/>
    <col min="13812" max="13812" width="14.44140625" style="117" customWidth="1"/>
    <col min="13813" max="13813" width="11.88671875" style="117" customWidth="1"/>
    <col min="13814" max="13814" width="14.109375" style="117" customWidth="1"/>
    <col min="13815" max="13815" width="13.88671875" style="117" customWidth="1"/>
    <col min="13816" max="13817" width="12.77734375" style="117" customWidth="1"/>
    <col min="13818" max="13818" width="13.5546875" style="117" customWidth="1"/>
    <col min="13819" max="13819" width="15.33203125" style="117" customWidth="1"/>
    <col min="13820" max="13820" width="12.77734375" style="117" customWidth="1"/>
    <col min="13821" max="13821" width="13.88671875" style="117" customWidth="1"/>
    <col min="13822" max="13822" width="1.88671875" style="117" customWidth="1"/>
    <col min="13823" max="13823" width="13" style="117" customWidth="1"/>
    <col min="13824" max="14063" width="8.88671875" style="117"/>
    <col min="14064" max="14064" width="6" style="117" customWidth="1"/>
    <col min="14065" max="14065" width="1.44140625" style="117" customWidth="1"/>
    <col min="14066" max="14066" width="39.109375" style="117" customWidth="1"/>
    <col min="14067" max="14067" width="12" style="117" customWidth="1"/>
    <col min="14068" max="14068" width="14.44140625" style="117" customWidth="1"/>
    <col min="14069" max="14069" width="11.88671875" style="117" customWidth="1"/>
    <col min="14070" max="14070" width="14.109375" style="117" customWidth="1"/>
    <col min="14071" max="14071" width="13.88671875" style="117" customWidth="1"/>
    <col min="14072" max="14073" width="12.77734375" style="117" customWidth="1"/>
    <col min="14074" max="14074" width="13.5546875" style="117" customWidth="1"/>
    <col min="14075" max="14075" width="15.33203125" style="117" customWidth="1"/>
    <col min="14076" max="14076" width="12.77734375" style="117" customWidth="1"/>
    <col min="14077" max="14077" width="13.88671875" style="117" customWidth="1"/>
    <col min="14078" max="14078" width="1.88671875" style="117" customWidth="1"/>
    <col min="14079" max="14079" width="13" style="117" customWidth="1"/>
    <col min="14080" max="14319" width="8.88671875" style="117"/>
    <col min="14320" max="14320" width="6" style="117" customWidth="1"/>
    <col min="14321" max="14321" width="1.44140625" style="117" customWidth="1"/>
    <col min="14322" max="14322" width="39.109375" style="117" customWidth="1"/>
    <col min="14323" max="14323" width="12" style="117" customWidth="1"/>
    <col min="14324" max="14324" width="14.44140625" style="117" customWidth="1"/>
    <col min="14325" max="14325" width="11.88671875" style="117" customWidth="1"/>
    <col min="14326" max="14326" width="14.109375" style="117" customWidth="1"/>
    <col min="14327" max="14327" width="13.88671875" style="117" customWidth="1"/>
    <col min="14328" max="14329" width="12.77734375" style="117" customWidth="1"/>
    <col min="14330" max="14330" width="13.5546875" style="117" customWidth="1"/>
    <col min="14331" max="14331" width="15.33203125" style="117" customWidth="1"/>
    <col min="14332" max="14332" width="12.77734375" style="117" customWidth="1"/>
    <col min="14333" max="14333" width="13.88671875" style="117" customWidth="1"/>
    <col min="14334" max="14334" width="1.88671875" style="117" customWidth="1"/>
    <col min="14335" max="14335" width="13" style="117" customWidth="1"/>
    <col min="14336" max="14575" width="8.88671875" style="117"/>
    <col min="14576" max="14576" width="6" style="117" customWidth="1"/>
    <col min="14577" max="14577" width="1.44140625" style="117" customWidth="1"/>
    <col min="14578" max="14578" width="39.109375" style="117" customWidth="1"/>
    <col min="14579" max="14579" width="12" style="117" customWidth="1"/>
    <col min="14580" max="14580" width="14.44140625" style="117" customWidth="1"/>
    <col min="14581" max="14581" width="11.88671875" style="117" customWidth="1"/>
    <col min="14582" max="14582" width="14.109375" style="117" customWidth="1"/>
    <col min="14583" max="14583" width="13.88671875" style="117" customWidth="1"/>
    <col min="14584" max="14585" width="12.77734375" style="117" customWidth="1"/>
    <col min="14586" max="14586" width="13.5546875" style="117" customWidth="1"/>
    <col min="14587" max="14587" width="15.33203125" style="117" customWidth="1"/>
    <col min="14588" max="14588" width="12.77734375" style="117" customWidth="1"/>
    <col min="14589" max="14589" width="13.88671875" style="117" customWidth="1"/>
    <col min="14590" max="14590" width="1.88671875" style="117" customWidth="1"/>
    <col min="14591" max="14591" width="13" style="117" customWidth="1"/>
    <col min="14592" max="14831" width="8.88671875" style="117"/>
    <col min="14832" max="14832" width="6" style="117" customWidth="1"/>
    <col min="14833" max="14833" width="1.44140625" style="117" customWidth="1"/>
    <col min="14834" max="14834" width="39.109375" style="117" customWidth="1"/>
    <col min="14835" max="14835" width="12" style="117" customWidth="1"/>
    <col min="14836" max="14836" width="14.44140625" style="117" customWidth="1"/>
    <col min="14837" max="14837" width="11.88671875" style="117" customWidth="1"/>
    <col min="14838" max="14838" width="14.109375" style="117" customWidth="1"/>
    <col min="14839" max="14839" width="13.88671875" style="117" customWidth="1"/>
    <col min="14840" max="14841" width="12.77734375" style="117" customWidth="1"/>
    <col min="14842" max="14842" width="13.5546875" style="117" customWidth="1"/>
    <col min="14843" max="14843" width="15.33203125" style="117" customWidth="1"/>
    <col min="14844" max="14844" width="12.77734375" style="117" customWidth="1"/>
    <col min="14845" max="14845" width="13.88671875" style="117" customWidth="1"/>
    <col min="14846" max="14846" width="1.88671875" style="117" customWidth="1"/>
    <col min="14847" max="14847" width="13" style="117" customWidth="1"/>
    <col min="14848" max="15087" width="8.88671875" style="117"/>
    <col min="15088" max="15088" width="6" style="117" customWidth="1"/>
    <col min="15089" max="15089" width="1.44140625" style="117" customWidth="1"/>
    <col min="15090" max="15090" width="39.109375" style="117" customWidth="1"/>
    <col min="15091" max="15091" width="12" style="117" customWidth="1"/>
    <col min="15092" max="15092" width="14.44140625" style="117" customWidth="1"/>
    <col min="15093" max="15093" width="11.88671875" style="117" customWidth="1"/>
    <col min="15094" max="15094" width="14.109375" style="117" customWidth="1"/>
    <col min="15095" max="15095" width="13.88671875" style="117" customWidth="1"/>
    <col min="15096" max="15097" width="12.77734375" style="117" customWidth="1"/>
    <col min="15098" max="15098" width="13.5546875" style="117" customWidth="1"/>
    <col min="15099" max="15099" width="15.33203125" style="117" customWidth="1"/>
    <col min="15100" max="15100" width="12.77734375" style="117" customWidth="1"/>
    <col min="15101" max="15101" width="13.88671875" style="117" customWidth="1"/>
    <col min="15102" max="15102" width="1.88671875" style="117" customWidth="1"/>
    <col min="15103" max="15103" width="13" style="117" customWidth="1"/>
    <col min="15104" max="15343" width="8.88671875" style="117"/>
    <col min="15344" max="15344" width="6" style="117" customWidth="1"/>
    <col min="15345" max="15345" width="1.44140625" style="117" customWidth="1"/>
    <col min="15346" max="15346" width="39.109375" style="117" customWidth="1"/>
    <col min="15347" max="15347" width="12" style="117" customWidth="1"/>
    <col min="15348" max="15348" width="14.44140625" style="117" customWidth="1"/>
    <col min="15349" max="15349" width="11.88671875" style="117" customWidth="1"/>
    <col min="15350" max="15350" width="14.109375" style="117" customWidth="1"/>
    <col min="15351" max="15351" width="13.88671875" style="117" customWidth="1"/>
    <col min="15352" max="15353" width="12.77734375" style="117" customWidth="1"/>
    <col min="15354" max="15354" width="13.5546875" style="117" customWidth="1"/>
    <col min="15355" max="15355" width="15.33203125" style="117" customWidth="1"/>
    <col min="15356" max="15356" width="12.77734375" style="117" customWidth="1"/>
    <col min="15357" max="15357" width="13.88671875" style="117" customWidth="1"/>
    <col min="15358" max="15358" width="1.88671875" style="117" customWidth="1"/>
    <col min="15359" max="15359" width="13" style="117" customWidth="1"/>
    <col min="15360" max="15599" width="8.88671875" style="117"/>
    <col min="15600" max="15600" width="6" style="117" customWidth="1"/>
    <col min="15601" max="15601" width="1.44140625" style="117" customWidth="1"/>
    <col min="15602" max="15602" width="39.109375" style="117" customWidth="1"/>
    <col min="15603" max="15603" width="12" style="117" customWidth="1"/>
    <col min="15604" max="15604" width="14.44140625" style="117" customWidth="1"/>
    <col min="15605" max="15605" width="11.88671875" style="117" customWidth="1"/>
    <col min="15606" max="15606" width="14.109375" style="117" customWidth="1"/>
    <col min="15607" max="15607" width="13.88671875" style="117" customWidth="1"/>
    <col min="15608" max="15609" width="12.77734375" style="117" customWidth="1"/>
    <col min="15610" max="15610" width="13.5546875" style="117" customWidth="1"/>
    <col min="15611" max="15611" width="15.33203125" style="117" customWidth="1"/>
    <col min="15612" max="15612" width="12.77734375" style="117" customWidth="1"/>
    <col min="15613" max="15613" width="13.88671875" style="117" customWidth="1"/>
    <col min="15614" max="15614" width="1.88671875" style="117" customWidth="1"/>
    <col min="15615" max="15615" width="13" style="117" customWidth="1"/>
    <col min="15616" max="15855" width="8.88671875" style="117"/>
    <col min="15856" max="15856" width="6" style="117" customWidth="1"/>
    <col min="15857" max="15857" width="1.44140625" style="117" customWidth="1"/>
    <col min="15858" max="15858" width="39.109375" style="117" customWidth="1"/>
    <col min="15859" max="15859" width="12" style="117" customWidth="1"/>
    <col min="15860" max="15860" width="14.44140625" style="117" customWidth="1"/>
    <col min="15861" max="15861" width="11.88671875" style="117" customWidth="1"/>
    <col min="15862" max="15862" width="14.109375" style="117" customWidth="1"/>
    <col min="15863" max="15863" width="13.88671875" style="117" customWidth="1"/>
    <col min="15864" max="15865" width="12.77734375" style="117" customWidth="1"/>
    <col min="15866" max="15866" width="13.5546875" style="117" customWidth="1"/>
    <col min="15867" max="15867" width="15.33203125" style="117" customWidth="1"/>
    <col min="15868" max="15868" width="12.77734375" style="117" customWidth="1"/>
    <col min="15869" max="15869" width="13.88671875" style="117" customWidth="1"/>
    <col min="15870" max="15870" width="1.88671875" style="117" customWidth="1"/>
    <col min="15871" max="15871" width="13" style="117" customWidth="1"/>
    <col min="15872" max="16111" width="8.88671875" style="117"/>
    <col min="16112" max="16112" width="6" style="117" customWidth="1"/>
    <col min="16113" max="16113" width="1.44140625" style="117" customWidth="1"/>
    <col min="16114" max="16114" width="39.109375" style="117" customWidth="1"/>
    <col min="16115" max="16115" width="12" style="117" customWidth="1"/>
    <col min="16116" max="16116" width="14.44140625" style="117" customWidth="1"/>
    <col min="16117" max="16117" width="11.88671875" style="117" customWidth="1"/>
    <col min="16118" max="16118" width="14.109375" style="117" customWidth="1"/>
    <col min="16119" max="16119" width="13.88671875" style="117" customWidth="1"/>
    <col min="16120" max="16121" width="12.77734375" style="117" customWidth="1"/>
    <col min="16122" max="16122" width="13.5546875" style="117" customWidth="1"/>
    <col min="16123" max="16123" width="15.33203125" style="117" customWidth="1"/>
    <col min="16124" max="16124" width="12.77734375" style="117" customWidth="1"/>
    <col min="16125" max="16125" width="13.88671875" style="117" customWidth="1"/>
    <col min="16126" max="16126" width="1.88671875" style="117" customWidth="1"/>
    <col min="16127" max="16127" width="13" style="117" customWidth="1"/>
    <col min="16128" max="16367" width="8.88671875" style="117"/>
    <col min="16368" max="16383" width="8.88671875" style="117" customWidth="1"/>
    <col min="16384" max="16384" width="8.88671875" style="117"/>
  </cols>
  <sheetData>
    <row r="1" spans="1:23">
      <c r="I1" s="82" t="str">
        <f>EKPC!J1</f>
        <v>Attachment H-24A</v>
      </c>
      <c r="J1" s="98"/>
      <c r="K1" s="98"/>
      <c r="L1" s="98"/>
      <c r="M1" s="98"/>
      <c r="N1" s="76"/>
      <c r="O1" s="76"/>
      <c r="P1" s="95"/>
      <c r="Q1" s="76"/>
      <c r="R1" s="76"/>
      <c r="S1" s="76"/>
      <c r="T1" s="76"/>
      <c r="U1" s="76"/>
      <c r="V1" s="95"/>
      <c r="W1" s="82" t="s">
        <v>543</v>
      </c>
    </row>
    <row r="2" spans="1:23">
      <c r="I2" s="82" t="s">
        <v>265</v>
      </c>
      <c r="J2" s="98"/>
      <c r="K2" s="98"/>
      <c r="L2" s="98"/>
      <c r="M2" s="98"/>
      <c r="N2" s="86"/>
      <c r="O2" s="86"/>
      <c r="P2" s="86"/>
      <c r="Q2" s="86"/>
      <c r="R2" s="86"/>
      <c r="S2" s="86"/>
      <c r="T2" s="86"/>
      <c r="U2" s="86"/>
      <c r="V2" s="88"/>
      <c r="W2" s="82" t="s">
        <v>265</v>
      </c>
    </row>
    <row r="3" spans="1:23">
      <c r="I3" s="82" t="s">
        <v>147</v>
      </c>
      <c r="J3" s="98"/>
      <c r="K3" s="98"/>
      <c r="L3" s="98"/>
      <c r="M3" s="98"/>
      <c r="N3" s="86"/>
      <c r="O3" s="86"/>
      <c r="P3" s="86"/>
      <c r="Q3" s="86"/>
      <c r="R3" s="86"/>
      <c r="S3" s="86"/>
      <c r="T3" s="86"/>
      <c r="U3" s="88"/>
      <c r="V3" s="88"/>
      <c r="W3" s="279" t="s">
        <v>157</v>
      </c>
    </row>
    <row r="4" spans="1:23">
      <c r="I4" s="81" t="str">
        <f>EKPC!J7</f>
        <v>For the 12 months ended 12/31/2025</v>
      </c>
      <c r="J4" s="98"/>
      <c r="K4" s="98"/>
      <c r="L4" s="98"/>
      <c r="M4" s="98"/>
      <c r="N4" s="76"/>
      <c r="O4" s="76"/>
      <c r="P4" s="76"/>
      <c r="Q4" s="86"/>
      <c r="R4" s="76"/>
      <c r="S4" s="76"/>
      <c r="T4" s="76"/>
      <c r="U4" s="76"/>
      <c r="V4" s="95"/>
      <c r="W4" s="279" t="str">
        <f>I4</f>
        <v>For the 12 months ended 12/31/2025</v>
      </c>
    </row>
    <row r="5" spans="1:23">
      <c r="A5" s="85" t="s">
        <v>206</v>
      </c>
      <c r="B5" s="517"/>
      <c r="C5" s="517"/>
      <c r="D5" s="85"/>
      <c r="E5" s="85"/>
      <c r="F5" s="85"/>
      <c r="G5" s="517"/>
      <c r="H5" s="85"/>
      <c r="I5" s="85"/>
      <c r="J5" s="98"/>
      <c r="K5" s="98"/>
      <c r="L5" s="98"/>
      <c r="M5" s="98"/>
      <c r="N5" s="76"/>
      <c r="O5" s="76"/>
      <c r="P5" s="76"/>
      <c r="Q5" s="86"/>
      <c r="R5" s="76"/>
      <c r="S5" s="76"/>
      <c r="T5" s="76"/>
      <c r="U5" s="76"/>
      <c r="V5" s="95"/>
      <c r="W5" s="279"/>
    </row>
    <row r="6" spans="1:23">
      <c r="A6" s="88" t="str">
        <f>CONCATENATE("Utilizing ",EKPC!J1)</f>
        <v>Utilizing Attachment H-24A</v>
      </c>
      <c r="B6" s="517"/>
      <c r="C6" s="517"/>
      <c r="D6" s="85"/>
      <c r="E6" s="85"/>
      <c r="F6" s="85"/>
      <c r="G6" s="517"/>
      <c r="H6" s="85"/>
      <c r="I6" s="85"/>
      <c r="J6" s="98"/>
      <c r="K6" s="98"/>
      <c r="L6" s="98"/>
      <c r="M6" s="98"/>
      <c r="N6" s="76"/>
      <c r="O6" s="76"/>
      <c r="P6" s="76"/>
      <c r="Q6" s="86"/>
      <c r="R6" s="76"/>
      <c r="S6" s="76"/>
      <c r="T6" s="76"/>
      <c r="U6" s="76"/>
      <c r="V6" s="95"/>
      <c r="W6" s="279"/>
    </row>
    <row r="7" spans="1:23">
      <c r="A7" s="90"/>
      <c r="B7" s="517"/>
      <c r="C7" s="517"/>
      <c r="D7" s="90"/>
      <c r="E7" s="90"/>
      <c r="F7" s="90"/>
      <c r="G7" s="517"/>
      <c r="H7" s="90"/>
      <c r="I7" s="90"/>
      <c r="J7" s="98"/>
      <c r="K7" s="98"/>
      <c r="L7" s="98"/>
      <c r="M7" s="98"/>
      <c r="N7" s="76"/>
      <c r="O7" s="76"/>
      <c r="P7" s="76"/>
      <c r="Q7" s="86"/>
      <c r="R7" s="76"/>
      <c r="S7" s="76"/>
      <c r="T7" s="76"/>
      <c r="U7" s="76"/>
      <c r="V7" s="95"/>
      <c r="W7" s="279"/>
    </row>
    <row r="8" spans="1:23">
      <c r="A8" s="518" t="str">
        <f>EKPC!A11</f>
        <v>East Kentucky Power Cooperative, Inc.</v>
      </c>
      <c r="B8" s="518"/>
      <c r="C8" s="518"/>
      <c r="D8" s="518"/>
      <c r="E8" s="518"/>
      <c r="F8" s="518"/>
      <c r="G8" s="518"/>
      <c r="H8" s="518"/>
      <c r="I8" s="518"/>
      <c r="K8" s="86"/>
      <c r="L8" s="86"/>
      <c r="M8" s="86"/>
      <c r="N8" s="86"/>
      <c r="O8" s="86"/>
      <c r="P8" s="86"/>
      <c r="Q8" s="111" t="str">
        <f>A8</f>
        <v>East Kentucky Power Cooperative, Inc.</v>
      </c>
      <c r="R8" s="86"/>
      <c r="S8" s="86"/>
      <c r="T8" s="86"/>
      <c r="U8" s="86"/>
      <c r="V8" s="88"/>
      <c r="W8" s="88"/>
    </row>
    <row r="9" spans="1:23">
      <c r="A9" s="90" t="s">
        <v>241</v>
      </c>
      <c r="B9" s="517"/>
      <c r="C9" s="517"/>
      <c r="D9" s="90"/>
      <c r="E9" s="90"/>
      <c r="F9" s="90"/>
      <c r="G9" s="517"/>
      <c r="H9" s="557"/>
      <c r="I9" s="90"/>
      <c r="K9" s="86"/>
      <c r="L9" s="86"/>
      <c r="M9" s="86"/>
      <c r="N9" s="90"/>
      <c r="O9" s="90"/>
      <c r="P9" s="90"/>
      <c r="Q9" s="111" t="str">
        <f>A9</f>
        <v>RTEP - Transmission Enhancement Charges</v>
      </c>
      <c r="R9" s="90"/>
      <c r="S9" s="90"/>
      <c r="T9" s="90"/>
      <c r="U9" s="90"/>
      <c r="V9" s="90"/>
      <c r="W9" s="90"/>
    </row>
    <row r="10" spans="1:23">
      <c r="A10" s="558"/>
      <c r="B10" s="517"/>
      <c r="C10" s="90"/>
      <c r="D10" s="90"/>
      <c r="E10" s="90"/>
      <c r="F10" s="90"/>
      <c r="G10" s="557"/>
      <c r="H10" s="90"/>
      <c r="I10" s="90"/>
      <c r="J10" s="79"/>
      <c r="K10" s="76"/>
      <c r="L10" s="76"/>
      <c r="M10" s="76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spans="1:23" ht="15.75">
      <c r="A11" s="90" t="str">
        <f>CONCATENATE("To be completed in conjunction with ",EKPC!J1)</f>
        <v>To be completed in conjunction with Attachment H-24A</v>
      </c>
      <c r="B11" s="517"/>
      <c r="C11" s="517"/>
      <c r="D11" s="90"/>
      <c r="E11" s="90"/>
      <c r="F11" s="90"/>
      <c r="G11" s="557"/>
      <c r="H11" s="90"/>
      <c r="I11" s="90"/>
      <c r="K11" s="86"/>
      <c r="L11" s="86"/>
      <c r="M11" s="86"/>
      <c r="N11" s="86"/>
      <c r="O11" s="175"/>
      <c r="P11" s="86"/>
      <c r="Q11" s="157" t="s">
        <v>222</v>
      </c>
      <c r="R11" s="90"/>
      <c r="S11" s="90"/>
      <c r="T11" s="90"/>
      <c r="U11" s="90"/>
      <c r="V11" s="88"/>
      <c r="W11" s="88"/>
    </row>
    <row r="12" spans="1:23" ht="15.75">
      <c r="A12" s="559"/>
      <c r="C12" s="83"/>
      <c r="D12" s="83"/>
      <c r="E12" s="83"/>
      <c r="F12" s="83"/>
      <c r="G12" s="93"/>
      <c r="J12" s="79"/>
      <c r="K12" s="76"/>
      <c r="L12" s="76"/>
      <c r="M12" s="76"/>
      <c r="N12" s="120"/>
      <c r="O12" s="120"/>
      <c r="P12" s="76"/>
      <c r="Q12" s="83"/>
      <c r="R12" s="83"/>
      <c r="S12" s="83"/>
      <c r="T12" s="83"/>
      <c r="U12" s="83"/>
      <c r="V12" s="95"/>
      <c r="W12" s="95"/>
    </row>
    <row r="13" spans="1:23" ht="15.75">
      <c r="C13" s="157" t="s">
        <v>16</v>
      </c>
      <c r="D13" s="157"/>
      <c r="E13" s="157" t="s">
        <v>17</v>
      </c>
      <c r="F13" s="157"/>
      <c r="G13" s="157" t="s">
        <v>18</v>
      </c>
      <c r="H13" s="388"/>
      <c r="I13" s="560" t="s">
        <v>19</v>
      </c>
      <c r="J13" s="79"/>
      <c r="K13" s="76"/>
      <c r="L13" s="561">
        <v>-1</v>
      </c>
      <c r="M13" s="561">
        <v>-2</v>
      </c>
      <c r="N13" s="561">
        <v>-3</v>
      </c>
      <c r="O13" s="561">
        <v>-4</v>
      </c>
      <c r="P13" s="561">
        <v>-5</v>
      </c>
      <c r="Q13" s="561">
        <v>-6</v>
      </c>
      <c r="R13" s="561">
        <v>-7</v>
      </c>
      <c r="S13" s="561">
        <v>-8</v>
      </c>
      <c r="T13" s="561">
        <v>-9</v>
      </c>
      <c r="U13" s="561">
        <v>-10</v>
      </c>
      <c r="V13" s="561">
        <v>-11</v>
      </c>
      <c r="W13" s="561">
        <v>-12</v>
      </c>
    </row>
    <row r="14" spans="1:23" ht="63">
      <c r="A14" s="79" t="s">
        <v>6</v>
      </c>
      <c r="C14" s="83"/>
      <c r="D14" s="83"/>
      <c r="E14" s="89" t="str">
        <f>I1</f>
        <v>Attachment H-24A</v>
      </c>
      <c r="F14" s="89"/>
      <c r="G14" s="95"/>
      <c r="J14" s="562" t="s">
        <v>182</v>
      </c>
      <c r="K14" s="563"/>
      <c r="L14" s="563" t="s">
        <v>160</v>
      </c>
      <c r="M14" s="564" t="s">
        <v>263</v>
      </c>
      <c r="N14" s="565" t="s">
        <v>183</v>
      </c>
      <c r="O14" s="565" t="s">
        <v>177</v>
      </c>
      <c r="P14" s="566" t="s">
        <v>184</v>
      </c>
      <c r="Q14" s="565" t="s">
        <v>185</v>
      </c>
      <c r="R14" s="565" t="s">
        <v>181</v>
      </c>
      <c r="S14" s="566" t="s">
        <v>186</v>
      </c>
      <c r="T14" s="565" t="s">
        <v>187</v>
      </c>
      <c r="U14" s="567" t="s">
        <v>188</v>
      </c>
      <c r="V14" s="568" t="s">
        <v>189</v>
      </c>
      <c r="W14" s="567" t="s">
        <v>190</v>
      </c>
    </row>
    <row r="15" spans="1:23" ht="30" customHeight="1">
      <c r="A15" s="94" t="s">
        <v>8</v>
      </c>
      <c r="B15" s="569"/>
      <c r="C15" s="130"/>
      <c r="D15" s="130"/>
      <c r="E15" s="150" t="s">
        <v>23</v>
      </c>
      <c r="F15" s="150"/>
      <c r="G15" s="94" t="s">
        <v>22</v>
      </c>
      <c r="H15" s="569"/>
      <c r="I15" s="94" t="s">
        <v>11</v>
      </c>
      <c r="J15" s="570"/>
      <c r="K15" s="571"/>
      <c r="L15" s="571"/>
      <c r="M15" s="571"/>
      <c r="N15" s="572" t="s">
        <v>14</v>
      </c>
      <c r="O15" s="572" t="s">
        <v>191</v>
      </c>
      <c r="P15" s="573" t="s">
        <v>192</v>
      </c>
      <c r="Q15" s="572" t="s">
        <v>15</v>
      </c>
      <c r="R15" s="572" t="s">
        <v>193</v>
      </c>
      <c r="S15" s="573" t="s">
        <v>194</v>
      </c>
      <c r="T15" s="572" t="s">
        <v>195</v>
      </c>
      <c r="U15" s="573" t="s">
        <v>196</v>
      </c>
      <c r="V15" s="574" t="s">
        <v>158</v>
      </c>
      <c r="W15" s="575" t="s">
        <v>197</v>
      </c>
    </row>
    <row r="16" spans="1:23" ht="15.75">
      <c r="A16" s="576"/>
      <c r="C16" s="83" t="s">
        <v>262</v>
      </c>
      <c r="D16" s="83"/>
      <c r="E16" s="95"/>
      <c r="F16" s="95"/>
      <c r="G16" s="95"/>
      <c r="I16" s="95"/>
      <c r="J16" s="577"/>
      <c r="K16" s="83"/>
      <c r="L16" s="83"/>
      <c r="M16" s="83"/>
      <c r="N16" s="83"/>
      <c r="O16" s="83"/>
      <c r="P16" s="578"/>
      <c r="Q16" s="83"/>
      <c r="R16" s="83"/>
      <c r="S16" s="578"/>
      <c r="T16" s="83"/>
      <c r="U16" s="578"/>
      <c r="V16" s="95"/>
      <c r="W16" s="579"/>
    </row>
    <row r="17" spans="1:23">
      <c r="A17" s="580">
        <v>1</v>
      </c>
      <c r="C17" s="83" t="s">
        <v>167</v>
      </c>
      <c r="D17" s="83"/>
      <c r="E17" s="89" t="s">
        <v>644</v>
      </c>
      <c r="F17" s="89"/>
      <c r="G17" s="465">
        <f>EKPC!J76</f>
        <v>850818994</v>
      </c>
      <c r="J17" s="581" t="s">
        <v>1</v>
      </c>
      <c r="K17" s="76"/>
      <c r="L17" s="76"/>
      <c r="M17" s="76"/>
      <c r="N17" s="49">
        <v>0</v>
      </c>
      <c r="O17" s="3">
        <f>$I$32</f>
        <v>6.8001052407158646E-2</v>
      </c>
      <c r="P17" s="582">
        <f>N17*O17</f>
        <v>0</v>
      </c>
      <c r="Q17" s="38">
        <v>0</v>
      </c>
      <c r="R17" s="3">
        <f>$I$42</f>
        <v>5.1031185268016831E-2</v>
      </c>
      <c r="S17" s="582">
        <f>Q17*R17</f>
        <v>0</v>
      </c>
      <c r="T17" s="583">
        <v>0</v>
      </c>
      <c r="U17" s="582">
        <f>P17+S17+T17</f>
        <v>0</v>
      </c>
      <c r="V17" s="49">
        <v>0</v>
      </c>
      <c r="W17" s="582">
        <f>U17+V17</f>
        <v>0</v>
      </c>
    </row>
    <row r="18" spans="1:23">
      <c r="A18" s="580">
        <v>2</v>
      </c>
      <c r="C18" s="83" t="s">
        <v>168</v>
      </c>
      <c r="D18" s="83"/>
      <c r="E18" s="89" t="s">
        <v>645</v>
      </c>
      <c r="F18" s="89"/>
      <c r="G18" s="465">
        <f>EKPC!J92</f>
        <v>659145582</v>
      </c>
      <c r="J18" s="581" t="s">
        <v>198</v>
      </c>
      <c r="K18" s="76"/>
      <c r="L18" s="76"/>
      <c r="M18" s="76"/>
      <c r="N18" s="49">
        <v>0</v>
      </c>
      <c r="O18" s="3">
        <f>$I$32</f>
        <v>6.8001052407158646E-2</v>
      </c>
      <c r="P18" s="582">
        <f>N18*O18</f>
        <v>0</v>
      </c>
      <c r="Q18" s="38">
        <v>0</v>
      </c>
      <c r="R18" s="3">
        <f>$I$42</f>
        <v>5.1031185268016831E-2</v>
      </c>
      <c r="S18" s="582">
        <f>Q18*R18</f>
        <v>0</v>
      </c>
      <c r="T18" s="583">
        <v>0</v>
      </c>
      <c r="U18" s="582">
        <f>P18+S18+T18</f>
        <v>0</v>
      </c>
      <c r="V18" s="49">
        <v>0</v>
      </c>
      <c r="W18" s="582">
        <f>U18+V18</f>
        <v>0</v>
      </c>
    </row>
    <row r="19" spans="1:23">
      <c r="A19" s="580"/>
      <c r="E19" s="89"/>
      <c r="F19" s="89"/>
      <c r="J19" s="581" t="s">
        <v>199</v>
      </c>
      <c r="K19" s="76"/>
      <c r="L19" s="76"/>
      <c r="M19" s="76"/>
      <c r="N19" s="49">
        <v>0</v>
      </c>
      <c r="O19" s="3">
        <f>$I$32</f>
        <v>6.8001052407158646E-2</v>
      </c>
      <c r="P19" s="582">
        <f>N19*O19</f>
        <v>0</v>
      </c>
      <c r="Q19" s="38">
        <v>0</v>
      </c>
      <c r="R19" s="3">
        <f>$I$42</f>
        <v>5.1031185268016831E-2</v>
      </c>
      <c r="S19" s="582">
        <f>Q19*R19</f>
        <v>0</v>
      </c>
      <c r="T19" s="583">
        <v>0</v>
      </c>
      <c r="U19" s="582">
        <f>P19+S19+T19</f>
        <v>0</v>
      </c>
      <c r="V19" s="49">
        <v>0</v>
      </c>
      <c r="W19" s="582">
        <f>U19+V19</f>
        <v>0</v>
      </c>
    </row>
    <row r="20" spans="1:23">
      <c r="A20" s="580"/>
      <c r="C20" s="83" t="s">
        <v>148</v>
      </c>
      <c r="D20" s="83"/>
      <c r="E20" s="89"/>
      <c r="F20" s="89"/>
      <c r="G20" s="95"/>
      <c r="I20" s="95"/>
      <c r="J20" s="581"/>
      <c r="K20" s="76"/>
      <c r="L20" s="76"/>
      <c r="M20" s="76"/>
      <c r="N20" s="76"/>
      <c r="O20" s="76"/>
      <c r="P20" s="582"/>
      <c r="Q20" s="76"/>
      <c r="R20" s="76"/>
      <c r="S20" s="582"/>
      <c r="T20" s="76"/>
      <c r="U20" s="582"/>
      <c r="V20" s="76"/>
      <c r="W20" s="582"/>
    </row>
    <row r="21" spans="1:23">
      <c r="A21" s="580">
        <v>3</v>
      </c>
      <c r="C21" s="83" t="s">
        <v>169</v>
      </c>
      <c r="D21" s="83"/>
      <c r="E21" s="89" t="s">
        <v>646</v>
      </c>
      <c r="F21" s="89"/>
      <c r="G21" s="465">
        <f>EKPC!J144</f>
        <v>57463415</v>
      </c>
      <c r="J21" s="581"/>
      <c r="K21" s="76"/>
      <c r="L21" s="76"/>
      <c r="M21" s="76"/>
      <c r="N21" s="76"/>
      <c r="O21" s="76"/>
      <c r="P21" s="582"/>
      <c r="Q21" s="76"/>
      <c r="R21" s="76"/>
      <c r="S21" s="582"/>
      <c r="T21" s="76"/>
      <c r="U21" s="582"/>
      <c r="V21" s="76"/>
      <c r="W21" s="582"/>
    </row>
    <row r="22" spans="1:23">
      <c r="A22" s="580">
        <v>4</v>
      </c>
      <c r="C22" s="83" t="s">
        <v>170</v>
      </c>
      <c r="D22" s="83"/>
      <c r="E22" s="89" t="s">
        <v>171</v>
      </c>
      <c r="F22" s="89"/>
      <c r="G22" s="210">
        <f>IF(G21=0,0,G21/G17)</f>
        <v>6.7538942366394794E-2</v>
      </c>
      <c r="I22" s="1">
        <f>G22</f>
        <v>6.7538942366394794E-2</v>
      </c>
      <c r="J22" s="581"/>
      <c r="K22" s="76"/>
      <c r="L22" s="76"/>
      <c r="M22" s="76"/>
      <c r="N22" s="76"/>
      <c r="O22" s="76"/>
      <c r="P22" s="582"/>
      <c r="Q22" s="76"/>
      <c r="R22" s="76"/>
      <c r="S22" s="582"/>
      <c r="T22" s="76"/>
      <c r="U22" s="582"/>
      <c r="V22" s="76"/>
      <c r="W22" s="582"/>
    </row>
    <row r="23" spans="1:23">
      <c r="A23" s="580"/>
      <c r="E23" s="89"/>
      <c r="F23" s="89"/>
      <c r="J23" s="581"/>
      <c r="K23" s="76"/>
      <c r="L23" s="76"/>
      <c r="M23" s="76"/>
      <c r="N23" s="76"/>
      <c r="O23" s="76"/>
      <c r="P23" s="582"/>
      <c r="Q23" s="76"/>
      <c r="R23" s="76"/>
      <c r="S23" s="582"/>
      <c r="T23" s="76"/>
      <c r="U23" s="582"/>
      <c r="V23" s="76"/>
      <c r="W23" s="582"/>
    </row>
    <row r="24" spans="1:23">
      <c r="A24" s="580"/>
      <c r="C24" s="83" t="s">
        <v>210</v>
      </c>
      <c r="D24" s="83"/>
      <c r="E24" s="111"/>
      <c r="F24" s="89"/>
      <c r="J24" s="581"/>
      <c r="K24" s="76"/>
      <c r="L24" s="76"/>
      <c r="M24" s="76"/>
      <c r="N24" s="76"/>
      <c r="O24" s="76"/>
      <c r="P24" s="582"/>
      <c r="Q24" s="76"/>
      <c r="R24" s="76"/>
      <c r="S24" s="582"/>
      <c r="T24" s="76"/>
      <c r="U24" s="582"/>
      <c r="V24" s="76"/>
      <c r="W24" s="582"/>
    </row>
    <row r="25" spans="1:23">
      <c r="A25" s="584" t="s">
        <v>172</v>
      </c>
      <c r="C25" s="83" t="s">
        <v>211</v>
      </c>
      <c r="D25" s="83"/>
      <c r="E25" s="89" t="str">
        <f>CONCATENATE(EKPC!J1,", p 3, lines 10 &amp; 11, col 5 (Note H)")</f>
        <v>Attachment H-24A, p 3, lines 10 &amp; 11, col 5 (Note H)</v>
      </c>
      <c r="F25" s="89"/>
      <c r="G25" s="465">
        <f>EKPC!J148+EKPC!J149</f>
        <v>393172</v>
      </c>
      <c r="J25" s="581"/>
      <c r="K25" s="76"/>
      <c r="L25" s="287"/>
      <c r="M25" s="287"/>
      <c r="N25" s="287"/>
      <c r="O25" s="287"/>
      <c r="P25" s="585"/>
      <c r="Q25" s="287"/>
      <c r="R25" s="287"/>
      <c r="S25" s="585"/>
      <c r="T25" s="287"/>
      <c r="U25" s="585"/>
      <c r="V25" s="287"/>
      <c r="W25" s="585"/>
    </row>
    <row r="26" spans="1:23">
      <c r="A26" s="584" t="s">
        <v>173</v>
      </c>
      <c r="C26" s="83" t="s">
        <v>212</v>
      </c>
      <c r="D26" s="83"/>
      <c r="E26" s="89" t="s">
        <v>175</v>
      </c>
      <c r="F26" s="89"/>
      <c r="G26" s="210">
        <f>IF(G25=0,0,G25/G17)</f>
        <v>4.6211004076385253E-4</v>
      </c>
      <c r="I26" s="1">
        <f>G26</f>
        <v>4.6211004076385253E-4</v>
      </c>
      <c r="J26" s="581"/>
      <c r="K26" s="76"/>
      <c r="L26" s="287"/>
      <c r="M26" s="287"/>
      <c r="N26" s="287"/>
      <c r="O26" s="287"/>
      <c r="P26" s="585"/>
      <c r="Q26" s="287"/>
      <c r="R26" s="287"/>
      <c r="S26" s="585"/>
      <c r="T26" s="287"/>
      <c r="U26" s="585"/>
      <c r="V26" s="287"/>
      <c r="W26" s="585"/>
    </row>
    <row r="27" spans="1:23">
      <c r="A27" s="580"/>
      <c r="E27" s="89"/>
      <c r="F27" s="89"/>
      <c r="J27" s="581"/>
      <c r="K27" s="76"/>
      <c r="L27" s="287"/>
      <c r="M27" s="287"/>
      <c r="N27" s="287"/>
      <c r="O27" s="287"/>
      <c r="P27" s="585"/>
      <c r="Q27" s="287"/>
      <c r="R27" s="287"/>
      <c r="S27" s="585"/>
      <c r="T27" s="287"/>
      <c r="U27" s="585"/>
      <c r="V27" s="287"/>
      <c r="W27" s="585"/>
    </row>
    <row r="28" spans="1:23">
      <c r="A28" s="584"/>
      <c r="C28" s="83" t="s">
        <v>151</v>
      </c>
      <c r="D28" s="83"/>
      <c r="E28" s="111"/>
      <c r="F28" s="111"/>
      <c r="G28" s="95"/>
      <c r="I28" s="95"/>
      <c r="J28" s="581"/>
      <c r="K28" s="76"/>
      <c r="L28" s="287"/>
      <c r="M28" s="287"/>
      <c r="N28" s="287"/>
      <c r="O28" s="287"/>
      <c r="P28" s="585"/>
      <c r="Q28" s="287"/>
      <c r="R28" s="287"/>
      <c r="S28" s="585"/>
      <c r="T28" s="287"/>
      <c r="U28" s="585"/>
      <c r="V28" s="287"/>
      <c r="W28" s="585"/>
    </row>
    <row r="29" spans="1:23">
      <c r="A29" s="584" t="s">
        <v>176</v>
      </c>
      <c r="C29" s="83" t="s">
        <v>153</v>
      </c>
      <c r="D29" s="83"/>
      <c r="E29" s="89" t="s">
        <v>647</v>
      </c>
      <c r="F29" s="89"/>
      <c r="G29" s="465">
        <f>EKPC!J161</f>
        <v>0</v>
      </c>
      <c r="J29" s="581"/>
      <c r="K29" s="76"/>
      <c r="L29" s="287"/>
      <c r="M29" s="287"/>
      <c r="N29" s="287"/>
      <c r="O29" s="287"/>
      <c r="P29" s="585"/>
      <c r="Q29" s="287"/>
      <c r="R29" s="287"/>
      <c r="S29" s="585"/>
      <c r="T29" s="287"/>
      <c r="U29" s="585"/>
      <c r="V29" s="287"/>
      <c r="W29" s="585"/>
    </row>
    <row r="30" spans="1:23">
      <c r="A30" s="584" t="s">
        <v>178</v>
      </c>
      <c r="C30" s="83" t="s">
        <v>174</v>
      </c>
      <c r="D30" s="83"/>
      <c r="E30" s="89" t="s">
        <v>175</v>
      </c>
      <c r="F30" s="89"/>
      <c r="G30" s="210">
        <f>IF(G29=0,0,G29/G17)</f>
        <v>0</v>
      </c>
      <c r="I30" s="1">
        <f>G30</f>
        <v>0</v>
      </c>
      <c r="J30" s="581"/>
      <c r="K30" s="76"/>
      <c r="L30" s="287"/>
      <c r="M30" s="287"/>
      <c r="N30" s="287"/>
      <c r="O30" s="287"/>
      <c r="P30" s="585"/>
      <c r="Q30" s="287"/>
      <c r="R30" s="287"/>
      <c r="S30" s="585"/>
      <c r="T30" s="287"/>
      <c r="U30" s="585"/>
      <c r="V30" s="287"/>
      <c r="W30" s="585"/>
    </row>
    <row r="31" spans="1:23">
      <c r="A31" s="584"/>
      <c r="C31" s="83"/>
      <c r="D31" s="83"/>
      <c r="E31" s="89"/>
      <c r="F31" s="89"/>
      <c r="G31" s="95"/>
      <c r="I31" s="95"/>
      <c r="J31" s="581"/>
      <c r="K31" s="76"/>
      <c r="L31" s="287"/>
      <c r="M31" s="287"/>
      <c r="N31" s="287"/>
      <c r="O31" s="287"/>
      <c r="P31" s="585"/>
      <c r="Q31" s="287"/>
      <c r="R31" s="287"/>
      <c r="S31" s="585"/>
      <c r="T31" s="287"/>
      <c r="U31" s="585"/>
      <c r="V31" s="287"/>
      <c r="W31" s="585"/>
    </row>
    <row r="32" spans="1:23" ht="15.75">
      <c r="A32" s="586" t="s">
        <v>149</v>
      </c>
      <c r="B32" s="388"/>
      <c r="C32" s="120" t="s">
        <v>177</v>
      </c>
      <c r="D32" s="120"/>
      <c r="E32" s="344" t="s">
        <v>293</v>
      </c>
      <c r="F32" s="344"/>
      <c r="G32" s="193"/>
      <c r="I32" s="2">
        <f>I22+I26+I30</f>
        <v>6.8001052407158646E-2</v>
      </c>
      <c r="J32" s="581"/>
      <c r="K32" s="76"/>
      <c r="L32" s="287"/>
      <c r="M32" s="287"/>
      <c r="N32" s="287"/>
      <c r="O32" s="287"/>
      <c r="P32" s="585"/>
      <c r="Q32" s="287"/>
      <c r="R32" s="287"/>
      <c r="S32" s="585"/>
      <c r="T32" s="287"/>
      <c r="U32" s="585"/>
      <c r="V32" s="287"/>
      <c r="W32" s="585"/>
    </row>
    <row r="33" spans="1:23">
      <c r="A33" s="587"/>
      <c r="C33" s="83"/>
      <c r="D33" s="83"/>
      <c r="E33" s="89"/>
      <c r="F33" s="89"/>
      <c r="G33" s="95"/>
      <c r="I33" s="95"/>
      <c r="J33" s="581"/>
      <c r="K33" s="76"/>
      <c r="L33" s="287"/>
      <c r="M33" s="287"/>
      <c r="N33" s="287"/>
      <c r="O33" s="287"/>
      <c r="P33" s="585"/>
      <c r="Q33" s="287"/>
      <c r="R33" s="287"/>
      <c r="S33" s="585"/>
      <c r="T33" s="287"/>
      <c r="U33" s="585"/>
      <c r="V33" s="287"/>
      <c r="W33" s="585"/>
    </row>
    <row r="34" spans="1:23">
      <c r="A34" s="584"/>
      <c r="B34" s="588"/>
      <c r="C34" s="95" t="s">
        <v>155</v>
      </c>
      <c r="D34" s="95"/>
      <c r="E34" s="89"/>
      <c r="F34" s="89"/>
      <c r="G34" s="95"/>
      <c r="I34" s="95"/>
      <c r="J34" s="581"/>
      <c r="K34" s="76"/>
      <c r="L34" s="287"/>
      <c r="M34" s="287"/>
      <c r="N34" s="287"/>
      <c r="O34" s="287"/>
      <c r="P34" s="585"/>
      <c r="Q34" s="287"/>
      <c r="R34" s="287"/>
      <c r="S34" s="585"/>
      <c r="T34" s="287"/>
      <c r="U34" s="585"/>
      <c r="V34" s="287"/>
      <c r="W34" s="585"/>
    </row>
    <row r="35" spans="1:23">
      <c r="A35" s="584" t="s">
        <v>150</v>
      </c>
      <c r="B35" s="588"/>
      <c r="C35" s="95" t="s">
        <v>121</v>
      </c>
      <c r="D35" s="95"/>
      <c r="E35" s="89" t="s">
        <v>648</v>
      </c>
      <c r="F35" s="89"/>
      <c r="G35" s="465">
        <v>0</v>
      </c>
      <c r="I35" s="95"/>
      <c r="J35" s="581"/>
      <c r="K35" s="76"/>
      <c r="L35" s="287"/>
      <c r="M35" s="287"/>
      <c r="N35" s="287"/>
      <c r="O35" s="287"/>
      <c r="P35" s="585"/>
      <c r="Q35" s="287"/>
      <c r="R35" s="287"/>
      <c r="S35" s="585"/>
      <c r="T35" s="287"/>
      <c r="U35" s="585"/>
      <c r="V35" s="287"/>
      <c r="W35" s="585"/>
    </row>
    <row r="36" spans="1:23">
      <c r="A36" s="584" t="s">
        <v>152</v>
      </c>
      <c r="B36" s="588"/>
      <c r="C36" s="95" t="s">
        <v>179</v>
      </c>
      <c r="D36" s="95"/>
      <c r="E36" s="89" t="s">
        <v>669</v>
      </c>
      <c r="F36" s="89"/>
      <c r="G36" s="210">
        <f>IF(G35=0,0,G35/G18)</f>
        <v>0</v>
      </c>
      <c r="I36" s="1">
        <f>G36</f>
        <v>0</v>
      </c>
      <c r="J36" s="589"/>
      <c r="K36" s="446"/>
      <c r="L36" s="305"/>
      <c r="M36" s="305"/>
      <c r="N36" s="305"/>
      <c r="O36" s="305"/>
      <c r="P36" s="590"/>
      <c r="Q36" s="305"/>
      <c r="R36" s="305"/>
      <c r="S36" s="590"/>
      <c r="T36" s="305"/>
      <c r="U36" s="590"/>
      <c r="V36" s="305"/>
      <c r="W36" s="590"/>
    </row>
    <row r="37" spans="1:23">
      <c r="A37" s="584"/>
      <c r="C37" s="95"/>
      <c r="D37" s="95"/>
      <c r="E37" s="89"/>
      <c r="F37" s="89"/>
      <c r="G37" s="95"/>
      <c r="I37" s="95"/>
      <c r="J37" s="129" t="s">
        <v>200</v>
      </c>
      <c r="K37" s="591"/>
      <c r="L37" s="83" t="s">
        <v>201</v>
      </c>
      <c r="M37" s="83"/>
      <c r="N37" s="111"/>
      <c r="O37" s="111"/>
      <c r="P37" s="95"/>
      <c r="Q37" s="95"/>
      <c r="R37" s="95"/>
      <c r="S37" s="95"/>
      <c r="T37" s="95"/>
      <c r="U37" s="188">
        <f>SUM(U17:U36)</f>
        <v>0</v>
      </c>
      <c r="V37" s="188">
        <f>SUM(V17:V36)</f>
        <v>0</v>
      </c>
      <c r="W37" s="188">
        <f>SUM(W17:W36)</f>
        <v>0</v>
      </c>
    </row>
    <row r="38" spans="1:23">
      <c r="A38" s="584"/>
      <c r="C38" s="83" t="s">
        <v>60</v>
      </c>
      <c r="D38" s="83"/>
      <c r="E38" s="142"/>
      <c r="F38" s="142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</row>
    <row r="39" spans="1:23">
      <c r="A39" s="584" t="s">
        <v>154</v>
      </c>
      <c r="C39" s="83" t="s">
        <v>156</v>
      </c>
      <c r="D39" s="83"/>
      <c r="E39" s="89" t="s">
        <v>649</v>
      </c>
      <c r="F39" s="89"/>
      <c r="G39" s="465">
        <f>EKPC!J175</f>
        <v>33636980.31363678</v>
      </c>
      <c r="I39" s="95"/>
      <c r="J39" s="4">
        <v>3</v>
      </c>
      <c r="K39" s="287"/>
      <c r="L39" s="76" t="s">
        <v>650</v>
      </c>
      <c r="M39" s="287"/>
      <c r="N39" s="287"/>
      <c r="O39" s="287"/>
      <c r="P39" s="287"/>
      <c r="Q39" s="287"/>
      <c r="R39" s="287"/>
      <c r="S39" s="287"/>
      <c r="T39" s="287"/>
      <c r="U39" s="188"/>
      <c r="V39" s="287"/>
      <c r="W39" s="188">
        <f>W37</f>
        <v>0</v>
      </c>
    </row>
    <row r="40" spans="1:23">
      <c r="A40" s="584" t="s">
        <v>213</v>
      </c>
      <c r="B40" s="588"/>
      <c r="C40" s="95" t="s">
        <v>180</v>
      </c>
      <c r="D40" s="95"/>
      <c r="E40" s="89" t="s">
        <v>670</v>
      </c>
      <c r="F40" s="89"/>
      <c r="G40" s="3">
        <f>IF(G39=0,0,G39/G18)</f>
        <v>5.1031185268016831E-2</v>
      </c>
      <c r="I40" s="1">
        <f>G40</f>
        <v>5.1031185268016831E-2</v>
      </c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</row>
    <row r="41" spans="1:23">
      <c r="A41" s="584"/>
      <c r="C41" s="83"/>
      <c r="D41" s="83"/>
      <c r="E41" s="89"/>
      <c r="F41" s="89"/>
      <c r="G41" s="95"/>
      <c r="I41" s="95"/>
      <c r="J41" s="287"/>
      <c r="K41" s="287"/>
      <c r="L41" s="287"/>
      <c r="M41" s="287"/>
      <c r="N41" s="287"/>
      <c r="O41" s="287"/>
      <c r="P41" s="287"/>
      <c r="Q41" s="287"/>
      <c r="R41" s="287"/>
      <c r="S41" s="287"/>
      <c r="T41" s="287"/>
      <c r="U41" s="287"/>
      <c r="V41" s="287"/>
      <c r="W41" s="287"/>
    </row>
    <row r="42" spans="1:23" ht="15.75">
      <c r="A42" s="586" t="s">
        <v>214</v>
      </c>
      <c r="B42" s="388"/>
      <c r="C42" s="120" t="s">
        <v>181</v>
      </c>
      <c r="D42" s="120"/>
      <c r="E42" s="344" t="s">
        <v>264</v>
      </c>
      <c r="F42" s="344"/>
      <c r="G42" s="193"/>
      <c r="I42" s="2">
        <f>I36+I40</f>
        <v>5.1031185268016831E-2</v>
      </c>
      <c r="J42" s="287"/>
      <c r="K42" s="287"/>
      <c r="L42" s="287"/>
      <c r="M42" s="287"/>
      <c r="N42" s="287"/>
      <c r="O42" s="287"/>
      <c r="P42" s="287"/>
      <c r="Q42" s="287"/>
      <c r="R42" s="287"/>
      <c r="S42" s="287"/>
      <c r="T42" s="287"/>
      <c r="U42" s="287"/>
      <c r="V42" s="287"/>
      <c r="W42" s="287"/>
    </row>
    <row r="43" spans="1:23"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87"/>
      <c r="W43" s="287"/>
    </row>
    <row r="44" spans="1:23" s="595" customFormat="1">
      <c r="A44" s="592" t="s">
        <v>93</v>
      </c>
      <c r="B44" s="593"/>
      <c r="C44" s="593"/>
      <c r="D44" s="593"/>
      <c r="E44" s="593"/>
      <c r="F44" s="593"/>
      <c r="G44" s="593"/>
      <c r="H44" s="593"/>
      <c r="I44" s="593"/>
      <c r="J44" s="594" t="s">
        <v>93</v>
      </c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</row>
    <row r="45" spans="1:23" ht="36" customHeight="1">
      <c r="A45" s="596" t="s">
        <v>95</v>
      </c>
      <c r="C45" s="597" t="s">
        <v>641</v>
      </c>
      <c r="D45" s="597"/>
      <c r="E45" s="597"/>
      <c r="F45" s="597"/>
      <c r="G45" s="597"/>
      <c r="H45" s="597"/>
      <c r="I45" s="597"/>
      <c r="J45" s="598" t="s">
        <v>95</v>
      </c>
      <c r="K45" s="599"/>
      <c r="L45" s="600" t="s">
        <v>641</v>
      </c>
      <c r="M45" s="600"/>
      <c r="N45" s="600"/>
      <c r="O45" s="600"/>
      <c r="P45" s="600"/>
      <c r="Q45" s="600"/>
      <c r="R45" s="600"/>
      <c r="S45" s="600"/>
      <c r="T45" s="600"/>
      <c r="U45" s="600"/>
      <c r="V45" s="600"/>
      <c r="W45" s="600"/>
    </row>
    <row r="46" spans="1:23" ht="33.75" customHeight="1">
      <c r="A46" s="596" t="s">
        <v>96</v>
      </c>
      <c r="C46" s="601" t="s">
        <v>642</v>
      </c>
      <c r="D46" s="601"/>
      <c r="E46" s="601"/>
      <c r="F46" s="601"/>
      <c r="G46" s="601"/>
      <c r="H46" s="601"/>
      <c r="I46" s="601"/>
      <c r="J46" s="598" t="s">
        <v>96</v>
      </c>
      <c r="K46" s="76"/>
      <c r="L46" s="602" t="s">
        <v>642</v>
      </c>
      <c r="M46" s="602"/>
      <c r="N46" s="602"/>
      <c r="O46" s="602"/>
      <c r="P46" s="602"/>
      <c r="Q46" s="602"/>
      <c r="R46" s="602"/>
      <c r="S46" s="602"/>
      <c r="T46" s="602"/>
      <c r="U46" s="602"/>
      <c r="V46" s="602"/>
      <c r="W46" s="602"/>
    </row>
    <row r="47" spans="1:23" ht="30.75" customHeight="1">
      <c r="A47" s="596" t="s">
        <v>97</v>
      </c>
      <c r="C47" s="601" t="s">
        <v>202</v>
      </c>
      <c r="D47" s="601"/>
      <c r="E47" s="601"/>
      <c r="F47" s="601"/>
      <c r="G47" s="601"/>
      <c r="H47" s="601"/>
      <c r="I47" s="601"/>
      <c r="J47" s="598" t="s">
        <v>97</v>
      </c>
      <c r="K47" s="76"/>
      <c r="L47" s="602" t="s">
        <v>202</v>
      </c>
      <c r="M47" s="602"/>
      <c r="N47" s="602"/>
      <c r="O47" s="602"/>
      <c r="P47" s="602"/>
      <c r="Q47" s="602"/>
      <c r="R47" s="602"/>
      <c r="S47" s="602"/>
      <c r="T47" s="602"/>
      <c r="U47" s="602"/>
      <c r="V47" s="602"/>
      <c r="W47" s="602"/>
    </row>
    <row r="48" spans="1:23">
      <c r="A48" s="596" t="s">
        <v>98</v>
      </c>
      <c r="C48" s="603" t="s">
        <v>203</v>
      </c>
      <c r="D48" s="603"/>
      <c r="E48" s="603"/>
      <c r="F48" s="603"/>
      <c r="G48" s="603"/>
      <c r="H48" s="603"/>
      <c r="I48" s="603"/>
      <c r="J48" s="598" t="s">
        <v>98</v>
      </c>
      <c r="K48" s="76"/>
      <c r="L48" s="604" t="s">
        <v>203</v>
      </c>
      <c r="M48" s="604"/>
      <c r="N48" s="604"/>
      <c r="O48" s="604"/>
      <c r="P48" s="604"/>
      <c r="Q48" s="604"/>
      <c r="R48" s="604"/>
      <c r="S48" s="604"/>
      <c r="T48" s="604"/>
      <c r="U48" s="604"/>
      <c r="V48" s="604"/>
      <c r="W48" s="604"/>
    </row>
    <row r="49" spans="1:30" ht="15" customHeight="1">
      <c r="A49" s="596" t="s">
        <v>99</v>
      </c>
      <c r="C49" s="601" t="s">
        <v>546</v>
      </c>
      <c r="D49" s="601"/>
      <c r="E49" s="601"/>
      <c r="F49" s="601"/>
      <c r="G49" s="601"/>
      <c r="H49" s="601"/>
      <c r="I49" s="601"/>
      <c r="J49" s="598" t="s">
        <v>99</v>
      </c>
      <c r="K49" s="76"/>
      <c r="L49" s="605" t="s">
        <v>546</v>
      </c>
      <c r="M49" s="605"/>
      <c r="N49" s="605"/>
      <c r="O49" s="605"/>
      <c r="P49" s="605"/>
      <c r="Q49" s="605"/>
      <c r="R49" s="605"/>
      <c r="S49" s="605"/>
      <c r="T49" s="605"/>
      <c r="U49" s="605"/>
      <c r="V49" s="605"/>
      <c r="W49" s="605"/>
    </row>
    <row r="50" spans="1:30" ht="15" customHeight="1">
      <c r="A50" s="596" t="s">
        <v>100</v>
      </c>
      <c r="C50" s="601" t="s">
        <v>204</v>
      </c>
      <c r="D50" s="601"/>
      <c r="E50" s="601"/>
      <c r="F50" s="601"/>
      <c r="G50" s="601"/>
      <c r="H50" s="601"/>
      <c r="I50" s="601"/>
      <c r="J50" s="598" t="s">
        <v>100</v>
      </c>
      <c r="K50" s="76"/>
      <c r="L50" s="606" t="s">
        <v>204</v>
      </c>
      <c r="M50" s="606"/>
      <c r="N50" s="606"/>
      <c r="O50" s="606"/>
      <c r="P50" s="606"/>
      <c r="Q50" s="606"/>
      <c r="R50" s="606"/>
      <c r="S50" s="606"/>
      <c r="T50" s="606"/>
      <c r="U50" s="606"/>
      <c r="V50" s="606"/>
      <c r="W50" s="606"/>
      <c r="X50" s="607"/>
      <c r="Y50" s="293"/>
      <c r="Z50" s="607"/>
      <c r="AA50" s="293"/>
    </row>
    <row r="51" spans="1:30" ht="15" customHeight="1">
      <c r="A51" s="596" t="s">
        <v>101</v>
      </c>
      <c r="C51" s="601" t="s">
        <v>549</v>
      </c>
      <c r="D51" s="601"/>
      <c r="E51" s="601"/>
      <c r="F51" s="601"/>
      <c r="G51" s="601"/>
      <c r="H51" s="601"/>
      <c r="I51" s="601"/>
      <c r="J51" s="598" t="s">
        <v>101</v>
      </c>
      <c r="K51" s="76"/>
      <c r="L51" s="606" t="s">
        <v>205</v>
      </c>
      <c r="M51" s="606"/>
      <c r="N51" s="606"/>
      <c r="O51" s="606"/>
      <c r="P51" s="606"/>
      <c r="Q51" s="606"/>
      <c r="R51" s="606"/>
      <c r="S51" s="606"/>
      <c r="T51" s="606"/>
      <c r="U51" s="606"/>
      <c r="V51" s="606"/>
      <c r="W51" s="606"/>
      <c r="X51" s="607"/>
      <c r="Y51" s="293"/>
      <c r="Z51" s="607"/>
      <c r="AA51" s="293"/>
    </row>
    <row r="52" spans="1:30" ht="30.75" customHeight="1">
      <c r="A52" s="596" t="s">
        <v>102</v>
      </c>
      <c r="C52" s="601" t="s">
        <v>643</v>
      </c>
      <c r="D52" s="601"/>
      <c r="E52" s="601"/>
      <c r="F52" s="601"/>
      <c r="G52" s="601"/>
      <c r="H52" s="601"/>
      <c r="I52" s="601"/>
      <c r="J52" s="598" t="s">
        <v>102</v>
      </c>
      <c r="K52" s="76"/>
      <c r="L52" s="605" t="s">
        <v>261</v>
      </c>
      <c r="M52" s="605"/>
      <c r="N52" s="605"/>
      <c r="O52" s="605"/>
      <c r="P52" s="605"/>
      <c r="Q52" s="605"/>
      <c r="R52" s="605"/>
      <c r="S52" s="605"/>
      <c r="T52" s="605"/>
      <c r="U52" s="605"/>
      <c r="V52" s="605"/>
      <c r="W52" s="605"/>
      <c r="X52" s="607"/>
      <c r="Y52" s="293"/>
      <c r="Z52" s="607"/>
      <c r="AA52" s="293"/>
    </row>
    <row r="53" spans="1:30" ht="29.25" customHeight="1">
      <c r="J53" s="608"/>
      <c r="K53" s="609"/>
      <c r="L53" s="610"/>
      <c r="M53" s="584"/>
      <c r="N53" s="111"/>
      <c r="O53" s="111"/>
      <c r="P53" s="95"/>
      <c r="Q53" s="76"/>
      <c r="R53" s="76"/>
      <c r="S53" s="210"/>
      <c r="T53" s="76"/>
      <c r="V53" s="95"/>
      <c r="W53" s="611"/>
      <c r="X53" s="607"/>
      <c r="Y53" s="293"/>
      <c r="Z53" s="607"/>
      <c r="AA53" s="293"/>
    </row>
    <row r="54" spans="1:30" ht="15.75">
      <c r="J54" s="612"/>
      <c r="K54" s="609"/>
      <c r="L54" s="610"/>
      <c r="M54" s="584"/>
      <c r="N54" s="111"/>
      <c r="O54" s="111"/>
      <c r="P54" s="95"/>
      <c r="Q54" s="76"/>
      <c r="R54" s="76"/>
      <c r="S54" s="210"/>
      <c r="T54" s="76"/>
      <c r="V54" s="95"/>
      <c r="W54" s="613"/>
      <c r="X54" s="607"/>
      <c r="Y54" s="293"/>
      <c r="Z54" s="607"/>
      <c r="AA54" s="293"/>
    </row>
    <row r="55" spans="1:30">
      <c r="L55" s="312"/>
      <c r="M55" s="312"/>
      <c r="N55" s="312"/>
      <c r="O55" s="312"/>
      <c r="P55" s="312"/>
      <c r="Q55" s="312"/>
      <c r="R55" s="312"/>
      <c r="S55" s="312"/>
      <c r="T55" s="312"/>
      <c r="U55" s="312"/>
      <c r="V55" s="312"/>
      <c r="W55" s="312"/>
      <c r="X55" s="607"/>
      <c r="Y55" s="293"/>
      <c r="Z55" s="607"/>
      <c r="AA55" s="293"/>
    </row>
    <row r="56" spans="1:30">
      <c r="L56" s="312"/>
      <c r="M56" s="312"/>
      <c r="N56" s="312"/>
      <c r="O56" s="312"/>
      <c r="P56" s="312"/>
      <c r="Q56" s="312"/>
      <c r="R56" s="312"/>
      <c r="S56" s="312"/>
      <c r="T56" s="312"/>
      <c r="U56" s="312"/>
      <c r="V56" s="312"/>
      <c r="W56" s="312"/>
      <c r="X56" s="607"/>
      <c r="Y56" s="293"/>
      <c r="Z56" s="607"/>
      <c r="AA56" s="293"/>
    </row>
    <row r="57" spans="1:30">
      <c r="L57" s="312"/>
      <c r="M57" s="312"/>
      <c r="N57" s="312"/>
      <c r="O57" s="312"/>
      <c r="P57" s="312"/>
      <c r="Q57" s="312"/>
      <c r="R57" s="312"/>
      <c r="S57" s="312"/>
      <c r="T57" s="312"/>
      <c r="U57" s="312"/>
      <c r="V57" s="312"/>
      <c r="W57" s="312"/>
      <c r="X57" s="607"/>
      <c r="Y57" s="293"/>
      <c r="Z57" s="607"/>
      <c r="AA57" s="293"/>
    </row>
    <row r="58" spans="1:30">
      <c r="L58" s="312"/>
      <c r="M58" s="312"/>
      <c r="N58" s="312"/>
      <c r="O58" s="312"/>
      <c r="P58" s="312"/>
      <c r="Q58" s="312"/>
      <c r="R58" s="312"/>
      <c r="S58" s="312"/>
      <c r="T58" s="312"/>
      <c r="U58" s="312"/>
      <c r="V58" s="312"/>
      <c r="W58" s="312"/>
      <c r="X58" s="607"/>
      <c r="Y58" s="293"/>
      <c r="Z58" s="607"/>
      <c r="AA58" s="293"/>
    </row>
    <row r="59" spans="1:30">
      <c r="L59" s="312"/>
      <c r="M59" s="312"/>
      <c r="N59" s="312"/>
      <c r="O59" s="312"/>
      <c r="P59" s="312"/>
      <c r="Q59" s="312"/>
      <c r="R59" s="312"/>
      <c r="S59" s="312"/>
      <c r="T59" s="312"/>
      <c r="U59" s="312"/>
      <c r="V59" s="312"/>
      <c r="W59" s="312"/>
      <c r="X59" s="607"/>
      <c r="Y59" s="293"/>
      <c r="Z59" s="607"/>
      <c r="AA59" s="293"/>
    </row>
    <row r="60" spans="1:30">
      <c r="X60" s="607"/>
      <c r="Y60" s="293"/>
      <c r="Z60" s="607"/>
      <c r="AA60" s="293"/>
    </row>
    <row r="61" spans="1:30" ht="15.75">
      <c r="I61" s="231"/>
      <c r="X61" s="614"/>
      <c r="Y61" s="293"/>
      <c r="Z61" s="607"/>
      <c r="AA61" s="293"/>
    </row>
    <row r="62" spans="1:30" ht="46.5" customHeight="1">
      <c r="X62" s="607"/>
      <c r="Y62" s="293"/>
      <c r="Z62" s="607"/>
      <c r="AA62" s="293"/>
    </row>
    <row r="63" spans="1:30">
      <c r="X63" s="607"/>
      <c r="Y63" s="293"/>
      <c r="Z63" s="607"/>
      <c r="AA63" s="293"/>
    </row>
    <row r="64" spans="1:30">
      <c r="X64" s="312"/>
      <c r="Y64" s="312"/>
      <c r="Z64" s="312"/>
      <c r="AA64" s="312"/>
      <c r="AB64" s="312"/>
      <c r="AC64" s="312"/>
      <c r="AD64" s="312"/>
    </row>
    <row r="65" spans="24:30">
      <c r="X65" s="312"/>
      <c r="Y65" s="312"/>
      <c r="Z65" s="312"/>
      <c r="AA65" s="312"/>
      <c r="AB65" s="312"/>
      <c r="AC65" s="312"/>
      <c r="AD65" s="312"/>
    </row>
    <row r="66" spans="24:30">
      <c r="X66" s="312"/>
      <c r="Y66" s="312"/>
      <c r="Z66" s="312"/>
      <c r="AA66" s="312"/>
      <c r="AB66" s="312"/>
      <c r="AC66" s="312"/>
      <c r="AD66" s="312"/>
    </row>
    <row r="67" spans="24:30">
      <c r="X67" s="312"/>
      <c r="Y67" s="312"/>
      <c r="Z67" s="312"/>
      <c r="AA67" s="312"/>
      <c r="AB67" s="312"/>
      <c r="AC67" s="312"/>
      <c r="AD67" s="312"/>
    </row>
    <row r="68" spans="24:30">
      <c r="X68" s="312"/>
      <c r="Y68" s="312"/>
      <c r="Z68" s="312"/>
      <c r="AA68" s="312"/>
      <c r="AB68" s="312"/>
      <c r="AC68" s="312"/>
      <c r="AD68" s="312"/>
    </row>
    <row r="69" spans="24:30">
      <c r="X69" s="312"/>
      <c r="Y69" s="312"/>
      <c r="Z69" s="312"/>
      <c r="AA69" s="312"/>
      <c r="AB69" s="312"/>
      <c r="AC69" s="312"/>
      <c r="AD69" s="312"/>
    </row>
    <row r="70" spans="24:30">
      <c r="X70" s="312"/>
      <c r="Y70" s="312"/>
      <c r="Z70" s="312"/>
      <c r="AA70" s="312"/>
      <c r="AB70" s="312"/>
      <c r="AC70" s="312"/>
      <c r="AD70" s="312"/>
    </row>
    <row r="71" spans="24:30">
      <c r="X71" s="312"/>
      <c r="Y71" s="312"/>
      <c r="Z71" s="312"/>
      <c r="AA71" s="312"/>
      <c r="AB71" s="312"/>
      <c r="AC71" s="312"/>
      <c r="AD71" s="312"/>
    </row>
    <row r="72" spans="24:30">
      <c r="X72" s="312"/>
      <c r="Y72" s="312"/>
      <c r="Z72" s="312"/>
      <c r="AA72" s="312"/>
      <c r="AB72" s="312"/>
      <c r="AC72" s="312"/>
      <c r="AD72" s="312"/>
    </row>
    <row r="73" spans="24:30">
      <c r="X73" s="312"/>
      <c r="Y73" s="312"/>
      <c r="Z73" s="312"/>
      <c r="AA73" s="312"/>
      <c r="AB73" s="312"/>
      <c r="AC73" s="312"/>
      <c r="AD73" s="312"/>
    </row>
    <row r="74" spans="24:30">
      <c r="X74" s="312"/>
      <c r="Y74" s="312"/>
      <c r="Z74" s="312"/>
      <c r="AA74" s="312"/>
      <c r="AB74" s="312"/>
      <c r="AC74" s="312"/>
      <c r="AD74" s="312"/>
    </row>
    <row r="75" spans="24:30">
      <c r="X75" s="312"/>
      <c r="Y75" s="312"/>
      <c r="Z75" s="312"/>
      <c r="AA75" s="312"/>
      <c r="AB75" s="312"/>
      <c r="AC75" s="312"/>
      <c r="AD75" s="312"/>
    </row>
    <row r="76" spans="24:30">
      <c r="X76" s="312"/>
      <c r="Y76" s="312"/>
      <c r="Z76" s="312"/>
      <c r="AA76" s="312"/>
      <c r="AB76" s="312"/>
      <c r="AC76" s="312"/>
      <c r="AD76" s="312"/>
    </row>
    <row r="77" spans="24:30">
      <c r="X77" s="312"/>
      <c r="Y77" s="312"/>
      <c r="Z77" s="312"/>
      <c r="AA77" s="312"/>
      <c r="AB77" s="312"/>
      <c r="AC77" s="312"/>
      <c r="AD77" s="312"/>
    </row>
    <row r="78" spans="24:30">
      <c r="X78" s="312"/>
      <c r="Y78" s="312"/>
      <c r="Z78" s="312"/>
      <c r="AA78" s="312"/>
      <c r="AB78" s="312"/>
      <c r="AC78" s="312"/>
      <c r="AD78" s="312"/>
    </row>
    <row r="79" spans="24:30">
      <c r="X79" s="312"/>
      <c r="Y79" s="312"/>
      <c r="Z79" s="312"/>
      <c r="AA79" s="312"/>
      <c r="AB79" s="312"/>
      <c r="AC79" s="312"/>
      <c r="AD79" s="312"/>
    </row>
    <row r="80" spans="24:30">
      <c r="X80" s="312"/>
      <c r="Y80" s="312"/>
      <c r="Z80" s="312"/>
      <c r="AA80" s="312"/>
      <c r="AB80" s="312"/>
      <c r="AC80" s="312"/>
      <c r="AD80" s="312"/>
    </row>
    <row r="81" spans="24:30">
      <c r="X81" s="312"/>
      <c r="Y81" s="312"/>
      <c r="Z81" s="312"/>
      <c r="AA81" s="312"/>
      <c r="AB81" s="312"/>
      <c r="AC81" s="312"/>
      <c r="AD81" s="312"/>
    </row>
    <row r="82" spans="24:30">
      <c r="X82" s="312"/>
      <c r="Y82" s="312"/>
      <c r="Z82" s="312"/>
      <c r="AA82" s="312"/>
      <c r="AB82" s="312"/>
      <c r="AC82" s="312"/>
      <c r="AD82" s="312"/>
    </row>
    <row r="83" spans="24:30">
      <c r="X83" s="312"/>
      <c r="Y83" s="312"/>
      <c r="Z83" s="312"/>
      <c r="AA83" s="312"/>
      <c r="AB83" s="312"/>
      <c r="AC83" s="312"/>
      <c r="AD83" s="312"/>
    </row>
    <row r="84" spans="24:30">
      <c r="X84" s="312"/>
      <c r="Y84" s="312"/>
      <c r="Z84" s="312"/>
      <c r="AA84" s="312"/>
      <c r="AB84" s="312"/>
      <c r="AC84" s="312"/>
      <c r="AD84" s="312"/>
    </row>
    <row r="85" spans="24:30">
      <c r="X85" s="312"/>
      <c r="Y85" s="312"/>
      <c r="Z85" s="312"/>
      <c r="AA85" s="312"/>
      <c r="AB85" s="312"/>
      <c r="AC85" s="312"/>
      <c r="AD85" s="312"/>
    </row>
    <row r="86" spans="24:30">
      <c r="X86" s="312"/>
      <c r="Y86" s="312"/>
      <c r="Z86" s="312"/>
      <c r="AA86" s="312"/>
      <c r="AB86" s="312"/>
      <c r="AC86" s="312"/>
      <c r="AD86" s="312"/>
    </row>
    <row r="87" spans="24:30">
      <c r="X87" s="312"/>
      <c r="Y87" s="312"/>
      <c r="Z87" s="312"/>
      <c r="AA87" s="312"/>
      <c r="AB87" s="312"/>
      <c r="AC87" s="312"/>
      <c r="AD87" s="312"/>
    </row>
    <row r="88" spans="24:30">
      <c r="X88" s="312"/>
      <c r="Y88" s="312"/>
      <c r="Z88" s="312"/>
      <c r="AA88" s="312"/>
      <c r="AB88" s="312"/>
      <c r="AC88" s="312"/>
      <c r="AD88" s="312"/>
    </row>
    <row r="89" spans="24:30">
      <c r="X89" s="312"/>
      <c r="Y89" s="312"/>
      <c r="Z89" s="312"/>
      <c r="AA89" s="312"/>
      <c r="AB89" s="312"/>
      <c r="AC89" s="312"/>
      <c r="AD89" s="312"/>
    </row>
    <row r="90" spans="24:30">
      <c r="X90" s="312"/>
      <c r="Y90" s="312"/>
      <c r="Z90" s="312"/>
      <c r="AA90" s="312"/>
      <c r="AB90" s="312"/>
      <c r="AC90" s="312"/>
      <c r="AD90" s="312"/>
    </row>
    <row r="91" spans="24:30">
      <c r="X91" s="312"/>
      <c r="Y91" s="312"/>
      <c r="Z91" s="312"/>
      <c r="AA91" s="312"/>
      <c r="AB91" s="312"/>
      <c r="AC91" s="312"/>
      <c r="AD91" s="312"/>
    </row>
    <row r="92" spans="24:30">
      <c r="X92" s="312"/>
      <c r="Y92" s="312"/>
      <c r="Z92" s="312"/>
      <c r="AA92" s="312"/>
      <c r="AB92" s="312"/>
      <c r="AC92" s="312"/>
      <c r="AD92" s="312"/>
    </row>
    <row r="93" spans="24:30" ht="27.75" customHeight="1">
      <c r="X93" s="312"/>
      <c r="Y93" s="312"/>
      <c r="Z93" s="312"/>
      <c r="AA93" s="312"/>
      <c r="AB93" s="312"/>
      <c r="AC93" s="312"/>
      <c r="AD93" s="312"/>
    </row>
    <row r="94" spans="24:30">
      <c r="X94" s="312"/>
      <c r="Y94" s="312"/>
      <c r="Z94" s="312"/>
      <c r="AA94" s="312"/>
      <c r="AB94" s="312"/>
      <c r="AC94" s="312"/>
      <c r="AD94" s="312"/>
    </row>
    <row r="95" spans="24:30">
      <c r="X95" s="312"/>
      <c r="Y95" s="312"/>
      <c r="Z95" s="312"/>
      <c r="AA95" s="312"/>
      <c r="AB95" s="312"/>
      <c r="AC95" s="312"/>
      <c r="AD95" s="312"/>
    </row>
    <row r="96" spans="24:30">
      <c r="X96" s="312"/>
      <c r="Y96" s="312"/>
      <c r="Z96" s="312"/>
      <c r="AA96" s="312"/>
      <c r="AB96" s="312"/>
      <c r="AC96" s="312"/>
      <c r="AD96" s="312"/>
    </row>
    <row r="97" spans="3:30">
      <c r="X97" s="312"/>
      <c r="Y97" s="312"/>
      <c r="Z97" s="312"/>
      <c r="AA97" s="312"/>
      <c r="AB97" s="312"/>
      <c r="AC97" s="312"/>
      <c r="AD97" s="312"/>
    </row>
    <row r="98" spans="3:30" ht="30" customHeight="1">
      <c r="X98" s="312"/>
      <c r="Y98" s="312"/>
      <c r="Z98" s="312"/>
      <c r="AA98" s="312"/>
      <c r="AB98" s="312"/>
      <c r="AC98" s="312"/>
      <c r="AD98" s="312"/>
    </row>
    <row r="99" spans="3:30" ht="30" customHeight="1">
      <c r="X99" s="312"/>
      <c r="Y99" s="312"/>
      <c r="Z99" s="312"/>
      <c r="AA99" s="312"/>
      <c r="AB99" s="312"/>
      <c r="AC99" s="312"/>
      <c r="AD99" s="312"/>
    </row>
    <row r="100" spans="3:30" ht="30" customHeight="1">
      <c r="X100" s="312"/>
      <c r="Y100" s="312"/>
      <c r="Z100" s="312"/>
      <c r="AA100" s="312"/>
      <c r="AB100" s="312"/>
      <c r="AC100" s="312"/>
      <c r="AD100" s="312"/>
    </row>
    <row r="101" spans="3:30">
      <c r="X101" s="312"/>
      <c r="Y101" s="312"/>
      <c r="Z101" s="312"/>
      <c r="AA101" s="312"/>
      <c r="AB101" s="312"/>
      <c r="AC101" s="312"/>
      <c r="AD101" s="312"/>
    </row>
    <row r="102" spans="3:30">
      <c r="X102" s="312"/>
      <c r="Y102" s="312"/>
      <c r="Z102" s="312"/>
      <c r="AA102" s="312"/>
      <c r="AB102" s="312"/>
      <c r="AC102" s="312"/>
      <c r="AD102" s="312"/>
    </row>
    <row r="103" spans="3:30">
      <c r="X103" s="312"/>
      <c r="Y103" s="312"/>
      <c r="Z103" s="312"/>
      <c r="AA103" s="312"/>
      <c r="AB103" s="312"/>
      <c r="AC103" s="312"/>
      <c r="AD103" s="312"/>
    </row>
    <row r="104" spans="3:30">
      <c r="C104" s="312"/>
      <c r="D104" s="312"/>
      <c r="E104" s="312"/>
      <c r="F104" s="312"/>
      <c r="G104" s="312"/>
      <c r="H104" s="312"/>
      <c r="I104" s="312"/>
      <c r="X104" s="312"/>
      <c r="Y104" s="312"/>
      <c r="Z104" s="312"/>
      <c r="AA104" s="312"/>
      <c r="AB104" s="312"/>
      <c r="AC104" s="312"/>
      <c r="AD104" s="312"/>
    </row>
    <row r="105" spans="3:30">
      <c r="C105" s="312"/>
      <c r="D105" s="312"/>
      <c r="E105" s="312"/>
      <c r="F105" s="312"/>
      <c r="G105" s="312"/>
      <c r="H105" s="312"/>
      <c r="I105" s="312"/>
      <c r="X105" s="312"/>
      <c r="Y105" s="312"/>
      <c r="Z105" s="312"/>
      <c r="AA105" s="312"/>
      <c r="AB105" s="312"/>
      <c r="AC105" s="312"/>
      <c r="AD105" s="312"/>
    </row>
    <row r="106" spans="3:30">
      <c r="C106" s="312"/>
      <c r="D106" s="312"/>
      <c r="E106" s="312"/>
      <c r="F106" s="312"/>
      <c r="G106" s="312"/>
      <c r="H106" s="312"/>
      <c r="I106" s="312"/>
    </row>
    <row r="107" spans="3:30">
      <c r="C107" s="312"/>
      <c r="D107" s="312"/>
      <c r="E107" s="312"/>
      <c r="F107" s="312"/>
      <c r="G107" s="312"/>
      <c r="H107" s="312"/>
      <c r="I107" s="312"/>
    </row>
    <row r="108" spans="3:30">
      <c r="C108" s="312"/>
      <c r="D108" s="312"/>
      <c r="E108" s="312"/>
      <c r="F108" s="312"/>
      <c r="G108" s="312"/>
      <c r="H108" s="312"/>
      <c r="I108" s="312"/>
    </row>
    <row r="109" spans="3:30">
      <c r="C109" s="312"/>
      <c r="D109" s="312"/>
      <c r="E109" s="312"/>
      <c r="F109" s="312"/>
      <c r="G109" s="312"/>
      <c r="H109" s="312"/>
      <c r="I109" s="312"/>
    </row>
    <row r="110" spans="3:30">
      <c r="C110" s="312"/>
      <c r="D110" s="312"/>
      <c r="E110" s="312"/>
      <c r="F110" s="312"/>
      <c r="G110" s="312"/>
      <c r="H110" s="312"/>
      <c r="I110" s="312"/>
    </row>
    <row r="111" spans="3:30">
      <c r="C111" s="312"/>
      <c r="D111" s="312"/>
      <c r="E111" s="312"/>
      <c r="F111" s="312"/>
      <c r="G111" s="312"/>
      <c r="H111" s="312"/>
      <c r="I111" s="312"/>
    </row>
    <row r="112" spans="3:30">
      <c r="C112" s="312"/>
      <c r="D112" s="312"/>
      <c r="E112" s="312"/>
      <c r="F112" s="312"/>
      <c r="G112" s="312"/>
      <c r="H112" s="312"/>
      <c r="I112" s="312"/>
    </row>
    <row r="113" spans="3:9">
      <c r="C113" s="312"/>
      <c r="D113" s="312"/>
      <c r="E113" s="312"/>
      <c r="F113" s="312"/>
      <c r="G113" s="312"/>
      <c r="H113" s="312"/>
      <c r="I113" s="312"/>
    </row>
    <row r="114" spans="3:9">
      <c r="C114" s="312"/>
      <c r="D114" s="312"/>
      <c r="E114" s="312"/>
      <c r="F114" s="312"/>
      <c r="G114" s="312"/>
      <c r="H114" s="312"/>
      <c r="I114" s="312"/>
    </row>
    <row r="115" spans="3:9">
      <c r="C115" s="312"/>
      <c r="D115" s="312"/>
      <c r="E115" s="312"/>
      <c r="F115" s="312"/>
      <c r="G115" s="312"/>
      <c r="H115" s="312"/>
      <c r="I115" s="312"/>
    </row>
    <row r="116" spans="3:9">
      <c r="C116" s="312"/>
      <c r="D116" s="312"/>
      <c r="E116" s="312"/>
      <c r="F116" s="312"/>
      <c r="G116" s="312"/>
      <c r="H116" s="312"/>
      <c r="I116" s="312"/>
    </row>
    <row r="117" spans="3:9">
      <c r="C117" s="312"/>
      <c r="D117" s="312"/>
      <c r="E117" s="312"/>
      <c r="F117" s="312"/>
      <c r="G117" s="312"/>
      <c r="H117" s="312"/>
      <c r="I117" s="312"/>
    </row>
    <row r="118" spans="3:9">
      <c r="C118" s="312"/>
      <c r="D118" s="312"/>
      <c r="E118" s="312"/>
      <c r="F118" s="312"/>
      <c r="G118" s="312"/>
      <c r="H118" s="312"/>
      <c r="I118" s="312"/>
    </row>
    <row r="119" spans="3:9">
      <c r="C119" s="312"/>
      <c r="D119" s="312"/>
      <c r="E119" s="312"/>
      <c r="F119" s="312"/>
      <c r="G119" s="312"/>
      <c r="H119" s="312"/>
      <c r="I119" s="312"/>
    </row>
    <row r="120" spans="3:9">
      <c r="C120" s="312"/>
      <c r="D120" s="312"/>
      <c r="E120" s="312"/>
      <c r="F120" s="312"/>
      <c r="G120" s="312"/>
      <c r="H120" s="312"/>
      <c r="I120" s="312"/>
    </row>
    <row r="121" spans="3:9">
      <c r="C121" s="312"/>
      <c r="D121" s="312"/>
      <c r="E121" s="312"/>
      <c r="F121" s="312"/>
      <c r="G121" s="312"/>
      <c r="H121" s="312"/>
      <c r="I121" s="312"/>
    </row>
    <row r="122" spans="3:9">
      <c r="C122" s="312"/>
      <c r="D122" s="312"/>
      <c r="E122" s="312"/>
      <c r="F122" s="312"/>
      <c r="G122" s="312"/>
      <c r="H122" s="312"/>
      <c r="I122" s="312"/>
    </row>
    <row r="123" spans="3:9">
      <c r="C123" s="312"/>
      <c r="D123" s="312"/>
      <c r="E123" s="312"/>
      <c r="F123" s="312"/>
      <c r="G123" s="312"/>
      <c r="H123" s="312"/>
      <c r="I123" s="312"/>
    </row>
    <row r="124" spans="3:9">
      <c r="C124" s="312"/>
      <c r="D124" s="312"/>
      <c r="E124" s="312"/>
      <c r="F124" s="312"/>
      <c r="G124" s="312"/>
      <c r="H124" s="312"/>
      <c r="I124" s="312"/>
    </row>
    <row r="125" spans="3:9">
      <c r="C125" s="312"/>
      <c r="D125" s="312"/>
      <c r="E125" s="312"/>
      <c r="F125" s="312"/>
      <c r="G125" s="312"/>
      <c r="H125" s="312"/>
      <c r="I125" s="312"/>
    </row>
    <row r="126" spans="3:9">
      <c r="C126" s="312"/>
      <c r="D126" s="312"/>
      <c r="E126" s="312"/>
      <c r="F126" s="312"/>
      <c r="G126" s="312"/>
      <c r="H126" s="312"/>
      <c r="I126" s="312"/>
    </row>
    <row r="127" spans="3:9">
      <c r="C127" s="312"/>
      <c r="D127" s="312"/>
      <c r="E127" s="312"/>
      <c r="F127" s="312"/>
      <c r="G127" s="312"/>
      <c r="H127" s="312"/>
      <c r="I127" s="312"/>
    </row>
    <row r="128" spans="3:9">
      <c r="C128" s="312"/>
      <c r="D128" s="312"/>
      <c r="E128" s="312"/>
      <c r="F128" s="312"/>
      <c r="G128" s="312"/>
      <c r="H128" s="312"/>
      <c r="I128" s="312"/>
    </row>
    <row r="129" spans="3:9">
      <c r="C129" s="312"/>
      <c r="D129" s="312"/>
      <c r="E129" s="312"/>
      <c r="F129" s="312"/>
      <c r="G129" s="312"/>
      <c r="H129" s="312"/>
      <c r="I129" s="312"/>
    </row>
    <row r="130" spans="3:9">
      <c r="C130" s="312"/>
      <c r="D130" s="312"/>
      <c r="E130" s="312"/>
      <c r="F130" s="312"/>
      <c r="G130" s="312"/>
      <c r="H130" s="312"/>
      <c r="I130" s="312"/>
    </row>
    <row r="131" spans="3:9">
      <c r="C131" s="312"/>
      <c r="D131" s="312"/>
      <c r="E131" s="312"/>
      <c r="F131" s="312"/>
      <c r="G131" s="312"/>
      <c r="H131" s="312"/>
      <c r="I131" s="312"/>
    </row>
    <row r="132" spans="3:9">
      <c r="C132" s="312"/>
      <c r="D132" s="312"/>
      <c r="E132" s="312"/>
      <c r="F132" s="312"/>
      <c r="G132" s="312"/>
      <c r="H132" s="312"/>
      <c r="I132" s="312"/>
    </row>
    <row r="133" spans="3:9">
      <c r="C133" s="312"/>
      <c r="D133" s="312"/>
      <c r="E133" s="312"/>
      <c r="F133" s="312"/>
      <c r="G133" s="312"/>
      <c r="H133" s="312"/>
      <c r="I133" s="312"/>
    </row>
    <row r="134" spans="3:9">
      <c r="C134" s="312"/>
      <c r="D134" s="312"/>
      <c r="E134" s="312"/>
      <c r="F134" s="312"/>
      <c r="G134" s="312"/>
      <c r="H134" s="312"/>
      <c r="I134" s="312"/>
    </row>
    <row r="135" spans="3:9">
      <c r="C135" s="312"/>
      <c r="D135" s="312"/>
      <c r="E135" s="312"/>
      <c r="F135" s="312"/>
      <c r="G135" s="312"/>
      <c r="H135" s="312"/>
      <c r="I135" s="312"/>
    </row>
    <row r="136" spans="3:9">
      <c r="C136" s="312"/>
      <c r="D136" s="312"/>
      <c r="E136" s="312"/>
      <c r="F136" s="312"/>
      <c r="G136" s="312"/>
      <c r="H136" s="312"/>
      <c r="I136" s="312"/>
    </row>
    <row r="137" spans="3:9">
      <c r="C137" s="312"/>
      <c r="D137" s="312"/>
      <c r="E137" s="312"/>
      <c r="F137" s="312"/>
      <c r="G137" s="312"/>
      <c r="H137" s="312"/>
      <c r="I137" s="312"/>
    </row>
    <row r="138" spans="3:9">
      <c r="C138" s="312"/>
      <c r="D138" s="312"/>
      <c r="E138" s="312"/>
      <c r="F138" s="312"/>
      <c r="G138" s="312"/>
      <c r="H138" s="312"/>
      <c r="I138" s="312"/>
    </row>
    <row r="139" spans="3:9">
      <c r="C139" s="312"/>
      <c r="D139" s="312"/>
      <c r="E139" s="312"/>
      <c r="F139" s="312"/>
      <c r="G139" s="312"/>
      <c r="H139" s="312"/>
      <c r="I139" s="312"/>
    </row>
    <row r="140" spans="3:9">
      <c r="C140" s="312"/>
      <c r="D140" s="312"/>
      <c r="E140" s="312"/>
      <c r="F140" s="312"/>
      <c r="G140" s="312"/>
      <c r="H140" s="312"/>
      <c r="I140" s="312"/>
    </row>
    <row r="141" spans="3:9">
      <c r="C141" s="312"/>
      <c r="D141" s="312"/>
      <c r="E141" s="312"/>
      <c r="F141" s="312"/>
      <c r="G141" s="312"/>
      <c r="H141" s="312"/>
      <c r="I141" s="312"/>
    </row>
    <row r="142" spans="3:9">
      <c r="C142" s="312"/>
      <c r="D142" s="312"/>
      <c r="E142" s="312"/>
      <c r="F142" s="312"/>
      <c r="G142" s="312"/>
      <c r="H142" s="312"/>
      <c r="I142" s="312"/>
    </row>
    <row r="143" spans="3:9">
      <c r="C143" s="312"/>
      <c r="D143" s="312"/>
      <c r="E143" s="312"/>
      <c r="F143" s="312"/>
      <c r="G143" s="312"/>
      <c r="H143" s="312"/>
      <c r="I143" s="312"/>
    </row>
    <row r="144" spans="3:9">
      <c r="C144" s="312"/>
      <c r="D144" s="312"/>
      <c r="E144" s="312"/>
      <c r="F144" s="312"/>
      <c r="G144" s="312"/>
      <c r="H144" s="312"/>
      <c r="I144" s="312"/>
    </row>
    <row r="145" spans="3:9">
      <c r="C145" s="312"/>
      <c r="D145" s="312"/>
      <c r="E145" s="312"/>
      <c r="F145" s="312"/>
      <c r="G145" s="312"/>
      <c r="H145" s="312"/>
      <c r="I145" s="312"/>
    </row>
    <row r="146" spans="3:9">
      <c r="C146" s="312"/>
      <c r="D146" s="312"/>
      <c r="E146" s="312"/>
      <c r="F146" s="312"/>
      <c r="G146" s="312"/>
      <c r="H146" s="312"/>
      <c r="I146" s="312"/>
    </row>
    <row r="147" spans="3:9">
      <c r="C147" s="312"/>
      <c r="D147" s="312"/>
      <c r="E147" s="312"/>
      <c r="F147" s="312"/>
      <c r="G147" s="312"/>
      <c r="H147" s="312"/>
      <c r="I147" s="312"/>
    </row>
    <row r="148" spans="3:9">
      <c r="C148" s="312"/>
      <c r="D148" s="312"/>
      <c r="E148" s="312"/>
      <c r="F148" s="312"/>
      <c r="G148" s="312"/>
      <c r="H148" s="312"/>
      <c r="I148" s="312"/>
    </row>
    <row r="149" spans="3:9">
      <c r="C149" s="312"/>
      <c r="D149" s="312"/>
      <c r="E149" s="312"/>
      <c r="F149" s="312"/>
      <c r="G149" s="312"/>
      <c r="H149" s="312"/>
      <c r="I149" s="312"/>
    </row>
    <row r="150" spans="3:9">
      <c r="C150" s="312"/>
      <c r="D150" s="312"/>
      <c r="E150" s="312"/>
      <c r="F150" s="312"/>
      <c r="G150" s="312"/>
      <c r="H150" s="312"/>
      <c r="I150" s="312"/>
    </row>
    <row r="151" spans="3:9">
      <c r="C151" s="312"/>
      <c r="D151" s="312"/>
      <c r="E151" s="312"/>
      <c r="F151" s="312"/>
      <c r="G151" s="312"/>
      <c r="H151" s="312"/>
      <c r="I151" s="312"/>
    </row>
    <row r="152" spans="3:9">
      <c r="C152" s="312"/>
      <c r="D152" s="312"/>
      <c r="E152" s="312"/>
      <c r="F152" s="312"/>
      <c r="G152" s="312"/>
      <c r="H152" s="312"/>
      <c r="I152" s="312"/>
    </row>
    <row r="153" spans="3:9">
      <c r="C153" s="312"/>
      <c r="D153" s="312"/>
      <c r="E153" s="312"/>
      <c r="F153" s="312"/>
      <c r="G153" s="312"/>
      <c r="H153" s="312"/>
      <c r="I153" s="312"/>
    </row>
    <row r="154" spans="3:9">
      <c r="C154" s="312"/>
      <c r="D154" s="312"/>
      <c r="E154" s="312"/>
      <c r="F154" s="312"/>
      <c r="G154" s="312"/>
      <c r="H154" s="312"/>
      <c r="I154" s="312"/>
    </row>
    <row r="155" spans="3:9">
      <c r="C155" s="312"/>
      <c r="D155" s="312"/>
      <c r="E155" s="312"/>
      <c r="F155" s="312"/>
      <c r="G155" s="312"/>
      <c r="H155" s="312"/>
      <c r="I155" s="312"/>
    </row>
    <row r="156" spans="3:9">
      <c r="C156" s="312"/>
      <c r="D156" s="312"/>
      <c r="E156" s="312"/>
      <c r="F156" s="312"/>
      <c r="G156" s="312"/>
      <c r="H156" s="312"/>
      <c r="I156" s="312"/>
    </row>
    <row r="157" spans="3:9">
      <c r="C157" s="312"/>
      <c r="D157" s="312"/>
      <c r="E157" s="312"/>
      <c r="F157" s="312"/>
      <c r="G157" s="312"/>
      <c r="H157" s="312"/>
      <c r="I157" s="312"/>
    </row>
    <row r="158" spans="3:9">
      <c r="C158" s="312"/>
      <c r="D158" s="312"/>
      <c r="E158" s="312"/>
      <c r="F158" s="312"/>
      <c r="G158" s="312"/>
      <c r="H158" s="312"/>
      <c r="I158" s="312"/>
    </row>
    <row r="159" spans="3:9">
      <c r="C159" s="312"/>
      <c r="D159" s="312"/>
      <c r="E159" s="312"/>
      <c r="F159" s="312"/>
      <c r="G159" s="312"/>
      <c r="H159" s="312"/>
      <c r="I159" s="312"/>
    </row>
    <row r="160" spans="3:9">
      <c r="C160" s="312"/>
      <c r="D160" s="312"/>
      <c r="E160" s="312"/>
      <c r="F160" s="312"/>
      <c r="G160" s="312"/>
      <c r="H160" s="312"/>
      <c r="I160" s="312"/>
    </row>
    <row r="161" spans="3:9">
      <c r="C161" s="312"/>
      <c r="D161" s="312"/>
      <c r="E161" s="312"/>
      <c r="F161" s="312"/>
      <c r="G161" s="312"/>
      <c r="H161" s="312"/>
      <c r="I161" s="312"/>
    </row>
    <row r="162" spans="3:9">
      <c r="C162" s="312"/>
      <c r="D162" s="312"/>
      <c r="E162" s="312"/>
      <c r="F162" s="312"/>
      <c r="G162" s="312"/>
      <c r="H162" s="312"/>
      <c r="I162" s="312"/>
    </row>
    <row r="163" spans="3:9">
      <c r="C163" s="312"/>
      <c r="D163" s="312"/>
      <c r="E163" s="312"/>
      <c r="F163" s="312"/>
      <c r="G163" s="312"/>
      <c r="H163" s="312"/>
      <c r="I163" s="312"/>
    </row>
    <row r="164" spans="3:9">
      <c r="C164" s="312"/>
      <c r="D164" s="312"/>
      <c r="E164" s="312"/>
      <c r="F164" s="312"/>
      <c r="G164" s="312"/>
      <c r="H164" s="312"/>
      <c r="I164" s="312"/>
    </row>
    <row r="165" spans="3:9">
      <c r="C165" s="312"/>
      <c r="D165" s="312"/>
      <c r="E165" s="312"/>
      <c r="F165" s="312"/>
      <c r="G165" s="312"/>
      <c r="H165" s="312"/>
      <c r="I165" s="312"/>
    </row>
    <row r="166" spans="3:9">
      <c r="C166" s="312"/>
      <c r="D166" s="312"/>
      <c r="E166" s="312"/>
      <c r="F166" s="312"/>
      <c r="G166" s="312"/>
      <c r="H166" s="312"/>
      <c r="I166" s="312"/>
    </row>
    <row r="167" spans="3:9">
      <c r="C167" s="312"/>
      <c r="D167" s="312"/>
      <c r="E167" s="312"/>
      <c r="F167" s="312"/>
      <c r="G167" s="312"/>
      <c r="H167" s="312"/>
      <c r="I167" s="312"/>
    </row>
    <row r="168" spans="3:9">
      <c r="C168" s="312"/>
      <c r="D168" s="312"/>
      <c r="E168" s="312"/>
      <c r="F168" s="312"/>
      <c r="G168" s="312"/>
      <c r="H168" s="312"/>
      <c r="I168" s="312"/>
    </row>
    <row r="169" spans="3:9">
      <c r="C169" s="312"/>
      <c r="D169" s="312"/>
      <c r="E169" s="312"/>
      <c r="F169" s="312"/>
      <c r="G169" s="312"/>
      <c r="H169" s="312"/>
      <c r="I169" s="312"/>
    </row>
    <row r="170" spans="3:9">
      <c r="C170" s="312"/>
      <c r="D170" s="312"/>
      <c r="E170" s="312"/>
      <c r="F170" s="312"/>
      <c r="G170" s="312"/>
      <c r="H170" s="312"/>
      <c r="I170" s="312"/>
    </row>
    <row r="171" spans="3:9">
      <c r="C171" s="312"/>
      <c r="D171" s="312"/>
      <c r="E171" s="312"/>
      <c r="F171" s="312"/>
      <c r="G171" s="312"/>
      <c r="H171" s="312"/>
      <c r="I171" s="312"/>
    </row>
    <row r="172" spans="3:9">
      <c r="C172" s="312"/>
      <c r="D172" s="312"/>
      <c r="E172" s="312"/>
      <c r="F172" s="312"/>
      <c r="G172" s="312"/>
      <c r="H172" s="312"/>
      <c r="I172" s="312"/>
    </row>
    <row r="173" spans="3:9">
      <c r="C173" s="312"/>
      <c r="D173" s="312"/>
      <c r="E173" s="312"/>
      <c r="F173" s="312"/>
      <c r="G173" s="312"/>
      <c r="H173" s="312"/>
      <c r="I173" s="312"/>
    </row>
    <row r="174" spans="3:9">
      <c r="C174" s="312"/>
      <c r="D174" s="312"/>
      <c r="E174" s="312"/>
      <c r="F174" s="312"/>
      <c r="G174" s="312"/>
      <c r="H174" s="312"/>
      <c r="I174" s="312"/>
    </row>
    <row r="175" spans="3:9">
      <c r="C175" s="312"/>
      <c r="D175" s="312"/>
      <c r="E175" s="312"/>
      <c r="F175" s="312"/>
      <c r="G175" s="312"/>
      <c r="H175" s="312"/>
      <c r="I175" s="312"/>
    </row>
    <row r="176" spans="3:9">
      <c r="C176" s="312"/>
      <c r="D176" s="312"/>
      <c r="E176" s="312"/>
      <c r="F176" s="312"/>
      <c r="G176" s="312"/>
      <c r="H176" s="312"/>
      <c r="I176" s="312"/>
    </row>
    <row r="177" spans="3:9">
      <c r="C177" s="312"/>
      <c r="D177" s="312"/>
      <c r="E177" s="312"/>
      <c r="F177" s="312"/>
      <c r="G177" s="312"/>
      <c r="H177" s="312"/>
      <c r="I177" s="312"/>
    </row>
    <row r="178" spans="3:9">
      <c r="C178" s="312"/>
      <c r="D178" s="312"/>
      <c r="E178" s="312"/>
      <c r="F178" s="312"/>
      <c r="G178" s="312"/>
      <c r="H178" s="312"/>
      <c r="I178" s="312"/>
    </row>
    <row r="179" spans="3:9">
      <c r="C179" s="312"/>
      <c r="D179" s="312"/>
      <c r="E179" s="312"/>
      <c r="F179" s="312"/>
      <c r="G179" s="312"/>
      <c r="H179" s="312"/>
      <c r="I179" s="312"/>
    </row>
    <row r="180" spans="3:9">
      <c r="C180" s="312"/>
      <c r="D180" s="312"/>
      <c r="E180" s="312"/>
      <c r="F180" s="312"/>
      <c r="G180" s="312"/>
      <c r="H180" s="312"/>
      <c r="I180" s="312"/>
    </row>
    <row r="181" spans="3:9">
      <c r="C181" s="312"/>
      <c r="D181" s="312"/>
      <c r="E181" s="312"/>
      <c r="F181" s="312"/>
      <c r="G181" s="312"/>
      <c r="H181" s="312"/>
      <c r="I181" s="312"/>
    </row>
    <row r="182" spans="3:9">
      <c r="C182" s="312"/>
      <c r="D182" s="312"/>
      <c r="E182" s="312"/>
      <c r="F182" s="312"/>
      <c r="G182" s="312"/>
      <c r="H182" s="312"/>
      <c r="I182" s="312"/>
    </row>
    <row r="183" spans="3:9">
      <c r="C183" s="312"/>
      <c r="D183" s="312"/>
      <c r="E183" s="312"/>
      <c r="F183" s="312"/>
      <c r="G183" s="312"/>
      <c r="H183" s="312"/>
      <c r="I183" s="312"/>
    </row>
    <row r="184" spans="3:9">
      <c r="C184" s="312"/>
      <c r="D184" s="312"/>
      <c r="E184" s="312"/>
      <c r="F184" s="312"/>
      <c r="G184" s="312"/>
      <c r="H184" s="312"/>
      <c r="I184" s="312"/>
    </row>
    <row r="185" spans="3:9">
      <c r="C185" s="312"/>
      <c r="D185" s="312"/>
      <c r="E185" s="312"/>
      <c r="F185" s="312"/>
      <c r="G185" s="312"/>
      <c r="H185" s="312"/>
      <c r="I185" s="312"/>
    </row>
    <row r="186" spans="3:9">
      <c r="C186" s="312"/>
      <c r="D186" s="312"/>
      <c r="E186" s="312"/>
      <c r="F186" s="312"/>
      <c r="G186" s="312"/>
      <c r="H186" s="312"/>
      <c r="I186" s="312"/>
    </row>
    <row r="187" spans="3:9">
      <c r="C187" s="312"/>
      <c r="D187" s="312"/>
      <c r="E187" s="312"/>
      <c r="F187" s="312"/>
      <c r="G187" s="312"/>
      <c r="H187" s="312"/>
      <c r="I187" s="312"/>
    </row>
    <row r="188" spans="3:9">
      <c r="C188" s="312"/>
      <c r="D188" s="312"/>
      <c r="E188" s="312"/>
      <c r="F188" s="312"/>
      <c r="G188" s="312"/>
      <c r="H188" s="312"/>
      <c r="I188" s="312"/>
    </row>
    <row r="189" spans="3:9">
      <c r="C189" s="312"/>
      <c r="D189" s="312"/>
      <c r="E189" s="312"/>
      <c r="F189" s="312"/>
      <c r="G189" s="312"/>
      <c r="H189" s="312"/>
      <c r="I189" s="312"/>
    </row>
    <row r="190" spans="3:9">
      <c r="C190" s="312"/>
      <c r="D190" s="312"/>
      <c r="E190" s="312"/>
      <c r="F190" s="312"/>
      <c r="G190" s="312"/>
      <c r="H190" s="312"/>
      <c r="I190" s="312"/>
    </row>
    <row r="191" spans="3:9">
      <c r="C191" s="312"/>
      <c r="D191" s="312"/>
      <c r="E191" s="312"/>
      <c r="F191" s="312"/>
      <c r="G191" s="312"/>
      <c r="H191" s="312"/>
      <c r="I191" s="312"/>
    </row>
    <row r="192" spans="3:9">
      <c r="C192" s="312"/>
      <c r="D192" s="312"/>
      <c r="E192" s="312"/>
      <c r="F192" s="312"/>
      <c r="G192" s="312"/>
      <c r="H192" s="312"/>
      <c r="I192" s="312"/>
    </row>
    <row r="193" spans="3:9">
      <c r="C193" s="312"/>
      <c r="D193" s="312"/>
      <c r="E193" s="312"/>
      <c r="F193" s="312"/>
      <c r="G193" s="312"/>
      <c r="H193" s="312"/>
      <c r="I193" s="312"/>
    </row>
    <row r="194" spans="3:9">
      <c r="C194" s="312"/>
      <c r="D194" s="312"/>
      <c r="E194" s="312"/>
      <c r="F194" s="312"/>
      <c r="G194" s="312"/>
      <c r="H194" s="312"/>
      <c r="I194" s="312"/>
    </row>
    <row r="195" spans="3:9">
      <c r="C195" s="312"/>
      <c r="D195" s="312"/>
      <c r="E195" s="312"/>
      <c r="F195" s="312"/>
      <c r="G195" s="312"/>
      <c r="H195" s="312"/>
      <c r="I195" s="312"/>
    </row>
    <row r="196" spans="3:9">
      <c r="C196" s="312"/>
      <c r="D196" s="312"/>
      <c r="E196" s="312"/>
      <c r="F196" s="312"/>
      <c r="G196" s="312"/>
      <c r="H196" s="312"/>
      <c r="I196" s="312"/>
    </row>
    <row r="197" spans="3:9">
      <c r="C197" s="312"/>
      <c r="D197" s="312"/>
      <c r="E197" s="312"/>
      <c r="F197" s="312"/>
      <c r="G197" s="312"/>
      <c r="H197" s="312"/>
      <c r="I197" s="312"/>
    </row>
    <row r="198" spans="3:9">
      <c r="C198" s="312"/>
      <c r="D198" s="312"/>
      <c r="E198" s="312"/>
      <c r="F198" s="312"/>
      <c r="G198" s="312"/>
      <c r="H198" s="312"/>
      <c r="I198" s="312"/>
    </row>
    <row r="199" spans="3:9">
      <c r="C199" s="312"/>
      <c r="D199" s="312"/>
      <c r="E199" s="312"/>
      <c r="F199" s="312"/>
      <c r="G199" s="312"/>
      <c r="H199" s="312"/>
      <c r="I199" s="312"/>
    </row>
    <row r="200" spans="3:9">
      <c r="C200" s="312"/>
      <c r="D200" s="312"/>
      <c r="E200" s="312"/>
      <c r="F200" s="312"/>
      <c r="G200" s="312"/>
      <c r="H200" s="312"/>
      <c r="I200" s="312"/>
    </row>
    <row r="201" spans="3:9">
      <c r="C201" s="312"/>
      <c r="D201" s="312"/>
      <c r="E201" s="312"/>
      <c r="F201" s="312"/>
      <c r="G201" s="312"/>
      <c r="H201" s="312"/>
      <c r="I201" s="312"/>
    </row>
    <row r="202" spans="3:9">
      <c r="C202" s="312"/>
      <c r="D202" s="312"/>
      <c r="E202" s="312"/>
      <c r="F202" s="312"/>
      <c r="G202" s="312"/>
      <c r="H202" s="312"/>
      <c r="I202" s="312"/>
    </row>
    <row r="203" spans="3:9">
      <c r="C203" s="312"/>
      <c r="D203" s="312"/>
      <c r="E203" s="312"/>
      <c r="F203" s="312"/>
      <c r="G203" s="312"/>
      <c r="H203" s="312"/>
      <c r="I203" s="312"/>
    </row>
    <row r="204" spans="3:9">
      <c r="C204" s="312"/>
      <c r="D204" s="312"/>
      <c r="E204" s="312"/>
      <c r="F204" s="312"/>
      <c r="G204" s="312"/>
      <c r="H204" s="312"/>
      <c r="I204" s="312"/>
    </row>
    <row r="205" spans="3:9">
      <c r="C205" s="312"/>
      <c r="D205" s="312"/>
      <c r="E205" s="312"/>
      <c r="F205" s="312"/>
      <c r="G205" s="312"/>
      <c r="H205" s="312"/>
      <c r="I205" s="312"/>
    </row>
    <row r="206" spans="3:9">
      <c r="C206" s="312"/>
      <c r="D206" s="312"/>
      <c r="E206" s="312"/>
      <c r="F206" s="312"/>
      <c r="G206" s="312"/>
      <c r="H206" s="312"/>
      <c r="I206" s="312"/>
    </row>
    <row r="207" spans="3:9">
      <c r="C207" s="312"/>
      <c r="D207" s="312"/>
      <c r="E207" s="312"/>
      <c r="F207" s="312"/>
      <c r="G207" s="312"/>
      <c r="H207" s="312"/>
      <c r="I207" s="312"/>
    </row>
    <row r="208" spans="3:9">
      <c r="C208" s="312"/>
      <c r="D208" s="312"/>
      <c r="E208" s="312"/>
      <c r="F208" s="312"/>
      <c r="G208" s="312"/>
      <c r="H208" s="312"/>
      <c r="I208" s="312"/>
    </row>
    <row r="209" spans="3:9">
      <c r="C209" s="312"/>
      <c r="D209" s="312"/>
      <c r="E209" s="312"/>
      <c r="F209" s="312"/>
      <c r="G209" s="312"/>
      <c r="H209" s="312"/>
      <c r="I209" s="312"/>
    </row>
    <row r="210" spans="3:9">
      <c r="C210" s="312"/>
      <c r="D210" s="312"/>
      <c r="E210" s="312"/>
      <c r="F210" s="312"/>
      <c r="G210" s="312"/>
      <c r="H210" s="312"/>
      <c r="I210" s="312"/>
    </row>
    <row r="211" spans="3:9">
      <c r="C211" s="312"/>
      <c r="D211" s="312"/>
      <c r="E211" s="312"/>
      <c r="F211" s="312"/>
      <c r="G211" s="312"/>
      <c r="H211" s="312"/>
      <c r="I211" s="312"/>
    </row>
    <row r="212" spans="3:9">
      <c r="C212" s="312"/>
      <c r="D212" s="312"/>
      <c r="E212" s="312"/>
      <c r="F212" s="312"/>
      <c r="G212" s="312"/>
      <c r="H212" s="312"/>
      <c r="I212" s="312"/>
    </row>
    <row r="213" spans="3:9">
      <c r="C213" s="312"/>
      <c r="D213" s="312"/>
      <c r="E213" s="312"/>
      <c r="F213" s="312"/>
      <c r="G213" s="312"/>
      <c r="H213" s="312"/>
      <c r="I213" s="312"/>
    </row>
    <row r="214" spans="3:9">
      <c r="C214" s="312"/>
      <c r="D214" s="312"/>
      <c r="E214" s="312"/>
      <c r="F214" s="312"/>
      <c r="G214" s="312"/>
      <c r="H214" s="312"/>
      <c r="I214" s="312"/>
    </row>
    <row r="215" spans="3:9">
      <c r="C215" s="312"/>
      <c r="D215" s="312"/>
      <c r="E215" s="312"/>
      <c r="F215" s="312"/>
      <c r="G215" s="312"/>
      <c r="H215" s="312"/>
      <c r="I215" s="312"/>
    </row>
    <row r="216" spans="3:9">
      <c r="C216" s="312"/>
      <c r="D216" s="312"/>
      <c r="E216" s="312"/>
      <c r="F216" s="312"/>
      <c r="G216" s="312"/>
      <c r="H216" s="312"/>
      <c r="I216" s="312"/>
    </row>
    <row r="217" spans="3:9">
      <c r="C217" s="312"/>
      <c r="D217" s="312"/>
      <c r="E217" s="312"/>
      <c r="F217" s="312"/>
      <c r="G217" s="312"/>
      <c r="H217" s="312"/>
      <c r="I217" s="312"/>
    </row>
    <row r="218" spans="3:9">
      <c r="C218" s="312"/>
      <c r="D218" s="312"/>
      <c r="E218" s="312"/>
      <c r="F218" s="312"/>
      <c r="G218" s="312"/>
      <c r="H218" s="312"/>
      <c r="I218" s="312"/>
    </row>
    <row r="219" spans="3:9">
      <c r="C219" s="312"/>
      <c r="D219" s="312"/>
      <c r="E219" s="312"/>
      <c r="F219" s="312"/>
      <c r="G219" s="312"/>
      <c r="H219" s="312"/>
      <c r="I219" s="312"/>
    </row>
    <row r="220" spans="3:9">
      <c r="C220" s="312"/>
      <c r="D220" s="312"/>
      <c r="E220" s="312"/>
      <c r="F220" s="312"/>
      <c r="G220" s="312"/>
      <c r="H220" s="312"/>
      <c r="I220" s="312"/>
    </row>
    <row r="221" spans="3:9">
      <c r="C221" s="312"/>
      <c r="D221" s="312"/>
      <c r="E221" s="312"/>
      <c r="F221" s="312"/>
      <c r="G221" s="312"/>
      <c r="H221" s="312"/>
      <c r="I221" s="312"/>
    </row>
    <row r="222" spans="3:9">
      <c r="C222" s="312"/>
      <c r="D222" s="312"/>
      <c r="E222" s="312"/>
      <c r="F222" s="312"/>
      <c r="G222" s="312"/>
      <c r="H222" s="312"/>
      <c r="I222" s="312"/>
    </row>
    <row r="223" spans="3:9">
      <c r="C223" s="312"/>
      <c r="D223" s="312"/>
      <c r="E223" s="312"/>
      <c r="F223" s="312"/>
      <c r="G223" s="312"/>
      <c r="H223" s="312"/>
      <c r="I223" s="312"/>
    </row>
    <row r="224" spans="3:9">
      <c r="C224" s="312"/>
      <c r="D224" s="312"/>
      <c r="E224" s="312"/>
      <c r="F224" s="312"/>
      <c r="G224" s="312"/>
      <c r="H224" s="312"/>
      <c r="I224" s="312"/>
    </row>
    <row r="225" spans="3:9">
      <c r="C225" s="312"/>
      <c r="D225" s="312"/>
      <c r="E225" s="312"/>
      <c r="F225" s="312"/>
      <c r="G225" s="312"/>
      <c r="H225" s="312"/>
      <c r="I225" s="312"/>
    </row>
    <row r="226" spans="3:9">
      <c r="C226" s="312"/>
      <c r="D226" s="312"/>
      <c r="E226" s="312"/>
      <c r="F226" s="312"/>
      <c r="G226" s="312"/>
      <c r="H226" s="312"/>
      <c r="I226" s="312"/>
    </row>
    <row r="227" spans="3:9">
      <c r="C227" s="312"/>
      <c r="D227" s="312"/>
      <c r="E227" s="312"/>
      <c r="F227" s="312"/>
      <c r="G227" s="312"/>
      <c r="H227" s="312"/>
      <c r="I227" s="312"/>
    </row>
    <row r="228" spans="3:9">
      <c r="C228" s="312"/>
      <c r="D228" s="312"/>
      <c r="E228" s="312"/>
      <c r="F228" s="312"/>
      <c r="G228" s="312"/>
      <c r="H228" s="312"/>
      <c r="I228" s="312"/>
    </row>
    <row r="229" spans="3:9">
      <c r="C229" s="312"/>
      <c r="D229" s="312"/>
      <c r="E229" s="312"/>
      <c r="F229" s="312"/>
      <c r="G229" s="312"/>
      <c r="H229" s="312"/>
      <c r="I229" s="312"/>
    </row>
    <row r="230" spans="3:9">
      <c r="C230" s="312"/>
      <c r="D230" s="312"/>
      <c r="E230" s="312"/>
      <c r="F230" s="312"/>
      <c r="G230" s="312"/>
      <c r="H230" s="312"/>
      <c r="I230" s="312"/>
    </row>
    <row r="231" spans="3:9">
      <c r="C231" s="312"/>
      <c r="D231" s="312"/>
      <c r="E231" s="312"/>
      <c r="F231" s="312"/>
      <c r="G231" s="312"/>
      <c r="H231" s="312"/>
      <c r="I231" s="312"/>
    </row>
    <row r="232" spans="3:9">
      <c r="C232" s="312"/>
      <c r="D232" s="312"/>
      <c r="E232" s="312"/>
      <c r="F232" s="312"/>
      <c r="G232" s="312"/>
      <c r="H232" s="312"/>
      <c r="I232" s="312"/>
    </row>
    <row r="233" spans="3:9">
      <c r="C233" s="312"/>
      <c r="D233" s="312"/>
      <c r="E233" s="312"/>
      <c r="F233" s="312"/>
      <c r="G233" s="312"/>
      <c r="H233" s="312"/>
      <c r="I233" s="312"/>
    </row>
    <row r="234" spans="3:9">
      <c r="C234" s="312"/>
      <c r="D234" s="312"/>
      <c r="E234" s="312"/>
      <c r="F234" s="312"/>
      <c r="G234" s="312"/>
      <c r="H234" s="312"/>
      <c r="I234" s="312"/>
    </row>
    <row r="235" spans="3:9">
      <c r="C235" s="312"/>
      <c r="D235" s="312"/>
      <c r="E235" s="312"/>
      <c r="F235" s="312"/>
      <c r="G235" s="312"/>
      <c r="H235" s="312"/>
      <c r="I235" s="312"/>
    </row>
    <row r="236" spans="3:9">
      <c r="C236" s="312"/>
      <c r="D236" s="312"/>
      <c r="E236" s="312"/>
      <c r="F236" s="312"/>
      <c r="G236" s="312"/>
      <c r="H236" s="312"/>
      <c r="I236" s="312"/>
    </row>
    <row r="237" spans="3:9">
      <c r="C237" s="312"/>
      <c r="D237" s="312"/>
      <c r="E237" s="312"/>
      <c r="F237" s="312"/>
      <c r="G237" s="312"/>
      <c r="H237" s="312"/>
      <c r="I237" s="312"/>
    </row>
    <row r="238" spans="3:9">
      <c r="C238" s="312"/>
      <c r="D238" s="312"/>
      <c r="E238" s="312"/>
      <c r="F238" s="312"/>
      <c r="G238" s="312"/>
      <c r="H238" s="312"/>
      <c r="I238" s="312"/>
    </row>
    <row r="239" spans="3:9">
      <c r="C239" s="312"/>
      <c r="D239" s="312"/>
      <c r="E239" s="312"/>
      <c r="F239" s="312"/>
      <c r="G239" s="312"/>
      <c r="H239" s="312"/>
      <c r="I239" s="312"/>
    </row>
    <row r="240" spans="3:9">
      <c r="C240" s="312"/>
      <c r="D240" s="312"/>
      <c r="E240" s="312"/>
      <c r="F240" s="312"/>
      <c r="G240" s="312"/>
      <c r="H240" s="312"/>
      <c r="I240" s="312"/>
    </row>
    <row r="241" spans="3:9">
      <c r="C241" s="312"/>
      <c r="D241" s="312"/>
      <c r="E241" s="312"/>
      <c r="F241" s="312"/>
      <c r="G241" s="312"/>
      <c r="H241" s="312"/>
      <c r="I241" s="312"/>
    </row>
    <row r="242" spans="3:9">
      <c r="C242" s="312"/>
      <c r="D242" s="312"/>
      <c r="E242" s="312"/>
      <c r="F242" s="312"/>
      <c r="G242" s="312"/>
      <c r="H242" s="312"/>
      <c r="I242" s="312"/>
    </row>
    <row r="243" spans="3:9">
      <c r="C243" s="312"/>
      <c r="D243" s="312"/>
      <c r="E243" s="312"/>
      <c r="F243" s="312"/>
      <c r="G243" s="312"/>
      <c r="H243" s="312"/>
      <c r="I243" s="312"/>
    </row>
    <row r="244" spans="3:9">
      <c r="C244" s="312"/>
      <c r="D244" s="312"/>
      <c r="E244" s="312"/>
      <c r="F244" s="312"/>
      <c r="G244" s="312"/>
      <c r="H244" s="312"/>
      <c r="I244" s="312"/>
    </row>
    <row r="245" spans="3:9">
      <c r="C245" s="312"/>
      <c r="D245" s="312"/>
      <c r="E245" s="312"/>
      <c r="F245" s="312"/>
      <c r="G245" s="312"/>
      <c r="H245" s="312"/>
      <c r="I245" s="312"/>
    </row>
    <row r="246" spans="3:9">
      <c r="C246" s="312"/>
      <c r="D246" s="312"/>
      <c r="E246" s="312"/>
      <c r="F246" s="312"/>
      <c r="G246" s="312"/>
      <c r="H246" s="312"/>
      <c r="I246" s="312"/>
    </row>
    <row r="247" spans="3:9">
      <c r="C247" s="312"/>
      <c r="D247" s="312"/>
      <c r="E247" s="312"/>
      <c r="F247" s="312"/>
      <c r="G247" s="312"/>
      <c r="H247" s="312"/>
      <c r="I247" s="312"/>
    </row>
    <row r="248" spans="3:9">
      <c r="C248" s="312"/>
      <c r="D248" s="312"/>
      <c r="E248" s="312"/>
      <c r="F248" s="312"/>
      <c r="G248" s="312"/>
      <c r="H248" s="312"/>
      <c r="I248" s="312"/>
    </row>
    <row r="249" spans="3:9">
      <c r="C249" s="312"/>
      <c r="D249" s="312"/>
      <c r="E249" s="312"/>
      <c r="F249" s="312"/>
      <c r="G249" s="312"/>
      <c r="H249" s="312"/>
      <c r="I249" s="312"/>
    </row>
    <row r="250" spans="3:9">
      <c r="C250" s="312"/>
      <c r="D250" s="312"/>
      <c r="E250" s="312"/>
      <c r="F250" s="312"/>
      <c r="G250" s="312"/>
      <c r="H250" s="312"/>
      <c r="I250" s="312"/>
    </row>
    <row r="251" spans="3:9">
      <c r="C251" s="312"/>
      <c r="D251" s="312"/>
      <c r="E251" s="312"/>
      <c r="F251" s="312"/>
      <c r="G251" s="312"/>
      <c r="H251" s="312"/>
      <c r="I251" s="312"/>
    </row>
    <row r="252" spans="3:9">
      <c r="C252" s="312"/>
      <c r="D252" s="312"/>
      <c r="E252" s="312"/>
      <c r="F252" s="312"/>
      <c r="G252" s="312"/>
      <c r="H252" s="312"/>
      <c r="I252" s="312"/>
    </row>
    <row r="253" spans="3:9">
      <c r="C253" s="312"/>
      <c r="D253" s="312"/>
      <c r="E253" s="312"/>
      <c r="F253" s="312"/>
      <c r="G253" s="312"/>
      <c r="H253" s="312"/>
      <c r="I253" s="312"/>
    </row>
    <row r="254" spans="3:9">
      <c r="C254" s="312"/>
      <c r="D254" s="312"/>
      <c r="E254" s="312"/>
      <c r="F254" s="312"/>
      <c r="G254" s="312"/>
      <c r="H254" s="312"/>
      <c r="I254" s="312"/>
    </row>
    <row r="255" spans="3:9">
      <c r="C255" s="312"/>
      <c r="D255" s="312"/>
      <c r="E255" s="312"/>
      <c r="F255" s="312"/>
      <c r="G255" s="312"/>
      <c r="H255" s="312"/>
      <c r="I255" s="312"/>
    </row>
    <row r="256" spans="3:9">
      <c r="C256" s="312"/>
      <c r="D256" s="312"/>
      <c r="E256" s="312"/>
      <c r="F256" s="312"/>
      <c r="G256" s="312"/>
      <c r="H256" s="312"/>
      <c r="I256" s="312"/>
    </row>
    <row r="257" spans="3:9">
      <c r="C257" s="312"/>
      <c r="D257" s="312"/>
      <c r="E257" s="312"/>
      <c r="F257" s="312"/>
      <c r="G257" s="312"/>
      <c r="H257" s="312"/>
      <c r="I257" s="312"/>
    </row>
    <row r="258" spans="3:9">
      <c r="C258" s="312"/>
      <c r="D258" s="312"/>
      <c r="E258" s="312"/>
      <c r="F258" s="312"/>
      <c r="G258" s="312"/>
      <c r="H258" s="312"/>
      <c r="I258" s="312"/>
    </row>
    <row r="259" spans="3:9">
      <c r="C259" s="312"/>
      <c r="D259" s="312"/>
      <c r="E259" s="312"/>
      <c r="F259" s="312"/>
      <c r="G259" s="312"/>
      <c r="H259" s="312"/>
      <c r="I259" s="312"/>
    </row>
    <row r="260" spans="3:9">
      <c r="C260" s="312"/>
      <c r="D260" s="312"/>
      <c r="E260" s="312"/>
      <c r="F260" s="312"/>
      <c r="G260" s="312"/>
      <c r="H260" s="312"/>
      <c r="I260" s="312"/>
    </row>
    <row r="261" spans="3:9">
      <c r="C261" s="312"/>
      <c r="D261" s="312"/>
      <c r="E261" s="312"/>
      <c r="F261" s="312"/>
      <c r="G261" s="312"/>
      <c r="H261" s="312"/>
      <c r="I261" s="312"/>
    </row>
    <row r="262" spans="3:9">
      <c r="C262" s="312"/>
      <c r="D262" s="312"/>
      <c r="E262" s="312"/>
      <c r="F262" s="312"/>
      <c r="G262" s="312"/>
      <c r="H262" s="312"/>
      <c r="I262" s="312"/>
    </row>
    <row r="263" spans="3:9">
      <c r="C263" s="312"/>
      <c r="D263" s="312"/>
      <c r="E263" s="312"/>
      <c r="F263" s="312"/>
      <c r="G263" s="312"/>
      <c r="H263" s="312"/>
      <c r="I263" s="312"/>
    </row>
    <row r="264" spans="3:9">
      <c r="C264" s="312"/>
      <c r="D264" s="312"/>
      <c r="E264" s="312"/>
      <c r="F264" s="312"/>
      <c r="G264" s="312"/>
      <c r="H264" s="312"/>
      <c r="I264" s="312"/>
    </row>
    <row r="265" spans="3:9">
      <c r="C265" s="312"/>
      <c r="D265" s="312"/>
      <c r="E265" s="312"/>
      <c r="F265" s="312"/>
      <c r="G265" s="312"/>
      <c r="H265" s="312"/>
      <c r="I265" s="312"/>
    </row>
    <row r="266" spans="3:9">
      <c r="C266" s="312"/>
      <c r="D266" s="312"/>
      <c r="E266" s="312"/>
      <c r="F266" s="312"/>
      <c r="G266" s="312"/>
      <c r="H266" s="312"/>
      <c r="I266" s="312"/>
    </row>
    <row r="267" spans="3:9">
      <c r="C267" s="312"/>
      <c r="D267" s="312"/>
      <c r="E267" s="312"/>
      <c r="F267" s="312"/>
      <c r="G267" s="312"/>
      <c r="H267" s="312"/>
      <c r="I267" s="312"/>
    </row>
    <row r="268" spans="3:9">
      <c r="C268" s="312"/>
      <c r="D268" s="312"/>
      <c r="E268" s="312"/>
      <c r="F268" s="312"/>
      <c r="G268" s="312"/>
      <c r="H268" s="312"/>
      <c r="I268" s="312"/>
    </row>
    <row r="269" spans="3:9">
      <c r="C269" s="312"/>
      <c r="D269" s="312"/>
      <c r="E269" s="312"/>
      <c r="F269" s="312"/>
      <c r="G269" s="312"/>
      <c r="H269" s="312"/>
      <c r="I269" s="312"/>
    </row>
    <row r="270" spans="3:9">
      <c r="C270" s="312"/>
      <c r="D270" s="312"/>
      <c r="E270" s="312"/>
      <c r="F270" s="312"/>
      <c r="G270" s="312"/>
      <c r="H270" s="312"/>
      <c r="I270" s="312"/>
    </row>
    <row r="271" spans="3:9">
      <c r="C271" s="312"/>
      <c r="D271" s="312"/>
      <c r="E271" s="312"/>
      <c r="F271" s="312"/>
      <c r="G271" s="312"/>
      <c r="H271" s="312"/>
      <c r="I271" s="312"/>
    </row>
    <row r="272" spans="3:9">
      <c r="C272" s="312"/>
      <c r="D272" s="312"/>
      <c r="E272" s="312"/>
      <c r="F272" s="312"/>
      <c r="G272" s="312"/>
      <c r="H272" s="312"/>
      <c r="I272" s="312"/>
    </row>
    <row r="273" spans="3:9">
      <c r="C273" s="312"/>
      <c r="D273" s="312"/>
      <c r="E273" s="312"/>
      <c r="F273" s="312"/>
      <c r="G273" s="312"/>
      <c r="H273" s="312"/>
      <c r="I273" s="312"/>
    </row>
    <row r="274" spans="3:9">
      <c r="C274" s="312"/>
      <c r="D274" s="312"/>
      <c r="E274" s="312"/>
      <c r="F274" s="312"/>
      <c r="G274" s="312"/>
      <c r="H274" s="312"/>
      <c r="I274" s="312"/>
    </row>
    <row r="275" spans="3:9">
      <c r="C275" s="312"/>
      <c r="D275" s="312"/>
      <c r="E275" s="312"/>
      <c r="F275" s="312"/>
      <c r="G275" s="312"/>
      <c r="H275" s="312"/>
      <c r="I275" s="312"/>
    </row>
    <row r="276" spans="3:9">
      <c r="C276" s="312"/>
      <c r="D276" s="312"/>
      <c r="E276" s="312"/>
      <c r="F276" s="312"/>
      <c r="G276" s="312"/>
      <c r="H276" s="312"/>
      <c r="I276" s="312"/>
    </row>
    <row r="277" spans="3:9">
      <c r="C277" s="312"/>
      <c r="D277" s="312"/>
      <c r="E277" s="312"/>
      <c r="F277" s="312"/>
      <c r="G277" s="312"/>
      <c r="H277" s="312"/>
      <c r="I277" s="312"/>
    </row>
    <row r="278" spans="3:9">
      <c r="C278" s="312"/>
      <c r="D278" s="312"/>
      <c r="E278" s="312"/>
      <c r="F278" s="312"/>
      <c r="G278" s="312"/>
      <c r="H278" s="312"/>
      <c r="I278" s="312"/>
    </row>
    <row r="279" spans="3:9">
      <c r="C279" s="312"/>
      <c r="D279" s="312"/>
      <c r="E279" s="312"/>
      <c r="F279" s="312"/>
      <c r="G279" s="312"/>
      <c r="H279" s="312"/>
      <c r="I279" s="312"/>
    </row>
    <row r="280" spans="3:9">
      <c r="C280" s="312"/>
      <c r="D280" s="312"/>
      <c r="E280" s="312"/>
      <c r="F280" s="312"/>
      <c r="G280" s="312"/>
      <c r="H280" s="312"/>
      <c r="I280" s="312"/>
    </row>
    <row r="281" spans="3:9">
      <c r="C281" s="312"/>
      <c r="D281" s="312"/>
      <c r="E281" s="312"/>
      <c r="F281" s="312"/>
      <c r="G281" s="312"/>
      <c r="H281" s="312"/>
      <c r="I281" s="312"/>
    </row>
    <row r="282" spans="3:9">
      <c r="C282" s="312"/>
      <c r="D282" s="312"/>
      <c r="E282" s="312"/>
      <c r="F282" s="312"/>
      <c r="G282" s="312"/>
      <c r="H282" s="312"/>
      <c r="I282" s="312"/>
    </row>
    <row r="283" spans="3:9">
      <c r="C283" s="312"/>
      <c r="D283" s="312"/>
      <c r="E283" s="312"/>
      <c r="F283" s="312"/>
      <c r="G283" s="312"/>
      <c r="H283" s="312"/>
      <c r="I283" s="312"/>
    </row>
    <row r="284" spans="3:9">
      <c r="C284" s="312"/>
      <c r="D284" s="312"/>
      <c r="E284" s="312"/>
      <c r="F284" s="312"/>
      <c r="G284" s="312"/>
      <c r="H284" s="312"/>
      <c r="I284" s="312"/>
    </row>
    <row r="285" spans="3:9">
      <c r="C285" s="312"/>
      <c r="D285" s="312"/>
      <c r="E285" s="312"/>
      <c r="F285" s="312"/>
      <c r="G285" s="312"/>
      <c r="H285" s="312"/>
      <c r="I285" s="312"/>
    </row>
    <row r="286" spans="3:9">
      <c r="C286" s="312"/>
      <c r="D286" s="312"/>
      <c r="E286" s="312"/>
      <c r="F286" s="312"/>
      <c r="G286" s="312"/>
      <c r="H286" s="312"/>
      <c r="I286" s="312"/>
    </row>
    <row r="287" spans="3:9">
      <c r="C287" s="312"/>
      <c r="D287" s="312"/>
      <c r="E287" s="312"/>
      <c r="F287" s="312"/>
      <c r="G287" s="312"/>
      <c r="H287" s="312"/>
      <c r="I287" s="312"/>
    </row>
    <row r="288" spans="3:9">
      <c r="C288" s="312"/>
      <c r="D288" s="312"/>
      <c r="E288" s="312"/>
      <c r="F288" s="312"/>
      <c r="G288" s="312"/>
      <c r="H288" s="312"/>
      <c r="I288" s="312"/>
    </row>
    <row r="289" spans="3:9">
      <c r="C289" s="312"/>
      <c r="D289" s="312"/>
      <c r="E289" s="312"/>
      <c r="F289" s="312"/>
      <c r="G289" s="312"/>
      <c r="H289" s="312"/>
      <c r="I289" s="312"/>
    </row>
    <row r="290" spans="3:9">
      <c r="C290" s="312"/>
      <c r="D290" s="312"/>
      <c r="E290" s="312"/>
      <c r="F290" s="312"/>
      <c r="G290" s="312"/>
      <c r="H290" s="312"/>
      <c r="I290" s="312"/>
    </row>
    <row r="291" spans="3:9">
      <c r="C291" s="312"/>
      <c r="D291" s="312"/>
      <c r="E291" s="312"/>
      <c r="F291" s="312"/>
      <c r="G291" s="312"/>
      <c r="H291" s="312"/>
      <c r="I291" s="312"/>
    </row>
    <row r="292" spans="3:9">
      <c r="C292" s="312"/>
      <c r="D292" s="312"/>
      <c r="E292" s="312"/>
      <c r="F292" s="312"/>
      <c r="G292" s="312"/>
      <c r="H292" s="312"/>
      <c r="I292" s="312"/>
    </row>
    <row r="293" spans="3:9">
      <c r="C293" s="312"/>
      <c r="D293" s="312"/>
      <c r="E293" s="312"/>
      <c r="F293" s="312"/>
      <c r="G293" s="312"/>
      <c r="H293" s="312"/>
      <c r="I293" s="312"/>
    </row>
    <row r="294" spans="3:9">
      <c r="C294" s="312"/>
      <c r="D294" s="312"/>
      <c r="E294" s="312"/>
      <c r="F294" s="312"/>
      <c r="G294" s="312"/>
      <c r="H294" s="312"/>
      <c r="I294" s="312"/>
    </row>
  </sheetData>
  <mergeCells count="17">
    <mergeCell ref="L52:W52"/>
    <mergeCell ref="L51:W51"/>
    <mergeCell ref="L45:W45"/>
    <mergeCell ref="L46:W46"/>
    <mergeCell ref="L47:W47"/>
    <mergeCell ref="L48:W48"/>
    <mergeCell ref="L49:W49"/>
    <mergeCell ref="L50:W50"/>
    <mergeCell ref="A8:I8"/>
    <mergeCell ref="C45:I45"/>
    <mergeCell ref="C46:I46"/>
    <mergeCell ref="C47:I47"/>
    <mergeCell ref="C52:I52"/>
    <mergeCell ref="C48:I48"/>
    <mergeCell ref="C49:I49"/>
    <mergeCell ref="C50:I50"/>
    <mergeCell ref="C51:I51"/>
  </mergeCells>
  <printOptions horizontalCentered="1"/>
  <pageMargins left="0.25" right="0.25" top="0.72" bottom="0.5" header="0.5" footer="0.5"/>
  <pageSetup scale="40" fitToWidth="2" pageOrder="overThenDown" orientation="landscape" verticalDpi="300" r:id="rId1"/>
  <headerFooter alignWithMargins="0"/>
  <rowBreaks count="1" manualBreakCount="1">
    <brk id="53" max="16383" man="1"/>
  </rowBreaks>
  <colBreaks count="1" manualBreakCount="1">
    <brk id="9" max="5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51"/>
  <sheetViews>
    <sheetView view="pageBreakPreview" topLeftCell="A38" zoomScale="80" zoomScaleNormal="70" zoomScaleSheetLayoutView="80" workbookViewId="0">
      <selection activeCell="D28" sqref="D28"/>
    </sheetView>
  </sheetViews>
  <sheetFormatPr defaultRowHeight="15"/>
  <cols>
    <col min="1" max="1" width="4.88671875" style="117" customWidth="1"/>
    <col min="2" max="2" width="2.88671875" style="117" customWidth="1"/>
    <col min="3" max="3" width="79.21875" style="117" customWidth="1"/>
    <col min="4" max="4" width="1" style="117" customWidth="1"/>
    <col min="5" max="5" width="22.6640625" style="117" customWidth="1"/>
    <col min="6" max="6" width="1.33203125" style="117" customWidth="1"/>
    <col min="7" max="7" width="14.44140625" style="117" customWidth="1"/>
    <col min="8" max="8" width="18.44140625" style="117" customWidth="1"/>
    <col min="9" max="9" width="13.33203125" style="117" customWidth="1"/>
    <col min="10" max="10" width="17.88671875" style="117" customWidth="1"/>
    <col min="11" max="11" width="18.5546875" style="117" customWidth="1"/>
    <col min="12" max="12" width="19.109375" style="117" customWidth="1"/>
    <col min="13" max="13" width="17.88671875" style="117" customWidth="1"/>
    <col min="14" max="16384" width="8.88671875" style="117"/>
  </cols>
  <sheetData>
    <row r="1" spans="1:13">
      <c r="E1" s="82" t="str">
        <f>EKPC!J1</f>
        <v>Attachment H-24A</v>
      </c>
      <c r="H1" s="293"/>
      <c r="I1" s="293"/>
      <c r="J1" s="293"/>
      <c r="K1" s="293"/>
      <c r="L1" s="293"/>
      <c r="M1" s="293"/>
    </row>
    <row r="2" spans="1:13">
      <c r="E2" s="82" t="s">
        <v>394</v>
      </c>
      <c r="H2" s="515"/>
      <c r="I2" s="515"/>
      <c r="J2" s="515"/>
      <c r="K2" s="515"/>
      <c r="L2" s="516"/>
      <c r="M2" s="516"/>
    </row>
    <row r="3" spans="1:13">
      <c r="E3" s="82" t="s">
        <v>147</v>
      </c>
      <c r="G3" s="515"/>
    </row>
    <row r="4" spans="1:13">
      <c r="E4" s="81" t="str">
        <f>EKPC!J7</f>
        <v>For the 12 months ended 12/31/2025</v>
      </c>
      <c r="G4" s="515"/>
    </row>
    <row r="5" spans="1:13">
      <c r="A5" s="85" t="s">
        <v>206</v>
      </c>
      <c r="B5" s="517"/>
      <c r="C5" s="517"/>
      <c r="D5" s="85"/>
      <c r="E5" s="85"/>
      <c r="F5" s="85"/>
      <c r="G5" s="515"/>
    </row>
    <row r="6" spans="1:13">
      <c r="A6" s="88" t="str">
        <f>CONCATENATE("Utilizing ",EKPC!J1)</f>
        <v>Utilizing Attachment H-24A</v>
      </c>
      <c r="B6" s="517"/>
      <c r="C6" s="517"/>
      <c r="D6" s="85"/>
      <c r="E6" s="85"/>
      <c r="F6" s="85"/>
      <c r="G6" s="515"/>
    </row>
    <row r="7" spans="1:13">
      <c r="A7" s="90"/>
      <c r="B7" s="517"/>
      <c r="C7" s="517"/>
      <c r="D7" s="90"/>
      <c r="E7" s="231"/>
      <c r="F7" s="90"/>
      <c r="G7" s="515"/>
    </row>
    <row r="8" spans="1:13">
      <c r="A8" s="518" t="str">
        <f>EKPC!A11</f>
        <v>East Kentucky Power Cooperative, Inc.</v>
      </c>
      <c r="B8" s="518"/>
      <c r="C8" s="518"/>
      <c r="D8" s="518"/>
      <c r="E8" s="518"/>
      <c r="F8" s="518"/>
    </row>
    <row r="9" spans="1:13">
      <c r="A9" s="507" t="s">
        <v>577</v>
      </c>
      <c r="B9" s="517"/>
      <c r="C9" s="517"/>
      <c r="D9" s="90"/>
      <c r="E9" s="90"/>
      <c r="F9" s="90"/>
    </row>
    <row r="10" spans="1:13">
      <c r="A10" s="90" t="str">
        <f>CONCATENATE("To be completed in conjunction with ",EKPC!J1)</f>
        <v>To be completed in conjunction with Attachment H-24A</v>
      </c>
      <c r="B10" s="517"/>
      <c r="C10" s="517"/>
      <c r="D10" s="90"/>
      <c r="E10" s="90"/>
      <c r="F10" s="90"/>
    </row>
    <row r="11" spans="1:13">
      <c r="A11" s="79" t="s">
        <v>6</v>
      </c>
      <c r="B11" s="76"/>
      <c r="C11" s="83"/>
      <c r="D11" s="83"/>
      <c r="E11" s="519"/>
      <c r="F11" s="83"/>
    </row>
    <row r="12" spans="1:13">
      <c r="A12" s="94" t="s">
        <v>8</v>
      </c>
      <c r="B12" s="76"/>
      <c r="C12" s="91" t="s">
        <v>16</v>
      </c>
      <c r="D12" s="91"/>
      <c r="E12" s="91" t="s">
        <v>17</v>
      </c>
      <c r="F12" s="91"/>
    </row>
    <row r="13" spans="1:13">
      <c r="A13" s="76"/>
      <c r="B13" s="76"/>
      <c r="C13" s="76"/>
      <c r="D13" s="76"/>
      <c r="E13" s="76"/>
    </row>
    <row r="14" spans="1:13" ht="15.75">
      <c r="A14" s="76"/>
      <c r="B14" s="76"/>
      <c r="C14" s="520" t="s">
        <v>398</v>
      </c>
      <c r="D14" s="76"/>
      <c r="E14" s="76"/>
      <c r="F14" s="89"/>
    </row>
    <row r="15" spans="1:13">
      <c r="A15" s="76"/>
      <c r="B15" s="76"/>
      <c r="C15" s="76"/>
      <c r="D15" s="76"/>
      <c r="E15" s="76"/>
    </row>
    <row r="16" spans="1:13" ht="30.75">
      <c r="A16" s="521">
        <f>1</f>
        <v>1</v>
      </c>
      <c r="B16" s="76"/>
      <c r="C16" s="112" t="s">
        <v>690</v>
      </c>
      <c r="D16" s="76"/>
      <c r="E16" s="522">
        <f>EKPC!$J$28+'Appx C - True Up'!$E$17</f>
        <v>95816269.505339518</v>
      </c>
      <c r="I16" s="523"/>
    </row>
    <row r="17" spans="1:31" ht="33.75" customHeight="1">
      <c r="A17" s="29">
        <f t="shared" ref="A17:A24" si="0">+A16+1</f>
        <v>2</v>
      </c>
      <c r="B17" s="76"/>
      <c r="C17" s="112" t="s">
        <v>691</v>
      </c>
      <c r="D17" s="76"/>
      <c r="E17" s="522">
        <v>-8624270.6199999992</v>
      </c>
      <c r="G17" s="523"/>
    </row>
    <row r="18" spans="1:31">
      <c r="A18" s="29">
        <f t="shared" si="0"/>
        <v>3</v>
      </c>
      <c r="B18" s="76"/>
      <c r="C18" s="112" t="s">
        <v>688</v>
      </c>
      <c r="D18" s="76"/>
      <c r="E18" s="524">
        <f>E16-E17</f>
        <v>104440540.12533952</v>
      </c>
    </row>
    <row r="19" spans="1:31">
      <c r="A19" s="29">
        <f t="shared" si="0"/>
        <v>4</v>
      </c>
      <c r="B19" s="76"/>
      <c r="C19" s="112" t="s">
        <v>689</v>
      </c>
      <c r="D19" s="76"/>
      <c r="E19" s="525">
        <f>107168500.36+3297868.45+(1819018.25+182359.11+2476.12)+4661027.11</f>
        <v>117131249.40000001</v>
      </c>
      <c r="G19" s="526"/>
      <c r="H19" s="527" t="s">
        <v>692</v>
      </c>
      <c r="I19" s="526"/>
      <c r="J19" s="526"/>
      <c r="K19" s="528" t="s">
        <v>693</v>
      </c>
      <c r="L19" s="526"/>
      <c r="M19" s="526"/>
      <c r="N19" s="526"/>
      <c r="O19" s="526"/>
      <c r="P19" s="526"/>
      <c r="Q19" s="526"/>
      <c r="R19" s="526"/>
      <c r="S19" s="526"/>
      <c r="T19" s="515"/>
      <c r="U19" s="529"/>
      <c r="V19" s="529"/>
      <c r="W19" s="529"/>
      <c r="X19" s="529"/>
      <c r="Y19" s="529"/>
      <c r="Z19" s="529"/>
      <c r="AA19" s="529"/>
      <c r="AB19" s="529"/>
      <c r="AC19" s="529"/>
      <c r="AD19" s="529"/>
      <c r="AE19" s="529"/>
    </row>
    <row r="20" spans="1:31">
      <c r="A20" s="29">
        <f t="shared" si="0"/>
        <v>5</v>
      </c>
      <c r="B20" s="76"/>
      <c r="C20" s="112" t="s">
        <v>600</v>
      </c>
      <c r="D20" s="76"/>
      <c r="E20" s="524">
        <f>E18-E19</f>
        <v>-12690709.274660483</v>
      </c>
      <c r="G20" s="530"/>
      <c r="H20" s="530"/>
      <c r="I20" s="530"/>
      <c r="J20" s="530"/>
      <c r="K20" s="531"/>
      <c r="L20" s="530"/>
      <c r="M20" s="530"/>
      <c r="N20" s="530"/>
      <c r="O20" s="530"/>
      <c r="P20" s="530"/>
      <c r="Q20" s="530"/>
      <c r="R20" s="530"/>
      <c r="S20" s="530"/>
      <c r="T20" s="530"/>
    </row>
    <row r="21" spans="1:31" ht="15.75">
      <c r="A21" s="29">
        <f t="shared" si="0"/>
        <v>6</v>
      </c>
      <c r="B21" s="76"/>
      <c r="C21" s="112" t="s">
        <v>408</v>
      </c>
      <c r="D21" s="76"/>
      <c r="E21" s="532">
        <f>(0.0067*3+0.0063*3+0.0063*3+0.0063*3+0.006*3+0.0057*3)/18</f>
        <v>6.2166666666666672E-3</v>
      </c>
      <c r="G21" s="523"/>
    </row>
    <row r="22" spans="1:31">
      <c r="A22" s="29">
        <f t="shared" si="0"/>
        <v>7</v>
      </c>
      <c r="B22" s="76"/>
      <c r="C22" s="112" t="s">
        <v>407</v>
      </c>
      <c r="D22" s="76"/>
      <c r="E22" s="113">
        <v>24</v>
      </c>
    </row>
    <row r="23" spans="1:31">
      <c r="A23" s="29">
        <f t="shared" si="0"/>
        <v>8</v>
      </c>
      <c r="B23" s="76"/>
      <c r="C23" s="112" t="s">
        <v>597</v>
      </c>
      <c r="D23" s="76"/>
      <c r="E23" s="533">
        <f>E20*E21*E22</f>
        <v>-1893453.8237793441</v>
      </c>
    </row>
    <row r="24" spans="1:31" ht="15" customHeight="1" thickBot="1">
      <c r="A24" s="29">
        <f t="shared" si="0"/>
        <v>9</v>
      </c>
      <c r="B24" s="76"/>
      <c r="C24" s="112" t="s">
        <v>601</v>
      </c>
      <c r="D24" s="76"/>
      <c r="E24" s="534">
        <f>E20+E23</f>
        <v>-14584163.098439828</v>
      </c>
    </row>
    <row r="25" spans="1:31" ht="15.75" thickTop="1">
      <c r="A25" s="29"/>
      <c r="B25" s="76"/>
      <c r="C25" s="112"/>
      <c r="D25" s="76"/>
      <c r="E25" s="533"/>
    </row>
    <row r="26" spans="1:31">
      <c r="A26" s="29"/>
      <c r="B26" s="535" t="s">
        <v>142</v>
      </c>
      <c r="C26" s="535"/>
      <c r="D26" s="446"/>
      <c r="E26" s="446"/>
    </row>
    <row r="27" spans="1:31">
      <c r="A27" s="29"/>
      <c r="B27" s="270" t="s">
        <v>16</v>
      </c>
      <c r="C27" s="536" t="s">
        <v>624</v>
      </c>
      <c r="D27" s="435"/>
      <c r="E27" s="435"/>
    </row>
    <row r="28" spans="1:31" ht="15.75">
      <c r="A28" s="29"/>
      <c r="B28" s="272" t="s">
        <v>17</v>
      </c>
      <c r="C28" s="76" t="s">
        <v>625</v>
      </c>
      <c r="D28" s="76"/>
      <c r="E28" s="76"/>
      <c r="H28" s="537"/>
      <c r="I28" s="388"/>
      <c r="J28" s="388"/>
      <c r="K28" s="388"/>
      <c r="L28" s="388"/>
    </row>
    <row r="29" spans="1:31" ht="15" customHeight="1">
      <c r="A29" s="29"/>
      <c r="B29" s="538" t="s">
        <v>18</v>
      </c>
      <c r="C29" s="536" t="s">
        <v>626</v>
      </c>
      <c r="D29" s="536"/>
      <c r="E29" s="536"/>
    </row>
    <row r="30" spans="1:31">
      <c r="A30" s="29"/>
      <c r="B30" s="538" t="s">
        <v>19</v>
      </c>
      <c r="C30" s="76" t="s">
        <v>668</v>
      </c>
      <c r="D30" s="76"/>
      <c r="E30" s="76"/>
    </row>
    <row r="31" spans="1:31">
      <c r="A31" s="29"/>
      <c r="B31" s="538" t="s">
        <v>20</v>
      </c>
      <c r="C31" s="112" t="s">
        <v>627</v>
      </c>
      <c r="D31" s="76"/>
      <c r="E31" s="76"/>
    </row>
    <row r="32" spans="1:31">
      <c r="E32" s="82" t="str">
        <f>E1</f>
        <v>Attachment H-24A</v>
      </c>
      <c r="H32" s="293"/>
      <c r="I32" s="293"/>
    </row>
    <row r="33" spans="1:9">
      <c r="C33" s="43"/>
      <c r="E33" s="82" t="s">
        <v>394</v>
      </c>
      <c r="H33" s="515"/>
      <c r="I33" s="515"/>
    </row>
    <row r="34" spans="1:9">
      <c r="E34" s="82" t="s">
        <v>157</v>
      </c>
      <c r="G34" s="515"/>
    </row>
    <row r="35" spans="1:9">
      <c r="E35" s="81" t="str">
        <f>E4</f>
        <v>For the 12 months ended 12/31/2025</v>
      </c>
      <c r="G35" s="515"/>
    </row>
    <row r="36" spans="1:9">
      <c r="A36" s="85" t="s">
        <v>206</v>
      </c>
      <c r="B36" s="517"/>
      <c r="C36" s="517"/>
      <c r="D36" s="85"/>
      <c r="E36" s="85"/>
      <c r="F36" s="85"/>
      <c r="G36" s="515"/>
    </row>
    <row r="37" spans="1:9">
      <c r="A37" s="88" t="str">
        <f>CONCATENATE("Utilizing ",EKPC!J1)</f>
        <v>Utilizing Attachment H-24A</v>
      </c>
      <c r="B37" s="517"/>
      <c r="C37" s="517"/>
      <c r="D37" s="85"/>
      <c r="E37" s="85"/>
      <c r="F37" s="85"/>
      <c r="G37" s="515"/>
    </row>
    <row r="38" spans="1:9">
      <c r="A38" s="90"/>
      <c r="B38" s="517"/>
      <c r="C38" s="517"/>
      <c r="D38" s="90"/>
      <c r="E38" s="90"/>
      <c r="F38" s="90"/>
      <c r="G38" s="515"/>
    </row>
    <row r="39" spans="1:9">
      <c r="A39" s="518" t="str">
        <f>A8</f>
        <v>East Kentucky Power Cooperative, Inc.</v>
      </c>
      <c r="B39" s="518"/>
      <c r="C39" s="518"/>
      <c r="D39" s="518"/>
      <c r="E39" s="518"/>
      <c r="F39" s="518"/>
    </row>
    <row r="40" spans="1:9">
      <c r="A40" s="507" t="s">
        <v>578</v>
      </c>
      <c r="B40" s="517"/>
      <c r="C40" s="517"/>
      <c r="D40" s="90"/>
      <c r="E40" s="90"/>
      <c r="F40" s="90"/>
    </row>
    <row r="41" spans="1:9">
      <c r="A41" s="90" t="str">
        <f>CONCATENATE("To be completed in conjunction with ",EKPC!J1)</f>
        <v>To be completed in conjunction with Attachment H-24A</v>
      </c>
      <c r="B41" s="517"/>
      <c r="C41" s="517"/>
      <c r="D41" s="90"/>
      <c r="E41" s="90"/>
      <c r="F41" s="90"/>
    </row>
    <row r="42" spans="1:9">
      <c r="A42" s="79" t="s">
        <v>6</v>
      </c>
      <c r="B42" s="76"/>
      <c r="C42" s="83"/>
      <c r="D42" s="83"/>
      <c r="E42" s="76"/>
      <c r="F42" s="83"/>
    </row>
    <row r="43" spans="1:9">
      <c r="A43" s="94" t="s">
        <v>8</v>
      </c>
      <c r="B43" s="76"/>
      <c r="C43" s="91" t="s">
        <v>16</v>
      </c>
      <c r="D43" s="91"/>
      <c r="E43" s="91" t="s">
        <v>17</v>
      </c>
      <c r="F43" s="91"/>
    </row>
    <row r="44" spans="1:9">
      <c r="A44" s="76"/>
      <c r="B44" s="76"/>
      <c r="C44" s="76"/>
      <c r="D44" s="76"/>
      <c r="E44" s="76"/>
    </row>
    <row r="45" spans="1:9" ht="15.75">
      <c r="A45" s="76"/>
      <c r="B45" s="76"/>
      <c r="C45" s="520" t="s">
        <v>399</v>
      </c>
      <c r="D45" s="76"/>
      <c r="E45" s="76"/>
    </row>
    <row r="46" spans="1:9" ht="30.75">
      <c r="A46" s="29">
        <f>+A24+1</f>
        <v>10</v>
      </c>
      <c r="B46" s="76"/>
      <c r="C46" s="112" t="s">
        <v>664</v>
      </c>
      <c r="D46" s="76"/>
      <c r="E46" s="525">
        <f>'Appx A - Sch 1A'!$G$29+'Appx C - True Up'!$E$47</f>
        <v>6033632.6550431857</v>
      </c>
      <c r="G46" s="523"/>
    </row>
    <row r="47" spans="1:9" ht="30.75">
      <c r="A47" s="29">
        <f t="shared" ref="A47:A54" si="1">+A46+1</f>
        <v>11</v>
      </c>
      <c r="B47" s="76"/>
      <c r="C47" s="112" t="s">
        <v>665</v>
      </c>
      <c r="D47" s="76"/>
      <c r="E47" s="539">
        <v>1152807.47</v>
      </c>
      <c r="G47" s="523"/>
    </row>
    <row r="48" spans="1:9">
      <c r="A48" s="29">
        <f t="shared" si="1"/>
        <v>12</v>
      </c>
      <c r="B48" s="76"/>
      <c r="C48" s="112" t="s">
        <v>608</v>
      </c>
      <c r="D48" s="76"/>
      <c r="E48" s="540">
        <f>E46-E47</f>
        <v>4880825.1850431859</v>
      </c>
    </row>
    <row r="49" spans="1:7" ht="15.75">
      <c r="A49" s="29">
        <f t="shared" si="1"/>
        <v>13</v>
      </c>
      <c r="B49" s="76"/>
      <c r="C49" s="112" t="s">
        <v>666</v>
      </c>
      <c r="D49" s="76"/>
      <c r="E49" s="541">
        <v>5239383.6500000004</v>
      </c>
      <c r="G49" s="523"/>
    </row>
    <row r="50" spans="1:7">
      <c r="A50" s="29">
        <f t="shared" si="1"/>
        <v>14</v>
      </c>
      <c r="B50" s="76"/>
      <c r="C50" s="112" t="s">
        <v>428</v>
      </c>
      <c r="D50" s="76"/>
      <c r="E50" s="524">
        <f>E48-E49</f>
        <v>-358558.46495681442</v>
      </c>
    </row>
    <row r="51" spans="1:7">
      <c r="A51" s="29">
        <f t="shared" si="1"/>
        <v>15</v>
      </c>
      <c r="B51" s="76"/>
      <c r="C51" s="112" t="s">
        <v>531</v>
      </c>
      <c r="D51" s="76"/>
      <c r="E51" s="18">
        <f>E21</f>
        <v>6.2166666666666672E-3</v>
      </c>
    </row>
    <row r="52" spans="1:7">
      <c r="A52" s="29">
        <f t="shared" si="1"/>
        <v>16</v>
      </c>
      <c r="B52" s="76"/>
      <c r="C52" s="112" t="s">
        <v>407</v>
      </c>
      <c r="D52" s="76"/>
      <c r="E52" s="13">
        <f>E22</f>
        <v>24</v>
      </c>
      <c r="G52" s="23"/>
    </row>
    <row r="53" spans="1:7">
      <c r="A53" s="29">
        <f t="shared" si="1"/>
        <v>17</v>
      </c>
      <c r="B53" s="76"/>
      <c r="C53" s="112" t="s">
        <v>598</v>
      </c>
      <c r="D53" s="76"/>
      <c r="E53" s="533">
        <f>E50*E51*E52</f>
        <v>-53496.922971556713</v>
      </c>
    </row>
    <row r="54" spans="1:7" ht="15.75" thickBot="1">
      <c r="A54" s="29">
        <f t="shared" si="1"/>
        <v>18</v>
      </c>
      <c r="B54" s="76"/>
      <c r="C54" s="112" t="s">
        <v>599</v>
      </c>
      <c r="D54" s="76"/>
      <c r="E54" s="534">
        <f>E50+E53</f>
        <v>-412055.38792837114</v>
      </c>
    </row>
    <row r="55" spans="1:7" ht="15.75" thickTop="1">
      <c r="A55" s="76"/>
      <c r="B55" s="76"/>
      <c r="C55" s="76"/>
      <c r="D55" s="76"/>
      <c r="E55" s="76"/>
    </row>
    <row r="56" spans="1:7">
      <c r="A56" s="76"/>
      <c r="B56" s="535" t="s">
        <v>142</v>
      </c>
      <c r="C56" s="535"/>
      <c r="D56" s="446"/>
      <c r="E56" s="446"/>
    </row>
    <row r="57" spans="1:7" ht="15" customHeight="1">
      <c r="A57" s="76"/>
      <c r="B57" s="538" t="s">
        <v>401</v>
      </c>
      <c r="C57" s="536" t="s">
        <v>628</v>
      </c>
      <c r="D57" s="536"/>
      <c r="E57" s="536"/>
    </row>
    <row r="58" spans="1:7">
      <c r="A58" s="76"/>
      <c r="B58" s="538" t="s">
        <v>402</v>
      </c>
      <c r="C58" s="76" t="s">
        <v>629</v>
      </c>
      <c r="D58" s="76"/>
      <c r="E58" s="76"/>
    </row>
    <row r="59" spans="1:7" ht="15" customHeight="1">
      <c r="A59" s="76"/>
      <c r="B59" s="538" t="s">
        <v>403</v>
      </c>
      <c r="C59" s="542" t="s">
        <v>630</v>
      </c>
      <c r="D59" s="543"/>
      <c r="E59" s="543"/>
    </row>
    <row r="60" spans="1:7">
      <c r="A60" s="76"/>
      <c r="B60" s="538" t="s">
        <v>429</v>
      </c>
      <c r="C60" s="76" t="s">
        <v>667</v>
      </c>
    </row>
    <row r="61" spans="1:7">
      <c r="A61" s="76"/>
      <c r="B61" s="538" t="s">
        <v>430</v>
      </c>
      <c r="C61" s="112" t="s">
        <v>631</v>
      </c>
    </row>
    <row r="62" spans="1:7" ht="15" customHeight="1">
      <c r="A62" s="76"/>
    </row>
    <row r="63" spans="1:7">
      <c r="A63" s="76"/>
    </row>
    <row r="64" spans="1:7">
      <c r="A64" s="76"/>
    </row>
    <row r="65" spans="3:16">
      <c r="C65" s="435"/>
    </row>
    <row r="67" spans="3:16" ht="14.25" customHeight="1"/>
    <row r="68" spans="3:16">
      <c r="H68" s="544" t="s">
        <v>395</v>
      </c>
      <c r="I68" s="545"/>
      <c r="J68" s="545"/>
      <c r="K68" s="545"/>
      <c r="L68" s="545"/>
      <c r="M68" s="545"/>
      <c r="N68" s="545"/>
      <c r="O68" s="545"/>
      <c r="P68" s="546"/>
    </row>
    <row r="69" spans="3:16">
      <c r="H69" s="547" t="s">
        <v>530</v>
      </c>
      <c r="I69" s="548"/>
      <c r="J69" s="548"/>
      <c r="K69" s="548"/>
      <c r="L69" s="548"/>
      <c r="M69" s="548"/>
      <c r="N69" s="548"/>
      <c r="O69" s="548"/>
      <c r="P69" s="549"/>
    </row>
    <row r="70" spans="3:16">
      <c r="H70" s="550" t="s">
        <v>606</v>
      </c>
      <c r="I70" s="548"/>
      <c r="J70" s="548"/>
      <c r="K70" s="548"/>
      <c r="L70" s="548"/>
      <c r="M70" s="548"/>
      <c r="N70" s="548"/>
      <c r="O70" s="548"/>
      <c r="P70" s="549"/>
    </row>
    <row r="71" spans="3:16">
      <c r="H71" s="550" t="s">
        <v>406</v>
      </c>
      <c r="I71" s="548"/>
      <c r="J71" s="548"/>
      <c r="K71" s="548"/>
      <c r="L71" s="548"/>
      <c r="M71" s="548"/>
      <c r="N71" s="548"/>
      <c r="O71" s="548"/>
      <c r="P71" s="549"/>
    </row>
    <row r="72" spans="3:16">
      <c r="H72" s="550" t="s">
        <v>607</v>
      </c>
      <c r="I72" s="548"/>
      <c r="J72" s="548"/>
      <c r="K72" s="548"/>
      <c r="L72" s="548"/>
      <c r="M72" s="548"/>
      <c r="N72" s="548"/>
      <c r="O72" s="548"/>
      <c r="P72" s="549"/>
    </row>
    <row r="73" spans="3:16">
      <c r="H73" s="550" t="s">
        <v>396</v>
      </c>
      <c r="I73" s="548"/>
      <c r="J73" s="548"/>
      <c r="K73" s="548"/>
      <c r="L73" s="548"/>
      <c r="M73" s="548"/>
      <c r="N73" s="548"/>
      <c r="O73" s="548"/>
      <c r="P73" s="549"/>
    </row>
    <row r="74" spans="3:16">
      <c r="H74" s="550" t="s">
        <v>397</v>
      </c>
      <c r="I74" s="548"/>
      <c r="J74" s="548"/>
      <c r="K74" s="548"/>
      <c r="L74" s="548"/>
      <c r="M74" s="548"/>
      <c r="N74" s="548"/>
      <c r="O74" s="548"/>
      <c r="P74" s="549"/>
    </row>
    <row r="75" spans="3:16">
      <c r="H75" s="551">
        <f>IF(OR(MOD(K77,400)=0,AND(MOD(K77,4)=0,MOD(K77,100)&lt;&gt;0)),DATEVALUE(RIGHT(EKPC!J7,10))-366-365, DATEVALUE(RIGHT(EKPC!J7,10))-365-365)</f>
        <v>45292</v>
      </c>
      <c r="I75" s="548" t="str">
        <f>TEXT(H75,"mm/dd/yyyy")</f>
        <v>01/01/2024</v>
      </c>
      <c r="J75" s="548"/>
      <c r="K75" s="552">
        <f>K76-1</f>
        <v>2023</v>
      </c>
      <c r="L75" s="548"/>
      <c r="M75" s="548"/>
      <c r="N75" s="548"/>
      <c r="O75" s="548"/>
      <c r="P75" s="549"/>
    </row>
    <row r="76" spans="3:16">
      <c r="H76" s="551">
        <f>IF(OR(MOD(K77,400)=0,AND(MOD(K77,4)=0,MOD(K77,100)&lt;&gt;0)),DATEVALUE(RIGHT(EKPC!J7,10))-366, DATEVALUE(RIGHT(EKPC!J7,10))-365)</f>
        <v>45657</v>
      </c>
      <c r="I76" s="548" t="str">
        <f>TEXT(H76,"mm/dd/yyyy")</f>
        <v>12/31/2024</v>
      </c>
      <c r="J76" s="548"/>
      <c r="K76" s="552">
        <f>K77-1</f>
        <v>2024</v>
      </c>
      <c r="L76" s="548"/>
      <c r="M76" s="548"/>
      <c r="N76" s="548"/>
      <c r="O76" s="548"/>
      <c r="P76" s="549"/>
    </row>
    <row r="77" spans="3:16">
      <c r="H77" s="551">
        <f>DATEVALUE(RIGHT(EKPC!J7,10))</f>
        <v>46022</v>
      </c>
      <c r="I77" s="548" t="str">
        <f>TEXT(H77,"mm/dd/yyyy")</f>
        <v>12/31/2025</v>
      </c>
      <c r="J77" s="548"/>
      <c r="K77" s="552" t="str">
        <f>RIGHT(EKPC!J7,4)</f>
        <v>2025</v>
      </c>
      <c r="L77" s="548"/>
      <c r="M77" s="548"/>
      <c r="N77" s="548"/>
      <c r="O77" s="548"/>
      <c r="P77" s="549"/>
    </row>
    <row r="78" spans="3:16">
      <c r="H78" s="551">
        <f>IF(OR(MOD(K78,400)=0,AND(MOD(K78,4)=0,MOD(K78,100)&lt;&gt;0)),DATEVALUE(RIGHT(EKPC!J7,10))+366, DATEVALUE(RIGHT(EKPC!J7,10))+365)</f>
        <v>46387</v>
      </c>
      <c r="I78" s="548" t="str">
        <f>TEXT(H78,"mm/dd/yyyy")</f>
        <v>12/31/2026</v>
      </c>
      <c r="J78" s="548"/>
      <c r="K78" s="552">
        <f>K77+1</f>
        <v>2026</v>
      </c>
      <c r="L78" s="548"/>
      <c r="M78" s="548"/>
      <c r="N78" s="548"/>
      <c r="O78" s="548"/>
      <c r="P78" s="549"/>
    </row>
    <row r="79" spans="3:16">
      <c r="H79" s="551"/>
      <c r="I79" s="548"/>
      <c r="J79" s="548"/>
      <c r="K79" s="548"/>
      <c r="L79" s="548"/>
      <c r="M79" s="548"/>
      <c r="N79" s="548"/>
      <c r="O79" s="548"/>
      <c r="P79" s="549"/>
    </row>
    <row r="80" spans="3:16">
      <c r="H80" s="550" t="s">
        <v>400</v>
      </c>
      <c r="I80" s="548"/>
      <c r="J80" s="548"/>
      <c r="K80" s="548"/>
      <c r="L80" s="548"/>
      <c r="M80" s="548"/>
      <c r="N80" s="548"/>
      <c r="O80" s="548"/>
      <c r="P80" s="549"/>
    </row>
    <row r="81" spans="8:16">
      <c r="H81" s="553" t="s">
        <v>409</v>
      </c>
      <c r="I81" s="554"/>
      <c r="J81" s="554"/>
      <c r="K81" s="554"/>
      <c r="L81" s="554"/>
      <c r="M81" s="554"/>
      <c r="N81" s="554"/>
      <c r="O81" s="554"/>
      <c r="P81" s="555"/>
    </row>
    <row r="82" spans="8:16" ht="15.75">
      <c r="H82" s="556" t="s">
        <v>535</v>
      </c>
      <c r="I82" s="556"/>
      <c r="J82" s="556"/>
      <c r="K82" s="556"/>
      <c r="L82" s="556"/>
      <c r="M82" s="548"/>
      <c r="N82" s="548"/>
      <c r="O82" s="548"/>
      <c r="P82" s="548"/>
    </row>
    <row r="151" spans="11:11">
      <c r="K151" s="117" t="s">
        <v>612</v>
      </c>
    </row>
  </sheetData>
  <mergeCells count="4">
    <mergeCell ref="A39:F39"/>
    <mergeCell ref="B56:C56"/>
    <mergeCell ref="A8:F8"/>
    <mergeCell ref="B26:C26"/>
  </mergeCells>
  <pageMargins left="0.65" right="0.25" top="0.75" bottom="0.75" header="0.3" footer="0.3"/>
  <pageSetup scale="91" fitToHeight="2" orientation="landscape" r:id="rId1"/>
  <headerFooter alignWithMargins="0"/>
  <rowBreaks count="1" manualBreakCount="1">
    <brk id="31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7">
    <pageSetUpPr fitToPage="1"/>
  </sheetPr>
  <dimension ref="A1:K151"/>
  <sheetViews>
    <sheetView zoomScale="80" zoomScaleNormal="80" zoomScaleSheetLayoutView="90" workbookViewId="0">
      <selection activeCell="D28" sqref="D28"/>
    </sheetView>
  </sheetViews>
  <sheetFormatPr defaultColWidth="8.77734375" defaultRowHeight="12.75"/>
  <cols>
    <col min="1" max="1" width="6.109375" style="500" customWidth="1"/>
    <col min="2" max="2" width="8.77734375" style="500"/>
    <col min="3" max="3" width="0.88671875" style="500" customWidth="1"/>
    <col min="4" max="4" width="8.77734375" style="500"/>
    <col min="5" max="5" width="1.5546875" style="500" customWidth="1"/>
    <col min="6" max="6" width="46.109375" style="500" customWidth="1"/>
    <col min="7" max="7" width="6" style="500" customWidth="1"/>
    <col min="8" max="8" width="9.6640625" style="500" customWidth="1"/>
    <col min="9" max="16384" width="8.77734375" style="500"/>
  </cols>
  <sheetData>
    <row r="1" spans="1:11" ht="15">
      <c r="A1" s="499"/>
      <c r="B1" s="499"/>
      <c r="C1" s="499"/>
      <c r="D1" s="499"/>
      <c r="E1" s="499"/>
      <c r="F1" s="499"/>
      <c r="G1" s="499"/>
      <c r="H1" s="217" t="str">
        <f>EKPC!J1</f>
        <v>Attachment H-24A</v>
      </c>
    </row>
    <row r="2" spans="1:11" ht="15">
      <c r="A2" s="499"/>
      <c r="B2" s="499"/>
      <c r="C2" s="499"/>
      <c r="D2" s="499"/>
      <c r="E2" s="499"/>
      <c r="F2" s="499"/>
      <c r="G2" s="499"/>
      <c r="H2" s="213" t="s">
        <v>365</v>
      </c>
    </row>
    <row r="3" spans="1:11" ht="15">
      <c r="A3" s="499"/>
      <c r="B3" s="499"/>
      <c r="C3" s="499"/>
      <c r="D3" s="499"/>
      <c r="E3" s="499"/>
      <c r="F3" s="499"/>
      <c r="G3" s="499"/>
      <c r="H3" s="499"/>
      <c r="K3" s="213"/>
    </row>
    <row r="4" spans="1:11" ht="15">
      <c r="A4" s="501" t="str">
        <f>EKPC!A11</f>
        <v>East Kentucky Power Cooperative, Inc.</v>
      </c>
      <c r="B4" s="501"/>
      <c r="C4" s="501"/>
      <c r="D4" s="501"/>
      <c r="E4" s="501"/>
      <c r="F4" s="501"/>
      <c r="G4" s="501"/>
      <c r="H4" s="501"/>
      <c r="K4" s="231"/>
    </row>
    <row r="5" spans="1:11" ht="15">
      <c r="A5" s="502" t="s">
        <v>579</v>
      </c>
      <c r="B5" s="502"/>
      <c r="C5" s="502"/>
      <c r="D5" s="502"/>
      <c r="E5" s="502"/>
      <c r="F5" s="502"/>
      <c r="G5" s="502"/>
      <c r="H5" s="502"/>
    </row>
    <row r="6" spans="1:11" ht="15">
      <c r="A6" s="333" t="str">
        <f>CONCATENATE("Rates effective for year ending December 31, ",TEXT(RIGHT(EKPC!J7,10),"YYYY"))</f>
        <v>Rates effective for year ending December 31, 2025</v>
      </c>
      <c r="B6" s="333"/>
      <c r="C6" s="333"/>
      <c r="D6" s="333"/>
      <c r="E6" s="333"/>
      <c r="F6" s="333"/>
      <c r="G6" s="333"/>
      <c r="H6" s="333"/>
    </row>
    <row r="7" spans="1:11" ht="15">
      <c r="A7" s="499"/>
      <c r="B7" s="499"/>
      <c r="C7" s="499"/>
      <c r="D7" s="499"/>
      <c r="E7" s="499"/>
      <c r="F7" s="499"/>
      <c r="G7" s="499"/>
      <c r="H7" s="499"/>
    </row>
    <row r="8" spans="1:11" ht="15">
      <c r="A8" s="499"/>
      <c r="B8" s="503" t="s">
        <v>294</v>
      </c>
      <c r="C8" s="503"/>
      <c r="D8" s="503" t="s">
        <v>295</v>
      </c>
      <c r="E8" s="503"/>
      <c r="F8" s="503"/>
      <c r="G8" s="503"/>
      <c r="H8" s="503" t="s">
        <v>209</v>
      </c>
    </row>
    <row r="9" spans="1:11" ht="15">
      <c r="A9" s="503" t="s">
        <v>6</v>
      </c>
      <c r="B9" s="503" t="s">
        <v>296</v>
      </c>
      <c r="C9" s="503"/>
      <c r="D9" s="503" t="s">
        <v>296</v>
      </c>
      <c r="E9" s="503"/>
      <c r="F9" s="503"/>
      <c r="G9" s="503"/>
      <c r="H9" s="503" t="s">
        <v>297</v>
      </c>
    </row>
    <row r="10" spans="1:11" ht="15">
      <c r="A10" s="504" t="s">
        <v>8</v>
      </c>
      <c r="B10" s="504" t="s">
        <v>298</v>
      </c>
      <c r="C10" s="504"/>
      <c r="D10" s="504" t="s">
        <v>298</v>
      </c>
      <c r="E10" s="504"/>
      <c r="F10" s="504" t="s">
        <v>299</v>
      </c>
      <c r="G10" s="504"/>
      <c r="H10" s="504" t="s">
        <v>300</v>
      </c>
    </row>
    <row r="11" spans="1:11" ht="15">
      <c r="A11" s="499"/>
      <c r="B11" s="505" t="s">
        <v>289</v>
      </c>
      <c r="C11" s="503"/>
      <c r="D11" s="505" t="s">
        <v>290</v>
      </c>
      <c r="E11" s="503"/>
      <c r="F11" s="503" t="s">
        <v>291</v>
      </c>
      <c r="G11" s="503"/>
      <c r="H11" s="505" t="s">
        <v>301</v>
      </c>
    </row>
    <row r="12" spans="1:11" ht="15">
      <c r="A12" s="499"/>
      <c r="B12" s="505"/>
      <c r="C12" s="503"/>
      <c r="D12" s="505"/>
      <c r="E12" s="503"/>
      <c r="F12" s="503"/>
      <c r="G12" s="503"/>
      <c r="H12" s="503" t="s">
        <v>86</v>
      </c>
    </row>
    <row r="13" spans="1:11" ht="15.75">
      <c r="A13" s="499"/>
      <c r="B13" s="506" t="s">
        <v>456</v>
      </c>
      <c r="C13" s="506"/>
      <c r="D13" s="507"/>
      <c r="E13" s="507"/>
      <c r="F13" s="507"/>
      <c r="G13" s="507"/>
      <c r="H13" s="507"/>
    </row>
    <row r="14" spans="1:11" ht="15">
      <c r="A14" s="499"/>
      <c r="B14" s="499"/>
      <c r="C14" s="499"/>
      <c r="D14" s="499"/>
      <c r="E14" s="499"/>
      <c r="F14" s="499"/>
      <c r="G14" s="499"/>
      <c r="H14" s="508"/>
    </row>
    <row r="15" spans="1:11" ht="15">
      <c r="A15" s="503">
        <v>1</v>
      </c>
      <c r="B15" s="503">
        <v>350</v>
      </c>
      <c r="C15" s="499"/>
      <c r="D15" s="503">
        <v>350010</v>
      </c>
      <c r="E15" s="499"/>
      <c r="F15" s="499" t="s">
        <v>557</v>
      </c>
      <c r="G15" s="499"/>
      <c r="H15" s="44">
        <v>0</v>
      </c>
    </row>
    <row r="16" spans="1:11" ht="15">
      <c r="A16" s="503">
        <v>2</v>
      </c>
      <c r="B16" s="503">
        <v>353</v>
      </c>
      <c r="C16" s="499"/>
      <c r="D16" s="503">
        <v>353000</v>
      </c>
      <c r="E16" s="499"/>
      <c r="F16" s="499" t="s">
        <v>302</v>
      </c>
      <c r="G16" s="499"/>
      <c r="H16" s="44">
        <v>2.1800000000000002</v>
      </c>
    </row>
    <row r="17" spans="1:9" ht="15">
      <c r="A17" s="503">
        <v>3</v>
      </c>
      <c r="B17" s="503">
        <v>353</v>
      </c>
      <c r="C17" s="499"/>
      <c r="D17" s="503">
        <v>353010</v>
      </c>
      <c r="E17" s="499"/>
      <c r="F17" s="499" t="s">
        <v>324</v>
      </c>
      <c r="G17" s="499"/>
      <c r="H17" s="44">
        <v>6.31</v>
      </c>
    </row>
    <row r="18" spans="1:9" ht="15">
      <c r="A18" s="503">
        <v>4</v>
      </c>
      <c r="B18" s="503">
        <v>354</v>
      </c>
      <c r="C18" s="499"/>
      <c r="D18" s="503">
        <v>354000</v>
      </c>
      <c r="E18" s="499"/>
      <c r="F18" s="499" t="s">
        <v>325</v>
      </c>
      <c r="G18" s="499"/>
      <c r="H18" s="44">
        <v>1.66</v>
      </c>
    </row>
    <row r="19" spans="1:9" ht="15">
      <c r="A19" s="503">
        <v>5</v>
      </c>
      <c r="B19" s="503">
        <v>355</v>
      </c>
      <c r="C19" s="499"/>
      <c r="D19" s="503">
        <v>355000</v>
      </c>
      <c r="E19" s="499"/>
      <c r="F19" s="499" t="s">
        <v>303</v>
      </c>
      <c r="G19" s="499"/>
      <c r="H19" s="44">
        <v>2.82</v>
      </c>
    </row>
    <row r="20" spans="1:9" ht="15">
      <c r="A20" s="503">
        <v>6</v>
      </c>
      <c r="B20" s="503">
        <v>356</v>
      </c>
      <c r="C20" s="499"/>
      <c r="D20" s="503">
        <v>356000</v>
      </c>
      <c r="E20" s="499"/>
      <c r="F20" s="499" t="s">
        <v>304</v>
      </c>
      <c r="G20" s="499"/>
      <c r="H20" s="44">
        <v>2.9</v>
      </c>
    </row>
    <row r="21" spans="1:9" ht="15">
      <c r="A21" s="503">
        <v>7</v>
      </c>
      <c r="B21" s="503">
        <v>359</v>
      </c>
      <c r="C21" s="503"/>
      <c r="D21" s="503">
        <v>359000</v>
      </c>
      <c r="E21" s="499"/>
      <c r="F21" s="499" t="s">
        <v>336</v>
      </c>
      <c r="G21" s="499"/>
      <c r="H21" s="44">
        <v>1.92</v>
      </c>
    </row>
    <row r="22" spans="1:9" ht="15">
      <c r="A22" s="503"/>
      <c r="B22" s="503"/>
      <c r="C22" s="503"/>
      <c r="D22" s="503"/>
      <c r="E22" s="499"/>
      <c r="F22" s="499"/>
      <c r="G22" s="499"/>
      <c r="H22" s="44"/>
    </row>
    <row r="23" spans="1:9" ht="15.75">
      <c r="A23" s="503"/>
      <c r="B23" s="506" t="s">
        <v>305</v>
      </c>
      <c r="C23" s="507"/>
      <c r="D23" s="507"/>
      <c r="E23" s="507"/>
      <c r="F23" s="507"/>
      <c r="G23" s="507"/>
      <c r="H23" s="45"/>
    </row>
    <row r="24" spans="1:9" ht="15">
      <c r="A24" s="503"/>
      <c r="B24" s="503"/>
      <c r="C24" s="503"/>
      <c r="D24" s="503"/>
      <c r="E24" s="499"/>
      <c r="F24" s="499"/>
      <c r="G24" s="499"/>
      <c r="H24" s="44"/>
    </row>
    <row r="25" spans="1:9" ht="15">
      <c r="A25" s="503">
        <v>8</v>
      </c>
      <c r="B25" s="503">
        <v>303</v>
      </c>
      <c r="C25" s="509"/>
      <c r="D25" s="503">
        <v>303000</v>
      </c>
      <c r="E25" s="499"/>
      <c r="F25" s="499" t="s">
        <v>307</v>
      </c>
      <c r="G25" s="499"/>
      <c r="H25" s="44">
        <v>11.42</v>
      </c>
      <c r="I25" s="510"/>
    </row>
    <row r="26" spans="1:9" ht="15">
      <c r="A26" s="503">
        <v>9</v>
      </c>
      <c r="B26" s="503">
        <v>390</v>
      </c>
      <c r="C26" s="509"/>
      <c r="D26" s="503">
        <v>390000</v>
      </c>
      <c r="E26" s="499"/>
      <c r="F26" s="499" t="s">
        <v>326</v>
      </c>
      <c r="G26" s="499"/>
      <c r="H26" s="44">
        <v>0.99</v>
      </c>
    </row>
    <row r="27" spans="1:9" ht="15">
      <c r="A27" s="503">
        <v>10</v>
      </c>
      <c r="B27" s="503">
        <v>391</v>
      </c>
      <c r="C27" s="509"/>
      <c r="D27" s="503">
        <v>391000</v>
      </c>
      <c r="E27" s="499"/>
      <c r="F27" s="499" t="s">
        <v>327</v>
      </c>
      <c r="G27" s="499"/>
      <c r="H27" s="51">
        <v>5</v>
      </c>
    </row>
    <row r="28" spans="1:9" ht="15">
      <c r="A28" s="503">
        <v>11</v>
      </c>
      <c r="B28" s="503">
        <v>391</v>
      </c>
      <c r="C28" s="509"/>
      <c r="D28" s="503">
        <v>391001</v>
      </c>
      <c r="E28" s="499"/>
      <c r="F28" s="499" t="s">
        <v>328</v>
      </c>
      <c r="G28" s="499"/>
      <c r="H28" s="44">
        <v>6.67</v>
      </c>
    </row>
    <row r="29" spans="1:9" ht="15">
      <c r="A29" s="503">
        <v>12</v>
      </c>
      <c r="B29" s="503">
        <v>392</v>
      </c>
      <c r="C29" s="509"/>
      <c r="D29" s="503">
        <v>392000</v>
      </c>
      <c r="E29" s="499"/>
      <c r="F29" s="499" t="s">
        <v>306</v>
      </c>
      <c r="G29" s="499"/>
      <c r="H29" s="46">
        <v>5.84</v>
      </c>
    </row>
    <row r="30" spans="1:9" ht="15">
      <c r="A30" s="503">
        <v>13</v>
      </c>
      <c r="B30" s="503">
        <v>393</v>
      </c>
      <c r="C30" s="509"/>
      <c r="D30" s="503">
        <v>393000</v>
      </c>
      <c r="E30" s="499"/>
      <c r="F30" s="499" t="s">
        <v>308</v>
      </c>
      <c r="G30" s="499"/>
      <c r="H30" s="46">
        <v>4</v>
      </c>
    </row>
    <row r="31" spans="1:9" ht="15">
      <c r="A31" s="503">
        <v>14</v>
      </c>
      <c r="B31" s="503">
        <v>394</v>
      </c>
      <c r="C31" s="509"/>
      <c r="D31" s="503">
        <v>394000</v>
      </c>
      <c r="E31" s="499"/>
      <c r="F31" s="499" t="s">
        <v>329</v>
      </c>
      <c r="G31" s="499"/>
      <c r="H31" s="44">
        <v>5</v>
      </c>
    </row>
    <row r="32" spans="1:9" ht="15">
      <c r="A32" s="503">
        <v>15</v>
      </c>
      <c r="B32" s="503">
        <v>395</v>
      </c>
      <c r="C32" s="509"/>
      <c r="D32" s="503">
        <v>395000</v>
      </c>
      <c r="E32" s="499"/>
      <c r="F32" s="499" t="s">
        <v>330</v>
      </c>
      <c r="G32" s="499"/>
      <c r="H32" s="44">
        <v>5</v>
      </c>
    </row>
    <row r="33" spans="1:8" ht="15">
      <c r="A33" s="503">
        <v>16</v>
      </c>
      <c r="B33" s="503">
        <v>396</v>
      </c>
      <c r="C33" s="509"/>
      <c r="D33" s="503">
        <v>396000</v>
      </c>
      <c r="E33" s="499"/>
      <c r="F33" s="499" t="s">
        <v>331</v>
      </c>
      <c r="G33" s="499"/>
      <c r="H33" s="44">
        <v>2.02</v>
      </c>
    </row>
    <row r="34" spans="1:8" ht="15">
      <c r="A34" s="503">
        <v>17</v>
      </c>
      <c r="B34" s="503">
        <v>397</v>
      </c>
      <c r="C34" s="509"/>
      <c r="D34" s="503">
        <v>397000</v>
      </c>
      <c r="E34" s="499"/>
      <c r="F34" s="499" t="s">
        <v>332</v>
      </c>
      <c r="G34" s="499"/>
      <c r="H34" s="44">
        <v>6.67</v>
      </c>
    </row>
    <row r="35" spans="1:8" ht="15">
      <c r="A35" s="503">
        <v>18</v>
      </c>
      <c r="B35" s="503">
        <v>397</v>
      </c>
      <c r="C35" s="503"/>
      <c r="D35" s="503">
        <v>397000</v>
      </c>
      <c r="E35" s="499"/>
      <c r="F35" s="499" t="s">
        <v>333</v>
      </c>
      <c r="G35" s="499"/>
      <c r="H35" s="44">
        <v>6.67</v>
      </c>
    </row>
    <row r="36" spans="1:8" ht="15">
      <c r="A36" s="503">
        <v>19</v>
      </c>
      <c r="B36" s="503">
        <v>397</v>
      </c>
      <c r="C36" s="503"/>
      <c r="D36" s="503">
        <v>397001</v>
      </c>
      <c r="E36" s="499"/>
      <c r="F36" s="499" t="s">
        <v>334</v>
      </c>
      <c r="G36" s="499"/>
      <c r="H36" s="44">
        <v>6.67</v>
      </c>
    </row>
    <row r="37" spans="1:8" ht="15">
      <c r="A37" s="503">
        <v>20</v>
      </c>
      <c r="B37" s="503">
        <v>398</v>
      </c>
      <c r="C37" s="503"/>
      <c r="D37" s="503">
        <v>398000</v>
      </c>
      <c r="E37" s="499"/>
      <c r="F37" s="499" t="s">
        <v>335</v>
      </c>
      <c r="G37" s="499"/>
      <c r="H37" s="44">
        <v>5</v>
      </c>
    </row>
    <row r="38" spans="1:8" ht="15">
      <c r="A38" s="499"/>
      <c r="B38" s="503"/>
      <c r="C38" s="503"/>
      <c r="D38" s="503"/>
      <c r="E38" s="499"/>
      <c r="F38" s="499"/>
      <c r="G38" s="499"/>
      <c r="H38" s="30"/>
    </row>
    <row r="39" spans="1:8" ht="15">
      <c r="A39" s="499"/>
      <c r="B39" s="511" t="s">
        <v>431</v>
      </c>
      <c r="C39" s="511"/>
      <c r="D39" s="511"/>
      <c r="E39" s="511"/>
      <c r="F39" s="511"/>
      <c r="G39" s="499"/>
      <c r="H39" s="499"/>
    </row>
    <row r="40" spans="1:8" ht="15">
      <c r="A40" s="499"/>
      <c r="B40" s="505" t="s">
        <v>16</v>
      </c>
      <c r="C40" s="503"/>
      <c r="D40" s="512" t="s">
        <v>613</v>
      </c>
      <c r="E40" s="499"/>
      <c r="F40" s="499"/>
      <c r="G40" s="499"/>
      <c r="H40" s="499"/>
    </row>
    <row r="41" spans="1:8" ht="15">
      <c r="B41" s="513"/>
      <c r="C41" s="513"/>
      <c r="D41" s="514" t="s">
        <v>614</v>
      </c>
    </row>
    <row r="42" spans="1:8">
      <c r="B42" s="513"/>
      <c r="C42" s="513"/>
      <c r="D42" s="513"/>
    </row>
    <row r="43" spans="1:8">
      <c r="B43" s="513"/>
      <c r="C43" s="513"/>
      <c r="D43" s="513"/>
    </row>
    <row r="44" spans="1:8">
      <c r="B44" s="513"/>
      <c r="C44" s="513"/>
      <c r="D44" s="513"/>
    </row>
    <row r="45" spans="1:8">
      <c r="B45" s="513"/>
      <c r="C45" s="513"/>
      <c r="D45" s="513"/>
    </row>
    <row r="46" spans="1:8">
      <c r="B46" s="513"/>
      <c r="C46" s="513"/>
      <c r="D46" s="513"/>
    </row>
    <row r="47" spans="1:8">
      <c r="B47" s="513"/>
      <c r="C47" s="513"/>
      <c r="D47" s="513"/>
    </row>
    <row r="48" spans="1:8">
      <c r="B48" s="513"/>
      <c r="C48" s="513"/>
      <c r="D48" s="513"/>
    </row>
    <row r="49" spans="2:4">
      <c r="B49" s="513"/>
      <c r="C49" s="513"/>
      <c r="D49" s="513"/>
    </row>
    <row r="50" spans="2:4">
      <c r="B50" s="513"/>
      <c r="C50" s="513"/>
      <c r="D50" s="513"/>
    </row>
    <row r="51" spans="2:4">
      <c r="B51" s="513"/>
      <c r="C51" s="513"/>
      <c r="D51" s="513"/>
    </row>
    <row r="52" spans="2:4">
      <c r="B52" s="513"/>
      <c r="C52" s="513"/>
      <c r="D52" s="513"/>
    </row>
    <row r="53" spans="2:4">
      <c r="B53" s="513"/>
      <c r="C53" s="513"/>
      <c r="D53" s="513"/>
    </row>
    <row r="54" spans="2:4">
      <c r="B54" s="513"/>
      <c r="C54" s="513"/>
      <c r="D54" s="513"/>
    </row>
    <row r="55" spans="2:4">
      <c r="B55" s="513"/>
      <c r="C55" s="513"/>
      <c r="D55" s="513"/>
    </row>
    <row r="56" spans="2:4">
      <c r="B56" s="513"/>
      <c r="C56" s="513"/>
      <c r="D56" s="513"/>
    </row>
    <row r="57" spans="2:4">
      <c r="B57" s="513"/>
      <c r="C57" s="513"/>
      <c r="D57" s="513"/>
    </row>
    <row r="58" spans="2:4">
      <c r="B58" s="513"/>
      <c r="C58" s="513"/>
      <c r="D58" s="513"/>
    </row>
    <row r="59" spans="2:4">
      <c r="B59" s="513"/>
      <c r="C59" s="513"/>
      <c r="D59" s="513"/>
    </row>
    <row r="60" spans="2:4">
      <c r="B60" s="513"/>
      <c r="C60" s="513"/>
      <c r="D60" s="513"/>
    </row>
    <row r="61" spans="2:4">
      <c r="B61" s="513"/>
      <c r="C61" s="513"/>
      <c r="D61" s="513"/>
    </row>
    <row r="62" spans="2:4">
      <c r="B62" s="513"/>
      <c r="C62" s="513"/>
      <c r="D62" s="513"/>
    </row>
    <row r="63" spans="2:4">
      <c r="B63" s="513"/>
      <c r="C63" s="513"/>
      <c r="D63" s="513"/>
    </row>
    <row r="64" spans="2:4">
      <c r="B64" s="513"/>
      <c r="C64" s="513"/>
      <c r="D64" s="513"/>
    </row>
    <row r="65" spans="2:4">
      <c r="B65" s="513"/>
      <c r="C65" s="513"/>
      <c r="D65" s="513"/>
    </row>
    <row r="66" spans="2:4">
      <c r="B66" s="513"/>
      <c r="C66" s="513"/>
      <c r="D66" s="513"/>
    </row>
    <row r="67" spans="2:4">
      <c r="B67" s="513"/>
      <c r="C67" s="513"/>
      <c r="D67" s="513"/>
    </row>
    <row r="68" spans="2:4">
      <c r="B68" s="513"/>
      <c r="C68" s="513"/>
      <c r="D68" s="513"/>
    </row>
    <row r="69" spans="2:4">
      <c r="B69" s="513"/>
      <c r="C69" s="513"/>
      <c r="D69" s="513"/>
    </row>
    <row r="70" spans="2:4">
      <c r="B70" s="513"/>
      <c r="C70" s="513"/>
      <c r="D70" s="513"/>
    </row>
    <row r="71" spans="2:4">
      <c r="B71" s="513"/>
      <c r="C71" s="513"/>
      <c r="D71" s="513"/>
    </row>
    <row r="72" spans="2:4">
      <c r="B72" s="513"/>
      <c r="C72" s="513"/>
      <c r="D72" s="513"/>
    </row>
    <row r="73" spans="2:4">
      <c r="B73" s="513"/>
      <c r="C73" s="513"/>
      <c r="D73" s="513"/>
    </row>
    <row r="74" spans="2:4">
      <c r="B74" s="513"/>
      <c r="C74" s="513"/>
      <c r="D74" s="513"/>
    </row>
    <row r="75" spans="2:4">
      <c r="B75" s="513"/>
      <c r="C75" s="513"/>
      <c r="D75" s="513"/>
    </row>
    <row r="76" spans="2:4">
      <c r="B76" s="513"/>
      <c r="C76" s="513"/>
      <c r="D76" s="513"/>
    </row>
    <row r="77" spans="2:4">
      <c r="B77" s="513"/>
      <c r="C77" s="513"/>
      <c r="D77" s="513"/>
    </row>
    <row r="78" spans="2:4">
      <c r="B78" s="513"/>
      <c r="C78" s="513"/>
      <c r="D78" s="513"/>
    </row>
    <row r="79" spans="2:4">
      <c r="B79" s="513"/>
      <c r="C79" s="513"/>
      <c r="D79" s="513"/>
    </row>
    <row r="80" spans="2:4">
      <c r="B80" s="513"/>
      <c r="C80" s="513"/>
      <c r="D80" s="513"/>
    </row>
    <row r="81" spans="2:4">
      <c r="B81" s="513"/>
      <c r="C81" s="513"/>
      <c r="D81" s="513"/>
    </row>
    <row r="82" spans="2:4">
      <c r="B82" s="513"/>
      <c r="C82" s="513"/>
      <c r="D82" s="513"/>
    </row>
    <row r="83" spans="2:4">
      <c r="B83" s="513"/>
      <c r="C83" s="513"/>
      <c r="D83" s="513"/>
    </row>
    <row r="84" spans="2:4">
      <c r="B84" s="513"/>
      <c r="C84" s="513"/>
      <c r="D84" s="513"/>
    </row>
    <row r="85" spans="2:4">
      <c r="B85" s="513"/>
      <c r="C85" s="513"/>
      <c r="D85" s="513"/>
    </row>
    <row r="86" spans="2:4">
      <c r="B86" s="513"/>
      <c r="C86" s="513"/>
      <c r="D86" s="513"/>
    </row>
    <row r="87" spans="2:4">
      <c r="B87" s="513"/>
      <c r="C87" s="513"/>
      <c r="D87" s="513"/>
    </row>
    <row r="88" spans="2:4">
      <c r="B88" s="513"/>
      <c r="C88" s="513"/>
      <c r="D88" s="513"/>
    </row>
    <row r="89" spans="2:4">
      <c r="B89" s="513"/>
      <c r="C89" s="513"/>
      <c r="D89" s="513"/>
    </row>
    <row r="90" spans="2:4">
      <c r="B90" s="513"/>
      <c r="C90" s="513"/>
      <c r="D90" s="513"/>
    </row>
    <row r="91" spans="2:4">
      <c r="B91" s="513"/>
      <c r="C91" s="513"/>
      <c r="D91" s="513"/>
    </row>
    <row r="92" spans="2:4">
      <c r="B92" s="513"/>
      <c r="C92" s="513"/>
      <c r="D92" s="513"/>
    </row>
    <row r="93" spans="2:4">
      <c r="B93" s="513"/>
      <c r="C93" s="513"/>
      <c r="D93" s="513"/>
    </row>
    <row r="94" spans="2:4">
      <c r="B94" s="513"/>
      <c r="C94" s="513"/>
      <c r="D94" s="513"/>
    </row>
    <row r="95" spans="2:4">
      <c r="B95" s="513"/>
      <c r="C95" s="513"/>
      <c r="D95" s="513"/>
    </row>
    <row r="96" spans="2:4">
      <c r="B96" s="513"/>
      <c r="C96" s="513"/>
      <c r="D96" s="513"/>
    </row>
    <row r="97" spans="2:4">
      <c r="B97" s="513"/>
      <c r="C97" s="513"/>
      <c r="D97" s="513"/>
    </row>
    <row r="98" spans="2:4">
      <c r="B98" s="513"/>
      <c r="C98" s="513"/>
      <c r="D98" s="513"/>
    </row>
    <row r="99" spans="2:4">
      <c r="B99" s="513"/>
      <c r="C99" s="513"/>
      <c r="D99" s="513"/>
    </row>
    <row r="100" spans="2:4">
      <c r="B100" s="513"/>
      <c r="C100" s="513"/>
      <c r="D100" s="513"/>
    </row>
    <row r="101" spans="2:4">
      <c r="B101" s="513"/>
      <c r="C101" s="513"/>
      <c r="D101" s="513"/>
    </row>
    <row r="102" spans="2:4">
      <c r="B102" s="513"/>
      <c r="C102" s="513"/>
      <c r="D102" s="513"/>
    </row>
    <row r="103" spans="2:4">
      <c r="B103" s="513"/>
      <c r="C103" s="513"/>
      <c r="D103" s="513"/>
    </row>
    <row r="151" spans="11:11">
      <c r="K151" s="500" t="s">
        <v>612</v>
      </c>
    </row>
  </sheetData>
  <mergeCells count="4">
    <mergeCell ref="B39:F39"/>
    <mergeCell ref="A4:H4"/>
    <mergeCell ref="A5:H5"/>
    <mergeCell ref="A6:H6"/>
  </mergeCells>
  <pageMargins left="1" right="1" top="1.25" bottom="0.75" header="0.75" footer="0.3"/>
  <pageSetup scale="79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L151"/>
  <sheetViews>
    <sheetView zoomScale="80" zoomScaleNormal="80" zoomScaleSheetLayoutView="110" workbookViewId="0">
      <selection activeCell="D28" sqref="D28"/>
    </sheetView>
  </sheetViews>
  <sheetFormatPr defaultRowHeight="15"/>
  <cols>
    <col min="1" max="1" width="5" style="117" customWidth="1"/>
    <col min="2" max="2" width="11.44140625" style="117" customWidth="1"/>
    <col min="3" max="3" width="14.77734375" style="117" customWidth="1"/>
    <col min="4" max="8" width="8.88671875" style="117"/>
    <col min="9" max="9" width="13.21875" style="117" bestFit="1" customWidth="1"/>
    <col min="10" max="16384" width="8.88671875" style="117"/>
  </cols>
  <sheetData>
    <row r="1" spans="1:12">
      <c r="H1" s="76"/>
      <c r="I1" s="287" t="str">
        <f>EKPC!J1</f>
        <v>Attachment H-24A</v>
      </c>
    </row>
    <row r="2" spans="1:12">
      <c r="H2" s="76"/>
      <c r="I2" s="476" t="s">
        <v>532</v>
      </c>
    </row>
    <row r="3" spans="1:12">
      <c r="H3" s="76"/>
      <c r="I3" s="476" t="s">
        <v>374</v>
      </c>
      <c r="L3" s="231"/>
    </row>
    <row r="4" spans="1:12">
      <c r="B4" s="477"/>
      <c r="C4" s="477"/>
      <c r="D4" s="477"/>
      <c r="E4" s="477"/>
      <c r="F4" s="477"/>
      <c r="G4" s="476"/>
      <c r="H4" s="477"/>
      <c r="I4" s="478" t="str">
        <f>EKPC!J7</f>
        <v>For the 12 months ended 12/31/2025</v>
      </c>
    </row>
    <row r="5" spans="1:12">
      <c r="B5" s="477"/>
      <c r="C5" s="477"/>
      <c r="D5" s="477"/>
      <c r="E5" s="477"/>
      <c r="F5" s="477"/>
      <c r="G5" s="476"/>
      <c r="H5" s="477"/>
      <c r="L5" s="476"/>
    </row>
    <row r="6" spans="1:12">
      <c r="B6" s="86" t="s">
        <v>312</v>
      </c>
      <c r="C6" s="479"/>
      <c r="D6" s="479"/>
      <c r="E6" s="479"/>
      <c r="F6" s="479"/>
      <c r="G6" s="479"/>
      <c r="H6" s="479"/>
      <c r="I6" s="479"/>
    </row>
    <row r="7" spans="1:12">
      <c r="B7" s="205" t="str">
        <f>EKPC!A9</f>
        <v>Utilizing EKPC 2025 Form FF1 Data (ver. FINAL - AUDITED)</v>
      </c>
      <c r="C7" s="205"/>
      <c r="D7" s="205"/>
      <c r="E7" s="205"/>
      <c r="F7" s="205"/>
      <c r="G7" s="205"/>
      <c r="H7" s="205"/>
      <c r="I7" s="205"/>
    </row>
    <row r="8" spans="1:12">
      <c r="B8" s="477"/>
      <c r="C8" s="477"/>
      <c r="D8" s="477"/>
      <c r="E8" s="477"/>
      <c r="F8" s="477"/>
      <c r="G8" s="476"/>
      <c r="H8" s="477"/>
      <c r="I8" s="476"/>
    </row>
    <row r="9" spans="1:12" ht="15.75">
      <c r="B9" s="480" t="s">
        <v>387</v>
      </c>
      <c r="C9" s="479"/>
      <c r="D9" s="479"/>
      <c r="E9" s="479"/>
      <c r="F9" s="479"/>
      <c r="G9" s="479"/>
      <c r="H9" s="479"/>
      <c r="I9" s="479"/>
    </row>
    <row r="10" spans="1:12" ht="15.75">
      <c r="B10" s="480" t="s">
        <v>344</v>
      </c>
      <c r="C10" s="479"/>
      <c r="D10" s="479"/>
      <c r="E10" s="479"/>
      <c r="F10" s="479"/>
      <c r="G10" s="479"/>
      <c r="H10" s="479"/>
      <c r="I10" s="479"/>
    </row>
    <row r="11" spans="1:12" ht="15.75">
      <c r="B11" s="481"/>
      <c r="C11" s="482"/>
      <c r="D11" s="482"/>
      <c r="E11" s="483"/>
      <c r="F11" s="483"/>
      <c r="G11" s="482"/>
      <c r="H11" s="482"/>
      <c r="I11" s="482"/>
    </row>
    <row r="12" spans="1:12" ht="33" customHeight="1">
      <c r="A12" s="484" t="s">
        <v>182</v>
      </c>
      <c r="B12" s="485"/>
      <c r="C12" s="486" t="s">
        <v>345</v>
      </c>
      <c r="D12" s="486"/>
      <c r="E12" s="486" t="s">
        <v>346</v>
      </c>
      <c r="F12" s="486"/>
      <c r="G12" s="487" t="s">
        <v>580</v>
      </c>
      <c r="H12" s="485"/>
      <c r="I12" s="487" t="s">
        <v>581</v>
      </c>
    </row>
    <row r="13" spans="1:12">
      <c r="A13" s="91">
        <v>1</v>
      </c>
      <c r="B13" s="482" t="s">
        <v>145</v>
      </c>
      <c r="C13" s="488">
        <v>78363257</v>
      </c>
      <c r="D13" s="135"/>
      <c r="E13" s="31">
        <f>C13/C16</f>
        <v>0.49698096611570369</v>
      </c>
      <c r="F13" s="31"/>
      <c r="G13" s="489">
        <f>G16*E13</f>
        <v>0</v>
      </c>
      <c r="H13" s="482"/>
      <c r="I13" s="482"/>
    </row>
    <row r="14" spans="1:12">
      <c r="A14" s="91">
        <f>+A13+1</f>
        <v>2</v>
      </c>
      <c r="B14" s="482" t="s">
        <v>22</v>
      </c>
      <c r="C14" s="490">
        <v>79225571</v>
      </c>
      <c r="D14" s="135"/>
      <c r="E14" s="31">
        <f>C14/C16</f>
        <v>0.50244977460097495</v>
      </c>
      <c r="F14" s="31"/>
      <c r="G14" s="489">
        <f>E14*G16</f>
        <v>0</v>
      </c>
      <c r="H14" s="491"/>
      <c r="I14" s="482"/>
    </row>
    <row r="15" spans="1:12" ht="17.25">
      <c r="A15" s="91">
        <f>+A14+1</f>
        <v>3</v>
      </c>
      <c r="B15" s="482" t="s">
        <v>146</v>
      </c>
      <c r="C15" s="492">
        <v>89760</v>
      </c>
      <c r="D15" s="135"/>
      <c r="E15" s="32">
        <f>C15/C16</f>
        <v>5.6925928332133462E-4</v>
      </c>
      <c r="F15" s="32"/>
      <c r="G15" s="493">
        <f>E15*G16</f>
        <v>0</v>
      </c>
      <c r="H15" s="482"/>
      <c r="I15" s="482"/>
    </row>
    <row r="16" spans="1:12" ht="18" thickBot="1">
      <c r="A16" s="91">
        <f>+A15+1</f>
        <v>4</v>
      </c>
      <c r="B16" s="482" t="s">
        <v>347</v>
      </c>
      <c r="C16" s="33">
        <f>SUM(C13:C15)</f>
        <v>157678588</v>
      </c>
      <c r="D16" s="482"/>
      <c r="E16" s="494">
        <f>SUM(E13:E15)</f>
        <v>1</v>
      </c>
      <c r="F16" s="494"/>
      <c r="G16" s="495">
        <v>0</v>
      </c>
      <c r="H16" s="482"/>
      <c r="I16" s="496">
        <f>G14+C14</f>
        <v>79225571</v>
      </c>
    </row>
    <row r="17" spans="2:9" ht="15.75" thickTop="1">
      <c r="B17" s="482"/>
      <c r="C17" s="482"/>
      <c r="D17" s="482"/>
      <c r="E17" s="482"/>
      <c r="F17" s="482"/>
      <c r="G17" s="482"/>
      <c r="H17" s="482"/>
      <c r="I17" s="482"/>
    </row>
    <row r="18" spans="2:9">
      <c r="B18" s="482"/>
      <c r="C18" s="482"/>
      <c r="D18" s="482"/>
      <c r="E18" s="482"/>
      <c r="F18" s="482"/>
      <c r="G18" s="482"/>
      <c r="H18" s="482"/>
      <c r="I18" s="482"/>
    </row>
    <row r="19" spans="2:9">
      <c r="B19" s="497" t="s">
        <v>142</v>
      </c>
      <c r="C19" s="498"/>
      <c r="D19" s="498"/>
      <c r="E19" s="498"/>
      <c r="F19" s="34"/>
      <c r="G19" s="482"/>
      <c r="H19" s="482"/>
      <c r="I19" s="482"/>
    </row>
    <row r="20" spans="2:9" ht="15.75">
      <c r="B20" s="482" t="s">
        <v>553</v>
      </c>
      <c r="C20" s="34"/>
      <c r="D20" s="34"/>
      <c r="E20" s="34"/>
      <c r="F20" s="35"/>
      <c r="G20" s="482"/>
      <c r="H20" s="482"/>
      <c r="I20" s="482"/>
    </row>
    <row r="21" spans="2:9">
      <c r="B21" s="482" t="s">
        <v>388</v>
      </c>
    </row>
    <row r="22" spans="2:9">
      <c r="B22" s="482" t="s">
        <v>651</v>
      </c>
      <c r="D22" s="76"/>
    </row>
    <row r="151" spans="11:11">
      <c r="K151" s="117" t="s">
        <v>612</v>
      </c>
    </row>
  </sheetData>
  <mergeCells count="1">
    <mergeCell ref="B7:I7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4">
    <pageSetUpPr fitToPage="1"/>
  </sheetPr>
  <dimension ref="A1:K151"/>
  <sheetViews>
    <sheetView zoomScale="80" zoomScaleNormal="80" zoomScaleSheetLayoutView="90" workbookViewId="0">
      <selection activeCell="D28" sqref="D28"/>
    </sheetView>
  </sheetViews>
  <sheetFormatPr defaultColWidth="8.77734375" defaultRowHeight="15"/>
  <cols>
    <col min="1" max="1" width="8.77734375" style="76"/>
    <col min="2" max="2" width="37.21875" style="76" bestFit="1" customWidth="1"/>
    <col min="3" max="3" width="14.77734375" style="76" customWidth="1"/>
    <col min="4" max="4" width="22.44140625" style="76" customWidth="1"/>
    <col min="5" max="5" width="23.88671875" style="76" customWidth="1"/>
    <col min="6" max="16384" width="8.77734375" style="76"/>
  </cols>
  <sheetData>
    <row r="1" spans="1:7">
      <c r="E1" s="279" t="str">
        <f>EKPC!J1</f>
        <v>Attachment H-24A</v>
      </c>
    </row>
    <row r="2" spans="1:7">
      <c r="E2" s="281" t="s">
        <v>532</v>
      </c>
    </row>
    <row r="3" spans="1:7">
      <c r="B3" s="117"/>
      <c r="C3" s="86"/>
      <c r="D3" s="86"/>
      <c r="E3" s="281" t="s">
        <v>373</v>
      </c>
    </row>
    <row r="4" spans="1:7" ht="18">
      <c r="B4" s="364"/>
      <c r="C4" s="86"/>
      <c r="D4" s="86"/>
      <c r="E4" s="281" t="str">
        <f>EKPC!$J$7</f>
        <v>For the 12 months ended 12/31/2025</v>
      </c>
    </row>
    <row r="5" spans="1:7" ht="18">
      <c r="B5" s="364"/>
      <c r="C5" s="86"/>
      <c r="D5" s="86"/>
      <c r="E5" s="281"/>
      <c r="G5" s="231"/>
    </row>
    <row r="6" spans="1:7" ht="15.75">
      <c r="B6" s="365" t="str">
        <f>EKPC!A11</f>
        <v>East Kentucky Power Cooperative, Inc.</v>
      </c>
      <c r="C6" s="365"/>
      <c r="D6" s="365"/>
      <c r="E6" s="365"/>
    </row>
    <row r="7" spans="1:7" ht="15.75">
      <c r="B7" s="365" t="str">
        <f>EKPC!A9</f>
        <v>Utilizing EKPC 2025 Form FF1 Data (ver. FINAL - AUDITED)</v>
      </c>
      <c r="C7" s="365"/>
      <c r="D7" s="365"/>
      <c r="E7" s="365"/>
    </row>
    <row r="9" spans="1:7">
      <c r="E9" s="281"/>
    </row>
    <row r="10" spans="1:7" ht="15.75">
      <c r="B10" s="327" t="s">
        <v>380</v>
      </c>
      <c r="C10" s="86"/>
      <c r="D10" s="86"/>
      <c r="E10" s="86"/>
    </row>
    <row r="12" spans="1:7">
      <c r="C12" s="111"/>
      <c r="D12" s="111"/>
    </row>
    <row r="13" spans="1:7" ht="34.5">
      <c r="A13" s="462" t="s">
        <v>182</v>
      </c>
      <c r="B13" s="150" t="s">
        <v>464</v>
      </c>
      <c r="C13" s="463" t="s">
        <v>215</v>
      </c>
      <c r="D13" s="463" t="s">
        <v>159</v>
      </c>
      <c r="E13" s="463" t="s">
        <v>375</v>
      </c>
    </row>
    <row r="14" spans="1:7">
      <c r="C14" s="111"/>
      <c r="D14" s="111"/>
      <c r="E14" s="111"/>
    </row>
    <row r="15" spans="1:7" ht="15.75">
      <c r="A15" s="433"/>
      <c r="B15" s="464"/>
      <c r="C15" s="465"/>
      <c r="D15" s="465"/>
      <c r="E15" s="465"/>
    </row>
    <row r="16" spans="1:7">
      <c r="C16" s="465"/>
      <c r="D16" s="135"/>
      <c r="E16" s="465"/>
    </row>
    <row r="17" spans="1:7">
      <c r="A17" s="433" t="s">
        <v>416</v>
      </c>
      <c r="B17" s="76" t="s">
        <v>323</v>
      </c>
      <c r="C17" s="96">
        <v>0</v>
      </c>
      <c r="D17" s="106">
        <v>27462</v>
      </c>
      <c r="E17" s="96">
        <f t="shared" ref="E17:E22" si="0">SUM(C17:D17)</f>
        <v>27462</v>
      </c>
      <c r="G17" s="181"/>
    </row>
    <row r="18" spans="1:7">
      <c r="A18" s="466">
        <f t="shared" ref="A18:A23" si="1">A17+1</f>
        <v>2</v>
      </c>
      <c r="C18" s="467">
        <v>0</v>
      </c>
      <c r="D18" s="465">
        <v>0</v>
      </c>
      <c r="E18" s="465">
        <f t="shared" si="0"/>
        <v>0</v>
      </c>
    </row>
    <row r="19" spans="1:7">
      <c r="A19" s="466">
        <f t="shared" si="1"/>
        <v>3</v>
      </c>
      <c r="C19" s="467">
        <v>0</v>
      </c>
      <c r="D19" s="465">
        <v>0</v>
      </c>
      <c r="E19" s="465">
        <f t="shared" si="0"/>
        <v>0</v>
      </c>
    </row>
    <row r="20" spans="1:7">
      <c r="A20" s="466">
        <f t="shared" si="1"/>
        <v>4</v>
      </c>
      <c r="C20" s="467">
        <v>0</v>
      </c>
      <c r="D20" s="465">
        <v>0</v>
      </c>
      <c r="E20" s="465">
        <f t="shared" si="0"/>
        <v>0</v>
      </c>
    </row>
    <row r="21" spans="1:7">
      <c r="A21" s="466">
        <f t="shared" si="1"/>
        <v>5</v>
      </c>
      <c r="C21" s="467">
        <v>0</v>
      </c>
      <c r="D21" s="465">
        <v>0</v>
      </c>
      <c r="E21" s="465">
        <f t="shared" si="0"/>
        <v>0</v>
      </c>
    </row>
    <row r="22" spans="1:7" ht="17.25">
      <c r="A22" s="466">
        <f t="shared" si="1"/>
        <v>6</v>
      </c>
      <c r="C22" s="468">
        <v>0</v>
      </c>
      <c r="D22" s="469">
        <v>0</v>
      </c>
      <c r="E22" s="470">
        <f t="shared" si="0"/>
        <v>0</v>
      </c>
    </row>
    <row r="23" spans="1:7" ht="17.25">
      <c r="A23" s="466">
        <f t="shared" si="1"/>
        <v>7</v>
      </c>
      <c r="B23" s="471" t="s">
        <v>386</v>
      </c>
      <c r="C23" s="472">
        <f>SUM(C17:C22)</f>
        <v>0</v>
      </c>
      <c r="D23" s="472">
        <f>SUM(D17:D22)</f>
        <v>27462</v>
      </c>
      <c r="E23" s="472">
        <f>SUM(E17:E22)</f>
        <v>27462</v>
      </c>
    </row>
    <row r="27" spans="1:7">
      <c r="B27" s="473" t="s">
        <v>382</v>
      </c>
      <c r="C27" s="474"/>
      <c r="D27" s="474"/>
    </row>
    <row r="28" spans="1:7">
      <c r="B28" s="475" t="s">
        <v>550</v>
      </c>
      <c r="C28" s="287"/>
    </row>
    <row r="29" spans="1:7">
      <c r="B29" s="475"/>
    </row>
    <row r="151" spans="11:11">
      <c r="K151" s="76" t="s">
        <v>612</v>
      </c>
    </row>
  </sheetData>
  <mergeCells count="2">
    <mergeCell ref="B6:E6"/>
    <mergeCell ref="B7:E7"/>
  </mergeCells>
  <pageMargins left="1" right="1" top="1" bottom="0.5" header="0.25" footer="0.25"/>
  <pageSetup scale="89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pageSetUpPr fitToPage="1"/>
  </sheetPr>
  <dimension ref="A1:K140"/>
  <sheetViews>
    <sheetView topLeftCell="A3" zoomScale="70" zoomScaleNormal="70" zoomScaleSheetLayoutView="80" workbookViewId="0">
      <selection activeCell="D28" sqref="D28"/>
    </sheetView>
  </sheetViews>
  <sheetFormatPr defaultColWidth="7.109375" defaultRowHeight="12.75"/>
  <cols>
    <col min="1" max="1" width="7.109375" style="447"/>
    <col min="2" max="2" width="48.6640625" style="447" customWidth="1"/>
    <col min="3" max="3" width="20.21875" style="447" bestFit="1" customWidth="1"/>
    <col min="4" max="4" width="14.77734375" style="447" customWidth="1"/>
    <col min="5" max="5" width="15.44140625" style="447" customWidth="1"/>
    <col min="6" max="6" width="11.6640625" style="447" customWidth="1"/>
    <col min="7" max="7" width="10.109375" style="447" customWidth="1"/>
    <col min="8" max="8" width="19.109375" style="447" customWidth="1"/>
    <col min="9" max="9" width="16.77734375" style="447" customWidth="1"/>
    <col min="10" max="10" width="8.77734375" style="447" bestFit="1" customWidth="1"/>
    <col min="11" max="17" width="25.5546875" style="447" customWidth="1"/>
    <col min="18" max="19" width="25.5546875" style="447" bestFit="1" customWidth="1"/>
    <col min="20" max="20" width="29.21875" style="447" bestFit="1" customWidth="1"/>
    <col min="21" max="28" width="13" style="447" customWidth="1"/>
    <col min="29" max="29" width="13" style="447" bestFit="1" customWidth="1"/>
    <col min="30" max="33" width="13" style="447" customWidth="1"/>
    <col min="34" max="34" width="16.77734375" style="447" bestFit="1" customWidth="1"/>
    <col min="35" max="35" width="8.21875" style="447" customWidth="1"/>
    <col min="36" max="53" width="16.21875" style="447" bestFit="1" customWidth="1"/>
    <col min="54" max="54" width="16.77734375" style="447" bestFit="1" customWidth="1"/>
    <col min="55" max="55" width="7.77734375" style="447" bestFit="1" customWidth="1"/>
    <col min="56" max="56" width="8.21875" style="447" bestFit="1" customWidth="1"/>
    <col min="57" max="57" width="9.88671875" style="447" bestFit="1" customWidth="1"/>
    <col min="58" max="58" width="6.33203125" style="447" customWidth="1"/>
    <col min="59" max="59" width="9.88671875" style="447" bestFit="1" customWidth="1"/>
    <col min="60" max="60" width="6.33203125" style="447" customWidth="1"/>
    <col min="61" max="61" width="9.88671875" style="447" bestFit="1" customWidth="1"/>
    <col min="62" max="63" width="6.33203125" style="447" customWidth="1"/>
    <col min="64" max="64" width="9.88671875" style="447" bestFit="1" customWidth="1"/>
    <col min="65" max="65" width="6.33203125" style="447" customWidth="1"/>
    <col min="66" max="66" width="9.88671875" style="447" bestFit="1" customWidth="1"/>
    <col min="67" max="67" width="6.33203125" style="447" customWidth="1"/>
    <col min="68" max="68" width="9.88671875" style="447" bestFit="1" customWidth="1"/>
    <col min="69" max="69" width="6.33203125" style="447" customWidth="1"/>
    <col min="70" max="70" width="9.88671875" style="447" bestFit="1" customWidth="1"/>
    <col min="71" max="71" width="8.21875" style="447" bestFit="1" customWidth="1"/>
    <col min="72" max="16384" width="7.109375" style="447"/>
  </cols>
  <sheetData>
    <row r="1" spans="1:7" s="447" customFormat="1" ht="15">
      <c r="A1" s="409"/>
      <c r="B1" s="76"/>
      <c r="C1" s="76"/>
      <c r="D1" s="76"/>
      <c r="E1" s="279" t="str">
        <f>EKPC!J1</f>
        <v>Attachment H-24A</v>
      </c>
    </row>
    <row r="2" spans="1:7" s="447" customFormat="1" ht="15">
      <c r="A2" s="409"/>
      <c r="B2" s="76"/>
      <c r="C2" s="76"/>
      <c r="D2" s="76"/>
      <c r="E2" s="281" t="s">
        <v>532</v>
      </c>
    </row>
    <row r="3" spans="1:7" s="447" customFormat="1" ht="15">
      <c r="A3" s="409"/>
      <c r="B3" s="300"/>
      <c r="C3" s="86"/>
      <c r="D3" s="86"/>
      <c r="E3" s="281" t="s">
        <v>372</v>
      </c>
    </row>
    <row r="4" spans="1:7" s="447" customFormat="1" ht="15.75">
      <c r="A4" s="409"/>
      <c r="B4" s="327"/>
      <c r="C4" s="86"/>
      <c r="D4" s="86"/>
      <c r="E4" s="281" t="str">
        <f>EKPC!$J$7</f>
        <v>For the 12 months ended 12/31/2025</v>
      </c>
    </row>
    <row r="5" spans="1:7" s="447" customFormat="1" ht="15.75">
      <c r="A5" s="409"/>
      <c r="B5" s="327"/>
      <c r="C5" s="86"/>
      <c r="D5" s="86"/>
      <c r="E5" s="281"/>
      <c r="G5" s="231"/>
    </row>
    <row r="6" spans="1:7" s="447" customFormat="1" ht="15.75">
      <c r="A6" s="409"/>
      <c r="B6" s="365" t="str">
        <f>EKPC!A11</f>
        <v>East Kentucky Power Cooperative, Inc.</v>
      </c>
      <c r="C6" s="365"/>
      <c r="D6" s="365"/>
      <c r="E6" s="365"/>
    </row>
    <row r="7" spans="1:7" s="447" customFormat="1" ht="15.75">
      <c r="A7" s="409"/>
      <c r="B7" s="365" t="str">
        <f>EKPC!A9</f>
        <v>Utilizing EKPC 2025 Form FF1 Data (ver. FINAL - AUDITED)</v>
      </c>
      <c r="C7" s="365"/>
      <c r="D7" s="365"/>
      <c r="E7" s="365"/>
    </row>
    <row r="8" spans="1:7" s="447" customFormat="1" ht="15">
      <c r="A8" s="409"/>
      <c r="B8" s="409"/>
      <c r="C8" s="409"/>
      <c r="D8" s="448"/>
      <c r="E8" s="409"/>
    </row>
    <row r="9" spans="1:7" s="447" customFormat="1" ht="15.75">
      <c r="A9" s="409"/>
      <c r="B9" s="365" t="s">
        <v>528</v>
      </c>
      <c r="C9" s="365"/>
      <c r="D9" s="365"/>
      <c r="E9" s="365"/>
      <c r="F9" s="300"/>
    </row>
    <row r="10" spans="1:7" s="447" customFormat="1" ht="15">
      <c r="A10" s="409"/>
      <c r="B10" s="76"/>
      <c r="C10" s="76"/>
      <c r="D10" s="409"/>
      <c r="E10" s="409"/>
      <c r="F10" s="300"/>
    </row>
    <row r="11" spans="1:7" s="447" customFormat="1" ht="15.75">
      <c r="A11" s="409"/>
      <c r="B11" s="368"/>
      <c r="C11" s="368"/>
      <c r="D11" s="409"/>
      <c r="E11" s="409"/>
      <c r="F11" s="300"/>
    </row>
    <row r="12" spans="1:7" s="447" customFormat="1" ht="15">
      <c r="A12" s="409"/>
      <c r="B12" s="369"/>
      <c r="C12" s="369"/>
      <c r="D12" s="409"/>
      <c r="E12" s="409"/>
      <c r="F12" s="300"/>
    </row>
    <row r="13" spans="1:7" s="447" customFormat="1" ht="20.25">
      <c r="A13" s="449" t="s">
        <v>182</v>
      </c>
      <c r="B13" s="369"/>
      <c r="C13" s="375" t="s">
        <v>238</v>
      </c>
      <c r="D13" s="375" t="s">
        <v>313</v>
      </c>
      <c r="E13" s="409"/>
      <c r="F13" s="300"/>
    </row>
    <row r="14" spans="1:7" s="447" customFormat="1" ht="15">
      <c r="A14" s="409"/>
      <c r="B14" s="369"/>
      <c r="C14" s="369"/>
      <c r="D14" s="409"/>
      <c r="E14" s="409"/>
      <c r="F14" s="300"/>
    </row>
    <row r="15" spans="1:7" s="447" customFormat="1" ht="15.75">
      <c r="A15" s="415" t="s">
        <v>471</v>
      </c>
      <c r="B15" s="450" t="s">
        <v>558</v>
      </c>
      <c r="C15" s="418" t="s">
        <v>559</v>
      </c>
      <c r="D15" s="380">
        <v>426855</v>
      </c>
      <c r="E15" s="135"/>
      <c r="F15" s="300"/>
    </row>
    <row r="16" spans="1:7" s="447" customFormat="1" ht="15">
      <c r="A16" s="409"/>
      <c r="B16" s="386"/>
      <c r="C16" s="418"/>
      <c r="D16" s="416"/>
      <c r="E16" s="409"/>
      <c r="F16" s="300"/>
    </row>
    <row r="17" spans="1:8" s="447" customFormat="1" ht="17.25">
      <c r="A17" s="415" t="s">
        <v>200</v>
      </c>
      <c r="B17" s="419" t="s">
        <v>161</v>
      </c>
      <c r="C17" s="419"/>
      <c r="D17" s="451">
        <v>0</v>
      </c>
      <c r="E17" s="409"/>
      <c r="F17" s="76"/>
    </row>
    <row r="18" spans="1:8" s="447" customFormat="1" ht="15">
      <c r="A18" s="409"/>
      <c r="B18" s="386"/>
      <c r="D18" s="416"/>
      <c r="E18" s="409"/>
      <c r="F18" s="300"/>
    </row>
    <row r="19" spans="1:8" s="447" customFormat="1" ht="17.25">
      <c r="A19" s="415" t="s">
        <v>472</v>
      </c>
      <c r="B19" s="437" t="s">
        <v>469</v>
      </c>
      <c r="C19" s="418" t="s">
        <v>461</v>
      </c>
      <c r="D19" s="452">
        <f>D15-D17</f>
        <v>426855</v>
      </c>
      <c r="E19" s="409"/>
      <c r="F19" s="300"/>
    </row>
    <row r="20" spans="1:8" s="447" customFormat="1" ht="15">
      <c r="A20" s="409"/>
      <c r="B20" s="386"/>
      <c r="C20" s="418"/>
      <c r="D20" s="416"/>
      <c r="E20" s="409"/>
      <c r="F20" s="300"/>
    </row>
    <row r="21" spans="1:8" s="447" customFormat="1" ht="15">
      <c r="A21" s="409"/>
      <c r="B21" s="386"/>
      <c r="C21" s="418"/>
      <c r="D21" s="416"/>
      <c r="E21" s="409"/>
      <c r="F21" s="300"/>
    </row>
    <row r="22" spans="1:8" s="447" customFormat="1" ht="15.75">
      <c r="A22" s="415" t="s">
        <v>473</v>
      </c>
      <c r="B22" s="453" t="s">
        <v>470</v>
      </c>
      <c r="C22" s="418" t="s">
        <v>460</v>
      </c>
      <c r="D22" s="380">
        <v>1758529</v>
      </c>
      <c r="E22" s="135"/>
      <c r="F22" s="300"/>
      <c r="G22" s="300"/>
    </row>
    <row r="23" spans="1:8" s="447" customFormat="1" ht="15.75">
      <c r="A23" s="415"/>
      <c r="B23" s="453"/>
      <c r="C23" s="418"/>
      <c r="D23" s="454"/>
      <c r="E23" s="409"/>
      <c r="F23" s="300"/>
      <c r="G23" s="300"/>
    </row>
    <row r="24" spans="1:8" s="447" customFormat="1" ht="15">
      <c r="A24" s="415" t="s">
        <v>172</v>
      </c>
      <c r="B24" s="455" t="s">
        <v>427</v>
      </c>
      <c r="C24" s="418" t="s">
        <v>463</v>
      </c>
      <c r="D24" s="454">
        <f>-D22*(1-EKPC!J219)</f>
        <v>-1478110.4887723548</v>
      </c>
      <c r="E24" s="300"/>
      <c r="F24" s="300"/>
      <c r="G24" s="300"/>
    </row>
    <row r="25" spans="1:8" s="447" customFormat="1" ht="15">
      <c r="A25" s="415"/>
      <c r="B25" s="455"/>
      <c r="C25" s="418"/>
      <c r="D25" s="454"/>
      <c r="E25" s="300"/>
      <c r="F25" s="300"/>
      <c r="G25" s="300"/>
    </row>
    <row r="26" spans="1:8" s="447" customFormat="1" ht="15">
      <c r="A26" s="415">
        <v>6</v>
      </c>
      <c r="B26" s="456" t="s">
        <v>603</v>
      </c>
      <c r="C26" s="418" t="s">
        <v>477</v>
      </c>
      <c r="D26" s="457">
        <f>52390+44717.5</f>
        <v>97107.5</v>
      </c>
      <c r="F26" s="117"/>
      <c r="G26" s="300"/>
      <c r="H26" s="458" t="s">
        <v>684</v>
      </c>
    </row>
    <row r="27" spans="1:8" s="447" customFormat="1" ht="15">
      <c r="A27" s="415"/>
      <c r="B27" s="455"/>
      <c r="C27" s="418"/>
      <c r="D27" s="454"/>
      <c r="E27" s="300"/>
      <c r="F27" s="300"/>
      <c r="G27" s="300"/>
    </row>
    <row r="28" spans="1:8" s="447" customFormat="1" ht="17.25">
      <c r="A28" s="415">
        <v>7</v>
      </c>
      <c r="B28" s="419" t="s">
        <v>457</v>
      </c>
      <c r="C28" s="418"/>
      <c r="D28" s="452">
        <f>D22+D24+D26</f>
        <v>377526.01122764521</v>
      </c>
      <c r="E28" s="409"/>
    </row>
    <row r="29" spans="1:8" s="447" customFormat="1" ht="15">
      <c r="A29" s="409"/>
      <c r="B29" s="419"/>
      <c r="C29" s="418"/>
      <c r="D29" s="454"/>
      <c r="E29" s="409"/>
    </row>
    <row r="30" spans="1:8" s="447" customFormat="1" ht="15">
      <c r="A30" s="409"/>
      <c r="B30" s="419"/>
      <c r="C30" s="419"/>
      <c r="D30" s="369"/>
      <c r="E30" s="409"/>
    </row>
    <row r="31" spans="1:8" s="447" customFormat="1" ht="15">
      <c r="A31" s="409"/>
      <c r="B31" s="369"/>
      <c r="C31" s="369"/>
      <c r="D31" s="409"/>
      <c r="E31" s="300"/>
      <c r="F31" s="300"/>
      <c r="G31" s="300"/>
    </row>
    <row r="32" spans="1:8" s="447" customFormat="1" ht="15">
      <c r="A32" s="409"/>
      <c r="B32" s="459" t="s">
        <v>382</v>
      </c>
      <c r="C32" s="426"/>
      <c r="D32" s="426"/>
      <c r="E32" s="426"/>
    </row>
    <row r="33" spans="1:5" s="447" customFormat="1" ht="15">
      <c r="A33" s="409"/>
      <c r="B33" s="409" t="s">
        <v>652</v>
      </c>
      <c r="C33" s="409"/>
      <c r="D33" s="409"/>
      <c r="E33" s="409"/>
    </row>
    <row r="34" spans="1:5" s="447" customFormat="1" ht="15.75">
      <c r="A34" s="409"/>
      <c r="B34" s="460" t="s">
        <v>604</v>
      </c>
      <c r="C34" s="409"/>
      <c r="D34" s="461"/>
      <c r="E34" s="409"/>
    </row>
    <row r="35" spans="1:5" s="447" customFormat="1" ht="31.15" customHeight="1">
      <c r="A35" s="409"/>
      <c r="B35" s="427" t="s">
        <v>653</v>
      </c>
      <c r="C35" s="427"/>
      <c r="D35" s="427"/>
      <c r="E35" s="427"/>
    </row>
    <row r="36" spans="1:5" s="447" customFormat="1" ht="15">
      <c r="A36" s="409"/>
      <c r="B36" s="460" t="s">
        <v>605</v>
      </c>
    </row>
    <row r="41" spans="1:5" s="447" customFormat="1" ht="15">
      <c r="D41" s="117"/>
    </row>
    <row r="140" spans="11:11" s="447" customFormat="1">
      <c r="K140" s="447" t="s">
        <v>612</v>
      </c>
    </row>
  </sheetData>
  <mergeCells count="4">
    <mergeCell ref="B6:E6"/>
    <mergeCell ref="B7:E7"/>
    <mergeCell ref="B9:E9"/>
    <mergeCell ref="B35:E35"/>
  </mergeCells>
  <phoneticPr fontId="21" type="noConversion"/>
  <pageMargins left="1" right="1" top="1" bottom="0.5" header="0.5" footer="0.5"/>
  <pageSetup scale="8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>
    <pageSetUpPr fitToPage="1"/>
  </sheetPr>
  <dimension ref="A1:Y151"/>
  <sheetViews>
    <sheetView zoomScale="70" zoomScaleNormal="70" workbookViewId="0">
      <selection activeCell="D28" sqref="D28"/>
    </sheetView>
  </sheetViews>
  <sheetFormatPr defaultColWidth="8.77734375" defaultRowHeight="15"/>
  <cols>
    <col min="1" max="1" width="8.77734375" style="76"/>
    <col min="2" max="2" width="56.109375" style="76" customWidth="1"/>
    <col min="3" max="3" width="14.77734375" style="76" customWidth="1"/>
    <col min="4" max="4" width="19.21875" style="76" customWidth="1"/>
    <col min="5" max="5" width="8.77734375" style="76" customWidth="1"/>
    <col min="6" max="6" width="10.6640625" style="76" customWidth="1"/>
    <col min="7" max="7" width="26" style="76" customWidth="1"/>
    <col min="8" max="8" width="11.109375" style="76" customWidth="1"/>
    <col min="9" max="9" width="8.33203125" style="76" customWidth="1"/>
    <col min="10" max="10" width="12.6640625" style="76" bestFit="1" customWidth="1"/>
    <col min="11" max="16384" width="8.77734375" style="76"/>
  </cols>
  <sheetData>
    <row r="1" spans="1:7">
      <c r="E1" s="279" t="str">
        <f>EKPC!J1</f>
        <v>Attachment H-24A</v>
      </c>
    </row>
    <row r="2" spans="1:7">
      <c r="E2" s="281" t="s">
        <v>532</v>
      </c>
    </row>
    <row r="3" spans="1:7">
      <c r="B3" s="117"/>
      <c r="C3" s="86"/>
      <c r="D3" s="86"/>
      <c r="E3" s="281" t="s">
        <v>371</v>
      </c>
    </row>
    <row r="4" spans="1:7" ht="18">
      <c r="B4" s="364"/>
      <c r="C4" s="86"/>
      <c r="D4" s="86"/>
      <c r="E4" s="281" t="str">
        <f>EKPC!$J$7</f>
        <v>For the 12 months ended 12/31/2025</v>
      </c>
      <c r="F4" s="429"/>
    </row>
    <row r="5" spans="1:7" ht="18">
      <c r="B5" s="364"/>
      <c r="C5" s="86"/>
      <c r="D5" s="86"/>
      <c r="E5" s="281"/>
      <c r="F5" s="429"/>
      <c r="G5" s="231"/>
    </row>
    <row r="6" spans="1:7" ht="15.75">
      <c r="A6" s="365" t="str">
        <f>EKPC!A11</f>
        <v>East Kentucky Power Cooperative, Inc.</v>
      </c>
      <c r="B6" s="365"/>
      <c r="C6" s="365"/>
      <c r="D6" s="365"/>
      <c r="E6" s="430"/>
      <c r="F6" s="429"/>
    </row>
    <row r="7" spans="1:7" ht="15.75">
      <c r="A7" s="365" t="str">
        <f>EKPC!A9</f>
        <v>Utilizing EKPC 2025 Form FF1 Data (ver. FINAL - AUDITED)</v>
      </c>
      <c r="B7" s="365"/>
      <c r="C7" s="365"/>
      <c r="D7" s="365"/>
      <c r="E7" s="430"/>
      <c r="F7" s="429"/>
    </row>
    <row r="8" spans="1:7" ht="15.75">
      <c r="B8" s="327"/>
      <c r="C8" s="86"/>
      <c r="D8" s="281"/>
      <c r="F8" s="429"/>
    </row>
    <row r="9" spans="1:7" ht="15.75">
      <c r="A9" s="365" t="s">
        <v>144</v>
      </c>
      <c r="B9" s="365"/>
      <c r="C9" s="365"/>
      <c r="D9" s="365"/>
      <c r="F9" s="429"/>
    </row>
    <row r="10" spans="1:7" ht="15.75">
      <c r="B10" s="327"/>
      <c r="C10" s="86"/>
      <c r="D10" s="86"/>
      <c r="F10" s="429"/>
    </row>
    <row r="11" spans="1:7" ht="15.75">
      <c r="B11" s="368"/>
      <c r="C11" s="431"/>
      <c r="D11" s="369"/>
      <c r="F11" s="429"/>
    </row>
    <row r="12" spans="1:7" ht="20.25">
      <c r="B12" s="369"/>
      <c r="C12" s="371"/>
      <c r="D12" s="411"/>
      <c r="F12" s="429"/>
    </row>
    <row r="13" spans="1:7" ht="21" thickBot="1">
      <c r="A13" s="150" t="s">
        <v>182</v>
      </c>
      <c r="B13" s="369"/>
      <c r="C13" s="375"/>
      <c r="D13" s="375" t="s">
        <v>313</v>
      </c>
      <c r="F13" s="429"/>
    </row>
    <row r="14" spans="1:7" ht="21" thickBot="1">
      <c r="B14" s="432" t="s">
        <v>162</v>
      </c>
      <c r="C14" s="375"/>
      <c r="D14" s="375"/>
      <c r="F14" s="429"/>
    </row>
    <row r="15" spans="1:7" ht="17.25" customHeight="1">
      <c r="A15" s="433" t="s">
        <v>471</v>
      </c>
      <c r="B15" s="386" t="s">
        <v>454</v>
      </c>
      <c r="C15" s="416"/>
      <c r="D15" s="380">
        <v>57016586</v>
      </c>
      <c r="E15" s="135"/>
    </row>
    <row r="16" spans="1:7" ht="15.75">
      <c r="A16" s="111"/>
      <c r="B16" s="419"/>
      <c r="C16" s="369"/>
      <c r="D16" s="369"/>
      <c r="F16" s="429"/>
    </row>
    <row r="17" spans="1:7" ht="17.25">
      <c r="A17" s="433" t="s">
        <v>200</v>
      </c>
      <c r="B17" s="434" t="s">
        <v>474</v>
      </c>
      <c r="C17" s="435"/>
      <c r="D17" s="436">
        <v>0</v>
      </c>
      <c r="F17" s="429"/>
    </row>
    <row r="18" spans="1:7" ht="15.75">
      <c r="A18" s="111"/>
      <c r="B18" s="419"/>
      <c r="C18" s="369"/>
      <c r="D18" s="369"/>
      <c r="F18" s="429"/>
    </row>
    <row r="19" spans="1:7" ht="17.25" customHeight="1">
      <c r="A19" s="433" t="s">
        <v>472</v>
      </c>
      <c r="B19" s="437" t="s">
        <v>654</v>
      </c>
      <c r="C19" s="438"/>
      <c r="D19" s="438">
        <f>D15-D17</f>
        <v>57016586</v>
      </c>
      <c r="F19" s="429"/>
    </row>
    <row r="20" spans="1:7" ht="14.25" customHeight="1">
      <c r="A20" s="111"/>
      <c r="B20" s="437"/>
      <c r="C20" s="438"/>
      <c r="D20" s="438"/>
      <c r="F20" s="429"/>
    </row>
    <row r="21" spans="1:7" ht="10.5" customHeight="1">
      <c r="A21" s="111"/>
      <c r="B21" s="437"/>
      <c r="C21" s="438"/>
      <c r="D21" s="438"/>
      <c r="F21" s="429"/>
    </row>
    <row r="22" spans="1:7" ht="16.5" thickBot="1">
      <c r="A22" s="111"/>
      <c r="B22" s="419"/>
      <c r="C22" s="369"/>
      <c r="D22" s="369"/>
      <c r="F22" s="429"/>
    </row>
    <row r="23" spans="1:7" ht="16.5" thickBot="1">
      <c r="A23" s="111"/>
      <c r="B23" s="432" t="s">
        <v>163</v>
      </c>
      <c r="C23" s="369"/>
      <c r="D23" s="369"/>
      <c r="F23" s="429"/>
    </row>
    <row r="24" spans="1:7" ht="17.25" customHeight="1">
      <c r="A24" s="433" t="s">
        <v>473</v>
      </c>
      <c r="B24" s="386" t="s">
        <v>547</v>
      </c>
      <c r="C24" s="416"/>
      <c r="D24" s="380">
        <f>75410809</f>
        <v>75410809</v>
      </c>
      <c r="E24" s="135"/>
    </row>
    <row r="25" spans="1:7" ht="15.75">
      <c r="A25" s="111"/>
      <c r="B25" s="419"/>
      <c r="C25" s="369"/>
      <c r="D25" s="369"/>
      <c r="F25" s="429"/>
    </row>
    <row r="26" spans="1:7" ht="17.25">
      <c r="A26" s="433" t="s">
        <v>172</v>
      </c>
      <c r="B26" s="434" t="s">
        <v>474</v>
      </c>
      <c r="C26" s="436"/>
      <c r="D26" s="436">
        <f>D17</f>
        <v>0</v>
      </c>
      <c r="F26" s="429"/>
      <c r="G26" s="117"/>
    </row>
    <row r="27" spans="1:7" ht="15.75">
      <c r="A27" s="111"/>
      <c r="B27" s="419"/>
      <c r="C27" s="369"/>
      <c r="D27" s="369"/>
      <c r="F27" s="429"/>
    </row>
    <row r="28" spans="1:7" ht="17.25" customHeight="1">
      <c r="A28" s="433" t="s">
        <v>173</v>
      </c>
      <c r="B28" s="437" t="s">
        <v>655</v>
      </c>
      <c r="C28" s="438"/>
      <c r="D28" s="438">
        <f>D24+D26</f>
        <v>75410809</v>
      </c>
      <c r="F28" s="429"/>
    </row>
    <row r="29" spans="1:7" ht="14.25" customHeight="1">
      <c r="A29" s="111"/>
      <c r="B29" s="437"/>
      <c r="C29" s="438"/>
      <c r="D29" s="438"/>
    </row>
    <row r="30" spans="1:7" ht="10.5" customHeight="1">
      <c r="A30" s="111"/>
      <c r="B30" s="437"/>
      <c r="C30" s="438"/>
      <c r="D30" s="438"/>
    </row>
    <row r="31" spans="1:7" ht="16.5" thickBot="1">
      <c r="A31" s="111"/>
      <c r="B31" s="419"/>
      <c r="C31" s="369"/>
      <c r="D31" s="369"/>
      <c r="F31" s="429"/>
    </row>
    <row r="32" spans="1:7" ht="16.5" thickBot="1">
      <c r="A32" s="111"/>
      <c r="B32" s="432" t="s">
        <v>164</v>
      </c>
      <c r="C32" s="369"/>
      <c r="D32" s="369"/>
      <c r="F32" s="439"/>
      <c r="G32" s="52"/>
    </row>
    <row r="33" spans="1:25" ht="17.25" customHeight="1">
      <c r="A33" s="433" t="s">
        <v>176</v>
      </c>
      <c r="B33" s="386" t="s">
        <v>548</v>
      </c>
      <c r="C33" s="416"/>
      <c r="D33" s="380">
        <f>12406504-7457274.98</f>
        <v>4949229.0199999996</v>
      </c>
      <c r="E33" s="135"/>
      <c r="G33" s="440" t="s">
        <v>685</v>
      </c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</row>
    <row r="34" spans="1:25">
      <c r="A34" s="111"/>
      <c r="B34" s="419"/>
      <c r="C34" s="369"/>
      <c r="D34" s="369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</row>
    <row r="35" spans="1:25" ht="22.5" customHeight="1">
      <c r="A35" s="433" t="s">
        <v>178</v>
      </c>
      <c r="B35" s="369" t="s">
        <v>519</v>
      </c>
      <c r="C35" s="435"/>
      <c r="D35" s="436">
        <v>0</v>
      </c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</row>
    <row r="36" spans="1:25">
      <c r="A36" s="111"/>
      <c r="B36" s="419"/>
      <c r="C36" s="369"/>
      <c r="D36" s="369"/>
      <c r="F36" s="117"/>
      <c r="G36" s="117"/>
    </row>
    <row r="37" spans="1:25" ht="17.25" customHeight="1">
      <c r="A37" s="433" t="s">
        <v>149</v>
      </c>
      <c r="B37" s="437" t="s">
        <v>384</v>
      </c>
      <c r="C37" s="438"/>
      <c r="D37" s="441">
        <f>D33-D35</f>
        <v>4949229.0199999996</v>
      </c>
    </row>
    <row r="38" spans="1:25" ht="17.25" customHeight="1">
      <c r="A38" s="111"/>
      <c r="B38" s="419"/>
      <c r="C38" s="369"/>
      <c r="D38" s="369"/>
      <c r="F38" s="429"/>
    </row>
    <row r="39" spans="1:25" ht="17.25" customHeight="1">
      <c r="A39" s="433" t="s">
        <v>150</v>
      </c>
      <c r="B39" s="437" t="s">
        <v>602</v>
      </c>
      <c r="C39" s="442" t="s">
        <v>461</v>
      </c>
      <c r="D39" s="443">
        <v>0</v>
      </c>
      <c r="F39" s="444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</row>
    <row r="40" spans="1:25" ht="17.25" customHeight="1">
      <c r="A40" s="111"/>
      <c r="B40" s="419"/>
      <c r="C40" s="369"/>
      <c r="D40" s="369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</row>
    <row r="41" spans="1:25" ht="17.25" customHeight="1">
      <c r="A41" s="111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</row>
    <row r="42" spans="1:25" ht="17.25" customHeight="1">
      <c r="A42" s="433" t="s">
        <v>152</v>
      </c>
      <c r="B42" s="445" t="s">
        <v>383</v>
      </c>
      <c r="C42" s="442" t="s">
        <v>460</v>
      </c>
      <c r="D42" s="443">
        <f>D37-D39</f>
        <v>4949229.0199999996</v>
      </c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</row>
    <row r="43" spans="1:25" ht="17.25" customHeight="1">
      <c r="B43" s="112"/>
      <c r="C43" s="112"/>
      <c r="D43" s="112"/>
    </row>
    <row r="44" spans="1:25" ht="17.25" customHeight="1">
      <c r="B44" s="446" t="s">
        <v>381</v>
      </c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</row>
    <row r="45" spans="1:25" ht="17.25" customHeight="1">
      <c r="B45" s="76" t="s">
        <v>584</v>
      </c>
      <c r="C45" s="117"/>
      <c r="D45" s="117"/>
      <c r="E45" s="117"/>
      <c r="F45" s="444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</row>
    <row r="46" spans="1:25" ht="17.25" customHeight="1">
      <c r="B46" s="76" t="s">
        <v>656</v>
      </c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</row>
    <row r="47" spans="1:25"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</row>
    <row r="48" spans="1:25"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</row>
    <row r="151" spans="11:11">
      <c r="K151" s="76" t="s">
        <v>612</v>
      </c>
    </row>
  </sheetData>
  <mergeCells count="3">
    <mergeCell ref="A6:D6"/>
    <mergeCell ref="A7:D7"/>
    <mergeCell ref="A9:D9"/>
  </mergeCells>
  <phoneticPr fontId="0" type="noConversion"/>
  <pageMargins left="1" right="0.5" top="1" bottom="0.5" header="0.25" footer="0.25"/>
  <pageSetup scale="6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30</vt:i4>
      </vt:variant>
    </vt:vector>
  </HeadingPairs>
  <TitlesOfParts>
    <vt:vector size="43" baseType="lpstr">
      <vt:lpstr>EKPC</vt:lpstr>
      <vt:lpstr>Appx A - Sch 1A</vt:lpstr>
      <vt:lpstr>Appx B - RTEP</vt:lpstr>
      <vt:lpstr>Appx C - True Up</vt:lpstr>
      <vt:lpstr>Appx D - Deprec</vt:lpstr>
      <vt:lpstr>Pg 1 of 8 M&amp;S Alloc</vt:lpstr>
      <vt:lpstr>P 2 of 8 Land Held for Future</vt:lpstr>
      <vt:lpstr>Pg 3 of 8 G&amp;A Adj</vt:lpstr>
      <vt:lpstr>Pg 4 of 8 Sch 1 Charges 561</vt:lpstr>
      <vt:lpstr>Pg 5 of 8 Trans Plant In OATT</vt:lpstr>
      <vt:lpstr>Pg 6 of 8 Rev Cred Support</vt:lpstr>
      <vt:lpstr>Pg 7 of 8 Cap Str</vt:lpstr>
      <vt:lpstr>Pg 8 of 8 Peak Load</vt:lpstr>
      <vt:lpstr>Appendix_A</vt:lpstr>
      <vt:lpstr>AppxB_Pg1_RTEP</vt:lpstr>
      <vt:lpstr>AppxB_Pg2_RTEP</vt:lpstr>
      <vt:lpstr>AppxD</vt:lpstr>
      <vt:lpstr>EKPC_1of6</vt:lpstr>
      <vt:lpstr>EKPC_2of6</vt:lpstr>
      <vt:lpstr>EKPC_3of6</vt:lpstr>
      <vt:lpstr>EKPC_4of6</vt:lpstr>
      <vt:lpstr>EKPC_5of6</vt:lpstr>
      <vt:lpstr>EKPC_6of6</vt:lpstr>
      <vt:lpstr>PG2_Support_LandHeld</vt:lpstr>
      <vt:lpstr>PG2_Support_TransPlant</vt:lpstr>
      <vt:lpstr>PG3_Support_Adv</vt:lpstr>
      <vt:lpstr>PG3_Support_BAcosts</vt:lpstr>
      <vt:lpstr>PG4_Support_Ancillary</vt:lpstr>
      <vt:lpstr>PG4_Support_CapStructure</vt:lpstr>
      <vt:lpstr>PG4_Support_RevCr</vt:lpstr>
      <vt:lpstr>'Appx A - Sch 1A'!Print_Area</vt:lpstr>
      <vt:lpstr>'Appx C - True Up'!Print_Area</vt:lpstr>
      <vt:lpstr>'Appx D - Deprec'!Print_Area</vt:lpstr>
      <vt:lpstr>EKPC!Print_Area</vt:lpstr>
      <vt:lpstr>'P 2 of 8 Land Held for Future'!Print_Area</vt:lpstr>
      <vt:lpstr>'Pg 1 of 8 M&amp;S Alloc'!Print_Area</vt:lpstr>
      <vt:lpstr>'Pg 3 of 8 G&amp;A Adj'!Print_Area</vt:lpstr>
      <vt:lpstr>'Pg 4 of 8 Sch 1 Charges 561'!Print_Area</vt:lpstr>
      <vt:lpstr>'Pg 5 of 8 Trans Plant In OATT'!Print_Area</vt:lpstr>
      <vt:lpstr>'Pg 6 of 8 Rev Cred Support'!Print_Area</vt:lpstr>
      <vt:lpstr>'Pg 7 of 8 Cap Str'!Print_Area</vt:lpstr>
      <vt:lpstr>'Pg 8 of 8 Peak Load'!Print_Area</vt:lpstr>
      <vt:lpstr>SCH_1A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1970-01-01T04:00:00Z</cp:lastPrinted>
  <dcterms:created xsi:type="dcterms:W3CDTF">1970-01-01T04:00:00Z</dcterms:created>
  <dcterms:modified xsi:type="dcterms:W3CDTF">2026-05-14T17:48:47Z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